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3425" yWindow="-45" windowWidth="13890" windowHeight="12810" tabRatio="818" activeTab="64"/>
  </bookViews>
  <sheets>
    <sheet name="Пр.1" sheetId="1" r:id="rId1"/>
    <sheet name="Пр.2" sheetId="2" r:id="rId2"/>
    <sheet name="Пр.3" sheetId="6" r:id="rId3"/>
    <sheet name="Пр.7" sheetId="25" state="hidden" r:id="rId4"/>
    <sheet name="Пр_9" sheetId="19" state="hidden" r:id="rId5"/>
    <sheet name="Пр_10" sheetId="18" state="hidden" r:id="rId6"/>
    <sheet name="Пр8" sheetId="29" state="hidden" r:id="rId7"/>
    <sheet name="Пр9" sheetId="57" state="hidden" r:id="rId8"/>
    <sheet name="Пр10" sheetId="65" state="hidden" r:id="rId9"/>
    <sheet name="Пр11" sheetId="58" state="hidden" r:id="rId10"/>
    <sheet name="Пр.4" sheetId="83" r:id="rId11"/>
    <sheet name="Пр.5" sheetId="5" r:id="rId12"/>
    <sheet name="Пр12_" sheetId="48" state="hidden" r:id="rId13"/>
    <sheet name="Пр_15" sheetId="21" state="hidden" r:id="rId14"/>
    <sheet name="Пр_16" sheetId="31" state="hidden" r:id="rId15"/>
    <sheet name="Пр3" sheetId="17" state="hidden" r:id="rId16"/>
    <sheet name="Пр6" sheetId="44" r:id="rId17"/>
    <sheet name="Пр13" sheetId="54" state="hidden" r:id="rId18"/>
    <sheet name="Пр_18" sheetId="32" state="hidden" r:id="rId19"/>
    <sheet name="Пр_19" sheetId="24" state="hidden" r:id="rId20"/>
    <sheet name="Пр20" sheetId="33" state="hidden" r:id="rId21"/>
    <sheet name="Пр_20" sheetId="37" state="hidden" r:id="rId22"/>
    <sheet name="Пр_21" sheetId="38" state="hidden" r:id="rId23"/>
    <sheet name="Пр_22" sheetId="39" state="hidden" r:id="rId24"/>
    <sheet name="Пр_23" sheetId="40" state="hidden" r:id="rId25"/>
    <sheet name="Пр 10." sheetId="14" state="hidden" r:id="rId26"/>
    <sheet name="КВСР" sheetId="8" state="hidden" r:id="rId27"/>
    <sheet name="КВР" sheetId="10" state="hidden" r:id="rId28"/>
    <sheet name="20" sheetId="34" state="hidden" r:id="rId29"/>
    <sheet name="21" sheetId="35" state="hidden" r:id="rId30"/>
    <sheet name="22" sheetId="36" state="hidden" r:id="rId31"/>
    <sheet name="Лист1" sheetId="41" state="hidden" r:id="rId32"/>
    <sheet name="Лист2" sheetId="42" state="hidden" r:id="rId33"/>
    <sheet name="Пр13-" sheetId="51" state="hidden" r:id="rId34"/>
    <sheet name="Пр14-" sheetId="52" state="hidden" r:id="rId35"/>
    <sheet name="Лист3" sheetId="49" state="hidden" r:id="rId36"/>
    <sheet name="Лист4" sheetId="50" state="hidden" r:id="rId37"/>
    <sheet name="Лист5" sheetId="53" state="hidden" r:id="rId38"/>
    <sheet name="LOG" sheetId="56" state="hidden" r:id="rId39"/>
    <sheet name="Пр16" sheetId="59" state="hidden" r:id="rId40"/>
    <sheet name="Пр17" sheetId="60" state="hidden" r:id="rId41"/>
    <sheet name="Пр.18" sheetId="13" state="hidden" r:id="rId42"/>
    <sheet name="Пр19" sheetId="61" state="hidden" r:id="rId43"/>
    <sheet name="Пр.21" sheetId="63" state="hidden" r:id="rId44"/>
    <sheet name="КФСР" sheetId="7" state="hidden" r:id="rId45"/>
    <sheet name="КЦСР" sheetId="9" state="hidden" r:id="rId46"/>
    <sheet name="Лист6" sheetId="64" state="hidden" r:id="rId47"/>
    <sheet name="Лист7" sheetId="66" state="hidden" r:id="rId48"/>
    <sheet name="Лист8" sheetId="67" state="hidden" r:id="rId49"/>
    <sheet name="Пр.13" sheetId="68" state="hidden" r:id="rId50"/>
    <sheet name="Пр.14" sheetId="71" state="hidden" r:id="rId51"/>
    <sheet name="Пр.15" sheetId="62" state="hidden" r:id="rId52"/>
    <sheet name="Пр.16" sheetId="69" state="hidden" r:id="rId53"/>
    <sheet name="Пр.17" sheetId="70" state="hidden" r:id="rId54"/>
    <sheet name="Программа" sheetId="46" state="hidden" r:id="rId55"/>
    <sheet name="Лист9" sheetId="72" state="hidden" r:id="rId56"/>
    <sheet name="Пр7" sheetId="79" r:id="rId57"/>
    <sheet name="Пр.8" sheetId="73" r:id="rId58"/>
    <sheet name="Пр 14" sheetId="74" state="hidden" r:id="rId59"/>
    <sheet name="Направление" sheetId="45" state="hidden" r:id="rId60"/>
    <sheet name="Лист10" sheetId="75" state="hidden" r:id="rId61"/>
    <sheet name="Лист11" sheetId="76" state="hidden" r:id="rId62"/>
    <sheet name="Пр 9" sheetId="78" r:id="rId63"/>
    <sheet name="Пр.10" sheetId="80" r:id="rId64"/>
    <sheet name="Лист12" sheetId="81" r:id="rId65"/>
    <sheet name="Лист13" sheetId="82" state="hidden" r:id="rId66"/>
  </sheets>
  <definedNames>
    <definedName name="_GoBack" localSheetId="3">Пр.7!$A$48</definedName>
    <definedName name="_xlnm._FilterDatabase" localSheetId="26" hidden="1">КВСР!$A$2:$B$1166</definedName>
    <definedName name="_xlnm._FilterDatabase" localSheetId="44" hidden="1">КФСР!$A$1400:$B$1478</definedName>
    <definedName name="_xlnm._FilterDatabase" localSheetId="45" hidden="1">КЦСР!$A$2036:$B$3271</definedName>
    <definedName name="_xlnm._FilterDatabase" localSheetId="0" hidden="1">Пр.1!$A$9:$M$171</definedName>
    <definedName name="_xlnm._FilterDatabase" localSheetId="11" hidden="1">Пр.5!$A$8:$J$1108</definedName>
    <definedName name="_xlnm._FilterDatabase" localSheetId="16" hidden="1">Пр6!$C$1:$D$202</definedName>
    <definedName name="Z_66DBF0AC_E9A0_482F_9E41_1928B6CA83DC_.wvu.Cols" localSheetId="1" hidden="1">Пр.2!#REF!</definedName>
    <definedName name="Z_66DBF0AC_E9A0_482F_9E41_1928B6CA83DC_.wvu.Cols" localSheetId="2" hidden="1">Пр.3!#REF!</definedName>
    <definedName name="Z_66DBF0AC_E9A0_482F_9E41_1928B6CA83DC_.wvu.FilterData" localSheetId="11" hidden="1">Пр.5!$A$9:$F$1059</definedName>
    <definedName name="Z_66DBF0AC_E9A0_482F_9E41_1928B6CA83DC_.wvu.Rows" localSheetId="2" hidden="1">Пр.3!#REF!,Пр.3!#REF!</definedName>
    <definedName name="Z_91923F83_3A6B_4204_9891_178562AB34F1_.wvu.Cols" localSheetId="1" hidden="1">Пр.2!#REF!</definedName>
    <definedName name="Z_91923F83_3A6B_4204_9891_178562AB34F1_.wvu.Cols" localSheetId="2" hidden="1">Пр.3!#REF!</definedName>
    <definedName name="Z_91923F83_3A6B_4204_9891_178562AB34F1_.wvu.FilterData" localSheetId="11" hidden="1">Пр.5!$A$9:$F$1059</definedName>
    <definedName name="Z_91923F83_3A6B_4204_9891_178562AB34F1_.wvu.PrintArea" localSheetId="0" hidden="1">Пр.1!$A$1:$I$171</definedName>
    <definedName name="Z_91923F83_3A6B_4204_9891_178562AB34F1_.wvu.PrintArea" localSheetId="1" hidden="1">Пр.2!$A$1:$B$120</definedName>
    <definedName name="Z_91923F83_3A6B_4204_9891_178562AB34F1_.wvu.PrintArea" localSheetId="11" hidden="1">Пр.5!$A$1:$F$1059</definedName>
    <definedName name="Z_91923F83_3A6B_4204_9891_178562AB34F1_.wvu.Rows" localSheetId="1" hidden="1">Пр.2!$23:$23</definedName>
    <definedName name="Z_91923F83_3A6B_4204_9891_178562AB34F1_.wvu.Rows" localSheetId="2" hidden="1">Пр.3!#REF!,Пр.3!#REF!</definedName>
    <definedName name="Z_A5E41FC9_89B1_40D2_B587_57BC4C5E4715_.wvu.Cols" localSheetId="1" hidden="1">Пр.2!#REF!</definedName>
    <definedName name="Z_A5E41FC9_89B1_40D2_B587_57BC4C5E4715_.wvu.Cols" localSheetId="2" hidden="1">Пр.3!#REF!</definedName>
    <definedName name="Z_A5E41FC9_89B1_40D2_B587_57BC4C5E4715_.wvu.FilterData" localSheetId="11" hidden="1">Пр.5!$A$9:$F$1059</definedName>
    <definedName name="Z_A5E41FC9_89B1_40D2_B587_57BC4C5E4715_.wvu.PrintArea" localSheetId="0" hidden="1">Пр.1!$A$1:$I$171</definedName>
    <definedName name="Z_A5E41FC9_89B1_40D2_B587_57BC4C5E4715_.wvu.PrintArea" localSheetId="1" hidden="1">Пр.2!$A$1:$B$120</definedName>
    <definedName name="Z_A5E41FC9_89B1_40D2_B587_57BC4C5E4715_.wvu.PrintArea" localSheetId="11" hidden="1">Пр.5!$A$1:$F$1059</definedName>
    <definedName name="Z_A5E41FC9_89B1_40D2_B587_57BC4C5E4715_.wvu.Rows" localSheetId="1" hidden="1">Пр.2!$23:$23</definedName>
    <definedName name="Z_A5E41FC9_89B1_40D2_B587_57BC4C5E4715_.wvu.Rows" localSheetId="2" hidden="1">Пр.3!#REF!,Пр.3!#REF!</definedName>
    <definedName name="Z_B3311466_F005_49F1_A579_3E6CECE305A8_.wvu.Cols" localSheetId="1" hidden="1">Пр.2!#REF!</definedName>
    <definedName name="Z_B3311466_F005_49F1_A579_3E6CECE305A8_.wvu.Cols" localSheetId="2" hidden="1">Пр.3!#REF!</definedName>
    <definedName name="Z_B3311466_F005_49F1_A579_3E6CECE305A8_.wvu.FilterData" localSheetId="11" hidden="1">Пр.5!$A$9:$F$1059</definedName>
    <definedName name="Z_B3311466_F005_49F1_A579_3E6CECE305A8_.wvu.PrintArea" localSheetId="0" hidden="1">Пр.1!$A$1:$I$171</definedName>
    <definedName name="Z_B3311466_F005_49F1_A579_3E6CECE305A8_.wvu.PrintArea" localSheetId="1" hidden="1">Пр.2!$A$1:$B$120</definedName>
    <definedName name="Z_B3311466_F005_49F1_A579_3E6CECE305A8_.wvu.PrintArea" localSheetId="11" hidden="1">Пр.5!$A$1:$F$1059</definedName>
    <definedName name="Z_B3311466_F005_49F1_A579_3E6CECE305A8_.wvu.Rows" localSheetId="1" hidden="1">Пр.2!$23:$23</definedName>
    <definedName name="Z_B3311466_F005_49F1_A579_3E6CECE305A8_.wvu.Rows" localSheetId="2" hidden="1">Пр.3!#REF!,Пр.3!#REF!</definedName>
    <definedName name="Z_E51CBA0A_8A1C_44BF_813B_86B1F7C678D3_.wvu.FilterData" localSheetId="11" hidden="1">Пр.5!$A$9:$F$1059</definedName>
    <definedName name="Z_E5662E33_D4B0_43EA_9B06_C8DA9DFDBEF6_.wvu.Cols" localSheetId="1" hidden="1">Пр.2!#REF!</definedName>
    <definedName name="Z_E5662E33_D4B0_43EA_9B06_C8DA9DFDBEF6_.wvu.Cols" localSheetId="2" hidden="1">Пр.3!#REF!</definedName>
    <definedName name="Z_E5662E33_D4B0_43EA_9B06_C8DA9DFDBEF6_.wvu.FilterData" localSheetId="11" hidden="1">Пр.5!$A$9:$F$1059</definedName>
    <definedName name="Z_E5662E33_D4B0_43EA_9B06_C8DA9DFDBEF6_.wvu.PrintArea" localSheetId="0" hidden="1">Пр.1!$A$1:$I$171</definedName>
    <definedName name="Z_E5662E33_D4B0_43EA_9B06_C8DA9DFDBEF6_.wvu.PrintArea" localSheetId="1" hidden="1">Пр.2!$A$1:$B$120</definedName>
    <definedName name="Z_E5662E33_D4B0_43EA_9B06_C8DA9DFDBEF6_.wvu.PrintArea" localSheetId="2" hidden="1">Пр.3!$A$1:$B$23</definedName>
    <definedName name="Z_E5662E33_D4B0_43EA_9B06_C8DA9DFDBEF6_.wvu.PrintArea" localSheetId="11" hidden="1">Пр.5!$A$1:$F$1059</definedName>
    <definedName name="Z_E5662E33_D4B0_43EA_9B06_C8DA9DFDBEF6_.wvu.Rows" localSheetId="1" hidden="1">Пр.2!$23:$23</definedName>
    <definedName name="Z_E5662E33_D4B0_43EA_9B06_C8DA9DFDBEF6_.wvu.Rows" localSheetId="2" hidden="1">Пр.3!#REF!,Пр.3!#REF!</definedName>
    <definedName name="Z_F3607253_7816_4CF7_9CFD_2ADFFAD916F8_.wvu.Cols" localSheetId="1" hidden="1">Пр.2!#REF!</definedName>
    <definedName name="Z_F3607253_7816_4CF7_9CFD_2ADFFAD916F8_.wvu.Cols" localSheetId="2" hidden="1">Пр.3!#REF!</definedName>
    <definedName name="Z_F3607253_7816_4CF7_9CFD_2ADFFAD916F8_.wvu.FilterData" localSheetId="11" hidden="1">Пр.5!$A$9:$F$1059</definedName>
    <definedName name="Z_F3607253_7816_4CF7_9CFD_2ADFFAD916F8_.wvu.PrintArea" localSheetId="0" hidden="1">Пр.1!$A$1:$I$171</definedName>
    <definedName name="Z_F3607253_7816_4CF7_9CFD_2ADFFAD916F8_.wvu.PrintArea" localSheetId="1" hidden="1">Пр.2!$A$1:$B$120</definedName>
    <definedName name="Z_F3607253_7816_4CF7_9CFD_2ADFFAD916F8_.wvu.PrintArea" localSheetId="11" hidden="1">Пр.5!$A$1:$F$1059</definedName>
    <definedName name="Z_F3607253_7816_4CF7_9CFD_2ADFFAD916F8_.wvu.Rows" localSheetId="1" hidden="1">Пр.2!$23:$23</definedName>
    <definedName name="Z_F3607253_7816_4CF7_9CFD_2ADFFAD916F8_.wvu.Rows" localSheetId="2" hidden="1">Пр.3!#REF!,Пр.3!#REF!</definedName>
    <definedName name="_xlnm.Print_Area" localSheetId="27">КВР!$A$1820:$B$1930</definedName>
    <definedName name="_xlnm.Print_Area" localSheetId="26">КВСР!$A$1000:$B$1167</definedName>
    <definedName name="_xlnm.Print_Area" localSheetId="44">КФСР!$A$1:$B$1501</definedName>
    <definedName name="_xlnm.Print_Area" localSheetId="45">КЦСР!$A$2036:$B$3485</definedName>
    <definedName name="_xlnm.Print_Area" localSheetId="64">Лист12!$A$1:$C$39</definedName>
    <definedName name="_xlnm.Print_Area" localSheetId="0">Пр.1!$A$1:$M$171</definedName>
    <definedName name="_xlnm.Print_Area" localSheetId="49">Пр.13!$A$1:$G$79</definedName>
    <definedName name="_xlnm.Print_Area" localSheetId="50">Пр.14!$A$1:$G$27</definedName>
    <definedName name="_xlnm.Print_Area" localSheetId="52">Пр.16!$A$1:$D$23</definedName>
    <definedName name="_xlnm.Print_Area" localSheetId="41">Пр.18!$A$1:$E$20</definedName>
    <definedName name="_xlnm.Print_Area" localSheetId="1">Пр.2!$A$1:$F$122</definedName>
    <definedName name="_xlnm.Print_Area" localSheetId="2">Пр.3!$A$1:$F$26</definedName>
    <definedName name="_xlnm.Print_Area" localSheetId="11">Пр.5!$A$1:$J$1108</definedName>
    <definedName name="_xlnm.Print_Area" localSheetId="3">Пр.7!$A$1:$E$45</definedName>
    <definedName name="_xlnm.Print_Area" localSheetId="57">Пр.8!$A$1:$H$86</definedName>
    <definedName name="_xlnm.Print_Area" localSheetId="13">Пр_15!$A$1:$D$14</definedName>
    <definedName name="_xlnm.Print_Area" localSheetId="14">Пр_16!$A$1:$E$15</definedName>
    <definedName name="_xlnm.Print_Area" localSheetId="18">Пр_18!$A$1:$D$31</definedName>
    <definedName name="_xlnm.Print_Area" localSheetId="21">Пр_20!$A$1:$E$24</definedName>
    <definedName name="_xlnm.Print_Area" localSheetId="24">Пр_23!$A$1:$D$17</definedName>
    <definedName name="_xlnm.Print_Area" localSheetId="4">Пр_9!$A$1:$C$171</definedName>
    <definedName name="_xlnm.Print_Area" localSheetId="12">Пр12_!$A$1:$I$52</definedName>
    <definedName name="_xlnm.Print_Area" localSheetId="16">Пр6!$A$1:$G$131</definedName>
    <definedName name="_xlnm.Print_Area" localSheetId="6">Пр8!$A$1:$E$47</definedName>
    <definedName name="_xlnm.Print_Area" localSheetId="7">Пр9!$A$1:$C$170</definedName>
  </definedNames>
  <calcPr calcId="125725"/>
  <customWorkbookViews>
    <customWorkbookView name="Шипина - Личное представление" guid="{91923F83-3A6B-4204-9891-178562AB34F1}" mergeInterval="0" personalView="1" maximized="1" windowWidth="796" windowHeight="435" tabRatio="740" activeSheetId="1"/>
    <customWorkbookView name="Елаева - Личное представление" guid="{66DBF0AC-E9A0-482F-9E41-1928B6CA83DC}" mergeInterval="0" personalView="1" maximized="1" windowWidth="1020" windowHeight="603" tabRatio="740" activeSheetId="1"/>
    <customWorkbookView name="Суворова - Личное представление" guid="{A5E41FC9-89B1-40D2-B587-57BC4C5E4715}" mergeInterval="0" personalView="1" maximized="1" windowWidth="796" windowHeight="435" tabRatio="740" activeSheetId="5"/>
    <customWorkbookView name="User - Личное представление" guid="{F3607253-7816-4CF7-9CFD-2ADFFAD916F8}" mergeInterval="0" personalView="1" maximized="1" windowWidth="1020" windowHeight="603" tabRatio="740" activeSheetId="2"/>
    <customWorkbookView name="Новикова - Личное представление" guid="{B3311466-F005-49F1-A579-3E6CECE305A8}" mergeInterval="0" personalView="1" maximized="1" windowWidth="1020" windowHeight="577" tabRatio="740" activeSheetId="2"/>
    <customWorkbookView name="SEC - Личное представление" guid="{E5662E33-D4B0-43EA-9B06-C8DA9DFDBEF6}" mergeInterval="0" personalView="1" maximized="1" windowWidth="1276" windowHeight="608" tabRatio="740" activeSheetId="6"/>
  </customWorkbookViews>
</workbook>
</file>

<file path=xl/calcChain.xml><?xml version="1.0" encoding="utf-8"?>
<calcChain xmlns="http://schemas.openxmlformats.org/spreadsheetml/2006/main">
  <c r="D45" i="83"/>
  <c r="B22"/>
  <c r="B20" l="1"/>
  <c r="B17"/>
  <c r="H84" i="73"/>
  <c r="H79"/>
  <c r="H74"/>
  <c r="H68"/>
  <c r="H62"/>
  <c r="H57"/>
  <c r="H48"/>
  <c r="H37"/>
  <c r="H31"/>
  <c r="H26"/>
  <c r="H21"/>
  <c r="H13"/>
  <c r="B14" i="79"/>
  <c r="B13"/>
  <c r="B12"/>
  <c r="F17" i="78"/>
  <c r="F120" i="2"/>
  <c r="F119"/>
  <c r="F116"/>
  <c r="F113"/>
  <c r="F112"/>
  <c r="F110"/>
  <c r="F108"/>
  <c r="F107"/>
  <c r="F106"/>
  <c r="F101"/>
  <c r="F95"/>
  <c r="F94"/>
  <c r="F93"/>
  <c r="F92"/>
  <c r="F91"/>
  <c r="F90"/>
  <c r="F89"/>
  <c r="F88"/>
  <c r="F87"/>
  <c r="F84"/>
  <c r="F83"/>
  <c r="F79"/>
  <c r="F77"/>
  <c r="F76"/>
  <c r="F75"/>
  <c r="F74"/>
  <c r="F69"/>
  <c r="F68"/>
  <c r="F67"/>
  <c r="F66"/>
  <c r="F63"/>
  <c r="F57"/>
  <c r="F56"/>
  <c r="F53"/>
  <c r="F50"/>
  <c r="F49"/>
  <c r="F47"/>
  <c r="F44"/>
  <c r="F43"/>
  <c r="F42"/>
  <c r="F41"/>
  <c r="F39"/>
  <c r="F38"/>
  <c r="F37"/>
  <c r="F36"/>
  <c r="F35"/>
  <c r="F34"/>
  <c r="F32"/>
  <c r="F31"/>
  <c r="F30"/>
  <c r="F29"/>
  <c r="F28"/>
  <c r="F27"/>
  <c r="F25"/>
  <c r="F24"/>
  <c r="F21"/>
  <c r="F19"/>
  <c r="F18"/>
  <c r="F17"/>
  <c r="F12"/>
  <c r="J814" i="5"/>
  <c r="A814"/>
  <c r="A815"/>
  <c r="J111"/>
  <c r="A111"/>
  <c r="A112"/>
  <c r="E14" i="80"/>
  <c r="E22" s="1"/>
  <c r="E21"/>
  <c r="G17" i="78"/>
  <c r="H43" i="73"/>
  <c r="G15" i="44"/>
  <c r="G103"/>
  <c r="G121"/>
  <c r="J1105" i="5"/>
  <c r="J1103"/>
  <c r="J1099"/>
  <c r="J1093"/>
  <c r="J1091"/>
  <c r="J1089"/>
  <c r="J1083"/>
  <c r="J1082" s="1"/>
  <c r="J1080"/>
  <c r="J1079" s="1"/>
  <c r="J1075"/>
  <c r="J1074" s="1"/>
  <c r="J1073" s="1"/>
  <c r="J1071"/>
  <c r="J1070" s="1"/>
  <c r="J1069" s="1"/>
  <c r="J1068" s="1"/>
  <c r="J1066"/>
  <c r="J1064"/>
  <c r="J1058"/>
  <c r="J1057" s="1"/>
  <c r="J1054" s="1"/>
  <c r="J1052"/>
  <c r="J1051" s="1"/>
  <c r="J1050" s="1"/>
  <c r="J1048"/>
  <c r="J1044"/>
  <c r="J1040"/>
  <c r="J1037"/>
  <c r="J1036" s="1"/>
  <c r="J1035" s="1"/>
  <c r="J1031"/>
  <c r="J1028"/>
  <c r="J1026"/>
  <c r="J1023"/>
  <c r="J1019"/>
  <c r="J1018" s="1"/>
  <c r="G124" i="44" s="1"/>
  <c r="J1016" i="5"/>
  <c r="J1014"/>
  <c r="J1012"/>
  <c r="J1009"/>
  <c r="J1007"/>
  <c r="J1005"/>
  <c r="J1001"/>
  <c r="J1000" s="1"/>
  <c r="J999" s="1"/>
  <c r="G120" i="44" s="1"/>
  <c r="J995" i="5"/>
  <c r="J993"/>
  <c r="J990"/>
  <c r="J987"/>
  <c r="J985"/>
  <c r="J982"/>
  <c r="J981" s="1"/>
  <c r="J980" s="1"/>
  <c r="G126" i="44" s="1"/>
  <c r="J977" i="5"/>
  <c r="J976" s="1"/>
  <c r="G61" i="44" s="1"/>
  <c r="J974" i="5"/>
  <c r="J972"/>
  <c r="J970"/>
  <c r="J968"/>
  <c r="J965"/>
  <c r="J963"/>
  <c r="J961"/>
  <c r="J959"/>
  <c r="J957"/>
  <c r="J955"/>
  <c r="J951"/>
  <c r="J950" s="1"/>
  <c r="G57" i="44" s="1"/>
  <c r="J948" i="5"/>
  <c r="J945"/>
  <c r="J942"/>
  <c r="J938"/>
  <c r="J936"/>
  <c r="J933"/>
  <c r="J931"/>
  <c r="J929"/>
  <c r="J926"/>
  <c r="J923"/>
  <c r="J919"/>
  <c r="J917"/>
  <c r="J911"/>
  <c r="J909"/>
  <c r="J906"/>
  <c r="J905" s="1"/>
  <c r="G118" i="44" s="1"/>
  <c r="J903" i="5"/>
  <c r="J902" s="1"/>
  <c r="G117" i="44" s="1"/>
  <c r="J900" i="5"/>
  <c r="J899" s="1"/>
  <c r="G116" i="44" s="1"/>
  <c r="J896" i="5"/>
  <c r="J895" s="1"/>
  <c r="J894" s="1"/>
  <c r="G113" i="44" s="1"/>
  <c r="J890" i="5"/>
  <c r="J888"/>
  <c r="J886"/>
  <c r="J883"/>
  <c r="J881"/>
  <c r="J879"/>
  <c r="J877"/>
  <c r="J875"/>
  <c r="J873"/>
  <c r="J871"/>
  <c r="J869"/>
  <c r="J866"/>
  <c r="J864"/>
  <c r="J862"/>
  <c r="J858"/>
  <c r="J856"/>
  <c r="J854"/>
  <c r="J848"/>
  <c r="J847" s="1"/>
  <c r="G111" i="44" s="1"/>
  <c r="J845" i="5"/>
  <c r="J843"/>
  <c r="J840"/>
  <c r="J839" s="1"/>
  <c r="G109" i="44" s="1"/>
  <c r="J837" i="5"/>
  <c r="J836" s="1"/>
  <c r="G108" i="44" s="1"/>
  <c r="J832" i="5"/>
  <c r="J831" s="1"/>
  <c r="J830" s="1"/>
  <c r="J828"/>
  <c r="J826"/>
  <c r="J824"/>
  <c r="J820"/>
  <c r="J819" s="1"/>
  <c r="J818" s="1"/>
  <c r="J817" s="1"/>
  <c r="J812"/>
  <c r="J808"/>
  <c r="J807" s="1"/>
  <c r="J805"/>
  <c r="J803"/>
  <c r="J798"/>
  <c r="J796"/>
  <c r="J792"/>
  <c r="J791" s="1"/>
  <c r="J790" s="1"/>
  <c r="J788"/>
  <c r="J787" s="1"/>
  <c r="J786" s="1"/>
  <c r="J785" s="1"/>
  <c r="J783"/>
  <c r="J782" s="1"/>
  <c r="J781" s="1"/>
  <c r="J780" s="1"/>
  <c r="J777"/>
  <c r="J773"/>
  <c r="J769"/>
  <c r="J766"/>
  <c r="J765" s="1"/>
  <c r="J762"/>
  <c r="J761" s="1"/>
  <c r="J760" s="1"/>
  <c r="J756"/>
  <c r="J755" s="1"/>
  <c r="J754" s="1"/>
  <c r="J753" s="1"/>
  <c r="J751"/>
  <c r="J750" s="1"/>
  <c r="J749" s="1"/>
  <c r="J747"/>
  <c r="J746" s="1"/>
  <c r="J745" s="1"/>
  <c r="J744" s="1"/>
  <c r="J742"/>
  <c r="J740"/>
  <c r="J738"/>
  <c r="J736"/>
  <c r="J733"/>
  <c r="J731"/>
  <c r="J729"/>
  <c r="J727"/>
  <c r="J725"/>
  <c r="J723"/>
  <c r="J721"/>
  <c r="J719"/>
  <c r="J717"/>
  <c r="J711"/>
  <c r="J710" s="1"/>
  <c r="J709" s="1"/>
  <c r="J707"/>
  <c r="J706" s="1"/>
  <c r="J705" s="1"/>
  <c r="J703"/>
  <c r="J701"/>
  <c r="J699"/>
  <c r="J695"/>
  <c r="J693"/>
  <c r="J691"/>
  <c r="J689"/>
  <c r="J687"/>
  <c r="J685"/>
  <c r="J679"/>
  <c r="J677"/>
  <c r="J675"/>
  <c r="J669"/>
  <c r="J667" s="1"/>
  <c r="J664"/>
  <c r="J663" s="1"/>
  <c r="J658"/>
  <c r="J656"/>
  <c r="J650"/>
  <c r="J649" s="1"/>
  <c r="J648" s="1"/>
  <c r="F52" i="2" s="1"/>
  <c r="J646" i="5"/>
  <c r="J645" s="1"/>
  <c r="J644" s="1"/>
  <c r="J643" s="1"/>
  <c r="F45" i="2" s="1"/>
  <c r="J640" i="5"/>
  <c r="J638"/>
  <c r="J633"/>
  <c r="J632" s="1"/>
  <c r="G91" i="44" s="1"/>
  <c r="J628" i="5"/>
  <c r="J627" s="1"/>
  <c r="J626" s="1"/>
  <c r="F26" i="2" s="1"/>
  <c r="J624" i="5"/>
  <c r="J622"/>
  <c r="J619"/>
  <c r="J618" s="1"/>
  <c r="J616"/>
  <c r="J615" s="1"/>
  <c r="J612"/>
  <c r="J611" s="1"/>
  <c r="J610" s="1"/>
  <c r="J609" s="1"/>
  <c r="J605"/>
  <c r="J601"/>
  <c r="J594"/>
  <c r="J593" s="1"/>
  <c r="J592" s="1"/>
  <c r="J588"/>
  <c r="J586"/>
  <c r="J582"/>
  <c r="J577"/>
  <c r="J576" s="1"/>
  <c r="J575" s="1"/>
  <c r="J574" s="1"/>
  <c r="J571"/>
  <c r="J569"/>
  <c r="J565"/>
  <c r="J563"/>
  <c r="J561"/>
  <c r="J559"/>
  <c r="J557"/>
  <c r="J551"/>
  <c r="J549"/>
  <c r="J545"/>
  <c r="J542"/>
  <c r="J538"/>
  <c r="J535"/>
  <c r="J532"/>
  <c r="J529"/>
  <c r="J526"/>
  <c r="J523"/>
  <c r="J520"/>
  <c r="J518"/>
  <c r="J516"/>
  <c r="J513"/>
  <c r="J511"/>
  <c r="J508"/>
  <c r="J505"/>
  <c r="J499"/>
  <c r="J498" s="1"/>
  <c r="J497" s="1"/>
  <c r="J495"/>
  <c r="J494" s="1"/>
  <c r="J493" s="1"/>
  <c r="J488"/>
  <c r="J487" s="1"/>
  <c r="J482"/>
  <c r="J481" s="1"/>
  <c r="J480" s="1"/>
  <c r="J479" s="1"/>
  <c r="J476"/>
  <c r="J474"/>
  <c r="J469"/>
  <c r="J468" s="1"/>
  <c r="J462"/>
  <c r="J461" s="1"/>
  <c r="J460" s="1"/>
  <c r="J457"/>
  <c r="J456" s="1"/>
  <c r="J451"/>
  <c r="J448"/>
  <c r="J442"/>
  <c r="J437"/>
  <c r="J434"/>
  <c r="J431"/>
  <c r="J429"/>
  <c r="J427"/>
  <c r="J425"/>
  <c r="J419"/>
  <c r="J418" s="1"/>
  <c r="J416"/>
  <c r="J415" s="1"/>
  <c r="J414" s="1"/>
  <c r="J412"/>
  <c r="J410"/>
  <c r="J408"/>
  <c r="J406"/>
  <c r="J402"/>
  <c r="J401" s="1"/>
  <c r="J400" s="1"/>
  <c r="J398"/>
  <c r="J396" s="1"/>
  <c r="J392"/>
  <c r="J389"/>
  <c r="J384"/>
  <c r="J382"/>
  <c r="J378"/>
  <c r="J375"/>
  <c r="J373"/>
  <c r="J370"/>
  <c r="J367"/>
  <c r="J365"/>
  <c r="J359"/>
  <c r="J358"/>
  <c r="G28" i="44" s="1"/>
  <c r="J356" i="5"/>
  <c r="J354"/>
  <c r="J352"/>
  <c r="J347"/>
  <c r="J345"/>
  <c r="J341"/>
  <c r="J340" s="1"/>
  <c r="J339" s="1"/>
  <c r="J335"/>
  <c r="J332"/>
  <c r="J330"/>
  <c r="J328"/>
  <c r="J326"/>
  <c r="J320"/>
  <c r="J319" s="1"/>
  <c r="J317"/>
  <c r="J314" s="1"/>
  <c r="J312"/>
  <c r="J310" s="1"/>
  <c r="J308"/>
  <c r="J306"/>
  <c r="J304"/>
  <c r="J302"/>
  <c r="J300"/>
  <c r="J295"/>
  <c r="J294" s="1"/>
  <c r="J293" s="1"/>
  <c r="J292" s="1"/>
  <c r="J289"/>
  <c r="J288" s="1"/>
  <c r="J286"/>
  <c r="J285" s="1"/>
  <c r="J284" s="1"/>
  <c r="J283" s="1"/>
  <c r="J281"/>
  <c r="J279"/>
  <c r="J275"/>
  <c r="J268"/>
  <c r="J267" s="1"/>
  <c r="J266" s="1"/>
  <c r="J264"/>
  <c r="J262"/>
  <c r="J258"/>
  <c r="J256"/>
  <c r="J253"/>
  <c r="J251"/>
  <c r="J249"/>
  <c r="J247"/>
  <c r="J243"/>
  <c r="J240"/>
  <c r="J239" s="1"/>
  <c r="J237"/>
  <c r="J236" s="1"/>
  <c r="J231"/>
  <c r="J230" s="1"/>
  <c r="J229" s="1"/>
  <c r="J227"/>
  <c r="J225"/>
  <c r="J223"/>
  <c r="J220"/>
  <c r="J219" s="1"/>
  <c r="J217"/>
  <c r="J215"/>
  <c r="J213"/>
  <c r="J211"/>
  <c r="J207"/>
  <c r="J205"/>
  <c r="J203"/>
  <c r="J201"/>
  <c r="J195"/>
  <c r="J194" s="1"/>
  <c r="J193" s="1"/>
  <c r="F70" i="2" s="1"/>
  <c r="J191" i="5"/>
  <c r="J189"/>
  <c r="J187"/>
  <c r="J184"/>
  <c r="J183" s="1"/>
  <c r="J181"/>
  <c r="J179"/>
  <c r="J177"/>
  <c r="J173"/>
  <c r="J171"/>
  <c r="J169"/>
  <c r="J167"/>
  <c r="J161"/>
  <c r="J160"/>
  <c r="J159" s="1"/>
  <c r="J156"/>
  <c r="J154"/>
  <c r="J152"/>
  <c r="J150"/>
  <c r="J146"/>
  <c r="J144"/>
  <c r="J142"/>
  <c r="J140"/>
  <c r="J138"/>
  <c r="J135"/>
  <c r="J134" s="1"/>
  <c r="G80" i="44" s="1"/>
  <c r="J129" i="5"/>
  <c r="J128" s="1"/>
  <c r="G88" i="44" s="1"/>
  <c r="J125" i="5"/>
  <c r="J124" s="1"/>
  <c r="G87" i="44" s="1"/>
  <c r="J122" i="5"/>
  <c r="J121" s="1"/>
  <c r="G86" i="44" s="1"/>
  <c r="J119" i="5"/>
  <c r="J117"/>
  <c r="J108"/>
  <c r="J106"/>
  <c r="J104"/>
  <c r="J102"/>
  <c r="J97"/>
  <c r="J94"/>
  <c r="J91"/>
  <c r="J86"/>
  <c r="J84"/>
  <c r="J80"/>
  <c r="J78"/>
  <c r="J75"/>
  <c r="J74" s="1"/>
  <c r="J73" s="1"/>
  <c r="J71"/>
  <c r="J69"/>
  <c r="J66"/>
  <c r="J62"/>
  <c r="J61" s="1"/>
  <c r="J59"/>
  <c r="J58" s="1"/>
  <c r="J55"/>
  <c r="J54" s="1"/>
  <c r="J53" s="1"/>
  <c r="G96" i="44" s="1"/>
  <c r="J50" i="5"/>
  <c r="J48" s="1"/>
  <c r="J44"/>
  <c r="J43" s="1"/>
  <c r="J42" s="1"/>
  <c r="F20" i="2" s="1"/>
  <c r="J38" i="5"/>
  <c r="J37" s="1"/>
  <c r="J36" s="1"/>
  <c r="F16" i="2" s="1"/>
  <c r="J34" i="5"/>
  <c r="J33" s="1"/>
  <c r="J32" s="1"/>
  <c r="F14" i="2" s="1"/>
  <c r="J29" i="5"/>
  <c r="J27"/>
  <c r="J23"/>
  <c r="J19"/>
  <c r="J18" s="1"/>
  <c r="J17" s="1"/>
  <c r="J16" s="1"/>
  <c r="J13"/>
  <c r="J12" s="1"/>
  <c r="J11" s="1"/>
  <c r="F11" i="2" s="1"/>
  <c r="F24" i="6"/>
  <c r="F23" s="1"/>
  <c r="F18"/>
  <c r="F16"/>
  <c r="F13"/>
  <c r="F11"/>
  <c r="F10" s="1"/>
  <c r="F10" i="2"/>
  <c r="M119" i="1"/>
  <c r="M79"/>
  <c r="M51"/>
  <c r="M46"/>
  <c r="M37"/>
  <c r="M34"/>
  <c r="M31"/>
  <c r="M27"/>
  <c r="M25"/>
  <c r="M20"/>
  <c r="M16"/>
  <c r="M14"/>
  <c r="M12"/>
  <c r="J101" i="5" l="1"/>
  <c r="G100" i="44"/>
  <c r="G99"/>
  <c r="G51"/>
  <c r="J242" i="5"/>
  <c r="J158"/>
  <c r="H86" i="73"/>
  <c r="G106" i="44"/>
  <c r="J811" i="5"/>
  <c r="F15" i="6"/>
  <c r="G104" i="44"/>
  <c r="G38"/>
  <c r="J810" i="5"/>
  <c r="J1022"/>
  <c r="G125" i="44" s="1"/>
  <c r="G127"/>
  <c r="G114"/>
  <c r="G33"/>
  <c r="J662" i="5"/>
  <c r="J661" s="1"/>
  <c r="J660" s="1"/>
  <c r="J548"/>
  <c r="G42" i="44"/>
  <c r="J316" i="5"/>
  <c r="G105" i="44"/>
  <c r="G97"/>
  <c r="G94"/>
  <c r="J922" i="5"/>
  <c r="G53" i="44" s="1"/>
  <c r="J116" i="5"/>
  <c r="J842"/>
  <c r="G110" i="44" s="1"/>
  <c r="J200" i="5"/>
  <c r="J916"/>
  <c r="J568"/>
  <c r="J637"/>
  <c r="J668"/>
  <c r="J795"/>
  <c r="J794" s="1"/>
  <c r="F111" i="2" s="1"/>
  <c r="F109" s="1"/>
  <c r="J210" i="5"/>
  <c r="J967"/>
  <c r="G60" i="44" s="1"/>
  <c r="J992" i="5"/>
  <c r="J65"/>
  <c r="J614"/>
  <c r="J716"/>
  <c r="J261"/>
  <c r="J260" s="1"/>
  <c r="J344"/>
  <c r="J473"/>
  <c r="J467" s="1"/>
  <c r="J466" s="1"/>
  <c r="J621"/>
  <c r="J137"/>
  <c r="G81" i="44" s="1"/>
  <c r="J504" i="5"/>
  <c r="J802"/>
  <c r="J801" s="1"/>
  <c r="J377"/>
  <c r="G32" i="44" s="1"/>
  <c r="J311" i="5"/>
  <c r="J186"/>
  <c r="J364"/>
  <c r="G30" i="44" s="1"/>
  <c r="J176" i="5"/>
  <c r="J299"/>
  <c r="J298" s="1"/>
  <c r="J297" s="1"/>
  <c r="J291" s="1"/>
  <c r="J823"/>
  <c r="J853"/>
  <c r="J222"/>
  <c r="J100"/>
  <c r="F40" i="2" s="1"/>
  <c r="F33" s="1"/>
  <c r="J22" i="5"/>
  <c r="J15" s="1"/>
  <c r="F13" i="2" s="1"/>
  <c r="J166" i="5"/>
  <c r="J581"/>
  <c r="J579" s="1"/>
  <c r="J573" s="1"/>
  <c r="F102" i="2" s="1"/>
  <c r="J768" i="5"/>
  <c r="J1088"/>
  <c r="J1085" s="1"/>
  <c r="J885"/>
  <c r="J941"/>
  <c r="J635"/>
  <c r="F118" i="2" s="1"/>
  <c r="F117" s="1"/>
  <c r="J630" i="5"/>
  <c r="F115" i="2" s="1"/>
  <c r="F114" s="1"/>
  <c r="J631" i="5"/>
  <c r="J149"/>
  <c r="J405"/>
  <c r="J541"/>
  <c r="J908"/>
  <c r="J928"/>
  <c r="J984"/>
  <c r="J57"/>
  <c r="J424"/>
  <c r="J684"/>
  <c r="J1004"/>
  <c r="J1098"/>
  <c r="J1097" s="1"/>
  <c r="J1096" s="1"/>
  <c r="J351"/>
  <c r="J447"/>
  <c r="J133"/>
  <c r="G79" i="44" s="1"/>
  <c r="J556" i="5"/>
  <c r="J235"/>
  <c r="J325"/>
  <c r="J655"/>
  <c r="J674"/>
  <c r="J698"/>
  <c r="J697" s="1"/>
  <c r="J1039"/>
  <c r="J1034" s="1"/>
  <c r="F64" i="2" s="1"/>
  <c r="J77" i="5"/>
  <c r="J274"/>
  <c r="J369"/>
  <c r="J735"/>
  <c r="G21" i="44" s="1"/>
  <c r="J898" i="5"/>
  <c r="J954"/>
  <c r="G59" i="44" s="1"/>
  <c r="J1063" i="5"/>
  <c r="J1062" s="1"/>
  <c r="J1061" s="1"/>
  <c r="J1060" s="1"/>
  <c r="J861"/>
  <c r="J47"/>
  <c r="J49"/>
  <c r="G95" i="44" s="1"/>
  <c r="J598" i="5"/>
  <c r="J597" s="1"/>
  <c r="J600"/>
  <c r="J1077"/>
  <c r="J1078"/>
  <c r="J454"/>
  <c r="J455"/>
  <c r="J485"/>
  <c r="J484" s="1"/>
  <c r="F97" i="2" s="1"/>
  <c r="J486" i="5"/>
  <c r="J492"/>
  <c r="J491" s="1"/>
  <c r="F98" i="2" s="1"/>
  <c r="F65"/>
  <c r="J397" i="5"/>
  <c r="G34" i="44" s="1"/>
  <c r="J1056" i="5"/>
  <c r="J1055"/>
  <c r="F23" i="2"/>
  <c r="F86"/>
  <c r="M24" i="1"/>
  <c r="M11" s="1"/>
  <c r="M45"/>
  <c r="M44" s="1"/>
  <c r="C21" i="80"/>
  <c r="D20"/>
  <c r="D19"/>
  <c r="D14"/>
  <c r="C14"/>
  <c r="J580" i="5" l="1"/>
  <c r="F15" i="2"/>
  <c r="J234" i="5"/>
  <c r="J835"/>
  <c r="J608"/>
  <c r="G14" i="44"/>
  <c r="D21" i="80"/>
  <c r="D22" s="1"/>
  <c r="G37" i="44"/>
  <c r="G20"/>
  <c r="J1003" i="5"/>
  <c r="G123" i="44"/>
  <c r="J940" i="5"/>
  <c r="G55" i="44" s="1"/>
  <c r="G56"/>
  <c r="J921" i="5"/>
  <c r="G52" i="44" s="1"/>
  <c r="G54"/>
  <c r="J915" i="5"/>
  <c r="G49" i="44" s="1"/>
  <c r="G50"/>
  <c r="J893" i="5"/>
  <c r="G112" i="44" s="1"/>
  <c r="G115"/>
  <c r="J860" i="5"/>
  <c r="G67" i="44" s="1"/>
  <c r="G68"/>
  <c r="J852" i="5"/>
  <c r="G65" i="44" s="1"/>
  <c r="G66"/>
  <c r="J834" i="5"/>
  <c r="F54" i="2" s="1"/>
  <c r="G107" i="44"/>
  <c r="J822" i="5"/>
  <c r="G63" i="44"/>
  <c r="J764" i="5"/>
  <c r="J759" s="1"/>
  <c r="J758" s="1"/>
  <c r="F85" i="2" s="1"/>
  <c r="G22" i="44"/>
  <c r="J683" i="5"/>
  <c r="G11" i="44" s="1"/>
  <c r="G12"/>
  <c r="J672" i="5"/>
  <c r="J671" s="1"/>
  <c r="F73" i="2" s="1"/>
  <c r="G19" i="44"/>
  <c r="J673" i="5"/>
  <c r="G13" i="44"/>
  <c r="J654" i="5"/>
  <c r="G24" i="44"/>
  <c r="J636" i="5"/>
  <c r="G89" i="44" s="1"/>
  <c r="G90"/>
  <c r="J599" i="5"/>
  <c r="G92" i="44" s="1"/>
  <c r="G93"/>
  <c r="G41"/>
  <c r="J503" i="5"/>
  <c r="J502" s="1"/>
  <c r="J501" s="1"/>
  <c r="G43" i="44"/>
  <c r="J446" i="5"/>
  <c r="G36" i="44"/>
  <c r="J423" i="5"/>
  <c r="G29" i="44"/>
  <c r="J404" i="5"/>
  <c r="G46" i="44" s="1"/>
  <c r="G47"/>
  <c r="J343" i="5"/>
  <c r="G17" i="44"/>
  <c r="J324" i="5"/>
  <c r="G31" i="44"/>
  <c r="J323" i="5"/>
  <c r="J322" s="1"/>
  <c r="J315"/>
  <c r="G44" i="44" s="1"/>
  <c r="G45"/>
  <c r="J273" i="5"/>
  <c r="G27" i="44"/>
  <c r="G98"/>
  <c r="G130"/>
  <c r="J209" i="5"/>
  <c r="G76" i="44" s="1"/>
  <c r="G77"/>
  <c r="J199" i="5"/>
  <c r="G70" i="44" s="1"/>
  <c r="G71"/>
  <c r="J175" i="5"/>
  <c r="G74" i="44" s="1"/>
  <c r="G75"/>
  <c r="J165" i="5"/>
  <c r="G72" i="44" s="1"/>
  <c r="G73"/>
  <c r="J148" i="5"/>
  <c r="G82" i="44" s="1"/>
  <c r="G83"/>
  <c r="J115" i="5"/>
  <c r="G85" i="44"/>
  <c r="J64" i="5"/>
  <c r="G101" i="44" s="1"/>
  <c r="G102"/>
  <c r="G129"/>
  <c r="J953" i="5"/>
  <c r="G58" i="44" s="1"/>
  <c r="J555" i="5"/>
  <c r="J554" s="1"/>
  <c r="J553" s="1"/>
  <c r="J453"/>
  <c r="F105" i="2" s="1"/>
  <c r="J272" i="5"/>
  <c r="J715"/>
  <c r="J714" s="1"/>
  <c r="J713" s="1"/>
  <c r="F82" i="2" s="1"/>
  <c r="F81" s="1"/>
  <c r="J350" i="5"/>
  <c r="J349" s="1"/>
  <c r="J233"/>
  <c r="J1087"/>
  <c r="J1086"/>
  <c r="J422"/>
  <c r="J421" s="1"/>
  <c r="F100" i="2" s="1"/>
  <c r="J596" i="5"/>
  <c r="M171" i="1"/>
  <c r="C15" i="79"/>
  <c r="B15"/>
  <c r="E17" i="78"/>
  <c r="D17"/>
  <c r="C17"/>
  <c r="B17"/>
  <c r="L29" i="1"/>
  <c r="H804" i="5"/>
  <c r="J998" l="1"/>
  <c r="G122" i="44"/>
  <c r="J914" i="5"/>
  <c r="J892"/>
  <c r="J851"/>
  <c r="J816"/>
  <c r="F48" i="2" s="1"/>
  <c r="G62" i="44"/>
  <c r="G18"/>
  <c r="J682" i="5"/>
  <c r="J681" s="1"/>
  <c r="F78" i="2" s="1"/>
  <c r="J653" i="5"/>
  <c r="J652" s="1"/>
  <c r="G23" i="44"/>
  <c r="J478" i="5"/>
  <c r="G40" i="44"/>
  <c r="G39"/>
  <c r="J445" i="5"/>
  <c r="J444" s="1"/>
  <c r="F104" i="2" s="1"/>
  <c r="F103" s="1"/>
  <c r="G35" i="44"/>
  <c r="J338" i="5"/>
  <c r="G16" i="44"/>
  <c r="G26"/>
  <c r="J271" i="5"/>
  <c r="F72" i="2" s="1"/>
  <c r="J198" i="5"/>
  <c r="J197" s="1"/>
  <c r="F99" i="2" s="1"/>
  <c r="F96" s="1"/>
  <c r="J164" i="5"/>
  <c r="J163" s="1"/>
  <c r="J132"/>
  <c r="J131" s="1"/>
  <c r="J114"/>
  <c r="G84" i="44"/>
  <c r="J46" i="5"/>
  <c r="F22" i="2" s="1"/>
  <c r="F9" s="1"/>
  <c r="C20" i="6"/>
  <c r="C26" s="1"/>
  <c r="F60" i="2" l="1"/>
  <c r="F58"/>
  <c r="G119" i="44"/>
  <c r="J997" i="5"/>
  <c r="F62" i="2" s="1"/>
  <c r="J913" i="5"/>
  <c r="F61" i="2" s="1"/>
  <c r="G48" i="44"/>
  <c r="G64"/>
  <c r="J850" i="5"/>
  <c r="F55" i="2" s="1"/>
  <c r="J642" i="5"/>
  <c r="G10" i="44"/>
  <c r="G25"/>
  <c r="J337" i="5"/>
  <c r="G69" i="44"/>
  <c r="J113" i="5"/>
  <c r="G78" i="44"/>
  <c r="H45" i="5"/>
  <c r="I989"/>
  <c r="H987"/>
  <c r="A989"/>
  <c r="K130" i="1"/>
  <c r="H774" i="5"/>
  <c r="H770"/>
  <c r="H720"/>
  <c r="H688"/>
  <c r="H678"/>
  <c r="F59" i="2" l="1"/>
  <c r="J270" i="5"/>
  <c r="F80" i="2"/>
  <c r="F71" s="1"/>
  <c r="J10" i="5"/>
  <c r="F51" i="2"/>
  <c r="F46" s="1"/>
  <c r="J800" i="5"/>
  <c r="G128" i="44"/>
  <c r="G131" s="1"/>
  <c r="H617" i="5"/>
  <c r="H603"/>
  <c r="H612"/>
  <c r="H611" s="1"/>
  <c r="H610" s="1"/>
  <c r="H609" s="1"/>
  <c r="G612"/>
  <c r="G611" s="1"/>
  <c r="G610" s="1"/>
  <c r="G609" s="1"/>
  <c r="I613"/>
  <c r="I612" s="1"/>
  <c r="I611" s="1"/>
  <c r="I610" s="1"/>
  <c r="I609" s="1"/>
  <c r="A609"/>
  <c r="A610"/>
  <c r="A611"/>
  <c r="A612"/>
  <c r="A613"/>
  <c r="H303"/>
  <c r="H301"/>
  <c r="H277"/>
  <c r="H278"/>
  <c r="H386"/>
  <c r="H385"/>
  <c r="G648"/>
  <c r="H650"/>
  <c r="H649" s="1"/>
  <c r="I651"/>
  <c r="A648"/>
  <c r="A649"/>
  <c r="A650"/>
  <c r="A651"/>
  <c r="G67" i="73"/>
  <c r="K140" i="1"/>
  <c r="H356" i="5"/>
  <c r="I356" s="1"/>
  <c r="H354"/>
  <c r="I354" s="1"/>
  <c r="I355"/>
  <c r="I357"/>
  <c r="A356"/>
  <c r="A357"/>
  <c r="A354"/>
  <c r="A355"/>
  <c r="J1108" l="1"/>
  <c r="F121" i="2"/>
  <c r="F122" s="1"/>
  <c r="I650" i="5"/>
  <c r="I649"/>
  <c r="I648" s="1"/>
  <c r="H648"/>
  <c r="H241"/>
  <c r="H238"/>
  <c r="F20" i="6" l="1"/>
  <c r="F26" s="1"/>
  <c r="H66" i="5"/>
  <c r="I68"/>
  <c r="A68"/>
  <c r="H26"/>
  <c r="H25"/>
  <c r="H24"/>
  <c r="H695"/>
  <c r="G695"/>
  <c r="I696"/>
  <c r="I695" s="1"/>
  <c r="A695"/>
  <c r="A696"/>
  <c r="I110"/>
  <c r="I109"/>
  <c r="H108"/>
  <c r="G108"/>
  <c r="A108"/>
  <c r="A109"/>
  <c r="A110"/>
  <c r="H97"/>
  <c r="I108" l="1"/>
  <c r="H1042"/>
  <c r="K96" i="1" l="1"/>
  <c r="K95"/>
  <c r="K97"/>
  <c r="K113"/>
  <c r="H1040" i="5"/>
  <c r="A1043"/>
  <c r="I1043"/>
  <c r="A177" l="1"/>
  <c r="A178"/>
  <c r="H177"/>
  <c r="I177" s="1"/>
  <c r="I178"/>
  <c r="H945"/>
  <c r="H1037" l="1"/>
  <c r="A947"/>
  <c r="I947"/>
  <c r="A665"/>
  <c r="H664"/>
  <c r="I664" s="1"/>
  <c r="I665"/>
  <c r="H182"/>
  <c r="H144"/>
  <c r="I144" s="1"/>
  <c r="I145"/>
  <c r="A144"/>
  <c r="A145"/>
  <c r="A140"/>
  <c r="A141"/>
  <c r="H140"/>
  <c r="I141"/>
  <c r="I140" s="1"/>
  <c r="K168" i="1"/>
  <c r="K123"/>
  <c r="K116"/>
  <c r="K115"/>
  <c r="K101"/>
  <c r="K99"/>
  <c r="K86"/>
  <c r="K80"/>
  <c r="H125" i="5"/>
  <c r="I125" s="1"/>
  <c r="I126"/>
  <c r="I127"/>
  <c r="A127"/>
  <c r="H129"/>
  <c r="L161" i="1"/>
  <c r="K51"/>
  <c r="L78"/>
  <c r="L160"/>
  <c r="H102" i="5"/>
  <c r="E86" i="73"/>
  <c r="L118" i="1"/>
  <c r="I517" i="5"/>
  <c r="I519"/>
  <c r="H520"/>
  <c r="A520"/>
  <c r="A521"/>
  <c r="A522"/>
  <c r="C62" i="2"/>
  <c r="K79" i="1" l="1"/>
  <c r="I520" i="5"/>
  <c r="I147" l="1"/>
  <c r="H146"/>
  <c r="I146" s="1"/>
  <c r="A146"/>
  <c r="A147"/>
  <c r="H295"/>
  <c r="H294" s="1"/>
  <c r="H293" s="1"/>
  <c r="H292" s="1"/>
  <c r="I296"/>
  <c r="I295" s="1"/>
  <c r="I294" s="1"/>
  <c r="I293" s="1"/>
  <c r="I292" s="1"/>
  <c r="A292"/>
  <c r="A293"/>
  <c r="A294"/>
  <c r="A295"/>
  <c r="A296"/>
  <c r="I103"/>
  <c r="I102" l="1"/>
  <c r="A102"/>
  <c r="A103"/>
  <c r="K27" i="1"/>
  <c r="L27" s="1"/>
  <c r="H917" i="5"/>
  <c r="I659"/>
  <c r="H658"/>
  <c r="I658" s="1"/>
  <c r="A658"/>
  <c r="A659"/>
  <c r="I143"/>
  <c r="H142"/>
  <c r="I142" s="1"/>
  <c r="A142"/>
  <c r="A143"/>
  <c r="L149" i="1"/>
  <c r="L74"/>
  <c r="H911" i="5" l="1"/>
  <c r="I911" s="1"/>
  <c r="A911"/>
  <c r="A912"/>
  <c r="I912"/>
  <c r="H184" l="1"/>
  <c r="H183" s="1"/>
  <c r="A183"/>
  <c r="A184"/>
  <c r="A185"/>
  <c r="I185"/>
  <c r="I184" l="1"/>
  <c r="I183"/>
  <c r="I743" l="1"/>
  <c r="H742"/>
  <c r="A742"/>
  <c r="A743"/>
  <c r="H740"/>
  <c r="I740" s="1"/>
  <c r="A738"/>
  <c r="A739"/>
  <c r="A740"/>
  <c r="A741"/>
  <c r="H738"/>
  <c r="I738" s="1"/>
  <c r="I739"/>
  <c r="I741"/>
  <c r="I728"/>
  <c r="I730"/>
  <c r="H729"/>
  <c r="H727"/>
  <c r="A727"/>
  <c r="A728"/>
  <c r="A729"/>
  <c r="A730"/>
  <c r="A731"/>
  <c r="H703"/>
  <c r="H701"/>
  <c r="A701"/>
  <c r="A702"/>
  <c r="A703"/>
  <c r="A704"/>
  <c r="I704"/>
  <c r="I703" s="1"/>
  <c r="I702"/>
  <c r="I701" s="1"/>
  <c r="H410"/>
  <c r="I410" s="1"/>
  <c r="H412"/>
  <c r="I412" s="1"/>
  <c r="I411"/>
  <c r="I413"/>
  <c r="A410"/>
  <c r="A411"/>
  <c r="H408"/>
  <c r="I409"/>
  <c r="I408" s="1"/>
  <c r="I727" l="1"/>
  <c r="I729"/>
  <c r="I742"/>
  <c r="A408"/>
  <c r="A409"/>
  <c r="A412"/>
  <c r="A413"/>
  <c r="I278"/>
  <c r="A278"/>
  <c r="H275"/>
  <c r="I276"/>
  <c r="A276"/>
  <c r="A71"/>
  <c r="A72"/>
  <c r="H71"/>
  <c r="I72"/>
  <c r="I71" s="1"/>
  <c r="E21" i="74"/>
  <c r="D21"/>
  <c r="L58" i="1"/>
  <c r="H883" i="5"/>
  <c r="L51" i="1"/>
  <c r="K119"/>
  <c r="L77"/>
  <c r="L165"/>
  <c r="L164"/>
  <c r="L163"/>
  <c r="L162"/>
  <c r="L69"/>
  <c r="L167"/>
  <c r="L63"/>
  <c r="L65"/>
  <c r="L54"/>
  <c r="H551" i="5"/>
  <c r="I552"/>
  <c r="I551" s="1"/>
  <c r="A551"/>
  <c r="A552"/>
  <c r="H154"/>
  <c r="I155"/>
  <c r="I154" s="1"/>
  <c r="A154"/>
  <c r="A155"/>
  <c r="F84" i="73"/>
  <c r="D84"/>
  <c r="C84"/>
  <c r="G83"/>
  <c r="G84" s="1"/>
  <c r="E34" i="74"/>
  <c r="D34"/>
  <c r="E40"/>
  <c r="D40"/>
  <c r="C40"/>
  <c r="C34"/>
  <c r="E28"/>
  <c r="D28"/>
  <c r="C28"/>
  <c r="C21"/>
  <c r="D12"/>
  <c r="C12"/>
  <c r="G11" i="73"/>
  <c r="G12"/>
  <c r="G10"/>
  <c r="G18"/>
  <c r="G19"/>
  <c r="G20"/>
  <c r="G17"/>
  <c r="F79"/>
  <c r="D79"/>
  <c r="C79"/>
  <c r="G78"/>
  <c r="G79" s="1"/>
  <c r="F74"/>
  <c r="D74"/>
  <c r="C74"/>
  <c r="G72"/>
  <c r="G74" s="1"/>
  <c r="F68"/>
  <c r="D68"/>
  <c r="C68"/>
  <c r="G66"/>
  <c r="G68" s="1"/>
  <c r="F62"/>
  <c r="D62"/>
  <c r="C62"/>
  <c r="G61"/>
  <c r="G62" s="1"/>
  <c r="F57"/>
  <c r="D57"/>
  <c r="C57"/>
  <c r="G56"/>
  <c r="G55"/>
  <c r="G54"/>
  <c r="G53"/>
  <c r="G52"/>
  <c r="F48"/>
  <c r="D48"/>
  <c r="C48"/>
  <c r="G47"/>
  <c r="G48" s="1"/>
  <c r="F43"/>
  <c r="D43"/>
  <c r="C43"/>
  <c r="G42"/>
  <c r="G41"/>
  <c r="F37"/>
  <c r="D37"/>
  <c r="C37"/>
  <c r="G36"/>
  <c r="G35"/>
  <c r="F31"/>
  <c r="D31"/>
  <c r="C31"/>
  <c r="G30"/>
  <c r="G31" s="1"/>
  <c r="F26"/>
  <c r="D26"/>
  <c r="C26"/>
  <c r="G25"/>
  <c r="G26" s="1"/>
  <c r="F21"/>
  <c r="D21"/>
  <c r="C21"/>
  <c r="F13"/>
  <c r="D13"/>
  <c r="C13"/>
  <c r="G21" l="1"/>
  <c r="G13"/>
  <c r="G43"/>
  <c r="F86"/>
  <c r="G37"/>
  <c r="D42" i="74"/>
  <c r="E42"/>
  <c r="G57" i="73"/>
  <c r="G86" l="1"/>
  <c r="A972" i="5"/>
  <c r="A973"/>
  <c r="I973"/>
  <c r="I972" s="1"/>
  <c r="H972"/>
  <c r="H963"/>
  <c r="I964"/>
  <c r="I963" s="1"/>
  <c r="A963"/>
  <c r="A964"/>
  <c r="H965"/>
  <c r="I966"/>
  <c r="I965" s="1"/>
  <c r="A965"/>
  <c r="A966"/>
  <c r="A1011"/>
  <c r="H1009"/>
  <c r="I1009" s="1"/>
  <c r="I1011"/>
  <c r="H961"/>
  <c r="I962"/>
  <c r="I961" s="1"/>
  <c r="A961"/>
  <c r="A962"/>
  <c r="A995"/>
  <c r="A996"/>
  <c r="H995"/>
  <c r="I996"/>
  <c r="I995" s="1"/>
  <c r="H990"/>
  <c r="I991"/>
  <c r="I990" s="1"/>
  <c r="A990"/>
  <c r="A991"/>
  <c r="A948"/>
  <c r="A949"/>
  <c r="H948"/>
  <c r="I949"/>
  <c r="I948" s="1"/>
  <c r="H86"/>
  <c r="I87"/>
  <c r="I88"/>
  <c r="I89"/>
  <c r="A89"/>
  <c r="H300" l="1"/>
  <c r="A765"/>
  <c r="A766"/>
  <c r="A767"/>
  <c r="H766"/>
  <c r="H765" s="1"/>
  <c r="I767"/>
  <c r="I766" s="1"/>
  <c r="I765" s="1"/>
  <c r="H1052"/>
  <c r="H1051" s="1"/>
  <c r="H1050" s="1"/>
  <c r="I1053"/>
  <c r="I1052" s="1"/>
  <c r="I1051" s="1"/>
  <c r="I1050" s="1"/>
  <c r="A1050"/>
  <c r="A1051"/>
  <c r="A1052"/>
  <c r="A1053"/>
  <c r="I353"/>
  <c r="G13" i="71"/>
  <c r="G12"/>
  <c r="G18"/>
  <c r="G17"/>
  <c r="G23"/>
  <c r="G24"/>
  <c r="G22"/>
  <c r="F25"/>
  <c r="F27" s="1"/>
  <c r="C15" i="70"/>
  <c r="H13" i="5"/>
  <c r="H12" s="1"/>
  <c r="H11" s="1"/>
  <c r="H19"/>
  <c r="H18" s="1"/>
  <c r="H17" s="1"/>
  <c r="H16" s="1"/>
  <c r="H23"/>
  <c r="H27"/>
  <c r="H29"/>
  <c r="H34"/>
  <c r="H33" s="1"/>
  <c r="H32" s="1"/>
  <c r="H38"/>
  <c r="H37" s="1"/>
  <c r="H36" s="1"/>
  <c r="H44"/>
  <c r="H43" s="1"/>
  <c r="H42" s="1"/>
  <c r="H50"/>
  <c r="H48" s="1"/>
  <c r="H55"/>
  <c r="H54" s="1"/>
  <c r="H53" s="1"/>
  <c r="H59"/>
  <c r="H58" s="1"/>
  <c r="H62"/>
  <c r="H61" s="1"/>
  <c r="H69"/>
  <c r="H75"/>
  <c r="H74" s="1"/>
  <c r="H73" s="1"/>
  <c r="H78"/>
  <c r="H80"/>
  <c r="H84"/>
  <c r="H91"/>
  <c r="H94"/>
  <c r="H104"/>
  <c r="H106"/>
  <c r="H117"/>
  <c r="H119"/>
  <c r="H122"/>
  <c r="H121" s="1"/>
  <c r="H124"/>
  <c r="H128"/>
  <c r="H135"/>
  <c r="H134" s="1"/>
  <c r="H138"/>
  <c r="H137" s="1"/>
  <c r="I137" s="1"/>
  <c r="H150"/>
  <c r="H152"/>
  <c r="H156"/>
  <c r="H160"/>
  <c r="H159" s="1"/>
  <c r="H161"/>
  <c r="H167"/>
  <c r="H169"/>
  <c r="H171"/>
  <c r="H173"/>
  <c r="H179"/>
  <c r="H181"/>
  <c r="H187"/>
  <c r="H189"/>
  <c r="H191"/>
  <c r="H195"/>
  <c r="H194" s="1"/>
  <c r="H193" s="1"/>
  <c r="H201"/>
  <c r="H203"/>
  <c r="H205"/>
  <c r="H207"/>
  <c r="H211"/>
  <c r="H213"/>
  <c r="H215"/>
  <c r="H217"/>
  <c r="H220"/>
  <c r="H219" s="1"/>
  <c r="H223"/>
  <c r="H225"/>
  <c r="H227"/>
  <c r="H231"/>
  <c r="H230" s="1"/>
  <c r="H229" s="1"/>
  <c r="H237"/>
  <c r="H236" s="1"/>
  <c r="H240"/>
  <c r="H239" s="1"/>
  <c r="H243"/>
  <c r="H247"/>
  <c r="H249"/>
  <c r="H251"/>
  <c r="H253"/>
  <c r="H256"/>
  <c r="H258"/>
  <c r="H262"/>
  <c r="H264"/>
  <c r="H268"/>
  <c r="H267" s="1"/>
  <c r="H266" s="1"/>
  <c r="H279"/>
  <c r="H281"/>
  <c r="H286"/>
  <c r="H285" s="1"/>
  <c r="H284" s="1"/>
  <c r="H283" s="1"/>
  <c r="H289"/>
  <c r="H288" s="1"/>
  <c r="H302"/>
  <c r="H304"/>
  <c r="H306"/>
  <c r="H308"/>
  <c r="H312"/>
  <c r="H311" s="1"/>
  <c r="H317"/>
  <c r="H314" s="1"/>
  <c r="H320"/>
  <c r="H319" s="1"/>
  <c r="H326"/>
  <c r="H328"/>
  <c r="H330"/>
  <c r="H332"/>
  <c r="H335"/>
  <c r="H341"/>
  <c r="H340" s="1"/>
  <c r="H339" s="1"/>
  <c r="H345"/>
  <c r="H347"/>
  <c r="H352"/>
  <c r="H351" s="1"/>
  <c r="H358"/>
  <c r="H359"/>
  <c r="H365"/>
  <c r="H367"/>
  <c r="H370"/>
  <c r="H373"/>
  <c r="H375"/>
  <c r="H378"/>
  <c r="H382"/>
  <c r="H384"/>
  <c r="H389"/>
  <c r="H392"/>
  <c r="H398"/>
  <c r="H397" s="1"/>
  <c r="H402"/>
  <c r="H401" s="1"/>
  <c r="H400" s="1"/>
  <c r="H406"/>
  <c r="H416"/>
  <c r="H415" s="1"/>
  <c r="H414" s="1"/>
  <c r="H419"/>
  <c r="H418" s="1"/>
  <c r="H425"/>
  <c r="H427"/>
  <c r="H429"/>
  <c r="H431"/>
  <c r="H434"/>
  <c r="H437"/>
  <c r="H442"/>
  <c r="H448"/>
  <c r="H451"/>
  <c r="H457"/>
  <c r="H456" s="1"/>
  <c r="H462"/>
  <c r="H461" s="1"/>
  <c r="H460" s="1"/>
  <c r="H469"/>
  <c r="H468" s="1"/>
  <c r="H474"/>
  <c r="H476"/>
  <c r="H482"/>
  <c r="H481" s="1"/>
  <c r="H480" s="1"/>
  <c r="H479" s="1"/>
  <c r="H488"/>
  <c r="H487" s="1"/>
  <c r="H486" s="1"/>
  <c r="H495"/>
  <c r="H494" s="1"/>
  <c r="H499"/>
  <c r="H498" s="1"/>
  <c r="H497" s="1"/>
  <c r="H505"/>
  <c r="H508"/>
  <c r="H511"/>
  <c r="H513"/>
  <c r="H516"/>
  <c r="I516" s="1"/>
  <c r="H518"/>
  <c r="I518" s="1"/>
  <c r="H523"/>
  <c r="H526"/>
  <c r="H529"/>
  <c r="H532"/>
  <c r="H535"/>
  <c r="H538"/>
  <c r="H542"/>
  <c r="H545"/>
  <c r="H549"/>
  <c r="H548" s="1"/>
  <c r="I548" s="1"/>
  <c r="H557"/>
  <c r="H559"/>
  <c r="H561"/>
  <c r="H563"/>
  <c r="H565"/>
  <c r="H569"/>
  <c r="H571"/>
  <c r="H577"/>
  <c r="H576" s="1"/>
  <c r="H575" s="1"/>
  <c r="H574" s="1"/>
  <c r="H582"/>
  <c r="H586"/>
  <c r="H588"/>
  <c r="H594"/>
  <c r="H593" s="1"/>
  <c r="H592" s="1"/>
  <c r="H601"/>
  <c r="H605"/>
  <c r="H616"/>
  <c r="H615" s="1"/>
  <c r="H619"/>
  <c r="H618" s="1"/>
  <c r="H622"/>
  <c r="H624"/>
  <c r="H628"/>
  <c r="H627" s="1"/>
  <c r="H626" s="1"/>
  <c r="H633"/>
  <c r="H632" s="1"/>
  <c r="H638"/>
  <c r="H640"/>
  <c r="H646"/>
  <c r="H645" s="1"/>
  <c r="H644" s="1"/>
  <c r="H643" s="1"/>
  <c r="H656"/>
  <c r="H663"/>
  <c r="H669"/>
  <c r="H668" s="1"/>
  <c r="H675"/>
  <c r="H677"/>
  <c r="H679"/>
  <c r="H685"/>
  <c r="H687"/>
  <c r="H689"/>
  <c r="H691"/>
  <c r="H693"/>
  <c r="H699"/>
  <c r="H707"/>
  <c r="H706" s="1"/>
  <c r="H705" s="1"/>
  <c r="H711"/>
  <c r="H710" s="1"/>
  <c r="H709" s="1"/>
  <c r="H717"/>
  <c r="H719"/>
  <c r="H721"/>
  <c r="H723"/>
  <c r="H725"/>
  <c r="H731"/>
  <c r="H733"/>
  <c r="H736"/>
  <c r="H735" s="1"/>
  <c r="H747"/>
  <c r="H746" s="1"/>
  <c r="H745" s="1"/>
  <c r="H744" s="1"/>
  <c r="H751"/>
  <c r="H750" s="1"/>
  <c r="H749" s="1"/>
  <c r="H756"/>
  <c r="H755" s="1"/>
  <c r="H754" s="1"/>
  <c r="H753" s="1"/>
  <c r="H762"/>
  <c r="H761" s="1"/>
  <c r="H760" s="1"/>
  <c r="H769"/>
  <c r="H773"/>
  <c r="H777"/>
  <c r="H783"/>
  <c r="H782" s="1"/>
  <c r="H781" s="1"/>
  <c r="H780" s="1"/>
  <c r="H788"/>
  <c r="H787" s="1"/>
  <c r="H786" s="1"/>
  <c r="H785" s="1"/>
  <c r="H792"/>
  <c r="H791" s="1"/>
  <c r="H790" s="1"/>
  <c r="H796"/>
  <c r="H798"/>
  <c r="H803"/>
  <c r="H805"/>
  <c r="H808"/>
  <c r="H807" s="1"/>
  <c r="H812"/>
  <c r="H811" s="1"/>
  <c r="H810" s="1"/>
  <c r="H820"/>
  <c r="H819" s="1"/>
  <c r="H818" s="1"/>
  <c r="H817" s="1"/>
  <c r="H824"/>
  <c r="H826"/>
  <c r="H828"/>
  <c r="H832"/>
  <c r="H831" s="1"/>
  <c r="H830" s="1"/>
  <c r="H837"/>
  <c r="H836" s="1"/>
  <c r="H840"/>
  <c r="H839" s="1"/>
  <c r="H843"/>
  <c r="H845"/>
  <c r="H848"/>
  <c r="H847" s="1"/>
  <c r="H854"/>
  <c r="H856"/>
  <c r="H858"/>
  <c r="H862"/>
  <c r="H864"/>
  <c r="H866"/>
  <c r="H869"/>
  <c r="H871"/>
  <c r="H873"/>
  <c r="H875"/>
  <c r="H877"/>
  <c r="H879"/>
  <c r="H881"/>
  <c r="H886"/>
  <c r="H888"/>
  <c r="H890"/>
  <c r="H896"/>
  <c r="H895" s="1"/>
  <c r="H894" s="1"/>
  <c r="H900"/>
  <c r="H899" s="1"/>
  <c r="H903"/>
  <c r="H902" s="1"/>
  <c r="H906"/>
  <c r="H905" s="1"/>
  <c r="H909"/>
  <c r="H908" s="1"/>
  <c r="H919"/>
  <c r="H923"/>
  <c r="H926"/>
  <c r="H929"/>
  <c r="H931"/>
  <c r="H933"/>
  <c r="H936"/>
  <c r="H938"/>
  <c r="H942"/>
  <c r="H951"/>
  <c r="H950" s="1"/>
  <c r="H955"/>
  <c r="H957"/>
  <c r="H959"/>
  <c r="H968"/>
  <c r="H970"/>
  <c r="H974"/>
  <c r="H977"/>
  <c r="H976" s="1"/>
  <c r="H982"/>
  <c r="H981" s="1"/>
  <c r="H980" s="1"/>
  <c r="H985"/>
  <c r="H993"/>
  <c r="H992" s="1"/>
  <c r="I992" s="1"/>
  <c r="H1001"/>
  <c r="H1000" s="1"/>
  <c r="H999" s="1"/>
  <c r="H1005"/>
  <c r="H1007"/>
  <c r="H1012"/>
  <c r="H1014"/>
  <c r="H1016"/>
  <c r="H1019"/>
  <c r="H1018" s="1"/>
  <c r="H1023"/>
  <c r="H1026"/>
  <c r="H1028"/>
  <c r="H1031"/>
  <c r="H1036"/>
  <c r="H1035" s="1"/>
  <c r="H1044"/>
  <c r="H1048"/>
  <c r="H1058"/>
  <c r="H1057" s="1"/>
  <c r="H1064"/>
  <c r="H1066"/>
  <c r="H1071"/>
  <c r="H1070" s="1"/>
  <c r="H1069" s="1"/>
  <c r="H1068" s="1"/>
  <c r="H1075"/>
  <c r="H1074" s="1"/>
  <c r="H1073" s="1"/>
  <c r="H1080"/>
  <c r="H1079" s="1"/>
  <c r="H1083"/>
  <c r="H1082" s="1"/>
  <c r="H1089"/>
  <c r="H1091"/>
  <c r="H1093"/>
  <c r="H1099"/>
  <c r="H1103"/>
  <c r="H1105"/>
  <c r="H101" l="1"/>
  <c r="H133"/>
  <c r="H176"/>
  <c r="H684"/>
  <c r="H57"/>
  <c r="H504"/>
  <c r="H655"/>
  <c r="H654" s="1"/>
  <c r="H653" s="1"/>
  <c r="H716"/>
  <c r="H715" s="1"/>
  <c r="H714" s="1"/>
  <c r="H713" s="1"/>
  <c r="H698"/>
  <c r="H697" s="1"/>
  <c r="H405"/>
  <c r="H404" s="1"/>
  <c r="H65"/>
  <c r="H64" s="1"/>
  <c r="H149"/>
  <c r="H148" s="1"/>
  <c r="H967"/>
  <c r="H954"/>
  <c r="I954" s="1"/>
  <c r="H984"/>
  <c r="I984" s="1"/>
  <c r="H795"/>
  <c r="H794" s="1"/>
  <c r="H568"/>
  <c r="H186"/>
  <c r="H158"/>
  <c r="H614"/>
  <c r="H344"/>
  <c r="H343" s="1"/>
  <c r="H338" s="1"/>
  <c r="H116"/>
  <c r="H115" s="1"/>
  <c r="H114" s="1"/>
  <c r="H113" s="1"/>
  <c r="H922"/>
  <c r="H274"/>
  <c r="H272" s="1"/>
  <c r="H271" s="1"/>
  <c r="H22"/>
  <c r="H15" s="1"/>
  <c r="H377"/>
  <c r="H1098"/>
  <c r="H1097" s="1"/>
  <c r="H1096" s="1"/>
  <c r="H823"/>
  <c r="H822" s="1"/>
  <c r="H816" s="1"/>
  <c r="H369"/>
  <c r="H242"/>
  <c r="H1078"/>
  <c r="H842"/>
  <c r="H835" s="1"/>
  <c r="H834" s="1"/>
  <c r="H581"/>
  <c r="H580" s="1"/>
  <c r="H556"/>
  <c r="H473"/>
  <c r="H467" s="1"/>
  <c r="H466" s="1"/>
  <c r="H325"/>
  <c r="H324" s="1"/>
  <c r="H175"/>
  <c r="H916"/>
  <c r="H915" s="1"/>
  <c r="H621"/>
  <c r="H261"/>
  <c r="H260" s="1"/>
  <c r="H222"/>
  <c r="H1088"/>
  <c r="H1087" s="1"/>
  <c r="H853"/>
  <c r="H852" s="1"/>
  <c r="H768"/>
  <c r="H600"/>
  <c r="H599" s="1"/>
  <c r="H541"/>
  <c r="H364"/>
  <c r="H316"/>
  <c r="H315" s="1"/>
  <c r="H299"/>
  <c r="H298" s="1"/>
  <c r="H674"/>
  <c r="H672" s="1"/>
  <c r="H671" s="1"/>
  <c r="H637"/>
  <c r="H636" s="1"/>
  <c r="H683"/>
  <c r="H235"/>
  <c r="H49"/>
  <c r="H47"/>
  <c r="H1022"/>
  <c r="H200"/>
  <c r="H199" s="1"/>
  <c r="H166"/>
  <c r="H77"/>
  <c r="H1004"/>
  <c r="H885"/>
  <c r="H447"/>
  <c r="H446" s="1"/>
  <c r="H445" s="1"/>
  <c r="H444" s="1"/>
  <c r="H210"/>
  <c r="H209" s="1"/>
  <c r="H424"/>
  <c r="H422" s="1"/>
  <c r="H421" s="1"/>
  <c r="H1063"/>
  <c r="H1062" s="1"/>
  <c r="H1061" s="1"/>
  <c r="H1060" s="1"/>
  <c r="H802"/>
  <c r="H801" s="1"/>
  <c r="H928"/>
  <c r="H861"/>
  <c r="H860" s="1"/>
  <c r="H1039"/>
  <c r="H1034" s="1"/>
  <c r="H493"/>
  <c r="H492"/>
  <c r="H491" s="1"/>
  <c r="H455"/>
  <c r="H454"/>
  <c r="H631"/>
  <c r="H630"/>
  <c r="H1056"/>
  <c r="H1055"/>
  <c r="H1054"/>
  <c r="H898"/>
  <c r="H893" s="1"/>
  <c r="H892" s="1"/>
  <c r="H662"/>
  <c r="H396"/>
  <c r="H598"/>
  <c r="H597" s="1"/>
  <c r="H1077"/>
  <c r="H667"/>
  <c r="H310"/>
  <c r="H485"/>
  <c r="H484" s="1"/>
  <c r="A167"/>
  <c r="H608" l="1"/>
  <c r="H652"/>
  <c r="H100"/>
  <c r="H165"/>
  <c r="E72" i="44" s="1"/>
  <c r="E73"/>
  <c r="H682" i="5"/>
  <c r="H681" s="1"/>
  <c r="H273"/>
  <c r="H555"/>
  <c r="H554" s="1"/>
  <c r="H553" s="1"/>
  <c r="H635"/>
  <c r="H503"/>
  <c r="H502" s="1"/>
  <c r="H501" s="1"/>
  <c r="H1003"/>
  <c r="H998" s="1"/>
  <c r="H997" s="1"/>
  <c r="H423"/>
  <c r="H132"/>
  <c r="H131" s="1"/>
  <c r="H921"/>
  <c r="H764"/>
  <c r="H759" s="1"/>
  <c r="H758" s="1"/>
  <c r="H350"/>
  <c r="H349" s="1"/>
  <c r="H337" s="1"/>
  <c r="H851"/>
  <c r="H850" s="1"/>
  <c r="H953"/>
  <c r="H1086"/>
  <c r="H579"/>
  <c r="H573" s="1"/>
  <c r="H1085"/>
  <c r="H234"/>
  <c r="H233" s="1"/>
  <c r="H297"/>
  <c r="H291" s="1"/>
  <c r="H673"/>
  <c r="H46"/>
  <c r="H323"/>
  <c r="H322" s="1"/>
  <c r="H198"/>
  <c r="H197" s="1"/>
  <c r="H453"/>
  <c r="H661"/>
  <c r="H660" s="1"/>
  <c r="A987"/>
  <c r="A988"/>
  <c r="I988"/>
  <c r="I987" s="1"/>
  <c r="I652" l="1"/>
  <c r="H642"/>
  <c r="H164"/>
  <c r="H163" s="1"/>
  <c r="H10" s="1"/>
  <c r="H596"/>
  <c r="H478"/>
  <c r="H270"/>
  <c r="A810"/>
  <c r="A811"/>
  <c r="A812"/>
  <c r="A813"/>
  <c r="I813"/>
  <c r="I812" s="1"/>
  <c r="I811" s="1"/>
  <c r="I810" s="1"/>
  <c r="I734"/>
  <c r="I733" s="1"/>
  <c r="A733"/>
  <c r="A734"/>
  <c r="D21" i="69"/>
  <c r="D22"/>
  <c r="D20"/>
  <c r="C23"/>
  <c r="D23" l="1"/>
  <c r="I625" i="5"/>
  <c r="I624" s="1"/>
  <c r="A624"/>
  <c r="A625"/>
  <c r="I595" l="1"/>
  <c r="I594" s="1"/>
  <c r="I593" s="1"/>
  <c r="I592" s="1"/>
  <c r="A592"/>
  <c r="A593"/>
  <c r="A594"/>
  <c r="A595"/>
  <c r="I483"/>
  <c r="I482" s="1"/>
  <c r="I407"/>
  <c r="I406" s="1"/>
  <c r="A404"/>
  <c r="A405"/>
  <c r="A406"/>
  <c r="A407"/>
  <c r="I352"/>
  <c r="I351" s="1"/>
  <c r="A351"/>
  <c r="A352"/>
  <c r="A353"/>
  <c r="I975"/>
  <c r="I974" s="1"/>
  <c r="A974"/>
  <c r="A975"/>
  <c r="I960"/>
  <c r="I959" s="1"/>
  <c r="A959"/>
  <c r="A960"/>
  <c r="I405" l="1"/>
  <c r="I404" s="1"/>
  <c r="A328"/>
  <c r="A329"/>
  <c r="A1012" l="1"/>
  <c r="A236"/>
  <c r="A237"/>
  <c r="A238"/>
  <c r="A235"/>
  <c r="A258"/>
  <c r="A257"/>
  <c r="I259"/>
  <c r="I258" s="1"/>
  <c r="A259"/>
  <c r="A84" l="1"/>
  <c r="A85"/>
  <c r="I51"/>
  <c r="A51"/>
  <c r="A20"/>
  <c r="I20"/>
  <c r="E25" i="71"/>
  <c r="D25"/>
  <c r="C25"/>
  <c r="E27" l="1"/>
  <c r="G25"/>
  <c r="G27" s="1"/>
  <c r="I85" i="5"/>
  <c r="I84" s="1"/>
  <c r="I825"/>
  <c r="A825"/>
  <c r="F79" i="68"/>
  <c r="D79"/>
  <c r="C79"/>
  <c r="G78"/>
  <c r="G79" s="1"/>
  <c r="A823" i="5"/>
  <c r="A824"/>
  <c r="A826"/>
  <c r="A827"/>
  <c r="A828"/>
  <c r="A830"/>
  <c r="A831"/>
  <c r="A832"/>
  <c r="A833"/>
  <c r="A829"/>
  <c r="A115" l="1"/>
  <c r="A116"/>
  <c r="A117"/>
  <c r="A118"/>
  <c r="A119"/>
  <c r="A120"/>
  <c r="A121"/>
  <c r="A122"/>
  <c r="A123"/>
  <c r="A124"/>
  <c r="A125"/>
  <c r="A126"/>
  <c r="A128"/>
  <c r="A129"/>
  <c r="A130"/>
  <c r="A131"/>
  <c r="A132"/>
  <c r="A133"/>
  <c r="A134"/>
  <c r="A135"/>
  <c r="A136"/>
  <c r="A137"/>
  <c r="A138"/>
  <c r="A139"/>
  <c r="A148"/>
  <c r="A149"/>
  <c r="A150"/>
  <c r="A151"/>
  <c r="A152"/>
  <c r="A153"/>
  <c r="A156"/>
  <c r="A157"/>
  <c r="A158"/>
  <c r="A159"/>
  <c r="A160"/>
  <c r="A161"/>
  <c r="A162"/>
  <c r="A163"/>
  <c r="A164"/>
  <c r="A165"/>
  <c r="A166"/>
  <c r="A168"/>
  <c r="A169"/>
  <c r="A170"/>
  <c r="A171"/>
  <c r="A172"/>
  <c r="A173"/>
  <c r="A174"/>
  <c r="A175"/>
  <c r="A176"/>
  <c r="A179"/>
  <c r="A180"/>
  <c r="A181"/>
  <c r="A182"/>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9"/>
  <c r="A240"/>
  <c r="A241"/>
  <c r="A242"/>
  <c r="A243"/>
  <c r="A244"/>
  <c r="A245"/>
  <c r="A246"/>
  <c r="A247"/>
  <c r="A248"/>
  <c r="A249"/>
  <c r="A250"/>
  <c r="A251"/>
  <c r="A252"/>
  <c r="A253"/>
  <c r="A254"/>
  <c r="A255"/>
  <c r="A256"/>
  <c r="A260"/>
  <c r="A261"/>
  <c r="A262"/>
  <c r="A263"/>
  <c r="A264"/>
  <c r="A265"/>
  <c r="A266"/>
  <c r="A267"/>
  <c r="A268"/>
  <c r="A269"/>
  <c r="A270"/>
  <c r="A271"/>
  <c r="A272"/>
  <c r="A273"/>
  <c r="A274"/>
  <c r="A275"/>
  <c r="A277"/>
  <c r="A279"/>
  <c r="A280"/>
  <c r="A281"/>
  <c r="A282"/>
  <c r="A283"/>
  <c r="A284"/>
  <c r="A285"/>
  <c r="A286"/>
  <c r="A287"/>
  <c r="A288"/>
  <c r="A289"/>
  <c r="A290"/>
  <c r="A291"/>
  <c r="A297"/>
  <c r="A298"/>
  <c r="A299"/>
  <c r="A300"/>
  <c r="A301"/>
  <c r="A302"/>
  <c r="A303"/>
  <c r="A304"/>
  <c r="A305"/>
  <c r="A306"/>
  <c r="A307"/>
  <c r="A308"/>
  <c r="A309"/>
  <c r="A310"/>
  <c r="A311"/>
  <c r="A312"/>
  <c r="A313"/>
  <c r="A314"/>
  <c r="A315"/>
  <c r="A316"/>
  <c r="A317"/>
  <c r="A318"/>
  <c r="A319"/>
  <c r="A320"/>
  <c r="A321"/>
  <c r="A322"/>
  <c r="A323"/>
  <c r="A324"/>
  <c r="A325"/>
  <c r="A326"/>
  <c r="A327"/>
  <c r="A330"/>
  <c r="A331"/>
  <c r="A332"/>
  <c r="A333"/>
  <c r="A334"/>
  <c r="A335"/>
  <c r="A336"/>
  <c r="A337"/>
  <c r="A338"/>
  <c r="A339"/>
  <c r="A340"/>
  <c r="A341"/>
  <c r="A342"/>
  <c r="A343"/>
  <c r="A344"/>
  <c r="A345"/>
  <c r="A346"/>
  <c r="A347"/>
  <c r="A348"/>
  <c r="A349"/>
  <c r="A350"/>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3"/>
  <c r="A524"/>
  <c r="A525"/>
  <c r="A526"/>
  <c r="A527"/>
  <c r="A528"/>
  <c r="A529"/>
  <c r="A530"/>
  <c r="A531"/>
  <c r="A532"/>
  <c r="A533"/>
  <c r="A534"/>
  <c r="A535"/>
  <c r="A536"/>
  <c r="A537"/>
  <c r="A538"/>
  <c r="A539"/>
  <c r="A540"/>
  <c r="A541"/>
  <c r="A542"/>
  <c r="A543"/>
  <c r="A544"/>
  <c r="A545"/>
  <c r="A546"/>
  <c r="A547"/>
  <c r="A548"/>
  <c r="A549"/>
  <c r="A550"/>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6"/>
  <c r="A597"/>
  <c r="A598"/>
  <c r="A599"/>
  <c r="A600"/>
  <c r="A601"/>
  <c r="A602"/>
  <c r="A603"/>
  <c r="A604"/>
  <c r="A605"/>
  <c r="A606"/>
  <c r="A607"/>
  <c r="A608"/>
  <c r="A614"/>
  <c r="A615"/>
  <c r="A616"/>
  <c r="A617"/>
  <c r="A618"/>
  <c r="A619"/>
  <c r="A620"/>
  <c r="A621"/>
  <c r="A622"/>
  <c r="A623"/>
  <c r="A626"/>
  <c r="A627"/>
  <c r="A628"/>
  <c r="A629"/>
  <c r="A630"/>
  <c r="A631"/>
  <c r="A632"/>
  <c r="A633"/>
  <c r="A634"/>
  <c r="A635"/>
  <c r="A636"/>
  <c r="A637"/>
  <c r="A638"/>
  <c r="A639"/>
  <c r="A640"/>
  <c r="A641"/>
  <c r="A642"/>
  <c r="A643"/>
  <c r="A644"/>
  <c r="A645"/>
  <c r="A646"/>
  <c r="A647"/>
  <c r="A652"/>
  <c r="A653"/>
  <c r="A654"/>
  <c r="A655"/>
  <c r="A656"/>
  <c r="A657"/>
  <c r="A660"/>
  <c r="A661"/>
  <c r="A662"/>
  <c r="A663"/>
  <c r="A664"/>
  <c r="A666"/>
  <c r="A667"/>
  <c r="A668"/>
  <c r="A669"/>
  <c r="A670"/>
  <c r="A671"/>
  <c r="A672"/>
  <c r="A673"/>
  <c r="A674"/>
  <c r="A675"/>
  <c r="A676"/>
  <c r="A677"/>
  <c r="A678"/>
  <c r="A679"/>
  <c r="A680"/>
  <c r="A681"/>
  <c r="A682"/>
  <c r="A683"/>
  <c r="A684"/>
  <c r="A685"/>
  <c r="A686"/>
  <c r="A687"/>
  <c r="A688"/>
  <c r="A689"/>
  <c r="A690"/>
  <c r="A691"/>
  <c r="A692"/>
  <c r="A693"/>
  <c r="A694"/>
  <c r="A697"/>
  <c r="A698"/>
  <c r="A699"/>
  <c r="A700"/>
  <c r="A705"/>
  <c r="A706"/>
  <c r="A707"/>
  <c r="A708"/>
  <c r="A709"/>
  <c r="A710"/>
  <c r="A711"/>
  <c r="A712"/>
  <c r="A713"/>
  <c r="A714"/>
  <c r="A715"/>
  <c r="A716"/>
  <c r="A717"/>
  <c r="A718"/>
  <c r="A719"/>
  <c r="A720"/>
  <c r="A721"/>
  <c r="A722"/>
  <c r="A723"/>
  <c r="A724"/>
  <c r="A725"/>
  <c r="A726"/>
  <c r="A732"/>
  <c r="A735"/>
  <c r="A736"/>
  <c r="A737"/>
  <c r="A744"/>
  <c r="A745"/>
  <c r="A746"/>
  <c r="A747"/>
  <c r="A748"/>
  <c r="A749"/>
  <c r="A750"/>
  <c r="A751"/>
  <c r="A752"/>
  <c r="A753"/>
  <c r="A754"/>
  <c r="A755"/>
  <c r="A756"/>
  <c r="A757"/>
  <c r="A758"/>
  <c r="A759"/>
  <c r="A760"/>
  <c r="A761"/>
  <c r="A762"/>
  <c r="A763"/>
  <c r="A764"/>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6"/>
  <c r="A817"/>
  <c r="A818"/>
  <c r="A819"/>
  <c r="A820"/>
  <c r="A821"/>
  <c r="A822"/>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3"/>
  <c r="A914"/>
  <c r="A915"/>
  <c r="A916"/>
  <c r="A917"/>
  <c r="A918"/>
  <c r="A919"/>
  <c r="A920"/>
  <c r="A921"/>
  <c r="A922"/>
  <c r="A923"/>
  <c r="A924"/>
  <c r="A925"/>
  <c r="A926"/>
  <c r="A927"/>
  <c r="A928"/>
  <c r="A929"/>
  <c r="A930"/>
  <c r="A931"/>
  <c r="A932"/>
  <c r="A933"/>
  <c r="A934"/>
  <c r="A935"/>
  <c r="A936"/>
  <c r="A937"/>
  <c r="A938"/>
  <c r="A939"/>
  <c r="A940"/>
  <c r="A941"/>
  <c r="A942"/>
  <c r="A943"/>
  <c r="A944"/>
  <c r="A945"/>
  <c r="A946"/>
  <c r="A950"/>
  <c r="A951"/>
  <c r="A952"/>
  <c r="A953"/>
  <c r="A954"/>
  <c r="A955"/>
  <c r="A956"/>
  <c r="A957"/>
  <c r="A958"/>
  <c r="A967"/>
  <c r="A968"/>
  <c r="A969"/>
  <c r="A970"/>
  <c r="A971"/>
  <c r="A976"/>
  <c r="A977"/>
  <c r="A978"/>
  <c r="A979"/>
  <c r="A980"/>
  <c r="A981"/>
  <c r="A982"/>
  <c r="A983"/>
  <c r="A984"/>
  <c r="A985"/>
  <c r="A986"/>
  <c r="A992"/>
  <c r="A993"/>
  <c r="A994"/>
  <c r="A997"/>
  <c r="A998"/>
  <c r="A999"/>
  <c r="A1000"/>
  <c r="A1001"/>
  <c r="A1002"/>
  <c r="A1003"/>
  <c r="A1004"/>
  <c r="A1005"/>
  <c r="A1006"/>
  <c r="A1007"/>
  <c r="A1008"/>
  <c r="A1009"/>
  <c r="A1010"/>
  <c r="A1013"/>
  <c r="A1014"/>
  <c r="A1015"/>
  <c r="A1016"/>
  <c r="A1017"/>
  <c r="A1018"/>
  <c r="A1019"/>
  <c r="A1020"/>
  <c r="A1021"/>
  <c r="A1022"/>
  <c r="A1023"/>
  <c r="A1024"/>
  <c r="A1025"/>
  <c r="A1026"/>
  <c r="A1027"/>
  <c r="A1028"/>
  <c r="A1029"/>
  <c r="A1030"/>
  <c r="A1031"/>
  <c r="A1032"/>
  <c r="A1033"/>
  <c r="A1034"/>
  <c r="A1035"/>
  <c r="A1036"/>
  <c r="A1037"/>
  <c r="A1038"/>
  <c r="A1039"/>
  <c r="A1040"/>
  <c r="A1041"/>
  <c r="A1042"/>
  <c r="A1044"/>
  <c r="A1045"/>
  <c r="A1046"/>
  <c r="A1047"/>
  <c r="A1048"/>
  <c r="A1049"/>
  <c r="A1054"/>
  <c r="A1055"/>
  <c r="A1056"/>
  <c r="A1057"/>
  <c r="A1058"/>
  <c r="A1059"/>
  <c r="A1060"/>
  <c r="A1061"/>
  <c r="A1062"/>
  <c r="A1063"/>
  <c r="A1064"/>
  <c r="A1065"/>
  <c r="A1066"/>
  <c r="A1067"/>
  <c r="A1068"/>
  <c r="A1069"/>
  <c r="A1070"/>
  <c r="A1071"/>
  <c r="A1072"/>
  <c r="A1073"/>
  <c r="A1074"/>
  <c r="A1075"/>
  <c r="A1076"/>
  <c r="A1077"/>
  <c r="A1078"/>
  <c r="A1079"/>
  <c r="A1080"/>
  <c r="A1081"/>
  <c r="A1082"/>
  <c r="A1083"/>
  <c r="A1084"/>
  <c r="A1085"/>
  <c r="A1086"/>
  <c r="A1087"/>
  <c r="A1088"/>
  <c r="A1089"/>
  <c r="A1090"/>
  <c r="A1091"/>
  <c r="A1092"/>
  <c r="A1093"/>
  <c r="A1094"/>
  <c r="A1095"/>
  <c r="A1096"/>
  <c r="A1097"/>
  <c r="A1098"/>
  <c r="A1099"/>
  <c r="A1100"/>
  <c r="A1101"/>
  <c r="A1102"/>
  <c r="A1103"/>
  <c r="A1104"/>
  <c r="A1105"/>
  <c r="A1106"/>
  <c r="A1107"/>
  <c r="F68" i="68"/>
  <c r="D68"/>
  <c r="C68"/>
  <c r="G66"/>
  <c r="G68" s="1"/>
  <c r="I827" i="5"/>
  <c r="I828"/>
  <c r="I829"/>
  <c r="I226"/>
  <c r="I224"/>
  <c r="I223"/>
  <c r="I214"/>
  <c r="I213"/>
  <c r="I216"/>
  <c r="I215"/>
  <c r="I218"/>
  <c r="I217"/>
  <c r="I228"/>
  <c r="I227"/>
  <c r="I202"/>
  <c r="I201"/>
  <c r="I208"/>
  <c r="I207"/>
  <c r="I153"/>
  <c r="I152"/>
  <c r="D18" i="71"/>
  <c r="C18"/>
  <c r="I889" i="5"/>
  <c r="I888"/>
  <c r="I872"/>
  <c r="I871"/>
  <c r="I882"/>
  <c r="I881"/>
  <c r="F21" i="68"/>
  <c r="I927" i="5"/>
  <c r="I926" s="1"/>
  <c r="D13" i="71"/>
  <c r="C13"/>
  <c r="D27" l="1"/>
  <c r="I1026" i="5"/>
  <c r="I1027"/>
  <c r="I1028"/>
  <c r="I1029"/>
  <c r="I1030"/>
  <c r="I1032"/>
  <c r="I1033"/>
  <c r="I1031"/>
  <c r="I1013"/>
  <c r="I1012" s="1"/>
  <c r="I1015"/>
  <c r="I1014" s="1"/>
  <c r="I1017"/>
  <c r="I1016" s="1"/>
  <c r="F74" i="68"/>
  <c r="D74"/>
  <c r="C74"/>
  <c r="G72"/>
  <c r="G74" s="1"/>
  <c r="F62" l="1"/>
  <c r="D62"/>
  <c r="C62"/>
  <c r="G61"/>
  <c r="G62" s="1"/>
  <c r="F57"/>
  <c r="G56"/>
  <c r="D57"/>
  <c r="C57"/>
  <c r="G55"/>
  <c r="G54"/>
  <c r="G53"/>
  <c r="G52"/>
  <c r="I809" i="5"/>
  <c r="I808" s="1"/>
  <c r="I807" s="1"/>
  <c r="G57" i="68" l="1"/>
  <c r="I952" i="5"/>
  <c r="I951" s="1"/>
  <c r="I950" s="1"/>
  <c r="I932"/>
  <c r="I931" s="1"/>
  <c r="I935"/>
  <c r="I192"/>
  <c r="I191" s="1"/>
  <c r="L158" i="1" l="1"/>
  <c r="L157"/>
  <c r="L76"/>
  <c r="L57"/>
  <c r="L72"/>
  <c r="L66"/>
  <c r="L60"/>
  <c r="L56"/>
  <c r="C13" i="68"/>
  <c r="D13"/>
  <c r="C21"/>
  <c r="D21"/>
  <c r="C26"/>
  <c r="D26"/>
  <c r="C31"/>
  <c r="D31"/>
  <c r="C37"/>
  <c r="D37"/>
  <c r="C43"/>
  <c r="D43"/>
  <c r="C48"/>
  <c r="D48"/>
  <c r="K12" i="1"/>
  <c r="K14"/>
  <c r="K16"/>
  <c r="K20"/>
  <c r="K25"/>
  <c r="K31"/>
  <c r="K34"/>
  <c r="K37"/>
  <c r="K46"/>
  <c r="D38" i="44"/>
  <c r="B38"/>
  <c r="I757" i="5"/>
  <c r="I756" s="1"/>
  <c r="I755" s="1"/>
  <c r="I754" s="1"/>
  <c r="I753" s="1"/>
  <c r="K24" i="1" l="1"/>
  <c r="K11" s="1"/>
  <c r="K45"/>
  <c r="K44" s="1"/>
  <c r="G30" i="68" l="1"/>
  <c r="G31" s="1"/>
  <c r="F31"/>
  <c r="I1100" i="5"/>
  <c r="B15" i="25"/>
  <c r="I481" i="5"/>
  <c r="I480" s="1"/>
  <c r="I479" s="1"/>
  <c r="I799"/>
  <c r="I798" s="1"/>
  <c r="I724"/>
  <c r="I723" s="1"/>
  <c r="K171" i="1" l="1"/>
  <c r="L11"/>
  <c r="F13" i="68"/>
  <c r="D88" i="44" l="1"/>
  <c r="B88"/>
  <c r="E88"/>
  <c r="I130" i="5"/>
  <c r="I129" s="1"/>
  <c r="I160"/>
  <c r="I159" s="1"/>
  <c r="I806"/>
  <c r="I805" s="1"/>
  <c r="I1072"/>
  <c r="I1071" s="1"/>
  <c r="I1070" s="1"/>
  <c r="I1069" s="1"/>
  <c r="I1068" s="1"/>
  <c r="I1095"/>
  <c r="I1094"/>
  <c r="I128" l="1"/>
  <c r="F88" i="44" s="1"/>
  <c r="I1093" i="5"/>
  <c r="F48" i="68"/>
  <c r="G47"/>
  <c r="G48" s="1"/>
  <c r="F43"/>
  <c r="G42"/>
  <c r="F37"/>
  <c r="G36"/>
  <c r="G41"/>
  <c r="G35"/>
  <c r="G12"/>
  <c r="G11"/>
  <c r="L36" i="1"/>
  <c r="B126" i="44"/>
  <c r="B107"/>
  <c r="I225" i="5" l="1"/>
  <c r="I222"/>
  <c r="G37" i="68"/>
  <c r="G43"/>
  <c r="D106" i="44"/>
  <c r="B106"/>
  <c r="D15"/>
  <c r="B15"/>
  <c r="D111"/>
  <c r="I623" i="5"/>
  <c r="I622" s="1"/>
  <c r="I621" s="1"/>
  <c r="I587"/>
  <c r="I586" s="1"/>
  <c r="I585"/>
  <c r="I550"/>
  <c r="I549" s="1"/>
  <c r="I500"/>
  <c r="I499" s="1"/>
  <c r="I498" s="1"/>
  <c r="I497" s="1"/>
  <c r="I477"/>
  <c r="I476" s="1"/>
  <c r="I450"/>
  <c r="I449"/>
  <c r="I452"/>
  <c r="I451" s="1"/>
  <c r="I252"/>
  <c r="I251" s="1"/>
  <c r="I76"/>
  <c r="I75" s="1"/>
  <c r="I74" s="1"/>
  <c r="I73" s="1"/>
  <c r="A76"/>
  <c r="A73"/>
  <c r="A74"/>
  <c r="A75"/>
  <c r="I41"/>
  <c r="A41"/>
  <c r="I232"/>
  <c r="I231" s="1"/>
  <c r="I230" s="1"/>
  <c r="I229" s="1"/>
  <c r="I70"/>
  <c r="I69" s="1"/>
  <c r="A69"/>
  <c r="A70"/>
  <c r="A83"/>
  <c r="I83"/>
  <c r="I60"/>
  <c r="I59" s="1"/>
  <c r="I58" s="1"/>
  <c r="A58"/>
  <c r="A59"/>
  <c r="A60"/>
  <c r="I21"/>
  <c r="A18"/>
  <c r="A19"/>
  <c r="A16"/>
  <c r="A17"/>
  <c r="A21"/>
  <c r="I28"/>
  <c r="I27" s="1"/>
  <c r="A27"/>
  <c r="A28"/>
  <c r="I19" l="1"/>
  <c r="I18" s="1"/>
  <c r="I17" s="1"/>
  <c r="I16" s="1"/>
  <c r="D104" i="2"/>
  <c r="I448" i="5"/>
  <c r="I447" s="1"/>
  <c r="I446" s="1"/>
  <c r="I445" s="1"/>
  <c r="I444" s="1"/>
  <c r="D15" i="70" l="1"/>
  <c r="E15"/>
  <c r="C15" i="69"/>
  <c r="D12"/>
  <c r="D15" s="1"/>
  <c r="F26" i="68" l="1"/>
  <c r="F81" s="1"/>
  <c r="G25"/>
  <c r="G26" s="1"/>
  <c r="G20"/>
  <c r="G19"/>
  <c r="G18"/>
  <c r="G17"/>
  <c r="G10"/>
  <c r="G21" l="1"/>
  <c r="I969" i="5"/>
  <c r="I968" s="1"/>
  <c r="I955"/>
  <c r="I956"/>
  <c r="I944"/>
  <c r="I986"/>
  <c r="I985" s="1"/>
  <c r="I1002"/>
  <c r="I1001" s="1"/>
  <c r="I1000" s="1"/>
  <c r="I999" s="1"/>
  <c r="I1006"/>
  <c r="I1005" s="1"/>
  <c r="I1008"/>
  <c r="I1007" s="1"/>
  <c r="I1010"/>
  <c r="I1020"/>
  <c r="I1021"/>
  <c r="I1025"/>
  <c r="I1024"/>
  <c r="I994"/>
  <c r="I993" s="1"/>
  <c r="I983"/>
  <c r="I982" s="1"/>
  <c r="I981" s="1"/>
  <c r="I980" s="1"/>
  <c r="I934"/>
  <c r="I933" s="1"/>
  <c r="I937"/>
  <c r="I936" s="1"/>
  <c r="I939"/>
  <c r="I938" s="1"/>
  <c r="I920"/>
  <c r="I919" s="1"/>
  <c r="I910"/>
  <c r="I909" s="1"/>
  <c r="I908" s="1"/>
  <c r="I907"/>
  <c r="I906" s="1"/>
  <c r="I905" s="1"/>
  <c r="I904"/>
  <c r="I903" s="1"/>
  <c r="I902" s="1"/>
  <c r="I901"/>
  <c r="I900" s="1"/>
  <c r="I899" s="1"/>
  <c r="I897"/>
  <c r="I896" s="1"/>
  <c r="I895" s="1"/>
  <c r="I894" s="1"/>
  <c r="I205"/>
  <c r="I206"/>
  <c r="I670"/>
  <c r="I669" s="1"/>
  <c r="I666"/>
  <c r="I170"/>
  <c r="I169" s="1"/>
  <c r="I168"/>
  <c r="I167" s="1"/>
  <c r="I182"/>
  <c r="I181" s="1"/>
  <c r="I180"/>
  <c r="I179" s="1"/>
  <c r="I172"/>
  <c r="I171" s="1"/>
  <c r="I174"/>
  <c r="I173" s="1"/>
  <c r="G13" i="68" l="1"/>
  <c r="G81" s="1"/>
  <c r="I667" i="5"/>
  <c r="I668"/>
  <c r="I922"/>
  <c r="I662"/>
  <c r="I663"/>
  <c r="F15" i="44" s="1"/>
  <c r="E15"/>
  <c r="I564" i="5"/>
  <c r="I563" s="1"/>
  <c r="I924"/>
  <c r="I1019"/>
  <c r="I1018" s="1"/>
  <c r="I898"/>
  <c r="I893" s="1"/>
  <c r="I892"/>
  <c r="I188"/>
  <c r="I187" s="1"/>
  <c r="I190"/>
  <c r="I189" s="1"/>
  <c r="I186" l="1"/>
  <c r="I165"/>
  <c r="I661"/>
  <c r="I1004"/>
  <c r="I660"/>
  <c r="I1023"/>
  <c r="I1022" s="1"/>
  <c r="I176"/>
  <c r="L153" i="1"/>
  <c r="L151"/>
  <c r="L147"/>
  <c r="L122"/>
  <c r="L154"/>
  <c r="L152"/>
  <c r="L146"/>
  <c r="L136"/>
  <c r="L137"/>
  <c r="L155"/>
  <c r="L150"/>
  <c r="L148"/>
  <c r="L145"/>
  <c r="L142"/>
  <c r="L130"/>
  <c r="L129"/>
  <c r="L113"/>
  <c r="L111"/>
  <c r="L70"/>
  <c r="L59"/>
  <c r="L75"/>
  <c r="L62"/>
  <c r="L61"/>
  <c r="I166" i="5" l="1"/>
  <c r="I1003"/>
  <c r="I998" s="1"/>
  <c r="I997" s="1"/>
  <c r="E62" i="2" s="1"/>
  <c r="I562" i="5"/>
  <c r="I561" s="1"/>
  <c r="I849"/>
  <c r="D16" i="62"/>
  <c r="D15"/>
  <c r="D14"/>
  <c r="D13"/>
  <c r="I1084" i="5"/>
  <c r="I1082"/>
  <c r="I1081"/>
  <c r="I858"/>
  <c r="I859"/>
  <c r="I857"/>
  <c r="I856"/>
  <c r="I883"/>
  <c r="I884"/>
  <c r="I880"/>
  <c r="I879"/>
  <c r="I876"/>
  <c r="I875"/>
  <c r="I873"/>
  <c r="I874"/>
  <c r="I870"/>
  <c r="I869"/>
  <c r="I866"/>
  <c r="I868"/>
  <c r="I867"/>
  <c r="I864"/>
  <c r="I865"/>
  <c r="I846"/>
  <c r="I845"/>
  <c r="I265"/>
  <c r="I162"/>
  <c r="I646"/>
  <c r="I647"/>
  <c r="I212"/>
  <c r="I204"/>
  <c r="I107"/>
  <c r="I106"/>
  <c r="A106"/>
  <c r="A107"/>
  <c r="I105"/>
  <c r="I104"/>
  <c r="I101" s="1"/>
  <c r="A100"/>
  <c r="A101"/>
  <c r="A104"/>
  <c r="A105"/>
  <c r="I544"/>
  <c r="I90"/>
  <c r="A90"/>
  <c r="D11" i="6"/>
  <c r="D13"/>
  <c r="D16"/>
  <c r="D21" s="1"/>
  <c r="D18"/>
  <c r="D24"/>
  <c r="D23" s="1"/>
  <c r="I161" i="5" l="1"/>
  <c r="I158"/>
  <c r="I847"/>
  <c r="F111" i="44" s="1"/>
  <c r="E111"/>
  <c r="I264" i="5"/>
  <c r="I1077"/>
  <c r="I175"/>
  <c r="D10" i="6"/>
  <c r="D15"/>
  <c r="I1083" i="5"/>
  <c r="I211"/>
  <c r="I200"/>
  <c r="I209"/>
  <c r="I210"/>
  <c r="I203"/>
  <c r="I848"/>
  <c r="I1079"/>
  <c r="I1078" s="1"/>
  <c r="I1080"/>
  <c r="I979"/>
  <c r="I977"/>
  <c r="A39"/>
  <c r="I39"/>
  <c r="I1076"/>
  <c r="I1075" s="1"/>
  <c r="I1074" s="1"/>
  <c r="I1073" s="1"/>
  <c r="I1090"/>
  <c r="I1089" s="1"/>
  <c r="D45" i="2" l="1"/>
  <c r="E106" i="44"/>
  <c r="I164" i="5"/>
  <c r="I163" s="1"/>
  <c r="I198"/>
  <c r="I645"/>
  <c r="F106" i="44" s="1"/>
  <c r="D40" i="2"/>
  <c r="I199" i="5"/>
  <c r="F69" i="44" l="1"/>
  <c r="I644" i="5"/>
  <c r="I643"/>
  <c r="I100"/>
  <c r="I40"/>
  <c r="A36"/>
  <c r="A37"/>
  <c r="A38"/>
  <c r="A40"/>
  <c r="I459"/>
  <c r="I38" l="1"/>
  <c r="I37" s="1"/>
  <c r="I36" s="1"/>
  <c r="I475"/>
  <c r="I474" s="1"/>
  <c r="I473" s="1"/>
  <c r="I441"/>
  <c r="I432"/>
  <c r="I416"/>
  <c r="I151"/>
  <c r="I930" l="1"/>
  <c r="I929" s="1"/>
  <c r="I928" s="1"/>
  <c r="C17" i="62" l="1"/>
  <c r="H12" i="61"/>
  <c r="H13"/>
  <c r="H14"/>
  <c r="H15"/>
  <c r="H11"/>
  <c r="E12"/>
  <c r="E13"/>
  <c r="E14"/>
  <c r="E15"/>
  <c r="E11"/>
  <c r="G16"/>
  <c r="D16"/>
  <c r="E15" i="13"/>
  <c r="E16"/>
  <c r="E17"/>
  <c r="E19"/>
  <c r="E14"/>
  <c r="E10"/>
  <c r="D18"/>
  <c r="D11"/>
  <c r="E54" i="44"/>
  <c r="E57"/>
  <c r="E69"/>
  <c r="E70"/>
  <c r="E71"/>
  <c r="E74"/>
  <c r="E75"/>
  <c r="E76"/>
  <c r="E77"/>
  <c r="E103"/>
  <c r="E112"/>
  <c r="E113"/>
  <c r="E114"/>
  <c r="E115"/>
  <c r="E116"/>
  <c r="E117"/>
  <c r="E118"/>
  <c r="E119"/>
  <c r="E120"/>
  <c r="E121"/>
  <c r="E122"/>
  <c r="E123"/>
  <c r="E124"/>
  <c r="E125"/>
  <c r="E126"/>
  <c r="E127"/>
  <c r="F54"/>
  <c r="F57"/>
  <c r="F70"/>
  <c r="F71"/>
  <c r="F72"/>
  <c r="F73"/>
  <c r="F74"/>
  <c r="F75"/>
  <c r="F76"/>
  <c r="F77"/>
  <c r="F103"/>
  <c r="F112"/>
  <c r="F113"/>
  <c r="F114"/>
  <c r="F115"/>
  <c r="F116"/>
  <c r="F117"/>
  <c r="F118"/>
  <c r="F119"/>
  <c r="F120"/>
  <c r="F121"/>
  <c r="F122"/>
  <c r="F123"/>
  <c r="F124"/>
  <c r="F125"/>
  <c r="F126"/>
  <c r="F127"/>
  <c r="I14" i="5"/>
  <c r="I35"/>
  <c r="I45"/>
  <c r="I52"/>
  <c r="I56"/>
  <c r="I63"/>
  <c r="I67"/>
  <c r="I66" s="1"/>
  <c r="I79"/>
  <c r="I96"/>
  <c r="I118"/>
  <c r="I120"/>
  <c r="I123"/>
  <c r="I136"/>
  <c r="I139"/>
  <c r="I157"/>
  <c r="I196"/>
  <c r="I221"/>
  <c r="I238"/>
  <c r="I241"/>
  <c r="I246"/>
  <c r="I248"/>
  <c r="I250"/>
  <c r="I257"/>
  <c r="I263"/>
  <c r="I269"/>
  <c r="I280"/>
  <c r="I282"/>
  <c r="I287"/>
  <c r="I290"/>
  <c r="I305"/>
  <c r="I307"/>
  <c r="I309"/>
  <c r="I313"/>
  <c r="I327"/>
  <c r="I329"/>
  <c r="I331"/>
  <c r="I333"/>
  <c r="I334"/>
  <c r="I336"/>
  <c r="I342"/>
  <c r="I346"/>
  <c r="I348"/>
  <c r="I362"/>
  <c r="I366"/>
  <c r="I368"/>
  <c r="I371"/>
  <c r="I372"/>
  <c r="I375"/>
  <c r="I376"/>
  <c r="I383"/>
  <c r="I387"/>
  <c r="I391"/>
  <c r="I395"/>
  <c r="I399"/>
  <c r="I420"/>
  <c r="I426"/>
  <c r="I428"/>
  <c r="I430"/>
  <c r="I433"/>
  <c r="I443"/>
  <c r="I458"/>
  <c r="I463"/>
  <c r="I464"/>
  <c r="I465"/>
  <c r="I470"/>
  <c r="I472"/>
  <c r="I489"/>
  <c r="I490"/>
  <c r="I496"/>
  <c r="I506"/>
  <c r="I507"/>
  <c r="I509"/>
  <c r="I510"/>
  <c r="I512"/>
  <c r="I514"/>
  <c r="I515"/>
  <c r="I524"/>
  <c r="I525"/>
  <c r="I527"/>
  <c r="I528"/>
  <c r="I530"/>
  <c r="I531"/>
  <c r="I533"/>
  <c r="I534"/>
  <c r="I536"/>
  <c r="I537"/>
  <c r="I539"/>
  <c r="I540"/>
  <c r="I543"/>
  <c r="I546"/>
  <c r="I547"/>
  <c r="I558"/>
  <c r="I557" s="1"/>
  <c r="I560"/>
  <c r="I566"/>
  <c r="I567"/>
  <c r="I570"/>
  <c r="I572"/>
  <c r="I578"/>
  <c r="I584"/>
  <c r="I629"/>
  <c r="I634"/>
  <c r="I639"/>
  <c r="I641"/>
  <c r="I657"/>
  <c r="I676"/>
  <c r="I680"/>
  <c r="I686"/>
  <c r="I690"/>
  <c r="I692"/>
  <c r="I694"/>
  <c r="I700"/>
  <c r="I708"/>
  <c r="I712"/>
  <c r="I718"/>
  <c r="I722"/>
  <c r="I726"/>
  <c r="I732"/>
  <c r="I737"/>
  <c r="I748"/>
  <c r="I752"/>
  <c r="I763"/>
  <c r="I779"/>
  <c r="I784"/>
  <c r="I789"/>
  <c r="I793"/>
  <c r="I797"/>
  <c r="I804"/>
  <c r="I821"/>
  <c r="I826"/>
  <c r="I833"/>
  <c r="I838"/>
  <c r="I841"/>
  <c r="I844"/>
  <c r="I855"/>
  <c r="I863"/>
  <c r="I878"/>
  <c r="I887"/>
  <c r="I891"/>
  <c r="I918"/>
  <c r="I925"/>
  <c r="I943"/>
  <c r="I958"/>
  <c r="I971"/>
  <c r="I978"/>
  <c r="I1038"/>
  <c r="I1047"/>
  <c r="I1049"/>
  <c r="I1059"/>
  <c r="I1065"/>
  <c r="I1067"/>
  <c r="I1102"/>
  <c r="I1104"/>
  <c r="I1106"/>
  <c r="I1107"/>
  <c r="E61" i="44"/>
  <c r="I967" i="5"/>
  <c r="E109" i="44"/>
  <c r="E21"/>
  <c r="E46"/>
  <c r="E91"/>
  <c r="D26" i="2"/>
  <c r="E28" i="44"/>
  <c r="D60" i="2"/>
  <c r="I197" i="5"/>
  <c r="D70" i="2"/>
  <c r="E81" i="44"/>
  <c r="E80"/>
  <c r="E87"/>
  <c r="E86"/>
  <c r="E96"/>
  <c r="E94"/>
  <c r="D20" i="2"/>
  <c r="D14"/>
  <c r="E14" i="6"/>
  <c r="E17"/>
  <c r="E25"/>
  <c r="E120" i="2"/>
  <c r="E119"/>
  <c r="E116"/>
  <c r="E113"/>
  <c r="E112"/>
  <c r="E110"/>
  <c r="E108"/>
  <c r="E107"/>
  <c r="E106"/>
  <c r="E104"/>
  <c r="E101"/>
  <c r="E95"/>
  <c r="E94"/>
  <c r="E93"/>
  <c r="E92"/>
  <c r="E91"/>
  <c r="E90"/>
  <c r="E89"/>
  <c r="E88"/>
  <c r="E87"/>
  <c r="E84"/>
  <c r="E83"/>
  <c r="E79"/>
  <c r="E77"/>
  <c r="E76"/>
  <c r="E75"/>
  <c r="E74"/>
  <c r="E69"/>
  <c r="E68"/>
  <c r="E67"/>
  <c r="E66"/>
  <c r="E63"/>
  <c r="E57"/>
  <c r="E56"/>
  <c r="E53"/>
  <c r="E52"/>
  <c r="E50"/>
  <c r="E49"/>
  <c r="E47"/>
  <c r="E45"/>
  <c r="E44"/>
  <c r="E43"/>
  <c r="E42"/>
  <c r="E41"/>
  <c r="E40"/>
  <c r="E39"/>
  <c r="E38"/>
  <c r="E37"/>
  <c r="E36"/>
  <c r="E35"/>
  <c r="E34"/>
  <c r="E32"/>
  <c r="E31"/>
  <c r="E30"/>
  <c r="E29"/>
  <c r="E28"/>
  <c r="E27"/>
  <c r="E25"/>
  <c r="E24"/>
  <c r="E21"/>
  <c r="E19"/>
  <c r="E18"/>
  <c r="E17"/>
  <c r="E16"/>
  <c r="E12"/>
  <c r="D120"/>
  <c r="D119"/>
  <c r="D116"/>
  <c r="D113"/>
  <c r="D112"/>
  <c r="D101"/>
  <c r="D84"/>
  <c r="D83"/>
  <c r="D79"/>
  <c r="D77"/>
  <c r="D76"/>
  <c r="D75"/>
  <c r="D74"/>
  <c r="D63"/>
  <c r="D62"/>
  <c r="D56"/>
  <c r="D53"/>
  <c r="D52"/>
  <c r="D50"/>
  <c r="D49"/>
  <c r="D21"/>
  <c r="D17"/>
  <c r="D16"/>
  <c r="D12"/>
  <c r="D110"/>
  <c r="D108"/>
  <c r="D107"/>
  <c r="D106"/>
  <c r="D95"/>
  <c r="D94"/>
  <c r="D93"/>
  <c r="D92"/>
  <c r="D91"/>
  <c r="D90"/>
  <c r="D89"/>
  <c r="D88"/>
  <c r="D87"/>
  <c r="D69"/>
  <c r="D68"/>
  <c r="D67"/>
  <c r="D66"/>
  <c r="D57"/>
  <c r="D47"/>
  <c r="D44"/>
  <c r="D43"/>
  <c r="D42"/>
  <c r="D41"/>
  <c r="D39"/>
  <c r="D38"/>
  <c r="D37"/>
  <c r="D36"/>
  <c r="D35"/>
  <c r="D34"/>
  <c r="D32"/>
  <c r="D31"/>
  <c r="D30"/>
  <c r="D29"/>
  <c r="D28"/>
  <c r="D27"/>
  <c r="D25"/>
  <c r="D24"/>
  <c r="D19"/>
  <c r="D18"/>
  <c r="D10"/>
  <c r="E10"/>
  <c r="L13" i="1"/>
  <c r="L15"/>
  <c r="L17"/>
  <c r="L18"/>
  <c r="L19"/>
  <c r="L21"/>
  <c r="L22"/>
  <c r="L26"/>
  <c r="L28"/>
  <c r="L30"/>
  <c r="L32"/>
  <c r="L33"/>
  <c r="L35"/>
  <c r="L38"/>
  <c r="L40"/>
  <c r="L41"/>
  <c r="L42"/>
  <c r="L43"/>
  <c r="L47"/>
  <c r="L48"/>
  <c r="L49"/>
  <c r="L50"/>
  <c r="L52"/>
  <c r="L53"/>
  <c r="L55"/>
  <c r="L64"/>
  <c r="L67"/>
  <c r="L68"/>
  <c r="L71"/>
  <c r="L73"/>
  <c r="L80"/>
  <c r="L81"/>
  <c r="L82"/>
  <c r="L83"/>
  <c r="L84"/>
  <c r="L85"/>
  <c r="L86"/>
  <c r="L96"/>
  <c r="L97"/>
  <c r="L87"/>
  <c r="L88"/>
  <c r="L89"/>
  <c r="L107"/>
  <c r="L108"/>
  <c r="L109"/>
  <c r="L110"/>
  <c r="L99"/>
  <c r="L101"/>
  <c r="L102"/>
  <c r="L103"/>
  <c r="L94"/>
  <c r="L92"/>
  <c r="L95"/>
  <c r="L93"/>
  <c r="L100"/>
  <c r="L91"/>
  <c r="L98"/>
  <c r="L90"/>
  <c r="L106"/>
  <c r="L105"/>
  <c r="L112"/>
  <c r="L104"/>
  <c r="L114"/>
  <c r="L115"/>
  <c r="L116"/>
  <c r="L117"/>
  <c r="L120"/>
  <c r="L121"/>
  <c r="L123"/>
  <c r="L124"/>
  <c r="L125"/>
  <c r="L126"/>
  <c r="L127"/>
  <c r="L128"/>
  <c r="L131"/>
  <c r="L132"/>
  <c r="L133"/>
  <c r="L134"/>
  <c r="L135"/>
  <c r="L138"/>
  <c r="L139"/>
  <c r="L140"/>
  <c r="L141"/>
  <c r="L143"/>
  <c r="L144"/>
  <c r="L156"/>
  <c r="L159"/>
  <c r="L166"/>
  <c r="L168"/>
  <c r="E38" i="44" l="1"/>
  <c r="D111" i="2"/>
  <c r="D109" s="1"/>
  <c r="I801" i="5"/>
  <c r="E108" i="44"/>
  <c r="D98" i="2"/>
  <c r="D13"/>
  <c r="E60" i="44"/>
  <c r="E110"/>
  <c r="E82"/>
  <c r="I150" i="5"/>
  <c r="E104" i="44"/>
  <c r="E99"/>
  <c r="E37"/>
  <c r="E33"/>
  <c r="E66"/>
  <c r="E42"/>
  <c r="E100"/>
  <c r="E83"/>
  <c r="E63"/>
  <c r="E51"/>
  <c r="E47"/>
  <c r="E105"/>
  <c r="E97"/>
  <c r="E44"/>
  <c r="E23"/>
  <c r="E14"/>
  <c r="E45"/>
  <c r="E36"/>
  <c r="E24"/>
  <c r="E33" i="2"/>
  <c r="E34" i="44"/>
  <c r="D23" i="2"/>
  <c r="I115" i="5"/>
  <c r="E30" i="44"/>
  <c r="E130"/>
  <c r="E53"/>
  <c r="D115" i="2"/>
  <c r="D114" s="1"/>
  <c r="E32" i="44"/>
  <c r="D11" i="2"/>
  <c r="E13" i="44"/>
  <c r="E52"/>
  <c r="E95"/>
  <c r="D33" i="2"/>
  <c r="D65"/>
  <c r="D86"/>
  <c r="E86"/>
  <c r="I602" i="5"/>
  <c r="E62" i="44" l="1"/>
  <c r="D48" i="2"/>
  <c r="E107" i="44"/>
  <c r="E65"/>
  <c r="D64" i="2"/>
  <c r="E59" i="44"/>
  <c r="I953" i="5"/>
  <c r="E50" i="44"/>
  <c r="E49"/>
  <c r="E102"/>
  <c r="E101"/>
  <c r="E41"/>
  <c r="E43"/>
  <c r="E98"/>
  <c r="E35"/>
  <c r="E19"/>
  <c r="E17"/>
  <c r="D118" i="2"/>
  <c r="D117" s="1"/>
  <c r="E90" i="44"/>
  <c r="D105" i="2"/>
  <c r="D103" s="1"/>
  <c r="E85" i="44"/>
  <c r="E68"/>
  <c r="E79"/>
  <c r="E31"/>
  <c r="E12"/>
  <c r="E27"/>
  <c r="D85" i="2"/>
  <c r="E22" i="44"/>
  <c r="E92"/>
  <c r="E93"/>
  <c r="E20"/>
  <c r="E29"/>
  <c r="E89"/>
  <c r="E129"/>
  <c r="D99" i="2"/>
  <c r="D97"/>
  <c r="D15"/>
  <c r="E12" i="6"/>
  <c r="E19"/>
  <c r="B19" i="25" s="1"/>
  <c r="D43" s="1"/>
  <c r="D102" i="2" l="1"/>
  <c r="E58" i="44"/>
  <c r="D54" i="2"/>
  <c r="D82"/>
  <c r="D81" s="1"/>
  <c r="D58"/>
  <c r="D100"/>
  <c r="E26" i="44"/>
  <c r="E18"/>
  <c r="E39"/>
  <c r="E25"/>
  <c r="E40"/>
  <c r="D78" i="2"/>
  <c r="E11" i="44"/>
  <c r="E67"/>
  <c r="E84"/>
  <c r="E10"/>
  <c r="E16"/>
  <c r="D22" i="2"/>
  <c r="D9" s="1"/>
  <c r="D73"/>
  <c r="I361" i="5"/>
  <c r="I360"/>
  <c r="I363"/>
  <c r="I388"/>
  <c r="I386"/>
  <c r="I385"/>
  <c r="D96" i="2" l="1"/>
  <c r="D72"/>
  <c r="I762" i="5"/>
  <c r="E64" i="44"/>
  <c r="I747" i="5"/>
  <c r="I788"/>
  <c r="E78" i="44"/>
  <c r="I358" i="5"/>
  <c r="F28" i="44" s="1"/>
  <c r="I359" i="5"/>
  <c r="I688"/>
  <c r="I691"/>
  <c r="I776"/>
  <c r="I775"/>
  <c r="I774"/>
  <c r="I778"/>
  <c r="I772"/>
  <c r="I771"/>
  <c r="I770"/>
  <c r="I720"/>
  <c r="I678"/>
  <c r="I321"/>
  <c r="I403"/>
  <c r="I1046"/>
  <c r="I1042"/>
  <c r="I1041"/>
  <c r="I1045"/>
  <c r="I1092"/>
  <c r="I1066"/>
  <c r="I590"/>
  <c r="I589"/>
  <c r="I591"/>
  <c r="I583"/>
  <c r="I582" s="1"/>
  <c r="I571"/>
  <c r="I569"/>
  <c r="I545"/>
  <c r="I735" l="1"/>
  <c r="F21" i="44" s="1"/>
  <c r="I736" i="5"/>
  <c r="I577"/>
  <c r="D51" i="2"/>
  <c r="I787" i="5"/>
  <c r="I746"/>
  <c r="I760"/>
  <c r="I761"/>
  <c r="I707"/>
  <c r="D80" i="2"/>
  <c r="D71" s="1"/>
  <c r="D55"/>
  <c r="I773" i="5"/>
  <c r="I568"/>
  <c r="I374"/>
  <c r="I438"/>
  <c r="I440"/>
  <c r="I436"/>
  <c r="I435"/>
  <c r="I394"/>
  <c r="I393"/>
  <c r="I347"/>
  <c r="I335"/>
  <c r="I308"/>
  <c r="E18" i="13"/>
  <c r="D46" i="2" l="1"/>
  <c r="I541" i="5"/>
  <c r="F43" i="44" s="1"/>
  <c r="I542" i="5"/>
  <c r="I744"/>
  <c r="I745"/>
  <c r="I576"/>
  <c r="I439"/>
  <c r="I437"/>
  <c r="I785"/>
  <c r="I786"/>
  <c r="I705"/>
  <c r="I706"/>
  <c r="I392"/>
  <c r="I535"/>
  <c r="I532"/>
  <c r="I119"/>
  <c r="I117"/>
  <c r="I86"/>
  <c r="A86"/>
  <c r="A87"/>
  <c r="A88"/>
  <c r="I1048"/>
  <c r="I134" l="1"/>
  <c r="F80" i="44" s="1"/>
  <c r="I135" i="5"/>
  <c r="I1037"/>
  <c r="I124"/>
  <c r="F87" i="44" s="1"/>
  <c r="I195" i="5"/>
  <c r="F81" i="44"/>
  <c r="I138" i="5"/>
  <c r="I832"/>
  <c r="I839"/>
  <c r="F109" i="44" s="1"/>
  <c r="I840" i="5"/>
  <c r="I574"/>
  <c r="I575"/>
  <c r="I121"/>
  <c r="F86" i="44" s="1"/>
  <c r="I122" i="5"/>
  <c r="I842"/>
  <c r="F110" i="44" s="1"/>
  <c r="I843" i="5"/>
  <c r="I133" l="1"/>
  <c r="F79" i="44" s="1"/>
  <c r="I268" i="5"/>
  <c r="I116"/>
  <c r="F85" i="44" s="1"/>
  <c r="I830" i="5"/>
  <c r="I831"/>
  <c r="I193"/>
  <c r="E70" i="2" s="1"/>
  <c r="E65" s="1"/>
  <c r="I194" i="5"/>
  <c r="I1035"/>
  <c r="I1036"/>
  <c r="C14" i="60"/>
  <c r="E14"/>
  <c r="I303" i="5"/>
  <c r="I471"/>
  <c r="I427"/>
  <c r="I373"/>
  <c r="I370"/>
  <c r="I367"/>
  <c r="I365"/>
  <c r="I381"/>
  <c r="I380"/>
  <c r="I379"/>
  <c r="I114" l="1"/>
  <c r="F84" i="44"/>
  <c r="I402" i="5"/>
  <c r="I462"/>
  <c r="I220"/>
  <c r="I389"/>
  <c r="I390"/>
  <c r="I414"/>
  <c r="I415"/>
  <c r="I266"/>
  <c r="E60" i="2" s="1"/>
  <c r="I267" i="5"/>
  <c r="I369"/>
  <c r="I364"/>
  <c r="F30" i="44" s="1"/>
  <c r="I378" i="5"/>
  <c r="I344" l="1"/>
  <c r="I345"/>
  <c r="I341"/>
  <c r="I460"/>
  <c r="I461"/>
  <c r="I219"/>
  <c r="I400"/>
  <c r="I401"/>
  <c r="F38" i="44" s="1"/>
  <c r="I318" i="5"/>
  <c r="I1101"/>
  <c r="I1105"/>
  <c r="I301"/>
  <c r="I277"/>
  <c r="I275" s="1"/>
  <c r="F17" i="44" l="1"/>
  <c r="I339" i="5"/>
  <c r="I340"/>
  <c r="I338"/>
  <c r="I343"/>
  <c r="F16" i="44" s="1"/>
  <c r="I286" i="5" l="1"/>
  <c r="I603"/>
  <c r="I604"/>
  <c r="I607"/>
  <c r="I606"/>
  <c r="I245"/>
  <c r="I244"/>
  <c r="I255"/>
  <c r="I254"/>
  <c r="I620" l="1"/>
  <c r="I617"/>
  <c r="I285"/>
  <c r="I236"/>
  <c r="I237"/>
  <c r="I239"/>
  <c r="I240"/>
  <c r="I235"/>
  <c r="I99"/>
  <c r="I98"/>
  <c r="I95"/>
  <c r="I93"/>
  <c r="I92"/>
  <c r="A32"/>
  <c r="A33"/>
  <c r="A34"/>
  <c r="A35"/>
  <c r="I78"/>
  <c r="A78"/>
  <c r="A79"/>
  <c r="A80"/>
  <c r="I82"/>
  <c r="I81"/>
  <c r="A81"/>
  <c r="A82"/>
  <c r="A91"/>
  <c r="A49"/>
  <c r="A57"/>
  <c r="A61"/>
  <c r="A62"/>
  <c r="A63"/>
  <c r="A64"/>
  <c r="D118" i="44"/>
  <c r="D119"/>
  <c r="D120"/>
  <c r="D121"/>
  <c r="D122"/>
  <c r="D123"/>
  <c r="D124"/>
  <c r="D125"/>
  <c r="D126"/>
  <c r="D127"/>
  <c r="B118"/>
  <c r="B119"/>
  <c r="B120"/>
  <c r="B121"/>
  <c r="B122"/>
  <c r="B123"/>
  <c r="B124"/>
  <c r="B125"/>
  <c r="B127"/>
  <c r="I62" i="5" l="1"/>
  <c r="I283"/>
  <c r="I284"/>
  <c r="I618"/>
  <c r="I619"/>
  <c r="I34"/>
  <c r="I616"/>
  <c r="I80"/>
  <c r="B34" i="44"/>
  <c r="B35"/>
  <c r="B36"/>
  <c r="B37"/>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9"/>
  <c r="B90"/>
  <c r="B91"/>
  <c r="B92"/>
  <c r="B93"/>
  <c r="B94"/>
  <c r="B95"/>
  <c r="B96"/>
  <c r="B97"/>
  <c r="B98"/>
  <c r="B99"/>
  <c r="B100"/>
  <c r="B101"/>
  <c r="B102"/>
  <c r="B103"/>
  <c r="D54"/>
  <c r="D57"/>
  <c r="D69"/>
  <c r="D70"/>
  <c r="D71"/>
  <c r="D72"/>
  <c r="D73"/>
  <c r="D74"/>
  <c r="D75"/>
  <c r="D76"/>
  <c r="D77"/>
  <c r="D79"/>
  <c r="D80"/>
  <c r="D81"/>
  <c r="D84"/>
  <c r="D86"/>
  <c r="D87"/>
  <c r="D99"/>
  <c r="D100"/>
  <c r="D103"/>
  <c r="D109"/>
  <c r="D110"/>
  <c r="D112"/>
  <c r="D113"/>
  <c r="D114"/>
  <c r="D115"/>
  <c r="D116"/>
  <c r="D117"/>
  <c r="I61" i="5" l="1"/>
  <c r="I615"/>
  <c r="F99" i="44" s="1"/>
  <c r="I33" i="5"/>
  <c r="I31"/>
  <c r="I30"/>
  <c r="I24"/>
  <c r="I26"/>
  <c r="I25"/>
  <c r="L34" i="1"/>
  <c r="D13" i="60"/>
  <c r="D14" s="1"/>
  <c r="B13"/>
  <c r="B14" s="1"/>
  <c r="B13" i="59"/>
  <c r="B14"/>
  <c r="B12"/>
  <c r="F100" i="44" l="1"/>
  <c r="I57" i="5"/>
  <c r="I614"/>
  <c r="I608" s="1"/>
  <c r="C14" i="2"/>
  <c r="I32" i="5"/>
  <c r="E14" i="2" s="1"/>
  <c r="D98" i="44"/>
  <c r="I23" i="5"/>
  <c r="L39" i="1"/>
  <c r="F98" i="44" l="1"/>
  <c r="L79" i="1"/>
  <c r="E24" i="6" l="1"/>
  <c r="E18" l="1"/>
  <c r="B43" i="29" l="1"/>
  <c r="I396" i="5" l="1"/>
  <c r="I398"/>
  <c r="I397"/>
  <c r="I750" l="1"/>
  <c r="I751"/>
  <c r="D47" i="44"/>
  <c r="I711" i="5"/>
  <c r="B10" i="44"/>
  <c r="I783" i="5" l="1"/>
  <c r="I749"/>
  <c r="I709"/>
  <c r="I710"/>
  <c r="F47" i="44" s="1"/>
  <c r="I777" i="5"/>
  <c r="I721"/>
  <c r="I731"/>
  <c r="F46" i="44" l="1"/>
  <c r="I782" i="5"/>
  <c r="F34" i="44" s="1"/>
  <c r="D46"/>
  <c r="C12" i="2"/>
  <c r="I1063" i="5" l="1"/>
  <c r="I1064"/>
  <c r="I780"/>
  <c r="I781"/>
  <c r="F33" i="44" s="1"/>
  <c r="C56" i="2"/>
  <c r="I317" i="5"/>
  <c r="I442"/>
  <c r="I425"/>
  <c r="I656" l="1"/>
  <c r="I1062"/>
  <c r="I314"/>
  <c r="I316"/>
  <c r="F45" i="44" s="1"/>
  <c r="I862" i="5"/>
  <c r="I886"/>
  <c r="C15" i="59"/>
  <c r="B15"/>
  <c r="I654" i="5" l="1"/>
  <c r="F23" i="44" s="1"/>
  <c r="I655" i="5"/>
  <c r="F24" i="44" s="1"/>
  <c r="I1060" i="5"/>
  <c r="I1061"/>
  <c r="I837"/>
  <c r="D45" i="44"/>
  <c r="D44" l="1"/>
  <c r="I315" i="5"/>
  <c r="F44" i="44" s="1"/>
  <c r="I836" i="5"/>
  <c r="D108" i="44"/>
  <c r="I256" i="5"/>
  <c r="I923"/>
  <c r="A65"/>
  <c r="A66"/>
  <c r="A67"/>
  <c r="A113"/>
  <c r="I29"/>
  <c r="A31"/>
  <c r="I505"/>
  <c r="B29" i="44"/>
  <c r="B114"/>
  <c r="B115"/>
  <c r="B108"/>
  <c r="B109"/>
  <c r="B110"/>
  <c r="B27"/>
  <c r="B28"/>
  <c r="B19"/>
  <c r="B20"/>
  <c r="B13"/>
  <c r="B14"/>
  <c r="F108" l="1"/>
  <c r="I835" i="5"/>
  <c r="I65"/>
  <c r="F102" i="44" s="1"/>
  <c r="F107"/>
  <c r="D107"/>
  <c r="I917" i="5"/>
  <c r="I921"/>
  <c r="D102" i="44"/>
  <c r="I253" i="5"/>
  <c r="I605"/>
  <c r="D101" i="44" l="1"/>
  <c r="I64" i="5"/>
  <c r="F101" i="44" s="1"/>
  <c r="I915" i="5"/>
  <c r="I916"/>
  <c r="F50" i="44" s="1"/>
  <c r="D17" i="62"/>
  <c r="F16" i="61"/>
  <c r="H16" s="1"/>
  <c r="C16"/>
  <c r="E16" s="1"/>
  <c r="L25" i="1" l="1"/>
  <c r="L20"/>
  <c r="L14"/>
  <c r="L24" l="1"/>
  <c r="E15" i="6" l="1"/>
  <c r="E16"/>
  <c r="L119" i="1"/>
  <c r="L46" l="1"/>
  <c r="B19" i="54" l="1"/>
  <c r="C13"/>
  <c r="B12"/>
  <c r="B11"/>
  <c r="F59" i="44" l="1"/>
  <c r="I957" i="5"/>
  <c r="I942"/>
  <c r="D59" i="44"/>
  <c r="B13" i="54"/>
  <c r="I792" i="5"/>
  <c r="D56" i="44" l="1"/>
  <c r="D55"/>
  <c r="D50"/>
  <c r="D28"/>
  <c r="I1091" i="5"/>
  <c r="I1088" s="1"/>
  <c r="F17" i="52"/>
  <c r="G17" s="1"/>
  <c r="G16"/>
  <c r="G15"/>
  <c r="G14"/>
  <c r="G13"/>
  <c r="C17"/>
  <c r="D17" s="1"/>
  <c r="D16"/>
  <c r="D15"/>
  <c r="D14"/>
  <c r="D13"/>
  <c r="D105" i="44" l="1"/>
  <c r="I791" i="5"/>
  <c r="F105" i="44" s="1"/>
  <c r="C17" i="51"/>
  <c r="D16"/>
  <c r="D15"/>
  <c r="D14"/>
  <c r="D13"/>
  <c r="E13" i="48"/>
  <c r="E35"/>
  <c r="E36"/>
  <c r="E39"/>
  <c r="E40"/>
  <c r="E42"/>
  <c r="I823" i="5" l="1"/>
  <c r="F63" i="44" s="1"/>
  <c r="I824" i="5"/>
  <c r="D104" i="44"/>
  <c r="I790" i="5"/>
  <c r="F104" i="44" s="1"/>
  <c r="I1086" i="5"/>
  <c r="I1087"/>
  <c r="I822"/>
  <c r="F62" i="44" s="1"/>
  <c r="D63"/>
  <c r="I1085" i="5"/>
  <c r="D17" i="51"/>
  <c r="D62" i="44" l="1"/>
  <c r="I685" i="5"/>
  <c r="I717"/>
  <c r="I675"/>
  <c r="E11" i="6" l="1"/>
  <c r="I565" i="5"/>
  <c r="I538"/>
  <c r="I526"/>
  <c r="I511"/>
  <c r="I508"/>
  <c r="I488"/>
  <c r="I469" l="1"/>
  <c r="D36" i="44"/>
  <c r="I468" i="5" l="1"/>
  <c r="I91"/>
  <c r="A93"/>
  <c r="A92"/>
  <c r="A29"/>
  <c r="A30"/>
  <c r="A24"/>
  <c r="A26"/>
  <c r="F36" i="44" l="1"/>
  <c r="I467" i="5"/>
  <c r="G51" i="48"/>
  <c r="G50"/>
  <c r="F60" i="44" l="1"/>
  <c r="I970" i="5"/>
  <c r="D60" i="44"/>
  <c r="I529" i="5"/>
  <c r="I513"/>
  <c r="D61" i="44" l="1"/>
  <c r="I1044" i="5"/>
  <c r="I523"/>
  <c r="I976" l="1"/>
  <c r="F61" i="44" s="1"/>
  <c r="L45" i="1"/>
  <c r="F58" i="44" l="1"/>
  <c r="D58"/>
  <c r="D16" i="24"/>
  <c r="D15"/>
  <c r="D14"/>
  <c r="D13"/>
  <c r="I42" i="48" l="1"/>
  <c r="I40"/>
  <c r="I39"/>
  <c r="I36"/>
  <c r="I35"/>
  <c r="I28"/>
  <c r="I13"/>
  <c r="H42"/>
  <c r="H40"/>
  <c r="H39"/>
  <c r="H36"/>
  <c r="H35"/>
  <c r="H13"/>
  <c r="G42"/>
  <c r="G40"/>
  <c r="G39"/>
  <c r="G36"/>
  <c r="G35"/>
  <c r="G28"/>
  <c r="G13"/>
  <c r="F42"/>
  <c r="F40"/>
  <c r="F39"/>
  <c r="F36"/>
  <c r="F35"/>
  <c r="F28"/>
  <c r="F13"/>
  <c r="D42"/>
  <c r="D40"/>
  <c r="D39"/>
  <c r="D36"/>
  <c r="D35"/>
  <c r="D28"/>
  <c r="D13"/>
  <c r="G45"/>
  <c r="G47"/>
  <c r="D45"/>
  <c r="D37"/>
  <c r="C120" i="2"/>
  <c r="C119"/>
  <c r="C116"/>
  <c r="C113"/>
  <c r="C112"/>
  <c r="C110"/>
  <c r="C108"/>
  <c r="C107"/>
  <c r="C106"/>
  <c r="C104"/>
  <c r="C101"/>
  <c r="C95"/>
  <c r="C94"/>
  <c r="C93"/>
  <c r="C92"/>
  <c r="C91"/>
  <c r="C90"/>
  <c r="C89"/>
  <c r="C88"/>
  <c r="C87"/>
  <c r="C84"/>
  <c r="C83"/>
  <c r="C79"/>
  <c r="C77"/>
  <c r="C76"/>
  <c r="C75"/>
  <c r="C74"/>
  <c r="C69"/>
  <c r="C68"/>
  <c r="C67"/>
  <c r="C66"/>
  <c r="C63"/>
  <c r="C60"/>
  <c r="C57"/>
  <c r="C53"/>
  <c r="C52"/>
  <c r="C50"/>
  <c r="C49"/>
  <c r="C47"/>
  <c r="C45"/>
  <c r="C44"/>
  <c r="C43"/>
  <c r="C42"/>
  <c r="C41"/>
  <c r="C39"/>
  <c r="C38"/>
  <c r="C37"/>
  <c r="C36"/>
  <c r="C34"/>
  <c r="C32"/>
  <c r="C31"/>
  <c r="C30"/>
  <c r="C29"/>
  <c r="C28"/>
  <c r="C27"/>
  <c r="C25"/>
  <c r="C24"/>
  <c r="C21"/>
  <c r="C19"/>
  <c r="C18"/>
  <c r="C17"/>
  <c r="C16"/>
  <c r="C10"/>
  <c r="I1103" i="5"/>
  <c r="I1099"/>
  <c r="I854"/>
  <c r="I820"/>
  <c r="I796"/>
  <c r="I769"/>
  <c r="I725"/>
  <c r="I719"/>
  <c r="I693"/>
  <c r="I689"/>
  <c r="I687"/>
  <c r="I679"/>
  <c r="I677"/>
  <c r="I640"/>
  <c r="I638"/>
  <c r="I633"/>
  <c r="I628"/>
  <c r="I588"/>
  <c r="I495"/>
  <c r="I457"/>
  <c r="I434"/>
  <c r="I431"/>
  <c r="I429"/>
  <c r="I384"/>
  <c r="I382"/>
  <c r="I332"/>
  <c r="I330"/>
  <c r="I328"/>
  <c r="I326"/>
  <c r="I320"/>
  <c r="I312"/>
  <c r="I306"/>
  <c r="I304"/>
  <c r="I302"/>
  <c r="I300"/>
  <c r="I289"/>
  <c r="I281"/>
  <c r="I279"/>
  <c r="I249"/>
  <c r="I247"/>
  <c r="I243"/>
  <c r="I97"/>
  <c r="I94"/>
  <c r="I50"/>
  <c r="I44"/>
  <c r="I22"/>
  <c r="I13"/>
  <c r="B21" i="25"/>
  <c r="E23" i="6"/>
  <c r="L31" i="1"/>
  <c r="L23"/>
  <c r="L16"/>
  <c r="L12"/>
  <c r="I684" i="5" l="1"/>
  <c r="I716"/>
  <c r="I715" s="1"/>
  <c r="B33" i="25"/>
  <c r="I242" i="5"/>
  <c r="E13" i="6"/>
  <c r="I418" i="5"/>
  <c r="I419"/>
  <c r="I1040"/>
  <c r="I149"/>
  <c r="F83" i="44" s="1"/>
  <c r="I156" i="5"/>
  <c r="I261"/>
  <c r="I262"/>
  <c r="I803"/>
  <c r="I802" s="1"/>
  <c r="I890"/>
  <c r="I885" s="1"/>
  <c r="I699"/>
  <c r="I877"/>
  <c r="I861" s="1"/>
  <c r="F68" i="44" s="1"/>
  <c r="I486" i="5"/>
  <c r="I487"/>
  <c r="I559"/>
  <c r="I556" s="1"/>
  <c r="I1058"/>
  <c r="E11" i="13"/>
  <c r="E20" s="1"/>
  <c r="I55" i="5"/>
  <c r="I600"/>
  <c r="F93" i="44" s="1"/>
  <c r="I601" i="5"/>
  <c r="I1055"/>
  <c r="D53" i="44"/>
  <c r="I853" i="5"/>
  <c r="F66" i="44" s="1"/>
  <c r="D68"/>
  <c r="I819" i="5"/>
  <c r="F51" i="44" s="1"/>
  <c r="D83"/>
  <c r="I77" i="5"/>
  <c r="I1098"/>
  <c r="D93" i="44"/>
  <c r="I48" i="5"/>
  <c r="F94" i="44" s="1"/>
  <c r="D34"/>
  <c r="I274" i="5"/>
  <c r="E45" i="48"/>
  <c r="I466" i="5"/>
  <c r="I319"/>
  <c r="I632"/>
  <c r="F91" i="44" s="1"/>
  <c r="I627" i="5"/>
  <c r="I43"/>
  <c r="I288"/>
  <c r="I494"/>
  <c r="F42" i="44" s="1"/>
  <c r="I834" i="5"/>
  <c r="E54" i="2" s="1"/>
  <c r="E19" i="48"/>
  <c r="E48"/>
  <c r="E38"/>
  <c r="E34"/>
  <c r="E43"/>
  <c r="E30"/>
  <c r="E32"/>
  <c r="E27"/>
  <c r="E21"/>
  <c r="D33" i="44"/>
  <c r="D24"/>
  <c r="C86" i="2"/>
  <c r="D38" i="48"/>
  <c r="G41"/>
  <c r="G43"/>
  <c r="G19"/>
  <c r="G29"/>
  <c r="D43"/>
  <c r="D34"/>
  <c r="G31"/>
  <c r="G32"/>
  <c r="G26"/>
  <c r="G27"/>
  <c r="H30"/>
  <c r="D20"/>
  <c r="D21"/>
  <c r="D19"/>
  <c r="D30"/>
  <c r="D27"/>
  <c r="G37"/>
  <c r="G38"/>
  <c r="G34"/>
  <c r="G20"/>
  <c r="G21"/>
  <c r="H32"/>
  <c r="H43"/>
  <c r="G30"/>
  <c r="G48"/>
  <c r="H19"/>
  <c r="H21"/>
  <c r="G11"/>
  <c r="G46"/>
  <c r="D32"/>
  <c r="G16"/>
  <c r="D11"/>
  <c r="D46"/>
  <c r="D44"/>
  <c r="E12"/>
  <c r="D48"/>
  <c r="D23"/>
  <c r="I795" i="5"/>
  <c r="D85" i="44"/>
  <c r="E10" i="6"/>
  <c r="L44" i="1"/>
  <c r="F130" i="44" l="1"/>
  <c r="I597" i="5"/>
  <c r="I598"/>
  <c r="I11"/>
  <c r="I12"/>
  <c r="D90" i="44"/>
  <c r="I637" i="5"/>
  <c r="F90" i="44" s="1"/>
  <c r="D35"/>
  <c r="I310" i="5"/>
  <c r="F35" i="44" s="1"/>
  <c r="D67"/>
  <c r="I860" i="5"/>
  <c r="F67" i="44" s="1"/>
  <c r="I503" i="5"/>
  <c r="I504"/>
  <c r="F12" i="44"/>
  <c r="I454" i="5"/>
  <c r="I456"/>
  <c r="I423"/>
  <c r="I424"/>
  <c r="F29" i="44" s="1"/>
  <c r="I768" i="5"/>
  <c r="F22" i="44" s="1"/>
  <c r="C13" i="2"/>
  <c r="I15" i="5"/>
  <c r="I298"/>
  <c r="I299"/>
  <c r="F27" i="44" s="1"/>
  <c r="F20"/>
  <c r="D19"/>
  <c r="I674" i="5"/>
  <c r="F19" i="44" s="1"/>
  <c r="D97"/>
  <c r="I54" i="5"/>
  <c r="F97" i="44" s="1"/>
  <c r="I1057" i="5"/>
  <c r="F53" i="44" s="1"/>
  <c r="I697" i="5"/>
  <c r="I698"/>
  <c r="I484"/>
  <c r="I485"/>
  <c r="I234"/>
  <c r="I324"/>
  <c r="I325"/>
  <c r="F31" i="44" s="1"/>
  <c r="L37" i="1"/>
  <c r="D92" i="44"/>
  <c r="I599" i="5"/>
  <c r="F92" i="44" s="1"/>
  <c r="D37"/>
  <c r="I311" i="5"/>
  <c r="F37" i="44" s="1"/>
  <c r="I148" i="5"/>
  <c r="F82" i="44" s="1"/>
  <c r="I377" i="5"/>
  <c r="F32" i="44" s="1"/>
  <c r="I580" i="5"/>
  <c r="I581"/>
  <c r="I1034"/>
  <c r="E64" i="2" s="1"/>
  <c r="I1039" i="5"/>
  <c r="D14" i="44"/>
  <c r="D20"/>
  <c r="I493" i="5"/>
  <c r="D42" i="44"/>
  <c r="D43"/>
  <c r="H27" i="48"/>
  <c r="D66" i="44"/>
  <c r="D41"/>
  <c r="D51"/>
  <c r="D82"/>
  <c r="I455" i="5"/>
  <c r="D27" i="44"/>
  <c r="I631" i="5"/>
  <c r="D91" i="44"/>
  <c r="D94"/>
  <c r="H34" i="48"/>
  <c r="E28"/>
  <c r="H28"/>
  <c r="I635" i="5"/>
  <c r="E118" i="2" s="1"/>
  <c r="E117" s="1"/>
  <c r="I636" i="5"/>
  <c r="H48" i="48"/>
  <c r="E16"/>
  <c r="E31"/>
  <c r="E47"/>
  <c r="H38"/>
  <c r="E37"/>
  <c r="E11"/>
  <c r="E20"/>
  <c r="H12"/>
  <c r="I626" i="5"/>
  <c r="E26" i="2" s="1"/>
  <c r="E23" s="1"/>
  <c r="I42" i="5"/>
  <c r="E20" i="2" s="1"/>
  <c r="C40"/>
  <c r="I794" i="5"/>
  <c r="E111" i="2" s="1"/>
  <c r="E109" s="1"/>
  <c r="I323" i="5"/>
  <c r="D12" i="44"/>
  <c r="I630" i="5"/>
  <c r="E115" i="2" s="1"/>
  <c r="E114" s="1"/>
  <c r="D23" i="44"/>
  <c r="I47" i="5"/>
  <c r="D130" i="44"/>
  <c r="I422" i="5"/>
  <c r="I1054"/>
  <c r="D32" i="44"/>
  <c r="F45" i="48"/>
  <c r="F20"/>
  <c r="F29"/>
  <c r="F19"/>
  <c r="F27"/>
  <c r="F30"/>
  <c r="F33"/>
  <c r="F37"/>
  <c r="F21"/>
  <c r="F34"/>
  <c r="F38"/>
  <c r="F43"/>
  <c r="F41"/>
  <c r="H47"/>
  <c r="H25"/>
  <c r="H45"/>
  <c r="H16"/>
  <c r="H31"/>
  <c r="E46"/>
  <c r="E23"/>
  <c r="E25"/>
  <c r="E18"/>
  <c r="E41"/>
  <c r="E15"/>
  <c r="H51"/>
  <c r="E29"/>
  <c r="E33"/>
  <c r="E22"/>
  <c r="H50"/>
  <c r="D129" i="44"/>
  <c r="D78"/>
  <c r="D11"/>
  <c r="C97" i="2"/>
  <c r="I653" i="5"/>
  <c r="D30" i="44"/>
  <c r="F51" i="48"/>
  <c r="D22" i="44"/>
  <c r="D17"/>
  <c r="D12" i="48"/>
  <c r="D16"/>
  <c r="H46"/>
  <c r="G25"/>
  <c r="D25"/>
  <c r="D15"/>
  <c r="H41"/>
  <c r="G17"/>
  <c r="G33"/>
  <c r="D26"/>
  <c r="D29"/>
  <c r="D18"/>
  <c r="G22"/>
  <c r="H18"/>
  <c r="H23"/>
  <c r="G12"/>
  <c r="G44"/>
  <c r="H11"/>
  <c r="G15"/>
  <c r="H29"/>
  <c r="H22"/>
  <c r="G10"/>
  <c r="D33"/>
  <c r="D41"/>
  <c r="F12"/>
  <c r="H15"/>
  <c r="G18"/>
  <c r="G23"/>
  <c r="D10"/>
  <c r="D22"/>
  <c r="D31"/>
  <c r="E97" i="2" l="1"/>
  <c r="F13" i="44"/>
  <c r="E13" i="2"/>
  <c r="E11"/>
  <c r="F41" i="44"/>
  <c r="D13"/>
  <c r="D40"/>
  <c r="F14"/>
  <c r="E21" i="6"/>
  <c r="L171" i="1"/>
  <c r="I1096" i="5"/>
  <c r="I1097"/>
  <c r="E15" i="2" s="1"/>
  <c r="I271" i="5"/>
  <c r="E72" i="2" s="1"/>
  <c r="I272" i="5"/>
  <c r="I501"/>
  <c r="E99" i="2" s="1"/>
  <c r="I502" i="5"/>
  <c r="I671"/>
  <c r="I672"/>
  <c r="D26" i="44"/>
  <c r="I273" i="5"/>
  <c r="D49" i="44"/>
  <c r="I818" i="5"/>
  <c r="F49" i="44" s="1"/>
  <c r="D18"/>
  <c r="I673" i="5"/>
  <c r="I350"/>
  <c r="F129" i="44"/>
  <c r="I579" i="5"/>
  <c r="I573" s="1"/>
  <c r="E102" i="2" s="1"/>
  <c r="I233" i="5"/>
  <c r="I260"/>
  <c r="D48" i="44"/>
  <c r="I817" i="5"/>
  <c r="I491"/>
  <c r="E98" i="2" s="1"/>
  <c r="I492" i="5"/>
  <c r="D96" i="44"/>
  <c r="I53" i="5"/>
  <c r="F96" i="44" s="1"/>
  <c r="D95"/>
  <c r="I49" i="5"/>
  <c r="F95" i="44" s="1"/>
  <c r="I852" i="5"/>
  <c r="F65" i="44" s="1"/>
  <c r="I714" i="5"/>
  <c r="I713" s="1"/>
  <c r="E82" i="2" s="1"/>
  <c r="D52" i="44"/>
  <c r="I1056" i="5"/>
  <c r="F52" i="44" s="1"/>
  <c r="I764" i="5"/>
  <c r="I683"/>
  <c r="F11" i="44" s="1"/>
  <c r="F89"/>
  <c r="I291" i="5"/>
  <c r="I297"/>
  <c r="I555"/>
  <c r="F40" i="44" s="1"/>
  <c r="I131" i="5"/>
  <c r="I132"/>
  <c r="F78" i="44" s="1"/>
  <c r="D65"/>
  <c r="D64"/>
  <c r="I596" i="5"/>
  <c r="C15" i="2"/>
  <c r="D89" i="44"/>
  <c r="H17" i="48"/>
  <c r="E17"/>
  <c r="C73" i="2"/>
  <c r="E26" i="48"/>
  <c r="E24"/>
  <c r="C26" i="2"/>
  <c r="C23" s="1"/>
  <c r="D25" i="44"/>
  <c r="I421" i="5"/>
  <c r="C20" i="2"/>
  <c r="D10" i="44"/>
  <c r="C118" i="2"/>
  <c r="C117" s="1"/>
  <c r="C115"/>
  <c r="C114" s="1"/>
  <c r="I322" i="5"/>
  <c r="I453"/>
  <c r="E105" i="2" s="1"/>
  <c r="E103" s="1"/>
  <c r="C64"/>
  <c r="D31" i="44"/>
  <c r="C11" i="2"/>
  <c r="C111"/>
  <c r="C109" s="1"/>
  <c r="C70"/>
  <c r="C65" s="1"/>
  <c r="D29" i="44"/>
  <c r="F32" i="48"/>
  <c r="F46"/>
  <c r="F11"/>
  <c r="F48"/>
  <c r="F26"/>
  <c r="F44"/>
  <c r="F25"/>
  <c r="F16"/>
  <c r="H24"/>
  <c r="H33"/>
  <c r="H37"/>
  <c r="H26"/>
  <c r="H20"/>
  <c r="E14"/>
  <c r="F50"/>
  <c r="E44"/>
  <c r="E10"/>
  <c r="C35" i="2"/>
  <c r="C33" s="1"/>
  <c r="H10" i="48"/>
  <c r="D21" i="44"/>
  <c r="D16"/>
  <c r="F15" i="48"/>
  <c r="F18"/>
  <c r="F23"/>
  <c r="D17"/>
  <c r="D47"/>
  <c r="D24"/>
  <c r="D14"/>
  <c r="G24"/>
  <c r="H44"/>
  <c r="G14"/>
  <c r="H14"/>
  <c r="F10"/>
  <c r="F22"/>
  <c r="E73" i="2" l="1"/>
  <c r="I554" i="5"/>
  <c r="I349"/>
  <c r="F18" i="44"/>
  <c r="I816" i="5"/>
  <c r="I758"/>
  <c r="E85" i="2" s="1"/>
  <c r="E81" s="1"/>
  <c r="I759" i="5"/>
  <c r="I850"/>
  <c r="E55" i="2" s="1"/>
  <c r="I851" i="5"/>
  <c r="F64" i="44" s="1"/>
  <c r="I113" i="5"/>
  <c r="E51" i="2" s="1"/>
  <c r="C22"/>
  <c r="C9" s="1"/>
  <c r="I46" i="5"/>
  <c r="D39" i="44"/>
  <c r="D128" s="1"/>
  <c r="F26"/>
  <c r="E58" i="2"/>
  <c r="I681" i="5"/>
  <c r="E78" i="2" s="1"/>
  <c r="I682" i="5"/>
  <c r="I270"/>
  <c r="C100" i="2"/>
  <c r="C48"/>
  <c r="C61"/>
  <c r="C59" s="1"/>
  <c r="C58"/>
  <c r="C98"/>
  <c r="C99"/>
  <c r="C54"/>
  <c r="C85"/>
  <c r="C102"/>
  <c r="C105"/>
  <c r="C103" s="1"/>
  <c r="C80"/>
  <c r="C72"/>
  <c r="F24" i="48"/>
  <c r="F47"/>
  <c r="F31"/>
  <c r="G49"/>
  <c r="E49"/>
  <c r="F17"/>
  <c r="D49"/>
  <c r="H49"/>
  <c r="G52"/>
  <c r="H52"/>
  <c r="C78" i="2"/>
  <c r="C55"/>
  <c r="C51"/>
  <c r="C82"/>
  <c r="F14" i="48"/>
  <c r="I642" i="5" l="1"/>
  <c r="D131" i="44"/>
  <c r="F25"/>
  <c r="I337" i="5"/>
  <c r="E80" i="2" s="1"/>
  <c r="E71" s="1"/>
  <c r="E48"/>
  <c r="E46" s="1"/>
  <c r="I10" i="5"/>
  <c r="E22" i="2"/>
  <c r="E9" s="1"/>
  <c r="F10" i="44"/>
  <c r="I553" i="5"/>
  <c r="C96" i="2"/>
  <c r="C81"/>
  <c r="C46"/>
  <c r="C71"/>
  <c r="F52" i="48"/>
  <c r="F49"/>
  <c r="C121" i="2" l="1"/>
  <c r="E100"/>
  <c r="E96" s="1"/>
  <c r="I478" i="5"/>
  <c r="F39" i="44"/>
  <c r="C122" i="2" l="1"/>
  <c r="E51" i="48" l="1"/>
  <c r="E50"/>
  <c r="E52" l="1"/>
  <c r="I20" l="1"/>
  <c r="I21"/>
  <c r="I30"/>
  <c r="I12"/>
  <c r="I11"/>
  <c r="I16"/>
  <c r="I24" l="1"/>
  <c r="I25"/>
  <c r="I29"/>
  <c r="I18"/>
  <c r="I15"/>
  <c r="I14"/>
  <c r="I10" l="1"/>
  <c r="B11"/>
  <c r="B12"/>
  <c r="B13"/>
  <c r="B14"/>
  <c r="B15"/>
  <c r="B16"/>
  <c r="B17"/>
  <c r="B18"/>
  <c r="B19"/>
  <c r="B20"/>
  <c r="B21"/>
  <c r="B22"/>
  <c r="B23"/>
  <c r="B24"/>
  <c r="B25"/>
  <c r="B26"/>
  <c r="B27"/>
  <c r="B28"/>
  <c r="B29"/>
  <c r="B30"/>
  <c r="B31"/>
  <c r="B32"/>
  <c r="B33"/>
  <c r="B34"/>
  <c r="B35"/>
  <c r="B36"/>
  <c r="B37"/>
  <c r="B38"/>
  <c r="B39"/>
  <c r="B40"/>
  <c r="B41"/>
  <c r="B42"/>
  <c r="B43"/>
  <c r="B44"/>
  <c r="B45"/>
  <c r="B46"/>
  <c r="B47"/>
  <c r="B48"/>
  <c r="B50"/>
  <c r="B51"/>
  <c r="I37" l="1"/>
  <c r="I38"/>
  <c r="I43"/>
  <c r="I31"/>
  <c r="I32"/>
  <c r="I47"/>
  <c r="I48"/>
  <c r="A12" i="5"/>
  <c r="A13"/>
  <c r="I41" i="48" l="1"/>
  <c r="A114" i="5"/>
  <c r="B129" i="44"/>
  <c r="B130"/>
  <c r="B32"/>
  <c r="B33"/>
  <c r="B104"/>
  <c r="B105"/>
  <c r="B112"/>
  <c r="B113"/>
  <c r="B116"/>
  <c r="B117"/>
  <c r="A47" i="5"/>
  <c r="A48"/>
  <c r="A50"/>
  <c r="A52"/>
  <c r="A53"/>
  <c r="A54"/>
  <c r="A55"/>
  <c r="A56"/>
  <c r="D24" i="32"/>
  <c r="C24"/>
  <c r="I45" i="48"/>
  <c r="C30" i="32"/>
  <c r="D30"/>
  <c r="D13" i="31"/>
  <c r="D12"/>
  <c r="B12"/>
  <c r="B13"/>
  <c r="B11" i="21"/>
  <c r="B12"/>
  <c r="A99" i="5"/>
  <c r="A98"/>
  <c r="A97"/>
  <c r="A96"/>
  <c r="A95"/>
  <c r="A94"/>
  <c r="A77"/>
  <c r="A46"/>
  <c r="A45"/>
  <c r="A44"/>
  <c r="A43"/>
  <c r="A42"/>
  <c r="A25"/>
  <c r="A23"/>
  <c r="A22"/>
  <c r="A15"/>
  <c r="A11"/>
  <c r="A10"/>
  <c r="A14"/>
  <c r="B10" i="48"/>
  <c r="B31" i="44"/>
  <c r="B30"/>
  <c r="B26"/>
  <c r="B25"/>
  <c r="B24"/>
  <c r="B23"/>
  <c r="B22"/>
  <c r="B21"/>
  <c r="B18"/>
  <c r="B17"/>
  <c r="B16"/>
  <c r="B11"/>
  <c r="B12"/>
  <c r="I50" i="48" l="1"/>
  <c r="I51"/>
  <c r="I26"/>
  <c r="I27"/>
  <c r="I34"/>
  <c r="I19"/>
  <c r="I23"/>
  <c r="D50"/>
  <c r="D51"/>
  <c r="I46"/>
  <c r="D52" l="1"/>
  <c r="I22"/>
  <c r="I17"/>
  <c r="I33"/>
  <c r="I44"/>
  <c r="I49" l="1"/>
  <c r="I52"/>
  <c r="D14" i="40"/>
  <c r="C14"/>
  <c r="D12"/>
  <c r="C12"/>
  <c r="D10"/>
  <c r="C10"/>
  <c r="C14" i="39"/>
  <c r="C13" s="1"/>
  <c r="C11"/>
  <c r="C9"/>
  <c r="D19" i="38"/>
  <c r="C19"/>
  <c r="D24" i="37"/>
  <c r="E23"/>
  <c r="E22"/>
  <c r="E21"/>
  <c r="E20"/>
  <c r="E19"/>
  <c r="E18"/>
  <c r="C17"/>
  <c r="E16"/>
  <c r="E15"/>
  <c r="E14"/>
  <c r="E13"/>
  <c r="C12"/>
  <c r="E11"/>
  <c r="C10"/>
  <c r="E17" i="33"/>
  <c r="D17"/>
  <c r="C17"/>
  <c r="B17"/>
  <c r="C17" i="24"/>
  <c r="D17" s="1"/>
  <c r="D19" i="32"/>
  <c r="C19"/>
  <c r="D11"/>
  <c r="C11"/>
  <c r="E14" i="31"/>
  <c r="D14"/>
  <c r="C14"/>
  <c r="B14"/>
  <c r="C13" i="21"/>
  <c r="B13"/>
  <c r="C31" i="32" l="1"/>
  <c r="D31"/>
  <c r="C24" i="37"/>
  <c r="C16" i="39"/>
  <c r="D17" i="40"/>
  <c r="E17" i="37"/>
  <c r="C17" i="40"/>
  <c r="E10" i="37"/>
  <c r="E12"/>
  <c r="E24" l="1"/>
  <c r="B45" i="25" l="1"/>
  <c r="C45" s="1"/>
  <c r="C43" l="1"/>
  <c r="C44"/>
  <c r="B22" l="1"/>
  <c r="B28" s="1"/>
  <c r="B17"/>
  <c r="B14"/>
  <c r="B20" i="29" l="1"/>
  <c r="D21"/>
  <c r="B16"/>
  <c r="D20"/>
  <c r="B20" i="25"/>
  <c r="B23" s="1"/>
  <c r="D43" i="29" l="1"/>
  <c r="D16"/>
  <c r="D13"/>
  <c r="B21"/>
  <c r="B27" s="1"/>
  <c r="D27" s="1"/>
  <c r="D19"/>
  <c r="D22" s="1"/>
  <c r="B13"/>
  <c r="B19" l="1"/>
  <c r="B22" s="1"/>
  <c r="B32"/>
  <c r="D42" i="25" l="1"/>
  <c r="C42"/>
  <c r="B45" i="29"/>
  <c r="B42" s="1"/>
  <c r="D42" s="1"/>
  <c r="D32"/>
  <c r="C44" l="1"/>
  <c r="C45"/>
  <c r="D45" i="25"/>
  <c r="E42" s="1"/>
  <c r="C42" i="29"/>
  <c r="C43"/>
  <c r="E44" i="25" l="1"/>
  <c r="E43"/>
  <c r="E45"/>
  <c r="D45" i="29"/>
  <c r="E42" s="1"/>
  <c r="E43" l="1"/>
  <c r="E45"/>
  <c r="E44"/>
  <c r="I946" i="5"/>
  <c r="I945"/>
  <c r="H941"/>
  <c r="E56" i="44" s="1"/>
  <c r="H940" i="5" l="1"/>
  <c r="I941"/>
  <c r="F56" i="44" s="1"/>
  <c r="E55" l="1"/>
  <c r="H914" i="5"/>
  <c r="I940"/>
  <c r="F55" i="44" s="1"/>
  <c r="I914" i="5" l="1"/>
  <c r="F48" i="44" s="1"/>
  <c r="F128" s="1"/>
  <c r="F131" s="1"/>
  <c r="H913" i="5"/>
  <c r="E48" i="44"/>
  <c r="E128" s="1"/>
  <c r="E131" s="1"/>
  <c r="D61" i="2" l="1"/>
  <c r="D59" s="1"/>
  <c r="D121" s="1"/>
  <c r="H800" i="5"/>
  <c r="H1108" s="1"/>
  <c r="I1108" s="1"/>
  <c r="I913"/>
  <c r="D22" i="6" l="1"/>
  <c r="D122" i="2"/>
  <c r="I800" i="5"/>
  <c r="E61" i="2"/>
  <c r="E59" s="1"/>
  <c r="E121" s="1"/>
  <c r="E122" s="1"/>
  <c r="D20" i="6" l="1"/>
  <c r="D26" s="1"/>
  <c r="E22"/>
  <c r="E20" s="1"/>
  <c r="E26" s="1"/>
</calcChain>
</file>

<file path=xl/comments1.xml><?xml version="1.0" encoding="utf-8"?>
<comments xmlns="http://schemas.openxmlformats.org/spreadsheetml/2006/main">
  <authors>
    <author>Елаева</author>
  </authors>
  <commentList>
    <comment ref="A287" authorId="0">
      <text>
        <r>
          <rPr>
            <b/>
            <sz val="9"/>
            <color indexed="81"/>
            <rFont val="Tahoma"/>
            <family val="2"/>
            <charset val="204"/>
          </rPr>
          <t>Елаева:</t>
        </r>
        <r>
          <rPr>
            <sz val="9"/>
            <color indexed="81"/>
            <rFont val="Tahoma"/>
            <family val="2"/>
            <charset val="204"/>
          </rPr>
          <t xml:space="preserve">
</t>
        </r>
      </text>
    </comment>
  </commentList>
</comments>
</file>

<file path=xl/sharedStrings.xml><?xml version="1.0" encoding="utf-8"?>
<sst xmlns="http://schemas.openxmlformats.org/spreadsheetml/2006/main" count="6822" uniqueCount="3283">
  <si>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</si>
  <si>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</si>
  <si>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</si>
  <si>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</si>
  <si>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</si>
  <si>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</si>
  <si>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</si>
  <si>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</si>
  <si>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</si>
  <si>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Городское поселение Тутаев</t>
  </si>
  <si>
    <t>2 18 05010 05 0000 151</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</si>
  <si>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</si>
  <si>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</si>
  <si>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</si>
  <si>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</si>
  <si>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</si>
  <si>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</si>
  <si>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</si>
  <si>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</si>
  <si>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</si>
  <si>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</si>
  <si>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Порядок (методика) и условия распределения субсидий  бюджетам поселений Тутаевского муниципального района на 2013 год.</t>
  </si>
  <si>
    <t>П Р О Г Р А М М А</t>
  </si>
  <si>
    <t xml:space="preserve">                                                                                                                                                                                       руб.</t>
  </si>
  <si>
    <t>Виды заимствований</t>
  </si>
  <si>
    <t xml:space="preserve">Получение кредитов </t>
  </si>
  <si>
    <t>Погашение кредитов</t>
  </si>
  <si>
    <t>2. Бюджетные кредиты</t>
  </si>
  <si>
    <t xml:space="preserve">3. Итого кредиты </t>
  </si>
  <si>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</si>
  <si>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</si>
  <si>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</si>
  <si>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</si>
  <si>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</si>
  <si>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</si>
  <si>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</si>
  <si>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4. Предельный объем муниципальных заимствований</t>
  </si>
  <si>
    <t>5. Предельный объем предоставляемых муниципальных гарантий</t>
  </si>
  <si>
    <t>Обязательства</t>
  </si>
  <si>
    <t>Объем долга</t>
  </si>
  <si>
    <t>(прогноз)</t>
  </si>
  <si>
    <t>Сумма (руб.)</t>
  </si>
  <si>
    <t>%</t>
  </si>
  <si>
    <r>
      <t xml:space="preserve">1 </t>
    </r>
    <r>
      <rPr>
        <sz val="12"/>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</si>
  <si>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</si>
  <si>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</si>
  <si>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</si>
  <si>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2014 год</t>
  </si>
  <si>
    <t>Перечень главных распорядителей бюджетных средств бюджета Тутаевского муниципального района</t>
  </si>
  <si>
    <t xml:space="preserve">          Получение кредитов</t>
  </si>
  <si>
    <t>5. Предельный объем предоставляемых муниципальных гарантий*</t>
  </si>
  <si>
    <t>Приложение 12</t>
  </si>
  <si>
    <t>Приложение 15</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</si>
  <si>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</si>
  <si>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</si>
  <si>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</si>
  <si>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</si>
  <si>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</si>
  <si>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</si>
  <si>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</si>
  <si>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</si>
  <si>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</si>
  <si>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</si>
  <si>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</si>
  <si>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</si>
  <si>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</si>
  <si>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</si>
  <si>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</si>
  <si>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</si>
  <si>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</si>
  <si>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</si>
  <si>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</si>
  <si>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</si>
  <si>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</si>
  <si>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</si>
  <si>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</si>
  <si>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</si>
  <si>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</si>
  <si>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</si>
  <si>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</si>
  <si>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</si>
  <si>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</si>
  <si>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</si>
  <si>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</si>
  <si>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</si>
  <si>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</si>
  <si>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</si>
  <si>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</si>
  <si>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</si>
  <si>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</si>
  <si>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</si>
  <si>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</si>
  <si>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</si>
  <si>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</si>
  <si>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</si>
  <si>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</si>
  <si>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000</t>
  </si>
  <si>
    <t>1</t>
  </si>
  <si>
    <t>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</si>
  <si>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</si>
  <si>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</si>
  <si>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</si>
  <si>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</si>
  <si>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</si>
  <si>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</si>
  <si>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</si>
  <si>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Задолженность и перерасчеты по отмененным налогам, сборам и иным обязательным платежам</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</si>
  <si>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</si>
  <si>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</si>
  <si>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</si>
  <si>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</si>
  <si>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</si>
  <si>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</si>
  <si>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</si>
  <si>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</si>
  <si>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</si>
  <si>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</si>
  <si>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</si>
  <si>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</si>
  <si>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</si>
  <si>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</si>
  <si>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1. Порядок (методика) и условия распределения субсидии на реализацию областной целевой программы "Чистая вода  Ярославской области"</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</si>
  <si>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</si>
  <si>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</si>
  <si>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</si>
  <si>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</si>
  <si>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</si>
  <si>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</si>
  <si>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</si>
  <si>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</si>
  <si>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</si>
  <si>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</si>
  <si>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</si>
  <si>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</si>
  <si>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</si>
  <si>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</si>
  <si>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</si>
  <si>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</si>
  <si>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</si>
  <si>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</si>
  <si>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</si>
  <si>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</si>
  <si>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</si>
  <si>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</si>
  <si>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</si>
  <si>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</si>
  <si>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</si>
  <si>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</si>
  <si>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</si>
  <si>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</si>
  <si>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</si>
  <si>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</si>
  <si>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</si>
  <si>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</si>
  <si>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</si>
  <si>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</si>
  <si>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</si>
  <si>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</si>
  <si>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</si>
  <si>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</si>
  <si>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</si>
  <si>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</si>
  <si>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</si>
  <si>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</si>
  <si>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</si>
  <si>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</si>
  <si>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</si>
  <si>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</si>
  <si>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</si>
  <si>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</si>
  <si>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</si>
  <si>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</si>
  <si>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</si>
  <si>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</si>
  <si>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</si>
  <si>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</si>
  <si>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</si>
  <si>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</si>
  <si>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</si>
  <si>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</si>
  <si>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</si>
  <si>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</si>
  <si>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</si>
  <si>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</si>
  <si>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</si>
  <si>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</si>
  <si>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</si>
  <si>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</si>
  <si>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</si>
  <si>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</si>
  <si>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</si>
  <si>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</si>
  <si>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</si>
  <si>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</si>
  <si>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 xml:space="preserve">к решению Муниципального </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</si>
  <si>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</si>
  <si>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</si>
  <si>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</si>
  <si>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</si>
  <si>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</si>
  <si>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</si>
  <si>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</si>
  <si>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</si>
  <si>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</si>
  <si>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</si>
  <si>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</si>
  <si>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</si>
  <si>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</si>
  <si>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</si>
  <si>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</si>
  <si>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</si>
  <si>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</si>
  <si>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</si>
  <si>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</si>
  <si>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</si>
  <si>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</si>
  <si>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</si>
  <si>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</si>
  <si>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</si>
  <si>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</si>
  <si>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</si>
  <si>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</si>
  <si>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</si>
  <si>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</si>
  <si>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</si>
  <si>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</si>
  <si>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</si>
  <si>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</si>
  <si>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</si>
  <si>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</si>
  <si>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</si>
  <si>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</si>
  <si>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</si>
  <si>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</si>
  <si>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</si>
  <si>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</si>
  <si>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</si>
  <si>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</si>
  <si>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</si>
  <si>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</si>
  <si>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</si>
  <si>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</si>
  <si>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</si>
  <si>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</si>
  <si>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</si>
  <si>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</si>
  <si>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</si>
  <si>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</si>
  <si>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</si>
  <si>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</si>
  <si>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</si>
  <si>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</si>
  <si>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</si>
  <si>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</si>
  <si>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</si>
  <si>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</si>
  <si>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</si>
  <si>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</si>
  <si>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</si>
  <si>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</si>
  <si>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</si>
  <si>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</si>
  <si>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</si>
  <si>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</si>
  <si>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</si>
  <si>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</si>
  <si>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</si>
  <si>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</si>
  <si>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</si>
  <si>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</si>
  <si>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</si>
  <si>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</si>
  <si>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</si>
  <si>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</si>
  <si>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</si>
  <si>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</si>
  <si>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</si>
  <si>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</si>
  <si>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</si>
  <si>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</si>
  <si>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</si>
  <si>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</si>
  <si>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</si>
  <si>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</si>
  <si>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</si>
  <si>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</si>
  <si>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</si>
  <si>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2</t>
  </si>
  <si>
    <t>01</t>
  </si>
  <si>
    <t>05</t>
  </si>
  <si>
    <t>08</t>
  </si>
  <si>
    <t>11</t>
  </si>
  <si>
    <t>12</t>
  </si>
  <si>
    <t>14</t>
  </si>
  <si>
    <t>16</t>
  </si>
  <si>
    <t>02</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</si>
  <si>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</si>
  <si>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</si>
  <si>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</si>
  <si>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</si>
  <si>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</si>
  <si>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</si>
  <si>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</si>
  <si>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</si>
  <si>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</si>
  <si>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</si>
  <si>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</si>
  <si>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</si>
  <si>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</si>
  <si>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</si>
  <si>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</si>
  <si>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</si>
  <si>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</si>
  <si>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</si>
  <si>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</si>
  <si>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</si>
  <si>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</si>
  <si>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</si>
  <si>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</si>
  <si>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</si>
  <si>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</si>
  <si>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</si>
  <si>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</si>
  <si>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</si>
  <si>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</si>
  <si>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</si>
  <si>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</si>
  <si>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</si>
  <si>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</si>
  <si>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</si>
  <si>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</si>
  <si>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</si>
  <si>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</si>
  <si>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</si>
  <si>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</si>
  <si>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</si>
  <si>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</si>
  <si>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</si>
  <si>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</si>
  <si>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</si>
  <si>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</si>
  <si>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</si>
  <si>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</si>
  <si>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</si>
  <si>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</si>
  <si>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</si>
  <si>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</si>
  <si>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</si>
  <si>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</si>
  <si>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</si>
  <si>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</si>
  <si>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</si>
  <si>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</si>
  <si>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</si>
  <si>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</si>
  <si>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</si>
  <si>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</si>
  <si>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</si>
  <si>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</si>
  <si>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</si>
  <si>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</si>
  <si>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</si>
  <si>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</si>
  <si>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</si>
  <si>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</si>
  <si>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</si>
  <si>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</si>
  <si>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</si>
  <si>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</si>
  <si>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</si>
  <si>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</si>
  <si>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</si>
  <si>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</si>
  <si>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</si>
  <si>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</si>
  <si>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</si>
  <si>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</si>
  <si>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</si>
  <si>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</si>
  <si>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</si>
  <si>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</si>
  <si>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</si>
  <si>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</si>
  <si>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</si>
  <si>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</si>
  <si>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</si>
  <si>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</si>
  <si>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</si>
  <si>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</si>
  <si>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</si>
  <si>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</si>
  <si>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</si>
  <si>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</si>
  <si>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Приложение 8</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</si>
  <si>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</si>
  <si>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</si>
  <si>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</si>
  <si>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</si>
  <si>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</si>
  <si>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</si>
  <si>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</si>
  <si>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</si>
  <si>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</si>
  <si>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</si>
  <si>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</si>
  <si>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</si>
  <si>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</si>
  <si>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</si>
  <si>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</si>
  <si>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</si>
  <si>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</si>
  <si>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</si>
  <si>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</si>
  <si>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</si>
  <si>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</si>
  <si>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</si>
  <si>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</si>
  <si>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</si>
  <si>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</si>
  <si>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</si>
  <si>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</si>
  <si>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</si>
  <si>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</si>
  <si>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</si>
  <si>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</si>
  <si>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</si>
  <si>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</si>
  <si>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</si>
  <si>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</si>
  <si>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</si>
  <si>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</si>
  <si>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</si>
  <si>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</si>
  <si>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</si>
  <si>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</si>
  <si>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</si>
  <si>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</si>
  <si>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</si>
  <si>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</si>
  <si>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</si>
  <si>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</si>
  <si>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</si>
  <si>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</si>
  <si>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</si>
  <si>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</si>
  <si>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</si>
  <si>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</si>
  <si>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</si>
  <si>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</si>
  <si>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</si>
  <si>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</si>
  <si>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</si>
  <si>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</si>
  <si>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</si>
  <si>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</si>
  <si>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</si>
  <si>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</si>
  <si>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</si>
  <si>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</si>
  <si>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</si>
  <si>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</si>
  <si>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</si>
  <si>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</si>
  <si>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</si>
  <si>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</si>
  <si>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</si>
  <si>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</si>
  <si>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</si>
  <si>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</si>
  <si>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</si>
  <si>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</si>
  <si>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</si>
  <si>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</si>
  <si>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</si>
  <si>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</si>
  <si>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</si>
  <si>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</si>
  <si>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</si>
  <si>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</si>
  <si>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</si>
  <si>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</si>
  <si>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</si>
  <si>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</si>
  <si>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</si>
  <si>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</si>
  <si>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</si>
  <si>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</si>
  <si>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</si>
  <si>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</si>
  <si>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</si>
  <si>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</si>
  <si>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</si>
  <si>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</si>
  <si>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</si>
  <si>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</si>
  <si>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</si>
  <si>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</si>
  <si>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</si>
  <si>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Данная субсидия распределяется в порядке и на условиях, утвержденных законодательством Ярославской области.</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</si>
  <si>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</si>
  <si>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</si>
  <si>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</si>
  <si>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</si>
  <si>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</si>
  <si>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</si>
  <si>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</si>
  <si>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</si>
  <si>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</si>
  <si>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</si>
  <si>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</si>
  <si>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</si>
  <si>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</si>
  <si>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</si>
  <si>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</si>
  <si>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</si>
  <si>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</si>
  <si>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</si>
  <si>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</si>
  <si>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</si>
  <si>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</si>
  <si>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</si>
  <si>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</si>
  <si>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</si>
  <si>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</si>
  <si>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</si>
  <si>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09</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</si>
  <si>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</si>
  <si>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</si>
  <si>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</si>
  <si>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</si>
  <si>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</si>
  <si>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</si>
  <si>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</si>
  <si>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</si>
  <si>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</si>
  <si>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</si>
  <si>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</si>
  <si>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</si>
  <si>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</si>
  <si>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</si>
  <si>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</si>
  <si>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</si>
  <si>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</si>
  <si>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</si>
  <si>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</si>
  <si>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</si>
  <si>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</si>
  <si>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</si>
  <si>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</si>
  <si>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</si>
  <si>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</si>
  <si>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</si>
  <si>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</si>
  <si>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</si>
  <si>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</si>
  <si>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</si>
  <si>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</si>
  <si>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</si>
  <si>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</si>
  <si>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</si>
  <si>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</si>
  <si>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</si>
  <si>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</si>
  <si>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</si>
  <si>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</si>
  <si>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</si>
  <si>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</si>
  <si>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</si>
  <si>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</si>
  <si>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</si>
  <si>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</si>
  <si>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</si>
  <si>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</si>
  <si>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</si>
  <si>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</si>
  <si>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</si>
  <si>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</si>
  <si>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</si>
  <si>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</si>
  <si>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</si>
  <si>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</si>
  <si>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</si>
  <si>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</si>
  <si>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</si>
  <si>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</si>
  <si>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</si>
  <si>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</si>
  <si>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</si>
  <si>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</si>
  <si>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</si>
  <si>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</si>
  <si>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</si>
  <si>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</si>
  <si>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</si>
  <si>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</si>
  <si>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</si>
  <si>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</si>
  <si>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</si>
  <si>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</si>
  <si>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</si>
  <si>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</si>
  <si>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</si>
  <si>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</si>
  <si>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</si>
  <si>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</si>
  <si>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</si>
  <si>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</si>
  <si>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</si>
  <si>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</si>
  <si>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</si>
  <si>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</si>
  <si>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</si>
  <si>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</si>
  <si>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</si>
  <si>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</si>
  <si>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</si>
  <si>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</si>
  <si>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</si>
  <si>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</si>
  <si>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</si>
  <si>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</si>
  <si>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</si>
  <si>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</si>
  <si>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</si>
  <si>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</si>
  <si>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</si>
  <si>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</si>
  <si>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</si>
  <si>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</si>
  <si>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</si>
  <si>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</si>
  <si>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</si>
  <si>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</si>
  <si>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</si>
  <si>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</si>
  <si>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</si>
  <si>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</si>
  <si>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</si>
  <si>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</si>
  <si>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</si>
  <si>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</si>
  <si>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</si>
  <si>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</si>
  <si>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</si>
  <si>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</si>
  <si>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</si>
  <si>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</si>
  <si>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</si>
  <si>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</si>
  <si>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</si>
  <si>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</si>
  <si>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</si>
  <si>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</si>
  <si>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</si>
  <si>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</si>
  <si>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</si>
  <si>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</si>
  <si>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</si>
  <si>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</si>
  <si>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</si>
  <si>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</si>
  <si>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</si>
  <si>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</si>
  <si>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</si>
  <si>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</si>
  <si>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</si>
  <si>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</si>
  <si>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</si>
  <si>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</si>
  <si>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</si>
  <si>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</si>
  <si>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</si>
  <si>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</si>
  <si>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</si>
  <si>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</si>
  <si>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</si>
  <si>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</si>
  <si>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</si>
  <si>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</si>
  <si>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</si>
  <si>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</si>
  <si>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</si>
  <si>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</si>
  <si>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</si>
  <si>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</si>
  <si>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</si>
  <si>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</si>
  <si>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</si>
  <si>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</si>
  <si>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</si>
  <si>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</si>
  <si>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</si>
  <si>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</si>
  <si>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</si>
  <si>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</si>
  <si>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</si>
  <si>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</si>
  <si>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</si>
  <si>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</si>
  <si>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</si>
  <si>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</si>
  <si>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</si>
  <si>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</si>
  <si>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</si>
  <si>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</si>
  <si>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</si>
  <si>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</si>
  <si>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</si>
  <si>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</si>
  <si>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</si>
  <si>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</si>
  <si>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</si>
  <si>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</si>
  <si>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</si>
  <si>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</si>
  <si>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</si>
  <si>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</si>
  <si>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</si>
  <si>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</si>
  <si>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</si>
  <si>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</si>
  <si>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Субсидия на финансирование дорожного хозяйства</t>
  </si>
  <si>
    <t>Прочие выплаты по обязательствам государства</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</si>
  <si>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</si>
  <si>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</si>
  <si>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</si>
  <si>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</si>
  <si>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</si>
  <si>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</si>
  <si>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</si>
  <si>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</si>
  <si>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</si>
  <si>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</si>
  <si>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</si>
  <si>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</si>
  <si>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1. Субвенция на осуществление первичного воинского учета на территориях, где отсутствуют военные комиссариаты</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</si>
  <si>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</si>
  <si>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</si>
  <si>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</si>
  <si>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</si>
  <si>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</si>
  <si>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</si>
  <si>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</si>
  <si>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</si>
  <si>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</si>
  <si>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</si>
  <si>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</si>
  <si>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</si>
  <si>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</si>
  <si>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</si>
  <si>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</si>
  <si>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</si>
  <si>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</si>
  <si>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</si>
  <si>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</si>
  <si>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</si>
  <si>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</si>
  <si>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</si>
  <si>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</si>
  <si>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</si>
  <si>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</si>
  <si>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</si>
  <si>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</si>
  <si>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</si>
  <si>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</si>
  <si>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</si>
  <si>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</si>
  <si>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</si>
  <si>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</si>
  <si>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</si>
  <si>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</si>
  <si>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</si>
  <si>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</si>
  <si>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</si>
  <si>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</si>
  <si>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</si>
  <si>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</si>
  <si>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</si>
  <si>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</si>
  <si>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</si>
  <si>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</si>
  <si>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</si>
  <si>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</si>
  <si>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</si>
  <si>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</si>
  <si>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</si>
  <si>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</si>
  <si>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</si>
  <si>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</si>
  <si>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</si>
  <si>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</si>
  <si>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</si>
  <si>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</si>
  <si>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</si>
  <si>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</si>
  <si>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</si>
  <si>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</si>
  <si>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</si>
  <si>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</si>
  <si>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</si>
  <si>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</si>
  <si>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</si>
  <si>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</si>
  <si>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</si>
  <si>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</si>
  <si>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</si>
  <si>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</si>
  <si>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</si>
  <si>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</si>
  <si>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</si>
  <si>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</si>
  <si>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</si>
  <si>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</si>
  <si>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</si>
  <si>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</si>
  <si>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</si>
  <si>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</si>
  <si>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</si>
  <si>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</si>
  <si>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</si>
  <si>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</si>
  <si>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</si>
  <si>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</si>
  <si>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</si>
  <si>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</si>
  <si>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</si>
  <si>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</si>
  <si>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</si>
  <si>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</si>
  <si>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</si>
  <si>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</si>
  <si>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</si>
  <si>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</si>
  <si>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</si>
  <si>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</si>
  <si>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</si>
  <si>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</si>
  <si>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</si>
  <si>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</si>
  <si>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</si>
  <si>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</si>
  <si>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</si>
  <si>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</si>
  <si>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</si>
  <si>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</si>
  <si>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</si>
  <si>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</si>
  <si>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</si>
  <si>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</si>
  <si>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</si>
  <si>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</si>
  <si>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</si>
  <si>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</si>
  <si>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</si>
  <si>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</si>
  <si>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</si>
  <si>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</si>
  <si>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</si>
  <si>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</si>
  <si>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</si>
  <si>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</si>
  <si>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</si>
  <si>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</si>
  <si>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</si>
  <si>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</si>
  <si>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</si>
  <si>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</si>
  <si>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</si>
  <si>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</si>
  <si>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</si>
  <si>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</si>
  <si>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</si>
  <si>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</si>
  <si>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</si>
  <si>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</si>
  <si>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</si>
  <si>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</si>
  <si>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</si>
  <si>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</si>
  <si>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</si>
  <si>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</si>
  <si>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</si>
  <si>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</si>
  <si>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</si>
  <si>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</si>
  <si>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</si>
  <si>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</si>
  <si>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</si>
  <si>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</si>
  <si>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</si>
  <si>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</si>
  <si>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</si>
  <si>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</si>
  <si>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</si>
  <si>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</si>
  <si>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</si>
  <si>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</si>
  <si>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</si>
  <si>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</si>
  <si>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</si>
  <si>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</si>
  <si>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</si>
  <si>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</si>
  <si>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</si>
  <si>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</si>
  <si>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</si>
  <si>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</si>
  <si>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</si>
  <si>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</si>
  <si>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</si>
  <si>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</si>
  <si>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</si>
  <si>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</si>
  <si>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2 02 04012 05 0000 151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</si>
  <si>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</si>
  <si>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</si>
  <si>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</si>
  <si>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2 02 04999 05 0000 151</t>
  </si>
  <si>
    <t>Прочие межбюджетные трансферты, передаваемые бюджетам муниципальных районов</t>
  </si>
  <si>
    <t>2 08 05000 05 0000 180</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</si>
  <si>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</si>
  <si>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</si>
  <si>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</si>
  <si>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</si>
  <si>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</si>
  <si>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</si>
  <si>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</si>
  <si>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</si>
  <si>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</si>
  <si>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</si>
  <si>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</si>
  <si>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</si>
  <si>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</si>
  <si>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</si>
  <si>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</si>
  <si>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</si>
  <si>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</si>
  <si>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</si>
  <si>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</si>
  <si>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</si>
  <si>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</si>
  <si>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</si>
  <si>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</si>
  <si>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</si>
  <si>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</si>
  <si>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</si>
  <si>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</si>
  <si>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</si>
  <si>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</si>
  <si>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</si>
  <si>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</si>
  <si>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</si>
  <si>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</si>
  <si>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</si>
  <si>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</si>
  <si>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</si>
  <si>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</si>
  <si>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</si>
  <si>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</si>
  <si>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</si>
  <si>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</si>
  <si>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</si>
  <si>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</si>
  <si>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</si>
  <si>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</si>
  <si>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</si>
  <si>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</si>
  <si>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</si>
  <si>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</si>
  <si>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</si>
  <si>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</si>
  <si>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</si>
  <si>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</si>
  <si>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</si>
  <si>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</si>
  <si>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</si>
  <si>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</si>
  <si>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</si>
  <si>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</si>
  <si>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</si>
  <si>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</si>
  <si>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</si>
  <si>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</si>
  <si>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</si>
  <si>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</si>
  <si>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</si>
  <si>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</si>
  <si>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</si>
  <si>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</si>
  <si>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</si>
  <si>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</si>
  <si>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</si>
  <si>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</si>
  <si>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</si>
  <si>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</si>
  <si>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</si>
  <si>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</si>
  <si>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</si>
  <si>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</si>
  <si>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</si>
  <si>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</si>
  <si>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</si>
  <si>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</si>
  <si>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</si>
  <si>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</si>
  <si>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</si>
  <si>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</si>
  <si>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</si>
  <si>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</si>
  <si>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</si>
  <si>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</si>
  <si>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</si>
  <si>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</si>
  <si>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</si>
  <si>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</si>
  <si>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</si>
  <si>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</si>
  <si>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</si>
  <si>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</si>
  <si>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</si>
  <si>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</si>
  <si>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</si>
  <si>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</si>
  <si>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</si>
  <si>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</si>
  <si>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</si>
  <si>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</si>
  <si>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</si>
  <si>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</si>
  <si>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</si>
  <si>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</si>
  <si>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</si>
  <si>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</si>
  <si>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</si>
  <si>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</si>
  <si>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</si>
  <si>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</si>
  <si>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</si>
  <si>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</si>
  <si>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</si>
  <si>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</si>
  <si>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</si>
  <si>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</si>
  <si>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</si>
  <si>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</si>
  <si>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</si>
  <si>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</si>
  <si>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</si>
  <si>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</si>
  <si>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</si>
  <si>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</si>
  <si>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</si>
  <si>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</si>
  <si>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</si>
  <si>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</si>
  <si>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</si>
  <si>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</si>
  <si>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</si>
  <si>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</si>
  <si>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</si>
  <si>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953 Департамент образования Администрации Тутаевского муниципального района</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</si>
  <si>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</si>
  <si>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</si>
  <si>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</si>
  <si>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</si>
  <si>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</si>
  <si>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</si>
  <si>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2 02 03033 05 0000 151</t>
  </si>
  <si>
    <t>Субвенции бюджетам муниципальных районов на оздоровление детей</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</si>
  <si>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</si>
  <si>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</si>
  <si>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</si>
  <si>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</si>
  <si>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</si>
  <si>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</si>
  <si>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</si>
  <si>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</si>
  <si>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</si>
  <si>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</si>
  <si>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</si>
  <si>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</si>
  <si>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</si>
  <si>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</si>
  <si>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</si>
  <si>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</si>
  <si>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</si>
  <si>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</si>
  <si>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</si>
  <si>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01 02 00 00 05 0000 710</t>
  </si>
  <si>
    <t>01 02 00 00 05 0000 810</t>
  </si>
  <si>
    <t>Получение кредитов от других бюджетов бюджетной системы Российской Федерации бюджетом муниципального района в валюте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</si>
  <si>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</si>
  <si>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Сумма, руб.</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</si>
  <si>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</si>
  <si>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</si>
  <si>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</si>
  <si>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</si>
  <si>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</si>
  <si>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</si>
  <si>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</si>
  <si>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</si>
  <si>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</si>
  <si>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</si>
  <si>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</si>
  <si>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</si>
  <si>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</si>
  <si>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</si>
  <si>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</si>
  <si>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</si>
  <si>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</si>
  <si>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</si>
  <si>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</si>
  <si>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</si>
  <si>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</si>
  <si>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</si>
  <si>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</si>
  <si>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</si>
  <si>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</si>
  <si>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</si>
  <si>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</si>
  <si>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</si>
  <si>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</si>
  <si>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</si>
  <si>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</si>
  <si>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</si>
  <si>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</si>
  <si>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</si>
  <si>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</si>
  <si>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</si>
  <si>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</si>
  <si>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</si>
  <si>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</si>
  <si>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</si>
  <si>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</si>
  <si>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</si>
  <si>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</si>
  <si>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</si>
  <si>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</si>
  <si>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</si>
  <si>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</si>
  <si>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</si>
  <si>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</si>
  <si>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</si>
  <si>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</si>
  <si>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</si>
  <si>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</si>
  <si>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</si>
  <si>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</si>
  <si>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</si>
  <si>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</si>
  <si>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</si>
  <si>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</si>
  <si>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</si>
  <si>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</si>
  <si>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</si>
  <si>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</si>
  <si>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</si>
  <si>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</si>
  <si>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</si>
  <si>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</si>
  <si>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</si>
  <si>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</si>
  <si>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</si>
  <si>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</si>
  <si>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</si>
  <si>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</si>
  <si>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</si>
  <si>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</si>
  <si>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</si>
  <si>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</si>
  <si>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</si>
  <si>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</si>
  <si>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</si>
  <si>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</si>
  <si>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</si>
  <si>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</si>
  <si>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</si>
  <si>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</si>
  <si>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</si>
  <si>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</si>
  <si>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</si>
  <si>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</si>
  <si>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</si>
  <si>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</si>
  <si>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</si>
  <si>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</si>
  <si>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</si>
  <si>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</si>
  <si>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</si>
  <si>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</si>
  <si>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</si>
  <si>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</si>
  <si>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</si>
  <si>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</si>
  <si>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</si>
  <si>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</si>
  <si>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</si>
  <si>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</si>
  <si>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</si>
  <si>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</si>
  <si>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</si>
  <si>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</si>
  <si>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</si>
  <si>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</si>
  <si>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</si>
  <si>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</si>
  <si>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</si>
  <si>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</si>
  <si>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</si>
  <si>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</si>
  <si>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</si>
  <si>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</si>
  <si>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</si>
  <si>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</si>
  <si>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</si>
  <si>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</si>
  <si>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</si>
  <si>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</si>
  <si>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</si>
  <si>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</si>
  <si>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</si>
  <si>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</si>
  <si>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</si>
  <si>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</si>
  <si>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</si>
  <si>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</si>
  <si>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</si>
  <si>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</si>
  <si>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</si>
  <si>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</si>
  <si>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</si>
  <si>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</si>
  <si>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</si>
  <si>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</si>
  <si>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</si>
  <si>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</si>
  <si>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</si>
  <si>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</si>
  <si>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</si>
  <si>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</si>
  <si>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</si>
  <si>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</si>
  <si>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</si>
  <si>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</si>
  <si>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</si>
  <si>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</si>
  <si>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</si>
  <si>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</si>
  <si>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</si>
  <si>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</si>
  <si>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</si>
  <si>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</si>
  <si>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</si>
  <si>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</si>
  <si>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</si>
  <si>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</si>
  <si>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</si>
  <si>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</si>
  <si>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</si>
  <si>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</si>
  <si>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</si>
  <si>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</si>
  <si>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</si>
  <si>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</si>
  <si>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</si>
  <si>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</si>
  <si>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</si>
  <si>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</si>
  <si>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</si>
  <si>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</si>
  <si>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</si>
  <si>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</si>
  <si>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</si>
  <si>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</si>
  <si>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</si>
  <si>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</si>
  <si>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</si>
  <si>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</si>
  <si>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</si>
  <si>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</si>
  <si>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</si>
  <si>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</si>
  <si>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</si>
  <si>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</si>
  <si>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</si>
  <si>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</si>
  <si>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</si>
  <si>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</si>
  <si>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</si>
  <si>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</si>
  <si>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</si>
  <si>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</si>
  <si>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</si>
  <si>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</si>
  <si>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</si>
  <si>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</si>
  <si>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</si>
  <si>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</si>
  <si>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</si>
  <si>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</si>
  <si>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</si>
  <si>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</si>
  <si>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</si>
  <si>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</si>
  <si>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</si>
  <si>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</si>
  <si>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</si>
  <si>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</si>
  <si>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</si>
  <si>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</si>
  <si>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</si>
  <si>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</si>
  <si>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</si>
  <si>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</si>
  <si>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</si>
  <si>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</si>
  <si>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</si>
  <si>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</si>
  <si>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</si>
  <si>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</si>
  <si>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</si>
  <si>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</si>
  <si>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</si>
  <si>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</si>
  <si>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</si>
  <si>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</si>
  <si>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</si>
  <si>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</si>
  <si>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</si>
  <si>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</si>
  <si>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</si>
  <si>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</si>
  <si>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</si>
  <si>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</si>
  <si>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</si>
  <si>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</si>
  <si>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</si>
  <si>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</si>
  <si>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</si>
  <si>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</si>
  <si>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</si>
  <si>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</si>
  <si>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</si>
  <si>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</si>
  <si>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</si>
  <si>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</si>
  <si>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</si>
  <si>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</si>
  <si>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</si>
  <si>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</si>
  <si>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</si>
  <si>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</si>
  <si>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</si>
  <si>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</si>
  <si>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</si>
  <si>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</si>
  <si>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</si>
  <si>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</si>
  <si>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</si>
  <si>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</si>
  <si>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</si>
  <si>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</si>
  <si>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</si>
  <si>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</si>
  <si>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</si>
  <si>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</si>
  <si>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</si>
  <si>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</si>
  <si>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</si>
  <si>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</si>
  <si>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</si>
  <si>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</si>
  <si>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</si>
  <si>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</si>
  <si>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</si>
  <si>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</si>
  <si>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</si>
  <si>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</si>
  <si>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</si>
  <si>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</si>
  <si>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</si>
  <si>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</si>
  <si>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</si>
  <si>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</si>
  <si>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</si>
  <si>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</si>
  <si>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</si>
  <si>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</si>
  <si>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</si>
  <si>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</si>
  <si>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</si>
  <si>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</si>
  <si>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</si>
  <si>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</si>
  <si>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</si>
  <si>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</si>
  <si>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</si>
  <si>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</si>
  <si>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</si>
  <si>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</si>
  <si>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</si>
  <si>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</si>
  <si>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</si>
  <si>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</si>
  <si>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</si>
  <si>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</si>
  <si>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</si>
  <si>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</si>
  <si>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</si>
  <si>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</si>
  <si>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</si>
  <si>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</si>
  <si>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</si>
  <si>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</si>
  <si>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</si>
  <si>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</si>
  <si>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</si>
  <si>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</si>
  <si>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</si>
  <si>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</si>
  <si>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</si>
  <si>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</si>
  <si>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</si>
  <si>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</si>
  <si>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</si>
  <si>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Прочие неналоговые доходы бюджетов муниципальных районов</t>
  </si>
  <si>
    <t>2 18 05010 05 0000 180</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</si>
  <si>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</si>
  <si>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</si>
  <si>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2 02 02999 05 0000 151</t>
  </si>
  <si>
    <t>Прочие субсидии бюджетам муниципальных районов</t>
  </si>
  <si>
    <t>2 02 03003 05 0000 151</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</si>
  <si>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</si>
  <si>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</si>
  <si>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</si>
  <si>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</si>
  <si>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</si>
  <si>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</si>
  <si>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</si>
  <si>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</si>
  <si>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</si>
  <si>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</si>
  <si>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</si>
  <si>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</si>
  <si>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</si>
  <si>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</si>
  <si>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</si>
  <si>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</si>
  <si>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</si>
  <si>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</si>
  <si>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</si>
  <si>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</si>
  <si>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</si>
  <si>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</si>
  <si>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</si>
  <si>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</si>
  <si>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</si>
  <si>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</si>
  <si>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</si>
  <si>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</si>
  <si>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</si>
  <si>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</si>
  <si>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</si>
  <si>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</si>
  <si>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</si>
  <si>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</si>
  <si>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</si>
  <si>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</si>
  <si>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</si>
  <si>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</si>
  <si>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</si>
  <si>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</si>
  <si>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</si>
  <si>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</si>
  <si>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</si>
  <si>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</si>
  <si>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</si>
  <si>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</si>
  <si>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</si>
  <si>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</si>
  <si>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</si>
  <si>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</si>
  <si>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</si>
  <si>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</si>
  <si>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</si>
  <si>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реализацию отдельных полномочий в сфере законодательства об административных правонарушениях</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</si>
  <si>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</si>
  <si>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</si>
  <si>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</si>
  <si>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</si>
  <si>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</si>
  <si>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</si>
  <si>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</si>
  <si>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958 Департамент жилищно- коммунального хозяйства и строительства Администрации Тутаевского муниципального района</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</si>
  <si>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</si>
  <si>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</si>
  <si>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</si>
  <si>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</si>
  <si>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</si>
  <si>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</si>
  <si>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</si>
  <si>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</si>
  <si>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</si>
  <si>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</si>
  <si>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</si>
  <si>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</si>
  <si>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</si>
  <si>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</si>
  <si>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</si>
  <si>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</si>
  <si>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</si>
  <si>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</si>
  <si>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</si>
  <si>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</si>
  <si>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</si>
  <si>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</si>
  <si>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</si>
  <si>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</si>
  <si>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</si>
  <si>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</si>
  <si>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</si>
  <si>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</si>
  <si>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</si>
  <si>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</si>
  <si>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</si>
  <si>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</si>
  <si>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</si>
  <si>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</si>
  <si>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</si>
  <si>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</si>
  <si>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</si>
  <si>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</si>
  <si>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</si>
  <si>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</si>
  <si>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</si>
  <si>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</si>
  <si>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</si>
  <si>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</si>
  <si>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</si>
  <si>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</si>
  <si>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</si>
  <si>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</si>
  <si>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</si>
  <si>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</si>
  <si>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</si>
  <si>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</si>
  <si>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</si>
  <si>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</si>
  <si>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</si>
  <si>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</si>
  <si>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</si>
  <si>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</si>
  <si>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</si>
  <si>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</si>
  <si>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</si>
  <si>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</si>
  <si>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</si>
  <si>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</si>
  <si>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</si>
  <si>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</si>
  <si>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</si>
  <si>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</si>
  <si>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2 02 02008 05 0000 151</t>
  </si>
  <si>
    <t xml:space="preserve">Субсидии бюджетам муниципальных районов на обеспечение жильем молодых семей </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</si>
  <si>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</si>
  <si>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</si>
  <si>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</si>
  <si>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</si>
  <si>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</si>
  <si>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</si>
  <si>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 xml:space="preserve">Доходы бюджетов муниципальных районов от возврата бюджетными учреждениями остатков субсидий прошлых лет </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</si>
  <si>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</si>
  <si>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</si>
  <si>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</si>
  <si>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</si>
  <si>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</si>
  <si>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</si>
  <si>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Приложение 9</t>
  </si>
  <si>
    <t>Приложение 10</t>
  </si>
  <si>
    <t>2-я редакция</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</si>
  <si>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</si>
  <si>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</si>
  <si>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</si>
  <si>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</si>
  <si>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</si>
  <si>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</si>
  <si>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</si>
  <si>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</si>
  <si>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</si>
  <si>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</si>
  <si>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</si>
  <si>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</si>
  <si>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</si>
  <si>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</si>
  <si>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</si>
  <si>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</si>
  <si>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</si>
  <si>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</si>
  <si>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</si>
  <si>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</si>
  <si>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</si>
  <si>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</si>
  <si>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</si>
  <si>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</si>
  <si>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</si>
  <si>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</si>
  <si>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</si>
  <si>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</si>
  <si>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</si>
  <si>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</si>
  <si>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</si>
  <si>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</si>
  <si>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</si>
  <si>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</si>
  <si>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</si>
  <si>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</si>
  <si>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</si>
  <si>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</si>
  <si>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</si>
  <si>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</si>
  <si>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</si>
  <si>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</si>
  <si>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</si>
  <si>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</si>
  <si>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</si>
  <si>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</si>
  <si>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</si>
  <si>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</si>
  <si>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01 06 01 00 00 0000 630</t>
  </si>
  <si>
    <t>Средства от продажи акций и иных форм участия в капитале, находящихся в государственной и муниципальной собственности</t>
  </si>
  <si>
    <t xml:space="preserve">Областная целевая программа "Социальное развитие села до 2012 года" </t>
  </si>
  <si>
    <t>Приложение 11</t>
  </si>
  <si>
    <t>1. Дотация на выравнивание бюджетной обеспеченности поселений Тутаевского муниципального района</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</si>
  <si>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</si>
  <si>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</si>
  <si>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</si>
  <si>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</si>
  <si>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</si>
  <si>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</si>
  <si>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</si>
  <si>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</si>
  <si>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</si>
  <si>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</si>
  <si>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</si>
  <si>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</si>
  <si>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</si>
  <si>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</si>
  <si>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</si>
  <si>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</si>
  <si>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</si>
  <si>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</si>
  <si>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</si>
  <si>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</si>
  <si>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</si>
  <si>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</si>
  <si>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</si>
  <si>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</si>
  <si>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</si>
  <si>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</si>
  <si>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</si>
  <si>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</si>
  <si>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</si>
  <si>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</si>
  <si>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</si>
  <si>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</si>
  <si>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</si>
  <si>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</si>
  <si>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</si>
  <si>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</si>
  <si>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</si>
  <si>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</si>
  <si>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</si>
  <si>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</si>
  <si>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</si>
  <si>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</si>
  <si>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</si>
  <si>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</si>
  <si>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</si>
  <si>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</si>
  <si>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</si>
  <si>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</si>
  <si>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</si>
  <si>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</si>
  <si>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</si>
  <si>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</si>
  <si>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</si>
  <si>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</si>
  <si>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</si>
  <si>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</si>
  <si>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</si>
  <si>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</si>
  <si>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</si>
  <si>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</si>
  <si>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</si>
  <si>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</si>
  <si>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</si>
  <si>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</si>
  <si>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</si>
  <si>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</si>
  <si>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</si>
  <si>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</si>
  <si>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</si>
  <si>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</si>
  <si>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</si>
  <si>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</si>
  <si>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</si>
  <si>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</si>
  <si>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</si>
  <si>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</si>
  <si>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</si>
  <si>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</si>
  <si>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</si>
  <si>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</si>
  <si>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</si>
  <si>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</si>
  <si>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</si>
  <si>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</si>
  <si>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</si>
  <si>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</si>
  <si>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</si>
  <si>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</si>
  <si>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</si>
  <si>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</si>
  <si>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</si>
  <si>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</si>
  <si>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</si>
  <si>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</si>
  <si>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</si>
  <si>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</si>
  <si>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</si>
  <si>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</si>
  <si>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</si>
  <si>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</si>
  <si>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</si>
  <si>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</si>
  <si>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</si>
  <si>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</si>
  <si>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</si>
  <si>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</si>
  <si>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</si>
  <si>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</si>
  <si>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</si>
  <si>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</si>
  <si>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</si>
  <si>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</si>
  <si>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</si>
  <si>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</si>
  <si>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</si>
  <si>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</si>
  <si>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</si>
  <si>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</si>
  <si>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</si>
  <si>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</si>
  <si>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</si>
  <si>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</si>
  <si>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</si>
  <si>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</si>
  <si>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</si>
  <si>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</si>
  <si>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</si>
  <si>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</si>
  <si>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</si>
  <si>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</si>
  <si>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</si>
  <si>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</si>
  <si>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</si>
  <si>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</si>
  <si>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</si>
  <si>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</si>
  <si>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</si>
  <si>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</si>
  <si>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</si>
  <si>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</si>
  <si>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</si>
  <si>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</si>
  <si>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</si>
  <si>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</si>
  <si>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</si>
  <si>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</si>
  <si>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</si>
  <si>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</si>
  <si>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</si>
  <si>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</si>
  <si>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</si>
  <si>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</si>
  <si>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</si>
  <si>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</si>
  <si>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</si>
  <si>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</si>
  <si>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</si>
  <si>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</si>
  <si>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</si>
  <si>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</si>
  <si>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</si>
  <si>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</si>
  <si>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</si>
  <si>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</si>
  <si>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</si>
  <si>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</si>
  <si>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</si>
  <si>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</si>
  <si>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</si>
  <si>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</si>
  <si>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</si>
  <si>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</si>
  <si>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</si>
  <si>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</si>
  <si>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</si>
  <si>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</si>
  <si>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</si>
  <si>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</si>
  <si>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</si>
  <si>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</si>
  <si>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</si>
  <si>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</si>
  <si>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</si>
  <si>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</si>
  <si>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</si>
  <si>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</si>
  <si>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</si>
  <si>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</si>
  <si>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</si>
  <si>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</si>
  <si>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</si>
  <si>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</si>
  <si>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</si>
  <si>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</si>
  <si>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</si>
  <si>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</si>
  <si>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</si>
  <si>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</si>
  <si>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</si>
  <si>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</si>
  <si>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</si>
  <si>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</si>
  <si>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</si>
  <si>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</si>
  <si>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</si>
  <si>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</si>
  <si>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</si>
  <si>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</si>
  <si>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</si>
  <si>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</si>
  <si>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</si>
  <si>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</si>
  <si>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</si>
  <si>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</si>
  <si>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2 02 03024 05 0000 151</t>
  </si>
  <si>
    <t>Субвенции бюджетам муниципальных районов на выполнение передаваемых полномочий субъектов Российской Федерации</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</si>
  <si>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</si>
  <si>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</si>
  <si>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</si>
  <si>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</si>
  <si>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</si>
  <si>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</si>
  <si>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</si>
  <si>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</si>
  <si>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1 11 09045 05 0000 120</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</si>
  <si>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</si>
  <si>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</si>
  <si>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</si>
  <si>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</si>
  <si>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</si>
  <si>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</si>
  <si>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</si>
  <si>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</si>
  <si>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</si>
  <si>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</si>
  <si>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</si>
  <si>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</si>
  <si>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</si>
  <si>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</si>
  <si>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</si>
  <si>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</si>
  <si>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</si>
  <si>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</si>
  <si>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</si>
  <si>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</si>
  <si>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</si>
  <si>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</si>
  <si>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</si>
  <si>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</si>
  <si>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</si>
  <si>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</si>
  <si>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</si>
  <si>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</si>
  <si>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</si>
  <si>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</si>
  <si>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</si>
  <si>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</si>
  <si>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</si>
  <si>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</si>
  <si>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</si>
  <si>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</si>
  <si>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</si>
  <si>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</si>
  <si>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</si>
  <si>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</si>
  <si>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</si>
  <si>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</si>
  <si>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</si>
  <si>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</si>
  <si>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</si>
  <si>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</si>
  <si>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</si>
  <si>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</si>
  <si>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</si>
  <si>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</si>
  <si>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</si>
  <si>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</si>
  <si>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</si>
  <si>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</si>
  <si>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</si>
  <si>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</si>
  <si>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</si>
  <si>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</si>
  <si>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</si>
  <si>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</si>
  <si>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</si>
  <si>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</si>
  <si>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</si>
  <si>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</si>
  <si>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</si>
  <si>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</si>
  <si>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</si>
  <si>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</si>
  <si>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</si>
  <si>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</si>
  <si>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</si>
  <si>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</si>
  <si>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</si>
  <si>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</si>
  <si>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</si>
  <si>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</si>
  <si>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</si>
  <si>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</si>
  <si>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</si>
  <si>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</si>
  <si>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</si>
  <si>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</si>
  <si>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</si>
  <si>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</si>
  <si>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</si>
  <si>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</si>
  <si>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</si>
  <si>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</si>
  <si>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</si>
  <si>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</si>
  <si>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</si>
  <si>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</si>
  <si>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</si>
  <si>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</si>
  <si>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</si>
  <si>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</si>
  <si>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</si>
  <si>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</si>
  <si>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</si>
  <si>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</si>
  <si>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</si>
  <si>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</si>
  <si>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</si>
  <si>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</si>
  <si>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</si>
  <si>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</si>
  <si>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</si>
  <si>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</si>
  <si>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</si>
  <si>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</si>
  <si>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</si>
  <si>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</si>
  <si>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</si>
  <si>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</si>
  <si>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</si>
  <si>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</si>
  <si>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</si>
  <si>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</si>
  <si>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</si>
  <si>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</si>
  <si>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</si>
  <si>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</si>
  <si>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</si>
  <si>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01 05 02 01 05 0000 510</t>
  </si>
  <si>
    <t>01 05 02 01 05 0000 610</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</si>
  <si>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</si>
  <si>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</si>
  <si>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</si>
  <si>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</si>
  <si>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 xml:space="preserve">2 02 02009 05 0000 151 </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</si>
  <si>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</si>
  <si>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</si>
  <si>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</si>
  <si>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</si>
  <si>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</si>
  <si>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</si>
  <si>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</si>
  <si>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</si>
  <si>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</si>
  <si>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</si>
  <si>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</si>
  <si>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</si>
  <si>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</si>
  <si>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</si>
  <si>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</si>
  <si>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</si>
  <si>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</si>
  <si>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</si>
  <si>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</si>
  <si>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</si>
  <si>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</si>
  <si>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</si>
  <si>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</si>
  <si>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</si>
  <si>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</si>
  <si>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</si>
  <si>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</si>
  <si>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</si>
  <si>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</si>
  <si>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2 18 05030 05 0000 180</t>
  </si>
  <si>
    <t xml:space="preserve">Доходы бюджетов муниципальных районов от возврата иными организациями остатков субсидий прошлых лет </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</si>
  <si>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</si>
  <si>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</si>
  <si>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</si>
  <si>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</si>
  <si>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</si>
  <si>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</si>
  <si>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</si>
  <si>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</si>
  <si>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</si>
  <si>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</si>
  <si>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</si>
  <si>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</si>
  <si>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</si>
  <si>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</si>
  <si>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</si>
  <si>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</si>
  <si>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</si>
  <si>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</si>
  <si>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</si>
  <si>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</si>
  <si>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</si>
  <si>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</si>
  <si>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</si>
  <si>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Приложение 19</t>
  </si>
  <si>
    <t>Приложение 18</t>
  </si>
  <si>
    <t>7-я редакция</t>
  </si>
  <si>
    <t>Приложение 20</t>
  </si>
  <si>
    <t>Распределение иных межбюджетных трансфертов  бюджетам поселений Тутаевского муниципального района на 2013 год</t>
  </si>
  <si>
    <t>Приложение 21</t>
  </si>
  <si>
    <t>Приложение 22</t>
  </si>
  <si>
    <t>№</t>
  </si>
  <si>
    <t>Наименование программы</t>
  </si>
  <si>
    <t>Сумма                    (руб.)</t>
  </si>
  <si>
    <t>Код ведомственной классификации</t>
  </si>
  <si>
    <t>(руб.)</t>
  </si>
  <si>
    <t xml:space="preserve">Перечень ведомственных целевых программ  на 2013 год </t>
  </si>
  <si>
    <t>Перечень ведомственных целевых программ  на плановый период 2014-2015 годов</t>
  </si>
  <si>
    <t>2015 год</t>
  </si>
  <si>
    <t>Приложение 6</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</si>
  <si>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</si>
  <si>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</si>
  <si>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Субсидии бюджетам субъектов Российской Федерации и муниципальных образований (межбюджетные субсидии)</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</si>
  <si>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</si>
  <si>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</si>
  <si>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956</t>
  </si>
  <si>
    <t>Субсидия на компенсацию части затрат по организации внутримуниципального сообщения водным транспортом с использованием переправ</t>
  </si>
  <si>
    <t>953</t>
  </si>
  <si>
    <t>950</t>
  </si>
  <si>
    <t>954</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</si>
  <si>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</si>
  <si>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10</t>
  </si>
  <si>
    <t xml:space="preserve">Главные администраторы доходов бюджета Тутаевского муниципального района </t>
  </si>
  <si>
    <t>Главные администраторы источнков финансирования дефицита бюджета Тутаевского муниципального района</t>
  </si>
  <si>
    <t xml:space="preserve">2 02 02077 05 0000 151 </t>
  </si>
  <si>
    <t>2 02 02051 05 0000 151</t>
  </si>
  <si>
    <t>Субсидии бюджетам муниципальных районов на реализацию федеральных целевых программ</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</si>
  <si>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</si>
  <si>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</si>
  <si>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</si>
  <si>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</si>
  <si>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</si>
  <si>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</si>
  <si>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</si>
  <si>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</si>
  <si>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</si>
  <si>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1 14 06013 10 0000 430</t>
  </si>
  <si>
    <t>1 11 05013 10 0000 120</t>
  </si>
  <si>
    <t>1 14 02053 05 0000 410</t>
  </si>
  <si>
    <t>1 14 02053 05 0000 440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</si>
  <si>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</si>
  <si>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Прочие доходы от оказания платных услуг (работ) получателями средств бюджетов муниципальных районов </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</si>
  <si>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</si>
  <si>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</si>
  <si>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Всего, руб.</t>
  </si>
  <si>
    <t>в том числе:  из районного фонда финансовой поддержки поселений</t>
  </si>
  <si>
    <t>2014 год        ( руб.)</t>
  </si>
  <si>
    <t>1. Межбюджетные трансферты на</t>
  </si>
  <si>
    <t>2015 год        ( руб.)</t>
  </si>
  <si>
    <t>Распределение иных межбюджетных трансфертов  бюджетам поселений Тутаевского муниципального района на плановый период 2014 - 2015 годов</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</si>
  <si>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</si>
  <si>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</si>
  <si>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Перечень муниципальных целевых программ на плановый период 2014-2015 годов</t>
  </si>
  <si>
    <t>2014 год                    (руб.)</t>
  </si>
  <si>
    <t>2015 год                     (руб.)</t>
  </si>
  <si>
    <t>Перечень муниципальных целевых программ на 2013 год</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</si>
  <si>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</si>
  <si>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</si>
  <si>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</si>
  <si>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</si>
  <si>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</si>
  <si>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</si>
  <si>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</si>
  <si>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</si>
  <si>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</si>
  <si>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</si>
  <si>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</si>
  <si>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</si>
  <si>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</si>
  <si>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</si>
  <si>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</si>
  <si>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</si>
  <si>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Поддержка жилищного хохяйства</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</si>
  <si>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</si>
  <si>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</si>
  <si>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</si>
  <si>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</si>
  <si>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</si>
  <si>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</si>
  <si>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</si>
  <si>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</si>
  <si>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</si>
  <si>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</si>
  <si>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</si>
  <si>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</si>
  <si>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</si>
  <si>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</si>
  <si>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</si>
  <si>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</si>
  <si>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</si>
  <si>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</si>
  <si>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</si>
  <si>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</si>
  <si>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</si>
  <si>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</si>
  <si>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</si>
  <si>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</si>
  <si>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</si>
  <si>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</si>
  <si>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</si>
  <si>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</si>
  <si>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</si>
  <si>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</si>
  <si>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</si>
  <si>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</si>
  <si>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</si>
  <si>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</si>
  <si>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</si>
  <si>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</si>
  <si>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</si>
  <si>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</si>
  <si>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</si>
  <si>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</si>
  <si>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</si>
  <si>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</si>
  <si>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</si>
  <si>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</si>
  <si>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</si>
  <si>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</si>
  <si>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</si>
  <si>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</si>
  <si>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</si>
  <si>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</si>
  <si>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Чебаковское  сельское поселение</t>
  </si>
  <si>
    <t>Левобережное  сельское поселение</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</si>
  <si>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</si>
  <si>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</si>
  <si>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</si>
  <si>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</si>
  <si>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</si>
  <si>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</si>
  <si>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</si>
  <si>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</si>
  <si>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</si>
  <si>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</si>
  <si>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2013 год (руб.)</t>
  </si>
  <si>
    <t>ВСЕГО</t>
  </si>
  <si>
    <r>
      <t xml:space="preserve">1. </t>
    </r>
    <r>
      <rPr>
        <b/>
        <sz val="12"/>
        <rFont val="Times New Roman"/>
        <family val="1"/>
        <charset val="204"/>
      </rPr>
      <t>Кредиты кредитных организаций</t>
    </r>
  </si>
  <si>
    <r>
      <t xml:space="preserve">        </t>
    </r>
    <r>
      <rPr>
        <sz val="12"/>
        <rFont val="Times New Roman"/>
        <family val="1"/>
        <charset val="204"/>
      </rPr>
      <t>Получение</t>
    </r>
  </si>
  <si>
    <t>3. Информация об объеме и структуре муниципального долга Тутаевского муниципального района</t>
  </si>
  <si>
    <t xml:space="preserve">Приложение 20 </t>
  </si>
  <si>
    <t xml:space="preserve">Приложение 21 </t>
  </si>
  <si>
    <t>Приложение 23</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</si>
  <si>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</si>
  <si>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</si>
  <si>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</si>
  <si>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</si>
  <si>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</si>
  <si>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</si>
  <si>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</si>
  <si>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от "20"декабря 2012 г.№ 05-г</t>
  </si>
  <si>
    <t>Адаптация учреждений социального обслуживания населения для обеспечения доступности для инвалидов и других маломобильных групп населения</t>
  </si>
  <si>
    <t>от"20" декабря 2012 г.№05-г</t>
  </si>
  <si>
    <t>от "20" декабря 2012 г. №05-г</t>
  </si>
  <si>
    <t>от "20" декабря 2012г. №05-г</t>
  </si>
  <si>
    <t>Субсидия на оказание (выполнение) муниципальными учреждениями услуг (работ) в сфере молодежной политики</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</si>
  <si>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</si>
  <si>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</si>
  <si>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Субсидия на проведение капитального ремонта муниципальных учреждений культуры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</si>
  <si>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</si>
  <si>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</si>
  <si>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</si>
  <si>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на 01.01.2017</t>
  </si>
  <si>
    <t>Субсидия на реализацию мероприятий по строительству и реконструкции объектов теплоснабжения и газификации</t>
  </si>
  <si>
    <t>Субвенция на оплату жилищно -  коммунальных услуг отдельным категориям граждан за счет средств федерального бюджета</t>
  </si>
  <si>
    <t>955 01 03 01 00 00 0000 800</t>
  </si>
  <si>
    <t>955 01 03 01 00 05 0000 810</t>
  </si>
  <si>
    <t>01 03 01 00 05 0000 710</t>
  </si>
  <si>
    <t>01 03 01 00 05 0000 810</t>
  </si>
  <si>
    <t>03</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</si>
  <si>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</si>
  <si>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</si>
  <si>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взимаемый в связи с патентной системой налогообложения</t>
  </si>
  <si>
    <t>Доходы от сдачи в аренду имущества, составляющего казну муниципальных районов (за исключением земельных участков)</t>
  </si>
  <si>
    <t>Дотации бюджетов субъектов Российской Федерации 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</si>
  <si>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</si>
  <si>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2 02 04014 05 0000 151 </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</si>
  <si>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</si>
  <si>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</si>
  <si>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</si>
  <si>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2 02 02021 05 0000 151 </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</si>
  <si>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</si>
  <si>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</si>
  <si>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</si>
  <si>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</si>
  <si>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</si>
  <si>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</si>
  <si>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2 02 02109 05 0000 151</t>
  </si>
  <si>
    <t>Субсидии бюджетам муниципальных районов на проведение капитального ремонта многоквартирных домов</t>
  </si>
  <si>
    <t xml:space="preserve">2 02 03090 05 0000 151 </t>
  </si>
  <si>
    <t xml:space="preserve">2 02 02141 05 0000 151 </t>
  </si>
  <si>
    <t xml:space="preserve">2 02 02145 05 0000 151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</si>
  <si>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</si>
  <si>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Субсидии бюджетам муниципальных районов на модернизацию региональных систем общего образования</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</si>
  <si>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</si>
  <si>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</si>
  <si>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</si>
  <si>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</si>
  <si>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</si>
  <si>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</si>
  <si>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</si>
  <si>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</si>
  <si>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</si>
  <si>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</si>
  <si>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</si>
  <si>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Получение кредитов от кредитных организаций бюджетами муниципальных района в валюте Российской Федерации</t>
  </si>
  <si>
    <t>Погашение бюджетами муниципальных района кредитов от кредитных организаций в валюте в Российской Федерации</t>
  </si>
  <si>
    <t>Погашение кредитов от других бюджетов бюджетной системы Российской Федерации  бюджетами муниципальных районов в валюте Российской Федерации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</si>
  <si>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</si>
  <si>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</si>
  <si>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000 01 06 00 00 00 0000 000</t>
  </si>
  <si>
    <t>000 01 05 00 00 00 0000 000</t>
  </si>
  <si>
    <t>000 01 03 00 00 00 0000 000</t>
  </si>
  <si>
    <t>000 01 02 00 00 00 0000 000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</si>
  <si>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</si>
  <si>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2 02 02204 05 0000 151</t>
  </si>
  <si>
    <t>Субсидии бюджетам муниципальных районов на модернизацию региональных систем дошкольного образования</t>
  </si>
  <si>
    <t>Распределение дотаций бюджетам поселений Тутаевского муниципального района  на 2014 год</t>
  </si>
  <si>
    <t>Распределение дотаций бюджетам поселений Тутаевского муниципального района на плановый период 2015-2016 годов</t>
  </si>
  <si>
    <t>Приложение 16</t>
  </si>
  <si>
    <t>Код программы</t>
  </si>
  <si>
    <t>значение</t>
  </si>
  <si>
    <t>Код направления</t>
  </si>
  <si>
    <t>Значение</t>
  </si>
  <si>
    <t>Бюджетные инвестиции в объекты капитального строительства муниципальной собственности</t>
  </si>
  <si>
    <t>Бюджетные инвестиции на приобретение недвижимого имущества в муниципальную собственность</t>
  </si>
  <si>
    <t>Расходы на содержание объектов находящихся в муниципальной собственности</t>
  </si>
  <si>
    <t>Субсидия на возмещение затрат по содержанию и  ремонту муниципальных коммунальных сетей</t>
  </si>
  <si>
    <t>Содержание и ремонт бесхозяйных сетей</t>
  </si>
  <si>
    <t>Расходы на мероприятия по газификации поселений</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</si>
  <si>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</si>
  <si>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</si>
  <si>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</si>
  <si>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на содействие развитию малого и среднего предпринимательства</t>
  </si>
  <si>
    <t>Мероприятия по повышению энергоэффективности и энергосбережению</t>
  </si>
  <si>
    <t>Мероприятия в области градостроительства</t>
  </si>
  <si>
    <t>Мероприятия  направленные  по охрану окружающей среды и природопользования</t>
  </si>
  <si>
    <t>Мероприятия  направленные на развитие агропромышленного комплекса</t>
  </si>
  <si>
    <t>Мероприятия направленные на возмещение части затрат за доставку товаров в отдаленные сельские населенные  пункты</t>
  </si>
  <si>
    <t>Дотации поселениям района  на выравнивание бюджетной обеспеченности</t>
  </si>
  <si>
    <t>Мероприятия по развитию въездного и внутреннего туризма</t>
  </si>
  <si>
    <t>Содержание центрального аппарата</t>
  </si>
  <si>
    <t>Содержание главы муниципального образования</t>
  </si>
  <si>
    <t>Содержание руководителя контрольно-счетной палаты муниципального образования и его заместителей</t>
  </si>
  <si>
    <t>Выполнение других обязательств органов местного самоуправления</t>
  </si>
  <si>
    <t>Оценка недвижимости, признание прав и регулирование отношений по муниципальной собственности</t>
  </si>
  <si>
    <t>Обеспечение деятельности подведомственных учреждений органов местного самоуправления</t>
  </si>
  <si>
    <t>Исполнение судебных актов, актов других органов и должностных лиц, иных документов</t>
  </si>
  <si>
    <t>Расходы на развитие муниципальной службы</t>
  </si>
  <si>
    <t>Расходы на проведение мероприятий по информатизации</t>
  </si>
  <si>
    <t>Расходы на развитие системы муниципального заказа</t>
  </si>
  <si>
    <t>Расходы на поддержку территориального общественного самоуправления и некоммерческих организаций</t>
  </si>
  <si>
    <t xml:space="preserve">Поддержка периодических изданий </t>
  </si>
  <si>
    <t>Процентные платежи по обслуживанию муниципального долга</t>
  </si>
  <si>
    <t>Обеспечение деятельности дошкольных учреждений</t>
  </si>
  <si>
    <t>Расходы на организацию присмотра и ухода за детьми в образовательных учреждениях</t>
  </si>
  <si>
    <t>Обеспечение деятельности общеобразовательных учреждений</t>
  </si>
  <si>
    <t>Обеспечение деятельности учреждений дополнительного образования</t>
  </si>
  <si>
    <t>Обеспечение деятельности прочих учреждений в сфере образования</t>
  </si>
  <si>
    <t>Мероприятия в сфере образования</t>
  </si>
  <si>
    <t>Расходы на обеспечение оздоровления и отдыха детей</t>
  </si>
  <si>
    <t xml:space="preserve">Расходы на оплату стоимости набора продуктов питания в лагерях с дневной формой пребывания детей </t>
  </si>
  <si>
    <t>Расходы на государственную поддержку материально-технической базы образовательных учреждений</t>
  </si>
  <si>
    <t>Расходы на реализацию мероприятий по строительству и реконструкции дошкольных образовательных учреждений</t>
  </si>
  <si>
    <t>Мероприятия в области спорта и физической культуры</t>
  </si>
  <si>
    <t xml:space="preserve">Обеспечение деятельности учреждений в сфере молодежной политики </t>
  </si>
  <si>
    <t>Мероприятия в сфере молодежной политики</t>
  </si>
  <si>
    <t>Расходы на реализацию мероприятий патриотического воспитания молодежи</t>
  </si>
  <si>
    <t>Расходы на укрепление социальной защищенности пожилых людей</t>
  </si>
  <si>
    <t>Обеспечение деятельности учреждений по организации досуга в сфере культуры</t>
  </si>
  <si>
    <t>Расходы на повышение социальной активности пожилых людей в части организации культурных программ</t>
  </si>
  <si>
    <t>Обеспечение деятельности библиотек</t>
  </si>
  <si>
    <t>Обеспечение деятельности прочих учреждений в сфере культуры</t>
  </si>
  <si>
    <t>Мероприятия в сфере культуры</t>
  </si>
  <si>
    <t>Расходы на проведение капитального ремонта муниципальных учреждений культуры</t>
  </si>
  <si>
    <t>Доплаты к пенсиям муниципальных служащих</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</si>
  <si>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</si>
  <si>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</si>
  <si>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</si>
  <si>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Оплата жилищно-коммунальных услуг отдельным категориям граждан за счет средств федерального бюджета</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</si>
  <si>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</si>
  <si>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</si>
  <si>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</si>
  <si>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</si>
  <si>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</si>
  <si>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материально-технической базы образовательных учреждений Ярославской области за счет средств областного бюджета</t>
  </si>
  <si>
    <t>Государственная поддержка опеки и попечительства за счет средств областного бюджета</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</si>
  <si>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</si>
  <si>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</si>
  <si>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</si>
  <si>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Расходы на обеспечение деятельности органов опеки и попечительства за счет средств областного бюджета</t>
  </si>
  <si>
    <t>Расходы на реализацию мероприятий по строительству дошкольных образовательных учреждений за счет средств областного бюджета</t>
  </si>
  <si>
    <t>Расходы на оказание (выполнение) муниципальными учреждениями услуг (работ) в сфере молодежной политики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</si>
  <si>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</si>
  <si>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</si>
  <si>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</si>
  <si>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</si>
  <si>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</si>
  <si>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</si>
  <si>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Денежные выплаты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</si>
  <si>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</si>
  <si>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Оказание социальной помощи отдельным категориям граждан за счет средств областного бюджета</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</si>
  <si>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</si>
  <si>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</si>
  <si>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Расходы на оздоровление и отдых детей за счет средств областного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</si>
  <si>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</si>
  <si>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организацию профильных лагерей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</si>
  <si>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</si>
  <si>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</si>
  <si>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</si>
  <si>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</si>
  <si>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Субсидия на реализацию мероприятий по обеспечению безопасности граждан на водных объектах</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</si>
  <si>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</si>
  <si>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Расходы на финансирование дорожного хозяйства за счет средств областного бюджета</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</si>
  <si>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</si>
  <si>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</si>
  <si>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</si>
  <si>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</si>
  <si>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Мероприятия по повышению энергоэффективности и энергосбережению за счет средств областного бюджета</t>
  </si>
  <si>
    <t>Дотации поселениям Ярославской области на выравнивание бюджетной обеспеченности</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</si>
  <si>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</si>
  <si>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социальную поддержку отдельных категорий граждан в части ежемесячного пособия на ребенка</t>
  </si>
  <si>
    <t xml:space="preserve">Расходы на обеспечение предоставления услуг по дошкольному образованию детей в дошкольных образовательных организациях </t>
  </si>
  <si>
    <t>Расходы на организацию присмотра и ухода за детьми в образовательных организациях</t>
  </si>
  <si>
    <t>Резервные фонды исполнительных органов государственной власти субъектов Российской Федерации</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</si>
  <si>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</si>
  <si>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</si>
  <si>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Межбюджетные трансферты  поселениям района</t>
  </si>
  <si>
    <t xml:space="preserve"> Межбюджетные трансферты</t>
  </si>
  <si>
    <t>Бюджетные инвестиции иным юридическим лицам</t>
  </si>
  <si>
    <t>2. Субсидия на финансирование дорожного хозяйства</t>
  </si>
  <si>
    <t>Распределение субвенций бюджетам поселений Тутаевского муниципального района на плановый период 2015-2016 годов</t>
  </si>
  <si>
    <t>Распределение субвенций бюджетам поселений Тутаевского муниципального района на 2014 год</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</si>
  <si>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</si>
  <si>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</si>
  <si>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Непрограммные расходы бюджета</t>
  </si>
  <si>
    <t>Целевая статья</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</si>
  <si>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</si>
  <si>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</si>
  <si>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капитальный ремонт зданий, возвращенных системе образования и функционирующих дошкольных и общеобразовательных учреждений</t>
  </si>
  <si>
    <t>Предоставление субсидий бюджетным, автономным учреждениям и иным некоммерческим организациям</t>
  </si>
  <si>
    <t>Расходы на обеспечение бесплатным питанием обучающихся муниципальных образовательных учреждений за счет средств областного бюджета</t>
  </si>
  <si>
    <t>Содержание и ремонт  автомобильных дорог общего пользования</t>
  </si>
  <si>
    <t>2014 год                                                                               Сумма, руб.</t>
  </si>
  <si>
    <t>2015 год                                                                               Сумма, руб.</t>
  </si>
  <si>
    <t>2016 год                                                                               Сумма, руб.</t>
  </si>
  <si>
    <t>Направ.</t>
  </si>
  <si>
    <t>Пр-ма</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</si>
  <si>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</si>
  <si>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</si>
  <si>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 xml:space="preserve">2 02 04999 05 0000 151 </t>
  </si>
  <si>
    <t>1.1.</t>
  </si>
  <si>
    <t>1.2</t>
  </si>
  <si>
    <t>1.3</t>
  </si>
  <si>
    <t>2.1</t>
  </si>
  <si>
    <t>2.2</t>
  </si>
  <si>
    <t>3</t>
  </si>
  <si>
    <t>3.1</t>
  </si>
  <si>
    <t>3.2</t>
  </si>
  <si>
    <t>4</t>
  </si>
  <si>
    <t>4.1</t>
  </si>
  <si>
    <t>5</t>
  </si>
  <si>
    <t>5.1</t>
  </si>
  <si>
    <t>6</t>
  </si>
  <si>
    <t>6.1</t>
  </si>
  <si>
    <t>7</t>
  </si>
  <si>
    <t>7.1</t>
  </si>
  <si>
    <t>7.2</t>
  </si>
  <si>
    <t>8</t>
  </si>
  <si>
    <t>8.1</t>
  </si>
  <si>
    <t>9</t>
  </si>
  <si>
    <t>9.1</t>
  </si>
  <si>
    <t>10.1</t>
  </si>
  <si>
    <t>11.1</t>
  </si>
  <si>
    <t>12.1</t>
  </si>
  <si>
    <t>13</t>
  </si>
  <si>
    <t>13.1</t>
  </si>
  <si>
    <t>14.1</t>
  </si>
  <si>
    <t>14.2</t>
  </si>
  <si>
    <t>15</t>
  </si>
  <si>
    <t>15.1</t>
  </si>
  <si>
    <t>15.2</t>
  </si>
  <si>
    <t>16.1</t>
  </si>
  <si>
    <t>40.9</t>
  </si>
  <si>
    <t>99</t>
  </si>
  <si>
    <t>Перечень муниципальных и ведомственных целевых программ на плановый период 2015-2016 годов</t>
  </si>
  <si>
    <t>Распределение субсидий бюджетам поселений Тутаевского муниципального района на плановый период 2015-2016 годов</t>
  </si>
  <si>
    <t>Всего</t>
  </si>
  <si>
    <t>Редакция 1</t>
  </si>
  <si>
    <t>982 МУ Контрольно-счетная палата Тутаевского муниципального района</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</si>
  <si>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</si>
  <si>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</si>
  <si>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3. Объем расходов на обслуживание муниципального долга</t>
  </si>
  <si>
    <t>Организация перевозок больных, нуждающихся в амбулаторном гемодиализе</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</si>
  <si>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</si>
  <si>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</si>
  <si>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</si>
  <si>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дошкольных образовательных организациях</t>
  </si>
  <si>
    <t>100</t>
  </si>
  <si>
    <t>2910</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</si>
  <si>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</si>
  <si>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2906</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</si>
  <si>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</si>
  <si>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 xml:space="preserve">Регулярные платежи за пользование недрами при пользовании недрами на территории Российской Федерации
</t>
  </si>
  <si>
    <t>Расходы на осуществление полномочий на государственную регистрацию актов гражданского состояния</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</si>
  <si>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</si>
  <si>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</si>
  <si>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от "____"___________ 2014 г.№ ______</t>
  </si>
  <si>
    <t>от "____"______________ 2014 г.№ ______</t>
  </si>
  <si>
    <t>от "____"______________ 2014г.№ ______</t>
  </si>
  <si>
    <t>Редакция 2</t>
  </si>
  <si>
    <t>Субсидия на проведение мероприятий по повышению энергоэффективности за счет средств областного бюджета</t>
  </si>
  <si>
    <t>Приложение 14</t>
  </si>
  <si>
    <t>2917</t>
  </si>
  <si>
    <t>Расходы на оборудование социально-значимых объектов сферы образования с целью обеспечения доступности для инвалидов</t>
  </si>
  <si>
    <t>Оплата труда работников сферы образования</t>
  </si>
  <si>
    <t>Оплата труда работников сферы молодежной политики</t>
  </si>
  <si>
    <t>Мероприятия по строительству и реконструкции учреждения социальной защиты</t>
  </si>
  <si>
    <t>Оплата труда работников сферы культуры</t>
  </si>
  <si>
    <t>Расходы на профилактику правонарушений и усиления борьбы с преступностью</t>
  </si>
  <si>
    <t>Приложение 13</t>
  </si>
  <si>
    <t>3-я редакция</t>
  </si>
  <si>
    <t>от "____"______________ 2013 г.№ ______</t>
  </si>
  <si>
    <t>Константиновское  сельское поселение</t>
  </si>
  <si>
    <t>Городское  поселение Тутаев</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</si>
  <si>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</si>
  <si>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Субсидия на реализацию подпрограммы (господдержка граждан, проживающих на территории ЯО в сфере ипотечного жилищного кредитования)</t>
  </si>
  <si>
    <t>Субсидия на проведение мероприятий по повышению энергоэффективности за счет средств федерального бюджета</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</si>
  <si>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</si>
  <si>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Расходы на развитие правовой грамотности и правосознания граждан на территории ЯО</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</si>
  <si>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</si>
  <si>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</si>
  <si>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</si>
  <si>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</si>
  <si>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</si>
  <si>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</si>
  <si>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</si>
  <si>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Савичев</t>
  </si>
  <si>
    <t>J126</t>
  </si>
  <si>
    <t>28.07.2014 16:00:17</t>
  </si>
  <si>
    <t>Пр1</t>
  </si>
  <si>
    <t/>
  </si>
  <si>
    <t xml:space="preserve">2 </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</si>
  <si>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</si>
  <si>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</si>
  <si>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</si>
  <si>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2920</t>
  </si>
  <si>
    <t>Сумма, руб</t>
  </si>
  <si>
    <t>2017 год                                                                               Сумма, руб.</t>
  </si>
  <si>
    <t>на 01.01.2018</t>
  </si>
  <si>
    <t>на 2017 год</t>
  </si>
  <si>
    <t>Субвенция на организацию образовательного процесса в общеобразовательных организациях</t>
  </si>
  <si>
    <t>Приложение 17</t>
  </si>
  <si>
    <t>130</t>
  </si>
  <si>
    <t>Доходы от оказания платных услуг (работ) и компесации затрат государства</t>
  </si>
  <si>
    <t xml:space="preserve">2 02 02008 05 0000 151 </t>
  </si>
  <si>
    <t xml:space="preserve">2 02 02051 05 0000 151 </t>
  </si>
  <si>
    <t>2 02 02088 05 0002 151</t>
  </si>
  <si>
    <t>2 02 02089 05 0002 151</t>
  </si>
  <si>
    <t xml:space="preserve">2 02 02999 05 0000 151 </t>
  </si>
  <si>
    <t>2 02 03011 05 0000 151</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</si>
  <si>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</si>
  <si>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2 02 01999 05 0000 151</t>
  </si>
  <si>
    <t xml:space="preserve">Прочие дотации бюджетам муниципальных районов
</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</si>
  <si>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</si>
  <si>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2901</t>
  </si>
  <si>
    <t>Межбюджетные трансферты на обеспечение мероприятий по  предупреждению и ликвидации последствий чрезвычайных ситуаций в границах поселения</t>
  </si>
  <si>
    <t>2907</t>
  </si>
  <si>
    <t>Межбюджетные трансферты на обеспечение мероприятий в сфере ипотечного жилищного кредитования</t>
  </si>
  <si>
    <t>2915</t>
  </si>
  <si>
    <t xml:space="preserve">Межбюджетные трансферты на обеспечение мероприятий по строительству и реконструкции объектов теплоснабжения </t>
  </si>
  <si>
    <t xml:space="preserve">Межбюджетные трансферты на обеспечение мероприятий по строительству и реконструкции  объектов  газификации </t>
  </si>
  <si>
    <t>Межбюджетные трансферты на обеспечение   мероприятий в области  дорожного хозяйства  по повышению безопасности дорожного движения</t>
  </si>
  <si>
    <t>Межбюджетные трансферты на обеспечение мероприятий по уличному освещению</t>
  </si>
  <si>
    <t>Межбюджетные трансферты на обеспечение мероприятий по техническому содержанию, текущему и капитальному ремонту сетей уличного освещения</t>
  </si>
  <si>
    <t>Межбюджетные трансферты на обеспечение мероприятий в области благоустройства</t>
  </si>
  <si>
    <t>Межбюджетные трансферты на обеспечение мероприятий по организации населению услуг бань  в общих отделениях</t>
  </si>
  <si>
    <t>Ведомственная целевая программа «Молодежь»</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</si>
  <si>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</si>
  <si>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Муниципальная целевая программа «Комплексные меры противодействия злоупотреблению наркотиками и их незаконному обороту»</t>
  </si>
  <si>
    <t>Ведомственная целевая программа «Сохранение и развитие культуры Тутаевского муниципального района»</t>
  </si>
  <si>
    <t>Муниципальная целевая программа «Развитие въездного и внутреннего туризма на территории Тутаевского муниципального района»</t>
  </si>
  <si>
    <t xml:space="preserve">Ведомственная целевая программа департамента образования Администрации Тутаевского муниципального района </t>
  </si>
  <si>
    <t>Муниципальная целевая программа "Развитие физической культуры и спорта в Тутаевском муниципальном районе"</t>
  </si>
  <si>
    <t xml:space="preserve">Ведомственная целевая программа «Социальная поддержка населения Тутаевского муниципального района» </t>
  </si>
  <si>
    <t>Муниципальная целевая программа «Повышение безопасности дорожного движения на территории Тутаевского муниципального района»</t>
  </si>
  <si>
    <t>Муниципальная целевая программа «Сохранность автомобильных дорог общего пользования Тутаевского муниципального района»</t>
  </si>
  <si>
    <t>Муниципальная целевая программа «Развитие субъектов малого и среднего предпринимательства Тутаевского муниципального района»</t>
  </si>
  <si>
    <t>Муниципальная целевая программа "Развитие системы муниципальных закупок в Тутаевском муниципальном районе"</t>
  </si>
  <si>
    <t>Программа развития муниципальной службы в Тутаевском муниципальном районе</t>
  </si>
  <si>
    <t>1.4</t>
  </si>
  <si>
    <t>1.5</t>
  </si>
  <si>
    <t>2.4</t>
  </si>
  <si>
    <t>2.5</t>
  </si>
  <si>
    <t>5.2</t>
  </si>
  <si>
    <t>5.3</t>
  </si>
  <si>
    <t>9.2</t>
  </si>
  <si>
    <t>9.3</t>
  </si>
  <si>
    <t>9.4</t>
  </si>
  <si>
    <t>10.2</t>
  </si>
  <si>
    <t>10.3</t>
  </si>
  <si>
    <t>Субсидия топливным предприятиям на возмещение части затрат по обеспечению населения твердым топливом</t>
  </si>
  <si>
    <t>Расходы на реализацию МЦП "Духовно - нравственное воспитание и просвещение населения ТМР"</t>
  </si>
  <si>
    <t>Расходы на оборудование социально значимых объектов с целью обеспечения доступности для инвалидов</t>
  </si>
  <si>
    <t xml:space="preserve">2 02 02019 05 0000 151 </t>
  </si>
  <si>
    <t xml:space="preserve">Субсидии бюджетам муниципальных районов на реализацию программ поддержки социально ориентированных некоммерческих организаций
</t>
  </si>
  <si>
    <t>2902</t>
  </si>
  <si>
    <t>2905</t>
  </si>
  <si>
    <t>2909</t>
  </si>
  <si>
    <t>2916</t>
  </si>
  <si>
    <t>2918</t>
  </si>
  <si>
    <t>2923</t>
  </si>
  <si>
    <t>2924</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</si>
  <si>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</si>
  <si>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</si>
  <si>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</si>
  <si>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</si>
  <si>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</si>
  <si>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</si>
  <si>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</si>
  <si>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обеспечение   мероприятий в области  дорожного хозяйства  на ремонт и содержание автомобильных дорог</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</si>
  <si>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</si>
  <si>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</si>
  <si>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Содержание органов местного самоуправления за счет средств поселений</t>
  </si>
  <si>
    <t>Расходы на финансирование мероприятий на разработку и экспертизу проектно-сметной документации на строительство и реконструкцию</t>
  </si>
  <si>
    <t>1. Субсидия на финансирование дорожного хозяйства</t>
  </si>
  <si>
    <t>Обеспечение мероприятий по осуществлению пасажирских  перевозок на автомобильном  транспорте</t>
  </si>
  <si>
    <t>Обеспечение   мероприятий в области  дорожного хозяйства  по повышению безопасности дорожного движения</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</si>
  <si>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</si>
  <si>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на строительство и  модернизацию автомобильных дорог</t>
  </si>
  <si>
    <t xml:space="preserve">Государственная поддержка опеки и попечительства </t>
  </si>
  <si>
    <t xml:space="preserve">Расходы на комплектование книжных фондов библиотек </t>
  </si>
  <si>
    <t xml:space="preserve">2 02 03123 05 0000 151 </t>
  </si>
  <si>
    <t>Субвенции бюджетам муниципальных районов по предоставлению отдельных мер социальной поддержки граждан, подвергшихся воздействию радиации</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</si>
  <si>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</si>
  <si>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социальную поддержку граждан, подвергшихся воздействию радиации</t>
  </si>
  <si>
    <t>2018 год                                                                               Сумма, руб.</t>
  </si>
  <si>
    <t>на 2018 год</t>
  </si>
  <si>
    <t>на 01.01.2018 (пргноз)</t>
  </si>
  <si>
    <t xml:space="preserve">муниципальных внутренних заимствований Тутаевского муниципального района на плановый период 2017-2018 годов </t>
  </si>
  <si>
    <t>1. Муниципальные внутренние заимствования, осуществляемые Тутаевским муниципальным районом на плановый период 2017-2018 годов</t>
  </si>
  <si>
    <t>2. Предельные размеры на 2017 -2018 годы</t>
  </si>
  <si>
    <t>Распределение дотаций бюджетам поселений Тутаевского муниципального района на плановый период 2017-2018 годов</t>
  </si>
  <si>
    <t>Распределение субсидий бюджетам поселений Тутаевского муниципального района на плановый период 2017-2018 годов</t>
  </si>
  <si>
    <t xml:space="preserve">Программа муниципальных внутренних заимствований Тутаевского муниципального района на 2016 год </t>
  </si>
  <si>
    <t>1. Муниципальные внутренние заимствования, осуществляемые Тутаевским муниципальным районом в 2016 году</t>
  </si>
  <si>
    <t>2. Предельные размеры на 2016год</t>
  </si>
  <si>
    <t xml:space="preserve">на 2016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</si>
  <si>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2016-2018 годы не планируется.</t>
  </si>
  <si>
    <t>Распределение дотаций бюджетам поселений Тутаевского муниципального района  на 2016 год</t>
  </si>
  <si>
    <t>Распределение субсидий бюджетам поселений Тутаевского муниципального района на 2016год</t>
  </si>
  <si>
    <t>Распределение субвенций бюджетам поселений Тутаевского муниципального района на 2016 год</t>
  </si>
  <si>
    <t>Статья</t>
  </si>
  <si>
    <t>Подстатья</t>
  </si>
  <si>
    <t>Элемент доходов</t>
  </si>
  <si>
    <t>группа подвида дохода бюджетов</t>
  </si>
  <si>
    <t>аналитическая группа подвида доходов бюджета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</si>
  <si>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</si>
  <si>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Субвенция на организацию питания обучающихся образовательных организаций</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</si>
  <si>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</si>
  <si>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</si>
  <si>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</si>
  <si>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</si>
  <si>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компенсацию части расходов на приобретение путевки в организации отдыха детей и их оздоровления</t>
  </si>
  <si>
    <t>Субвенция на подготовку и проведение Всероссийской сельскохозяйственной переписи 2016 года</t>
  </si>
  <si>
    <t>Субвенция на освобождение от оплаты стоимости  проезда детей из многодетных семей, обучающихся в общеобразовательных организациях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</si>
  <si>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</si>
  <si>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отлов и содержание безнадзорных животных</t>
  </si>
  <si>
    <t>04</t>
  </si>
  <si>
    <t>07</t>
  </si>
  <si>
    <t>050</t>
  </si>
  <si>
    <t>013</t>
  </si>
  <si>
    <t>075</t>
  </si>
  <si>
    <t>995</t>
  </si>
  <si>
    <t>06</t>
  </si>
  <si>
    <t>025</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</si>
  <si>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</si>
  <si>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</si>
  <si>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t>
  </si>
  <si>
    <t>003</t>
  </si>
  <si>
    <t>008</t>
  </si>
  <si>
    <t>009</t>
  </si>
  <si>
    <t>041</t>
  </si>
  <si>
    <t>999</t>
  </si>
  <si>
    <t>004</t>
  </si>
  <si>
    <t>007</t>
  </si>
  <si>
    <t>015</t>
  </si>
  <si>
    <t>020</t>
  </si>
  <si>
    <t>022</t>
  </si>
  <si>
    <t>024</t>
  </si>
  <si>
    <t>053</t>
  </si>
  <si>
    <t>090</t>
  </si>
  <si>
    <t>121</t>
  </si>
  <si>
    <t>122</t>
  </si>
  <si>
    <t>123</t>
  </si>
  <si>
    <t>216</t>
  </si>
  <si>
    <t>014</t>
  </si>
  <si>
    <t>Субвенция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</si>
  <si>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</si>
  <si>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</si>
  <si>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</si>
  <si>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</si>
  <si>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</si>
  <si>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</si>
  <si>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</si>
  <si>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</si>
  <si>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</si>
  <si>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</si>
  <si>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</si>
  <si>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</si>
  <si>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</si>
  <si>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</si>
  <si>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</si>
  <si>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</si>
  <si>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</si>
  <si>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</si>
  <si>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</si>
  <si>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</si>
  <si>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</si>
  <si>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</si>
  <si>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</si>
  <si>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</si>
  <si>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городских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</si>
  <si>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</si>
  <si>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</si>
  <si>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</si>
  <si>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2016 год и на плановый период 2017-2018 годов, %</t>
  </si>
  <si>
    <t>Муниципальная программа  "Развитие культуры, туризма и молодежной политики в Тутаевском муниципальном районе"</t>
  </si>
  <si>
    <t>Обеспечение условий для выполнения муниципального задания на оказание услуг, выполнение работ в сфере молодежной политики</t>
  </si>
  <si>
    <t>01.0.00</t>
  </si>
  <si>
    <t>01.1.00</t>
  </si>
  <si>
    <t>01.1.01</t>
  </si>
  <si>
    <t>01.2.00</t>
  </si>
  <si>
    <t>01.2.01</t>
  </si>
  <si>
    <t>01.3.00</t>
  </si>
  <si>
    <t>01.3.01</t>
  </si>
  <si>
    <t>01.4.00</t>
  </si>
  <si>
    <t>01.4.01</t>
  </si>
  <si>
    <t>Реализация дополнительных образовательных программ в сфере культуры</t>
  </si>
  <si>
    <t>01.4.02</t>
  </si>
  <si>
    <t>Содействие доступу граждан к культурным ценностям</t>
  </si>
  <si>
    <t>Поддержка доступа граждан к информационно-библиотечным ресурсам</t>
  </si>
  <si>
    <t>01.4.03</t>
  </si>
  <si>
    <t>01.4.04</t>
  </si>
  <si>
    <t>01.5.00</t>
  </si>
  <si>
    <t>01.5.01</t>
  </si>
  <si>
    <t>Создание благоприятных условий для развития туризма</t>
  </si>
  <si>
    <t>02.0.00</t>
  </si>
  <si>
    <t>02.1.00</t>
  </si>
  <si>
    <t>02.1.01</t>
  </si>
  <si>
    <t>Обеспечение эффективности управления системой культуры</t>
  </si>
  <si>
    <t>Обеспечение эффективности управления системой образования</t>
  </si>
  <si>
    <t>Организация предоставления муниципальных услуг и выполнения работ  муниципальными учреждениями сферы образования</t>
  </si>
  <si>
    <t>Методическая и консультационная помощь, психолого-педагогическое и медико-социальное сопровождение детей</t>
  </si>
  <si>
    <t>02.1.02</t>
  </si>
  <si>
    <t>02.1.03</t>
  </si>
  <si>
    <t>Обеспечение качества реализации мер по социальной поддержке детей-сирот и детей оставшихся без попечения родителей</t>
  </si>
  <si>
    <t>02.1.04</t>
  </si>
  <si>
    <t>02.1.05</t>
  </si>
  <si>
    <t>02.1.06</t>
  </si>
  <si>
    <t>Мероприятия направленные на осуществление отдельных полномочий в области образования</t>
  </si>
  <si>
    <t>05.0.00</t>
  </si>
  <si>
    <t>Муниципальная программа "Обеспечение качественными коммунальными услугами населения Тутаевского муниципального района"</t>
  </si>
  <si>
    <t>05.1.00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</si>
  <si>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</si>
  <si>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05.1.01</t>
  </si>
  <si>
    <t>Обеспечение надежного теплоснабжения жилищного фонда и функционирования учреждений бюджетной сферы</t>
  </si>
  <si>
    <t>05.2.00</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</si>
  <si>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</si>
  <si>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05.2.01</t>
  </si>
  <si>
    <t>Модернизация объектов теплоснабжения с вводом их в эксплуатацию (строительство и реконструкция котельных)</t>
  </si>
  <si>
    <t>05.2.02</t>
  </si>
  <si>
    <t>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t>
  </si>
  <si>
    <t>05.3.00</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</si>
  <si>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</si>
  <si>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05.3.01</t>
  </si>
  <si>
    <t>Повышение качества водоснабжения в результате модернизации существующих источников водоснабжения и строительство  новых</t>
  </si>
  <si>
    <t>05.3.02</t>
  </si>
  <si>
    <t>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t>
  </si>
  <si>
    <t>05.4.00</t>
  </si>
  <si>
    <t>05.4.01</t>
  </si>
  <si>
    <t>Проведение комплекса работ по ремонту, замене и реконструкции объектов теплоснабжения</t>
  </si>
  <si>
    <t>05.4.02</t>
  </si>
  <si>
    <t>Проведение комплекса работ по ремонту, замене и реконструкции объектов водоснабжения, водоотведения и очистки сточных вод</t>
  </si>
  <si>
    <t>05.4.03</t>
  </si>
  <si>
    <t>Проведение комплекса работ по ремонту, замене и реконструкции объектов газоснабжения</t>
  </si>
  <si>
    <t>06.0.00</t>
  </si>
  <si>
    <t>Муниципальная  программа "Об энергосбережении и повышении энергетической эффективности Тутаевского муниципального района"</t>
  </si>
  <si>
    <t>08.0.00</t>
  </si>
  <si>
    <t>08.1.00</t>
  </si>
  <si>
    <t>08.1.01</t>
  </si>
  <si>
    <t>08.2.00</t>
  </si>
  <si>
    <t>08.2.01</t>
  </si>
  <si>
    <t>08.3.00</t>
  </si>
  <si>
    <t>08.3.01</t>
  </si>
  <si>
    <t>08.4.00</t>
  </si>
  <si>
    <t>08.4.01</t>
  </si>
  <si>
    <t>Создание условий для поддержки  молодых семей в приобретении (строительстве) жилья</t>
  </si>
  <si>
    <t>16.0.00</t>
  </si>
  <si>
    <t>Муниципальная программа  "Развитие жилищного хозяйства Тутаевского муниципального района"</t>
  </si>
  <si>
    <t>16.1.00</t>
  </si>
  <si>
    <t>Муниципальная целевая программа "Развитие  лифтового хозяйства на территории городского поселения Тутаев Тутаевского муниципального района"</t>
  </si>
  <si>
    <t>17.0.00</t>
  </si>
  <si>
    <t>17.1.00</t>
  </si>
  <si>
    <t>Муниципальная целевая программа "Организация и развитие ритуальных услуг и мест захоронения в Тутаевском муниципальном районе"</t>
  </si>
  <si>
    <t>17.1.01</t>
  </si>
  <si>
    <t>17.2.00</t>
  </si>
  <si>
    <t>17.2.01</t>
  </si>
  <si>
    <t>Улучшение уровня внешнего благоустройства и санитарного  состояния территорий Тутаевского муниципального района</t>
  </si>
  <si>
    <t>17.2.02</t>
  </si>
  <si>
    <t>17.2.03</t>
  </si>
  <si>
    <t>Муниципальная программа "Благоустройство  и санитарно-эпидемиологическая безопасность  Тутаевского муниципального района</t>
  </si>
  <si>
    <t>16.1.01</t>
  </si>
  <si>
    <t>Обеспечение мероприятий по восстановлению лифтового хозяйства многоквартирных домов</t>
  </si>
  <si>
    <t xml:space="preserve">Обеспечение мероприятий по совершенствованию  эстетического  состояния территорий </t>
  </si>
  <si>
    <t>Обеспечение мероприятий по благоустройству мест массового отдыха населения</t>
  </si>
  <si>
    <t>Финансовое и организационное обеспечение переселения граждан из непригодного для проживания жилищного фонда с высоким уровнем износа</t>
  </si>
  <si>
    <t>03.0.00</t>
  </si>
  <si>
    <t>Муниципальная программа "Социальная поддержка населения Тутаевского муниципального района"</t>
  </si>
  <si>
    <t>03.1.00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</si>
  <si>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</si>
  <si>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09.0.00</t>
  </si>
  <si>
    <t>09.2.00</t>
  </si>
  <si>
    <t>09.2.01</t>
  </si>
  <si>
    <t>Обеспечение доступности товаров для сельского населения путем оказания государственной поддержки</t>
  </si>
  <si>
    <t>09.3.00</t>
  </si>
  <si>
    <t>09.3.01</t>
  </si>
  <si>
    <t>05.1.02</t>
  </si>
  <si>
    <t xml:space="preserve">Обеспечение населения твердым топливом </t>
  </si>
  <si>
    <t>07.0.00</t>
  </si>
  <si>
    <t>Муниципальная программа "Развитие дорожного хозяйства и транспорта в Тутаевском муниципальном районе"</t>
  </si>
  <si>
    <t>07.1.00</t>
  </si>
  <si>
    <t>07.1.01</t>
  </si>
  <si>
    <t>07.2.00</t>
  </si>
  <si>
    <t>07.2.01</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</si>
  <si>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</si>
  <si>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Приведение  в нормативное состояние автомобильных дорог общего пользования</t>
  </si>
  <si>
    <t>Повышение безопасности дорожного движения на автомобильных дорогах</t>
  </si>
  <si>
    <t>09.1.00</t>
  </si>
  <si>
    <t>09.1.01</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</si>
  <si>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</si>
  <si>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09.1.02</t>
  </si>
  <si>
    <t>Развитие системы финансовой поддержки субъектов малого и среднего предпринимательства</t>
  </si>
  <si>
    <t>Муниципальная программа  "Организация перевозок автомобильным и речным транспортом на территории Тутаевского муниципального района"</t>
  </si>
  <si>
    <t>06.0.01</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</si>
  <si>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</si>
  <si>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</si>
  <si>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10.0.00</t>
  </si>
  <si>
    <t>10.0.01</t>
  </si>
  <si>
    <t>Совершенствование межбюджетных отношений</t>
  </si>
  <si>
    <t>10.0.02</t>
  </si>
  <si>
    <t xml:space="preserve">Повышение эффективности управления муниципальным долгом </t>
  </si>
  <si>
    <t>10.1.00</t>
  </si>
  <si>
    <t>10.2.00</t>
  </si>
  <si>
    <t>Поддержка сельскохозяйственного производства в рамках субсидирования  (молоко, овцеводство) сельскохозяйственных товаропроизводителей</t>
  </si>
  <si>
    <t>09.3.02</t>
  </si>
  <si>
    <t xml:space="preserve">Кадровое обеспечение агропромышленного комплекса </t>
  </si>
  <si>
    <t>09.3.03</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</si>
  <si>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</si>
  <si>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03.2.00</t>
  </si>
  <si>
    <t>40.9.00</t>
  </si>
  <si>
    <t>99.0.00</t>
  </si>
  <si>
    <t>Развитие системы профилактики немедицинского потребления наркотиков</t>
  </si>
  <si>
    <t>02.2.00</t>
  </si>
  <si>
    <t>02.3.00</t>
  </si>
  <si>
    <t>02.2.01</t>
  </si>
  <si>
    <t>02.3.01</t>
  </si>
  <si>
    <t>Реализация мер по созданию целостной системы духовно-нравственного воспитания и просвещения населения</t>
  </si>
  <si>
    <t>02.3.02</t>
  </si>
  <si>
    <t>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</si>
  <si>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03.1.01</t>
  </si>
  <si>
    <t>03.1.02</t>
  </si>
  <si>
    <t>Предоставление социальных услуг населению Тутаевского муниципального района на основе соблюдения стандартов и нормативов</t>
  </si>
  <si>
    <t>03.1.03</t>
  </si>
  <si>
    <t>Социальная защита семей с детьми, инвалидов, ветеранов, граждан и детей, оказавшихся в трудной жизненной ситуации</t>
  </si>
  <si>
    <t>04.0.00</t>
  </si>
  <si>
    <t>Муниципальная целевая программа "Улучшение условий и охраны труда" по Тутаевскому муниципальному району</t>
  </si>
  <si>
    <t>04.0.01</t>
  </si>
  <si>
    <t>Муниципальная программа "Доступная среда "</t>
  </si>
  <si>
    <t>Муниципальная программа "Повышение эффективности управления муниципальными финансами"</t>
  </si>
  <si>
    <t>Ведомственная целевая программа департамента финансов администрации Тутаевского муниципального района</t>
  </si>
  <si>
    <t>10.1.01</t>
  </si>
  <si>
    <t>10.2.01</t>
  </si>
  <si>
    <t>Обеспечение деятельности финансового органа</t>
  </si>
  <si>
    <t xml:space="preserve">Организация системы подготовки, планирования, сопровождения и осуществления муниципальных закупок </t>
  </si>
  <si>
    <t>14.0.00</t>
  </si>
  <si>
    <t>Муниципальная программа "Профилактика правонарушений и усиление борьбы с преступностью в Тутаевском муниципальном районе"</t>
  </si>
  <si>
    <t>14.0.01</t>
  </si>
  <si>
    <t>11.0.00</t>
  </si>
  <si>
    <t>11.0.01</t>
  </si>
  <si>
    <t>12.0.00</t>
  </si>
  <si>
    <t>12.0.01</t>
  </si>
  <si>
    <t>13.0.00</t>
  </si>
  <si>
    <t>13.0.01</t>
  </si>
  <si>
    <t>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t>
  </si>
  <si>
    <t xml:space="preserve">Стимулирование развития деятельности социально ориентированных некоммерческих организаций </t>
  </si>
  <si>
    <t>13.0.02</t>
  </si>
  <si>
    <t>Размещение форм поддержки деятельности социально ориентированных некоммерческих организаций в средствах массовой информации</t>
  </si>
  <si>
    <t>Муниципальная программа "Информатизация управленческой деятельности Администрации Тутаевского муниципального района"</t>
  </si>
  <si>
    <t>12.0.02</t>
  </si>
  <si>
    <t>Обеспечение бесперебойного функционирования  программного обеспечения</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</si>
  <si>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</si>
  <si>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Муниципальная программа "Развитие образования, физической культуры и спорта в Тутаевском муниципальном районе"</t>
  </si>
  <si>
    <t>Мероприятия направленные на поддержку и мотивации участников образовательного процесса</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</si>
  <si>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</si>
  <si>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Муниципальная программа "Стимулирование развития жилищного строительства в Тутаевском муниципальном  районе Ярославской области"</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</si>
  <si>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</si>
  <si>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</si>
  <si>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Реализация мероприятий по профилактике правонарушений</t>
  </si>
  <si>
    <t>Обеспечение комплекса работ по повышению уровня благоустройства мест погребений</t>
  </si>
  <si>
    <t>Муниципальная целевая программа "Благоустройство и озеленение территории  в Тутаевского муниципального  района"</t>
  </si>
  <si>
    <t>Организация предоставления транспортных услуг по перевозке пассажиров автомобильным транспортом, транспортом общего пользования</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</si>
  <si>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</si>
  <si>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Муниципальная целевая программа "Переселение граждан из аварийного жилищного фонда в Тутаевском муниципальном районе"</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</si>
  <si>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</si>
  <si>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Муниципальная целевая программа "Предоставление молодым семьям социальных выплат на приобретение(строительство) жилья"</t>
  </si>
  <si>
    <t>Муниципальная целевая программа "Развитие агропромышленного комплекса и сельских территорий Тутаевского муниципального района"</t>
  </si>
  <si>
    <t>Муниципальная целевая программа "Развитие потребительского рынка Тутаевского муниципального района "</t>
  </si>
  <si>
    <t>15.0.00</t>
  </si>
  <si>
    <t>15.0.01</t>
  </si>
  <si>
    <t>15.0.02</t>
  </si>
  <si>
    <t>15.0.03</t>
  </si>
  <si>
    <t>16.2.00</t>
  </si>
  <si>
    <t>16.2.01</t>
  </si>
  <si>
    <t>16.2.02</t>
  </si>
  <si>
    <t>16.2.03</t>
  </si>
  <si>
    <t>Муниципальная целевая программа "Ремонт и содержание муниципального жилищного фонда   Тутаевского муниципального района"</t>
  </si>
  <si>
    <t>Обеспечение мероприятий по ремонту общедомового имущества</t>
  </si>
  <si>
    <t>Обеспечение мероприятий по ремонту муниципавльных квартир</t>
  </si>
  <si>
    <t>18.0.00</t>
  </si>
  <si>
    <t>18.0.01</t>
  </si>
  <si>
    <t>Закупка компьютерного оборудования  и оргтехники для бесперебойного обеспечения деятельности органов местного самоуправления</t>
  </si>
  <si>
    <t>Мероприятия по повышению квалификации  муниципальных служащих</t>
  </si>
  <si>
    <t>Муниципальная программа "Обеспечение населения Тутаевского муниципального района банными услугами"</t>
  </si>
  <si>
    <t>Обеспечение населения Тутаевского муниципального района банными услугами</t>
  </si>
  <si>
    <t>Обеспечение мероприятий  по работе с детьми и молодежью</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</si>
  <si>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</si>
  <si>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</si>
  <si>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строительству  спортивных объектов</t>
  </si>
  <si>
    <t xml:space="preserve">Обеспечение  участия волейбольной команды «Ярославна-ТМЗ» в  соревнованиях  </t>
  </si>
  <si>
    <t>Обеспечение мероприятий по защите от чрезвычайных ситуаций природного и техногенного характера</t>
  </si>
  <si>
    <t>Обеспечение мероприятий для развития субъектов малого и среднего предпринимательства</t>
  </si>
  <si>
    <t>Обеспечение деятельности общественных организаций</t>
  </si>
  <si>
    <t xml:space="preserve">Обеспечение мероприятий по начислению и сбору платы за найм муниципального жилищного фонда </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</si>
  <si>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</si>
  <si>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Субсидия на благоустройство населенных пунктов Ярославской  области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</si>
  <si>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</si>
  <si>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Обеспечение мероприятий,  связанные с выполнением полномочий ОМС МО  по тепло-, водоснабжению и водоотведению</t>
  </si>
  <si>
    <t xml:space="preserve">Обеспечение мероприятий на строительство и реконструкцию объектов водоснабжения и водоотведения </t>
  </si>
  <si>
    <t xml:space="preserve">Обеспечение мероприятий по строительству и реконструкции объектов теплоснабжения </t>
  </si>
  <si>
    <t xml:space="preserve">Обеспечение мероприятий по строительству и реконструкции  объектов  газификации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</si>
  <si>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</si>
  <si>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</si>
  <si>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</si>
  <si>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в сфере ипотечного жилищного кредитования</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</si>
  <si>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</si>
  <si>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</si>
  <si>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Обеспечение мероприятий по организации населению услуг бань  в общих отделениях</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</si>
  <si>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</si>
  <si>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</si>
  <si>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</si>
  <si>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</si>
  <si>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озеленению территори поселения</t>
  </si>
  <si>
    <t>Обеспечение мероприятий в области благоустройства</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</si>
  <si>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</si>
  <si>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</si>
  <si>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</si>
  <si>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обеспечению безопасности людей на водных объектах, охране их жизни и здоровья</t>
  </si>
  <si>
    <t>Обеспечение мероприятий по поддержке СМИ</t>
  </si>
  <si>
    <t>Обеспечение мероприятий  по капитальному ремонту лифтов в МКД, в части жилых помещений находящихся в муниципальной собственности</t>
  </si>
  <si>
    <t>Мероприятия по оценке условий труда и  обучение специалистов по охране труда в учреждениях на территории Тутаевского муниципального района</t>
  </si>
  <si>
    <t xml:space="preserve">Обеспечение мероприятий в области дорожного хозяйства по строительству светофорных объектов </t>
  </si>
  <si>
    <t>Обеспечение мероприятий по установке приборов учета потребляемых ресурсов</t>
  </si>
  <si>
    <t>Обеспечение мероприятий по строительству, реконструкции и ремонту памятников</t>
  </si>
  <si>
    <t xml:space="preserve">Обеспечение мероприятий в области дорожного хозяйства по ремонту дворовых территорий </t>
  </si>
  <si>
    <t>Обеспечение мероприятий по  содержанию мест захоронения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</si>
  <si>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</si>
  <si>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реконструкции и ремонту общественных туалетов</t>
  </si>
  <si>
    <t>03.2.01</t>
  </si>
  <si>
    <t>Субсидия организациям автомобильного транспорта на возмещение затрат по пассажирским перевозкам внутримуниципальным транспортом общего пользования</t>
  </si>
  <si>
    <t>Обеспечение мероприятий по осуществлению грузопассажирских  перевозок на речном транспорте</t>
  </si>
  <si>
    <t>Субсидия на реализацию муниципальных программ развития малого и среднего предпринимательства  за счет средств областного бюджета</t>
  </si>
  <si>
    <t>Субвенция  на осуществление первичного воинского учета на территориях, где отсутствуют военные комиссариаты</t>
  </si>
  <si>
    <t>Расходы на реализацию МЦП "Улучшение условий и охраны труда"</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</si>
  <si>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</si>
  <si>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</si>
  <si>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продажи земельных участков, находящихся в государственной и муниципальной собственности</t>
  </si>
  <si>
    <t xml:space="preserve">Дотации на обеспечение сбалансированности бюджетов муниципальных образований Ярославской области </t>
  </si>
  <si>
    <t>2 02 03121 05 0000 151</t>
  </si>
  <si>
    <t>2 02 02216 05 0000 151</t>
  </si>
  <si>
    <t>S1000</t>
  </si>
  <si>
    <t>S1430</t>
  </si>
  <si>
    <t>Расходы на обеспечение функционирования в вечернее время спортивных залов общеобразовательных школ для занятий в них обучающихся</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</si>
  <si>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</si>
  <si>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</si>
  <si>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Строительство, реконструкция и капитальный ремонт спортивных сооружений</t>
  </si>
  <si>
    <t>02.3.03</t>
  </si>
  <si>
    <t>S0470</t>
  </si>
  <si>
    <t>Мероприятия по строительству, реконструкции и ремонту спортивных объектов</t>
  </si>
  <si>
    <t>S4560</t>
  </si>
  <si>
    <t>S1970</t>
  </si>
  <si>
    <t>Cоздание в общеобразовательных организациях условий для занятий физической культурой и спортом</t>
  </si>
  <si>
    <t xml:space="preserve">Развитие сети плоскостных спортивных сооружений в муниципальных образованиях </t>
  </si>
  <si>
    <t>Текущий и капитальный ремонт спортивных залов в общеобразовательных школах</t>
  </si>
  <si>
    <t>S0970</t>
  </si>
  <si>
    <t xml:space="preserve">Расходы на укрепление института семьи, повышение качества жизни семей с несовершеннолетними детьми </t>
  </si>
  <si>
    <t>Взносы на  капитальный ремонт  жилых помещений муниципального жилищного фонда</t>
  </si>
  <si>
    <t>Расходы по предупреждению и ликвидации последствий чрезвычайных ситуаций на территории района</t>
  </si>
  <si>
    <t>Субсидия на выполнение ОМС Тутаевского МР полномочий по организации теплоснабжения</t>
  </si>
  <si>
    <t>Обеспечение мероприятий по замене приборов учета в муниципальном жилищном фонде</t>
  </si>
  <si>
    <t>2. 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</si>
  <si>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S2880</t>
  </si>
  <si>
    <t>Компенсация части расходов на приобретение путевки в организации отдыха детей и их оздоровления</t>
  </si>
  <si>
    <t>Исполнение публичных обязательств по предоставлению выплат, пособий и компенсаций</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</si>
  <si>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</si>
  <si>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S1690</t>
  </si>
  <si>
    <t>S0650</t>
  </si>
  <si>
    <t>Оказание адресной материальной помощи</t>
  </si>
  <si>
    <t>Расходы на реализацию  МЦП "Комплексные меры противодействия злоупотреблению наркотиками и их незаконному обороту"</t>
  </si>
  <si>
    <t>2 02 02079 05 0000 151</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</si>
  <si>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</si>
  <si>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1 17 01050 13 0000 180</t>
  </si>
  <si>
    <t>2 02 01001 13 0000 151</t>
  </si>
  <si>
    <t>Дотации бюджетам городских поселений на выравнивание бюджетной обеспеченности</t>
  </si>
  <si>
    <t>2 02 01999 13 0000 151</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</si>
  <si>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</si>
  <si>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</si>
  <si>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</si>
  <si>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Главные администраторы доходов бюджета Тутаевского муниципального района и доходов бюджета городского поселения Тутаев </t>
  </si>
  <si>
    <t>2017 год редакция 1 Сумма, руб.</t>
  </si>
  <si>
    <t>2018 год редакция 1  Сумма, руб.</t>
  </si>
  <si>
    <t>2006</t>
  </si>
  <si>
    <t>2009</t>
  </si>
  <si>
    <t>2015</t>
  </si>
  <si>
    <t>2018</t>
  </si>
  <si>
    <t>3014</t>
  </si>
  <si>
    <t>3015</t>
  </si>
  <si>
    <t>3003</t>
  </si>
  <si>
    <t>3004</t>
  </si>
  <si>
    <t>3005</t>
  </si>
  <si>
    <t>3028</t>
  </si>
  <si>
    <t>3029</t>
  </si>
  <si>
    <t>3030</t>
  </si>
  <si>
    <t>3031</t>
  </si>
  <si>
    <t>3019</t>
  </si>
  <si>
    <t>3021</t>
  </si>
  <si>
    <t>3022</t>
  </si>
  <si>
    <t>3023</t>
  </si>
  <si>
    <t>3010</t>
  </si>
  <si>
    <t>3008</t>
  </si>
  <si>
    <t>3013</t>
  </si>
  <si>
    <t>3009</t>
  </si>
  <si>
    <t>3020</t>
  </si>
  <si>
    <t>3007</t>
  </si>
  <si>
    <t>3017</t>
  </si>
  <si>
    <t>3006</t>
  </si>
  <si>
    <t>3027</t>
  </si>
  <si>
    <t>3026</t>
  </si>
  <si>
    <t>3024</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</si>
  <si>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</si>
  <si>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</si>
  <si>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</si>
  <si>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</si>
  <si>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Обеспечение мероприятий по переселению граждан из аварийного жилищного фонда за счет средств бюджета поселения (доп.пл)</t>
  </si>
  <si>
    <t>S9602</t>
  </si>
  <si>
    <t>от "17"декабря 2015 г.№123-г</t>
  </si>
  <si>
    <t>от "17"декабря 2015 г. №123-г</t>
  </si>
  <si>
    <t>от "17"декабря 2015 г.№ 123-г</t>
  </si>
  <si>
    <t>14.0.02</t>
  </si>
  <si>
    <t>Реализация мероприятий по деятельности народных дружин</t>
  </si>
  <si>
    <t>Расходы на обеспечение деятельности народных дружин</t>
  </si>
  <si>
    <t>на 01.01.2016</t>
  </si>
  <si>
    <t>ПРОФИЦИТ+/ДЕФИЦИТ-</t>
  </si>
  <si>
    <t>Муниципальная целевая программа "Духовно-нравственное воспитание и просвещение населения Тутаевского муниципального района"</t>
  </si>
  <si>
    <t>15.0.04</t>
  </si>
  <si>
    <t>S2446</t>
  </si>
  <si>
    <t>S4796</t>
  </si>
  <si>
    <t>Обеспечение мероприятий в области дорожного хозяйства на ремонт и содержание дорог за счет средств областного бюджета</t>
  </si>
  <si>
    <t>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</si>
  <si>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</si>
  <si>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ремонту дворовых территорий</t>
  </si>
  <si>
    <t>088</t>
  </si>
  <si>
    <t>0002</t>
  </si>
  <si>
    <t>089</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</si>
  <si>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</si>
  <si>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2022</t>
  </si>
  <si>
    <t>Субсидия на развитие органов местного самоуправления на территории Ярославской области</t>
  </si>
  <si>
    <t>078</t>
  </si>
  <si>
    <t>2013</t>
  </si>
  <si>
    <t>Субсидия на развитие сети плоскостных спортивных сооружений в муниципальных образованиях Ярославской области</t>
  </si>
  <si>
    <t>3032</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</si>
  <si>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t>
  </si>
  <si>
    <t>2913</t>
  </si>
  <si>
    <t>2914</t>
  </si>
  <si>
    <t xml:space="preserve">Межбюджетные трансферты на обеспечение мероприятий по переселению граждан из аварийного жилищного фонда за счет средств бюджета поселения </t>
  </si>
  <si>
    <t>2928</t>
  </si>
  <si>
    <t>Межбюджетные трансферты на обеспечение мероприятий по внесению изменений в документы территориального планирования</t>
  </si>
  <si>
    <t>2935</t>
  </si>
  <si>
    <t>Межбюджетные трансферты на обеспечение деятельности общественных организаций</t>
  </si>
  <si>
    <t>2940</t>
  </si>
  <si>
    <t xml:space="preserve">Межбюджетные трансферты на обеспечение мероприятий по переселению граждан из аварийного жилищного фонда, непригодного для проживания, с высоким уровнем износа </t>
  </si>
  <si>
    <t>2946</t>
  </si>
  <si>
    <t>Межбюджетные трансферты на обеспечение мероприятий по защите от чрезвычайных ситуаций природного и техногенного характера</t>
  </si>
  <si>
    <t>2951</t>
  </si>
  <si>
    <t>Межбюджетные трансферты на оказание поддержки социально-ориентированным некоммерческим организациям</t>
  </si>
  <si>
    <t>2922</t>
  </si>
  <si>
    <t>Межбюджетные трансферты на обеспечение физкультурно-спортивных мероприятий</t>
  </si>
  <si>
    <t>2921</t>
  </si>
  <si>
    <t>Межбюджетные трансферты на обеспечение культурно-досуговых мероприятий</t>
  </si>
  <si>
    <t>2936</t>
  </si>
  <si>
    <t>Межбюджетные трансферты на обеспечение мероприятий по поддержке СМИ</t>
  </si>
  <si>
    <t>2948</t>
  </si>
  <si>
    <t>Межбюджетные трансферты на обеспечение деятельности народных дружин</t>
  </si>
  <si>
    <t>2950</t>
  </si>
  <si>
    <t>Межбюджетные трансферты на обеспечение мероприятий по строительству, реконструкции и ремонту общественных туалетов</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</si>
  <si>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</si>
  <si>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</si>
  <si>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в области дорожного хозяйства по строительству светофорных объектов</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</si>
  <si>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</si>
  <si>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</si>
  <si>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</si>
  <si>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Межбюджетные трансферты на обеспечение мероприятий по содержанию и организации ритуальных услуг и содержание мест захоронения</t>
  </si>
  <si>
    <t>2937</t>
  </si>
  <si>
    <t>Межбюджетные трансферты на обеспечение мероприятий по содержанию, реконструкции и ремонту муниципального жилищного фонда</t>
  </si>
  <si>
    <t>2947</t>
  </si>
  <si>
    <t>Межбюджетные трансферты на обеспечение мероприятий по строительству,реконструкции и ремонту памятников</t>
  </si>
  <si>
    <t>2949</t>
  </si>
  <si>
    <t>Межбюджетные трансферты на обеспечение мероприятий в области дорожного хозяйства по ремонту дворовых территорий</t>
  </si>
  <si>
    <t>Субсидия на переселение граждан из жилищного фонда, признанного непригодным для проживания, и (или) жилищного фонда с высоким уровнем износа</t>
  </si>
  <si>
    <t>Субсидия на переселение граждан из жилищного фонда, признанного непригодным для проживания, и (или) жилищного фонда с высоким уровнем износа из бюджета поселения</t>
  </si>
  <si>
    <t>S2016</t>
  </si>
  <si>
    <t>Субсидия на реализацию мероприятий по строительству и реконструкции объектов теплоснабжения и газификации  софинансирование из средств поселений</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</si>
  <si>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</si>
  <si>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</si>
  <si>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t>
  </si>
  <si>
    <t>Приложение 7</t>
  </si>
  <si>
    <t>3. Субсидия на реализацию мероприятий по строительству и реконструкции объектов теплоснабжения и газификации</t>
  </si>
  <si>
    <t>Распределение иных межбюджетных трансфертов бюджетам поселений Тутаевского муниципального района на 2016 год</t>
  </si>
  <si>
    <t>Распределение иных межбюджетных трансфертов бюджетам поселений Тутаевского муниципального района на плановый период  2017-2018  годов</t>
  </si>
  <si>
    <t>Обеспечение мероприятий по содержанию,  реконструкции и капитальному ремонту муниципального жилищного фонда</t>
  </si>
  <si>
    <t>Содержание главы местной администрации</t>
  </si>
  <si>
    <t>Поддержка деятельности социально-ориентированных некоммерческих организаций</t>
  </si>
  <si>
    <t>R0840</t>
  </si>
  <si>
    <t>01.2.02</t>
  </si>
  <si>
    <t>Реализация мер направленных на пропаганду патриотических ценностей</t>
  </si>
  <si>
    <t>Обеспечение мероприятий по осуществлению грузопассажирских перевозок на речном транспорте</t>
  </si>
  <si>
    <t>Организация мероприятий по осуществлению грузопассажирских перевозок на речном транспорте</t>
  </si>
  <si>
    <t>от "____" ___________г.№_____</t>
  </si>
  <si>
    <t>от "_____"___________ г.№ _______</t>
  </si>
  <si>
    <t>1. Межбюджетные трансферты на организацию  в границах поселения водоснабжения населения</t>
  </si>
  <si>
    <t>1.Межбюджетные трансферты на организацию  в границах поселения водоснабжения населения</t>
  </si>
  <si>
    <t>4. 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</si>
  <si>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 xml:space="preserve">5.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</si>
  <si>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6.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</si>
  <si>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7. Субсидия  на развитие органов местного самоуправления на территории ЯО</t>
  </si>
  <si>
    <t>09.3.04</t>
  </si>
  <si>
    <t>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t>
  </si>
  <si>
    <t>Приложение 5</t>
  </si>
  <si>
    <t>S1216</t>
  </si>
  <si>
    <t>Субсидия на переселение граждан из жилищного фонда, признанного непригодным для проживания, и (или) жилищного фонда с высоким уровнем износа, переданные полномочия</t>
  </si>
  <si>
    <t>на 01.01.2019 (прогноз)</t>
  </si>
  <si>
    <t>на 01.01.2019</t>
  </si>
  <si>
    <t xml:space="preserve">Обеспечение мероприятий по организации населению услуг торговли </t>
  </si>
  <si>
    <t>Обеспечение мероприятий по актуализации схем теплоснабжения</t>
  </si>
  <si>
    <t>Обеспечение участия  по  сбору   и  транспортированию ТКО и КГО</t>
  </si>
  <si>
    <t>051</t>
  </si>
  <si>
    <t>Субсидия на государственную поддержку молодых семей Ярославской области в приобретении (строительстве) жилья за счет средств федерального бюджета</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</si>
  <si>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</si>
  <si>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</si>
  <si>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2952</t>
  </si>
  <si>
    <t>Межбюджетные трансферты  на обеспечение мероприятий по организации населению услуг торговли</t>
  </si>
  <si>
    <t>2955</t>
  </si>
  <si>
    <t>Межбюджетные трансферты на обеспечение других обязательств в рамках передаваемых полномочий по содержанию казны поселения</t>
  </si>
  <si>
    <t>2017</t>
  </si>
  <si>
    <t>Субсидия на государственную поддержку материально-технической базы образовательных организаций</t>
  </si>
  <si>
    <t>118</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</si>
  <si>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</si>
  <si>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Дотации на реализацию мероприятий, предусмотренных нормативными актами органов государственной власти Ярославской области</t>
  </si>
  <si>
    <t>1003</t>
  </si>
  <si>
    <t>4003</t>
  </si>
  <si>
    <t>Межбюджетные трансферты на содействие решению вопросов местного значения по обращениям депутатов Ярославской областной Думы</t>
  </si>
  <si>
    <t>079</t>
  </si>
  <si>
    <t>077</t>
  </si>
  <si>
    <t>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</si>
  <si>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2024</t>
  </si>
  <si>
    <t>Субсидия на благоустройство населенных пунктов Ярославской области</t>
  </si>
  <si>
    <t>2953</t>
  </si>
  <si>
    <t>Межбюджетные трансферты на обеспечение мероприятий по актуализации схем теплоснабжения</t>
  </si>
  <si>
    <t>2954</t>
  </si>
  <si>
    <t>Межбюджетные трансферты на обеспечение участия по сбору и транспортированию твердых коммунальных отходов и крупногабаритных отходов</t>
  </si>
  <si>
    <t>8. Субсидия на благоустройство населенных пунктов Ярославской области</t>
  </si>
  <si>
    <t xml:space="preserve">9. Субсидия на обеспечение мероприятий по переселению граждан из непригодного для проживания   жилищного фонда  свысоким уровнем износа,  за счет средств областного бюджета  </t>
  </si>
  <si>
    <t>S4776</t>
  </si>
  <si>
    <t>Софинансирование субсидии на благоустройство населенных пунктов Ярославской области</t>
  </si>
  <si>
    <t>Субсидия на мероприятия по благоустройству  на содействие решения вопросов МЗ по обращению депутатов Думы   ЯО</t>
  </si>
  <si>
    <t>Распределение  субсидий  бюджетам поселений Тутаевского муниципального района на плановый период  2017-2018  годов</t>
  </si>
  <si>
    <t>1. Субсидия на реализацию мероприятий по строительству и реконструкции объектов теплоснабжения и газификации</t>
  </si>
  <si>
    <t>Субсидии бюджетам муниципальных районов на бюджетные инвестиции для модернизации объектов коммунальной инфраструктуры (Субсидия на реализацию мероприятий по строительству и реконструкции объектов газификации)</t>
  </si>
  <si>
    <t>S2440</t>
  </si>
  <si>
    <t>71236</t>
  </si>
  <si>
    <t>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t>
  </si>
  <si>
    <t>R0200</t>
  </si>
  <si>
    <t>Субсидия на государственную поддержку молодых семей Ярославской области в приобретении (строительстве) жилья за счет средств областного бюджета</t>
  </si>
  <si>
    <t>R0206</t>
  </si>
  <si>
    <t>Субсидия на реализацию мероприятий по господдержке молодых семей Ярославской области в приобретении (строительстве) жилья</t>
  </si>
  <si>
    <t>S1236</t>
  </si>
  <si>
    <t>L0206</t>
  </si>
  <si>
    <t>Обеспечение меропритяий по улучшению жилищных условий молодых семей, проживающих на территории ЯО</t>
  </si>
  <si>
    <t xml:space="preserve">Субсидия на государственную поддержку молодых семей Ярославской области в приобретении (строительстве) жилья </t>
  </si>
  <si>
    <t>Субсидии на мероприятия подпрограммы "Обеспечение жильем молодых семей" за счет средств федерального бюджета</t>
  </si>
  <si>
    <t>Субсидии на государственную поддержку молодых семей ЯО в приобретении (строительстве) жилья за счет средств федерального бюджета</t>
  </si>
  <si>
    <t xml:space="preserve">10. Субсидия на государственную поддержку молодых семей Ярославской области в приобретении (строительстве) жилья за счет средств областного бюджета </t>
  </si>
  <si>
    <t>11. Субсидия на государственную поддержку молодых семей Ярославской области в приобретении (строительстве) жилья за счет средств федерального бюджета</t>
  </si>
  <si>
    <t xml:space="preserve">12 .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 </t>
  </si>
  <si>
    <t xml:space="preserve">3. Субсидия на государственную поддержку молодых семей Ярославской области в приобретении (строительстве) жилья за счет средств областного бюджета </t>
  </si>
  <si>
    <t>75206</t>
  </si>
  <si>
    <t>S5206</t>
  </si>
  <si>
    <t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поселения</t>
  </si>
  <si>
    <t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t>
  </si>
  <si>
    <t>S5200</t>
  </si>
  <si>
    <t>Субсидия на выполнение мероприятий по обеспечению бесперебойного предоставления коммунальных услуг потребителям Ярославской области</t>
  </si>
  <si>
    <t>Субсидия на реализацию мероприятий по строительству и реконструкции объектов водоснабжения и водоотведения за счет средств областного бюджета</t>
  </si>
  <si>
    <t>Мероприятия по обеспечению бесперебойного предоставления коммунальных услуг потребителям Ярославской области</t>
  </si>
  <si>
    <t>Обеспечение других обязательств в рамках передаваемых полномочий по содержанию имущества казны городского поселения Тутаев</t>
  </si>
  <si>
    <t>Расходы на обеспечение отдыха и оздоровления  детей, находящихся в трудной жизненной ситтуации,детей погибших сотрудников правоохранительных органов и военнослужащих,безнадзорных детей за счет средств областного бюджета</t>
  </si>
  <si>
    <t>Мероприятия по содействию решению вопросов местного значения по обращению депутатов Ярославской областной Думы</t>
  </si>
  <si>
    <t>2. Мероприятия по содействию решению вопросов местного значения по обращениям депутатов Ярославской областной Думы</t>
  </si>
  <si>
    <t>Изм</t>
  </si>
  <si>
    <t>Редакция 4</t>
  </si>
  <si>
    <t xml:space="preserve"> Редакция 4</t>
  </si>
  <si>
    <t>Редакция 3</t>
  </si>
  <si>
    <t xml:space="preserve"> Редакция 3</t>
  </si>
  <si>
    <t xml:space="preserve">4.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</si>
  <si>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019</t>
  </si>
  <si>
    <t>Субсидии бюджетам муниципальных районов на реализацию программ поддержки социально ориентированных некоммерческих организаций</t>
  </si>
  <si>
    <t>2004</t>
  </si>
  <si>
    <t>207</t>
  </si>
  <si>
    <t>Субсидии бюджетам муниципальных районов на реализацию мероприятий государственнной программы Российской Федерации "Доступная среда" на 2011-2020 годы</t>
  </si>
  <si>
    <t>012</t>
  </si>
  <si>
    <t>4002</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</si>
  <si>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(резервный фонд - решения Правительства ЯО)</t>
  </si>
  <si>
    <t>2010</t>
  </si>
  <si>
    <t>Субсидия на реализацию мероприятий по патриотическому воспитанию граждан</t>
  </si>
  <si>
    <t>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</si>
  <si>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</si>
  <si>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</si>
  <si>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2030</t>
  </si>
  <si>
    <t xml:space="preserve">Субсидия на реализацию мероприятий по строительству и реконструкции объектов водоснабжения и водоотведения за счет средств областного бюджета </t>
  </si>
  <si>
    <t>Предоставление субсидий социально ориентированным некомерческим организациям на конкурсной основе</t>
  </si>
  <si>
    <t>Субсидии на мероприятия государственной программы Российской Федерации "Доступная среда"</t>
  </si>
  <si>
    <t>L0270</t>
  </si>
  <si>
    <t>R0270</t>
  </si>
  <si>
    <t>S4880</t>
  </si>
  <si>
    <t>Мероприятия по патриотическому воспитанию граждан</t>
  </si>
  <si>
    <t>Иные межбюджетные трансферты на государственную поддержку муниципальных учреждений культуры</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</si>
  <si>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</si>
  <si>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</si>
  <si>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</si>
  <si>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На комплектование книжных фондов библиотек муниципальных образований </t>
  </si>
  <si>
    <t>09602</t>
  </si>
  <si>
    <t>Приложение 3</t>
  </si>
  <si>
    <t>Расходы на мероприятия по повышению энергоэффективности и энергосбережению (кредиторская задолженность 2015 года)</t>
  </si>
  <si>
    <t>Субсидия на реализацию мероприятий по созданию условий для развития инфраструктуры досуга и отдыха</t>
  </si>
  <si>
    <t>S2150</t>
  </si>
  <si>
    <t>2020</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</si>
  <si>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</si>
  <si>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2944</t>
  </si>
  <si>
    <t>Межбюджетные трансферты на расходы на выполнение работ по капитальному ремонту лифтов в МКД, в части жилых помещений находящихся в муниципальной собственности</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</si>
  <si>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</si>
  <si>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</si>
  <si>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143</t>
  </si>
  <si>
    <t>Субвенция на компенсацию отдельным категориям граждан оплаты взноса на капитальный ремонт общего имущества в многоквартирном доме</t>
  </si>
  <si>
    <t>Редакция 6</t>
  </si>
  <si>
    <t xml:space="preserve"> Редакция 6</t>
  </si>
  <si>
    <t>2956</t>
  </si>
  <si>
    <t>Межбюджетные трансферты на содержание и организацию деятельности аварийно-спасательных служб и (или) аварийно-спасательных формирований на территории поселения</t>
  </si>
  <si>
    <t>2031</t>
  </si>
  <si>
    <t>Субсидия на развитие дополнительного образования детей в муниципальных образовательных организациях Ярославской области</t>
  </si>
  <si>
    <t>2958</t>
  </si>
  <si>
    <t>Межбюджетные трансферты на обеспечение мероприятий в рамках реализации проекта «Сохранение и развитие малых исторических городов и поселений»</t>
  </si>
  <si>
    <t>Межбюджетные трансферты на обеспечение мероприятий по улучшению жилищных условий молодых семей, проживающих и на территории Ярославской области</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</si>
  <si>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 за счет средств федерального бюджета</t>
  </si>
  <si>
    <t>L0640</t>
  </si>
  <si>
    <t>Содержание и организация деятельности аварийно-спасательных служб</t>
  </si>
  <si>
    <t>S4920</t>
  </si>
  <si>
    <t>Расходы на развитие дополнительного образования детей в муниципальных образовательных организациях ЯО</t>
  </si>
  <si>
    <t xml:space="preserve">Обеспечение мероприятий в рамках реализации проекта"Сохранение и развитие малых исторических городов и поселений" </t>
  </si>
  <si>
    <t>13. Субсидия на выполнение мероприятий по обеспечению бесперебойного предоставления коммунальных услуг потребителям Ярославской области</t>
  </si>
  <si>
    <t>1-я редакция</t>
  </si>
  <si>
    <t>2016 год редакция 1 Сумма, руб.</t>
  </si>
  <si>
    <t>от ""декабря 201 г.№</t>
  </si>
  <si>
    <t>от декабря 201 г.№</t>
  </si>
  <si>
    <t xml:space="preserve"> Исполнение доходов бюджета Тутаевского муниципального района за 2016 год  в соответствии с классификацией доходов бюджетов Российской Федерации</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</si>
  <si>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</si>
  <si>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</si>
  <si>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</si>
  <si>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субсидий,субвенций и иных межбюджетных трансфертов, имеющих целевое назначение, прошлых лет</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</si>
  <si>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2016 год</t>
  </si>
  <si>
    <t>Исполнение источников внутреннего финансирования дефицита бюджета Тутаевского муниципального района за 2016 год</t>
  </si>
  <si>
    <t>Исполнено, руб.</t>
  </si>
  <si>
    <t>Исполнение ведомственной структуры расходов бюджета Тутаевского муниципального района за 2016 год</t>
  </si>
  <si>
    <t>Распределение бюджетных ассигнований по программным и непрограммным расходам бюджета Тутаевского муниципального района за 2016 год</t>
  </si>
  <si>
    <t>Распределение субсидий бюджетам поселений Тутаевского муниципального района за 2016год</t>
  </si>
  <si>
    <t>Распределение субвенций бюджетам поселений Тутаевского муниципального района за 2016 год</t>
  </si>
  <si>
    <t>Распределение дотаций бюджетам поселений Тутаевского муниципального района  за 2016 год</t>
  </si>
  <si>
    <t>Распределение иных межбюджетных трансфертов бюджетам поселений Тутаевского муниципального района за 2016 год</t>
  </si>
  <si>
    <t>Исполнено, всего, руб.</t>
  </si>
  <si>
    <t>Количество штатных единиц, чел.</t>
  </si>
  <si>
    <t>Муниципальные служащие органов местного самоуправления</t>
  </si>
  <si>
    <t>Работники муниципальных учреждений</t>
  </si>
  <si>
    <t>в том числе:</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</si>
  <si>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2016 года</t>
  </si>
  <si>
    <t>Затраты на денежное содержание за   2016 года, руб.</t>
  </si>
  <si>
    <t>Исполнено  за 2016 года, руб.</t>
  </si>
  <si>
    <t>на  организацию и содержание ветеринарного-санитарного поста в д. Чебаково при введении режима функционирования "Чрезвычайная ситуация" на территории Чебаковского сельского поселения</t>
  </si>
  <si>
    <t xml:space="preserve"> на оказание материальной помощи пострадавшим от пожара</t>
  </si>
  <si>
    <t>на устранение угрозы возникновения чрезвычайной ситуации на потенциально опасном производственном объекте ОАО "ЯНПЗ им.Менделеева"</t>
  </si>
  <si>
    <t>на приобретение погружного насоса для артезианской скважины в пос. Столбищи</t>
  </si>
  <si>
    <t>на ремонт водопровода по улице Медовой г. Тутаев</t>
  </si>
  <si>
    <t xml:space="preserve"> на устранение утечки на водопроводе по улице Ямская-Овражная г. Тутаев</t>
  </si>
  <si>
    <t>на реконструкцию участка газопровода по адресу Тутаевский район,п. Константиновский, к домам №1,2,3,4 по улице Некрасовской и к дому №3 по улице Свободы</t>
  </si>
  <si>
    <t>на прочистку фекальной канализации и ремонт колодцев домам № 4,5,7 по улице Липовая г. Тутаев</t>
  </si>
  <si>
    <t>на проектные работы по рекострукции поврежденного и демонтированного участка наружного распределительного газопровода, вышедшего из строя в результате пожара в поселке Константиновский</t>
  </si>
  <si>
    <t>2016 год  Сумма, руб.</t>
  </si>
  <si>
    <t>2. Фактический объем расходов на обслуживание муниципального долга</t>
  </si>
  <si>
    <t>3.Фактический объем муниципальных заимствований</t>
  </si>
  <si>
    <t>1. Кредиты кредитных организаций</t>
  </si>
  <si>
    <t xml:space="preserve">        Получение</t>
  </si>
  <si>
    <t>1 Кредиты кредитных организаций</t>
  </si>
  <si>
    <t xml:space="preserve">Исполнение Программы муниципальных внутренних заимствований Тутаевского муниципального района за 2016 год </t>
  </si>
  <si>
    <t>2. Информация о фактических объемах за 2016 года</t>
  </si>
  <si>
    <t>1. Фактический объем муниципального долга на 01.01.2017</t>
  </si>
  <si>
    <t xml:space="preserve">9. Субсидия на обеспечение мероприятий по переселению граждан из непригодного для проживания   жилищного фонда  с высоким уровнем износа,  за счет средств областного бюджета  </t>
  </si>
  <si>
    <t>ОТЧЕТ</t>
  </si>
  <si>
    <t>о расходовании средств резервного фонда Администрации Тутаевского муниципального района за 2016 год</t>
  </si>
</sst>
</file>

<file path=xl/styles.xml><?xml version="1.0" encoding="utf-8"?>
<styleSheet xmlns="http://schemas.openxmlformats.org/spreadsheetml/2006/main">
  <numFmts count="10">
    <numFmt numFmtId="164" formatCode="_-* #,##0.00&quot;р.&quot;_-;\-* #,##0.00&quot;р.&quot;_-;_-* &quot;-&quot;??&quot;р.&quot;_-;_-@_-"/>
    <numFmt numFmtId="165" formatCode="_-* #,##0.00_р_._-;\-* #,##0.00_р_._-;_-* &quot;-&quot;??_р_._-;_-@_-"/>
    <numFmt numFmtId="166" formatCode="#,##0_р_."/>
    <numFmt numFmtId="167" formatCode=";;"/>
    <numFmt numFmtId="168" formatCode="0000"/>
    <numFmt numFmtId="169" formatCode="000"/>
    <numFmt numFmtId="170" formatCode="0000000"/>
    <numFmt numFmtId="171" formatCode="0.0%"/>
    <numFmt numFmtId="172" formatCode="_-* #,##0_р_._-;\-* #,##0_р_._-;_-* &quot;-&quot;??_р_._-;_-@_-"/>
    <numFmt numFmtId="173" formatCode="00000"/>
  </numFmts>
  <fonts count="63">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sz val="8"/>
      <name val="Times New Roman"/>
      <family val="1"/>
      <charset val="204"/>
    </font>
    <font>
      <b/>
      <sz val="10"/>
      <name val="Times New Roman"/>
      <family val="1"/>
      <charset val="204"/>
    </font>
    <font>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i/>
      <sz val="12"/>
      <name val="Times New Roman CYR"/>
      <charset val="204"/>
    </font>
    <font>
      <b/>
      <sz val="12"/>
      <color indexed="8"/>
      <name val="Times New Roman"/>
      <family val="1"/>
      <charset val="204"/>
    </font>
    <font>
      <sz val="12"/>
      <name val="Times New Roman"/>
      <family val="1"/>
      <charset val="204"/>
    </font>
    <font>
      <sz val="14"/>
      <name val="Times New Roman"/>
      <family val="1"/>
      <charset val="204"/>
    </font>
    <font>
      <b/>
      <sz val="10"/>
      <name val="Arial Cyr"/>
      <charset val="204"/>
    </font>
    <font>
      <b/>
      <sz val="12"/>
      <color indexed="72"/>
      <name val="Times New Roman"/>
      <family val="1"/>
    </font>
    <font>
      <sz val="12"/>
      <color indexed="72"/>
      <name val="Times New Roman"/>
      <family val="1"/>
    </font>
    <font>
      <sz val="8"/>
      <name val="Arial Cyr"/>
      <charset val="204"/>
    </font>
    <font>
      <sz val="10"/>
      <color indexed="8"/>
      <name val="Times New Roman"/>
      <family val="1"/>
      <charset val="204"/>
    </font>
    <font>
      <sz val="14"/>
      <name val="Times New Roman"/>
      <family val="1"/>
    </font>
    <font>
      <b/>
      <sz val="14"/>
      <name val="Times New Roman"/>
      <family val="1"/>
      <charset val="204"/>
    </font>
    <font>
      <b/>
      <sz val="11"/>
      <name val="Times New Roman"/>
      <family val="1"/>
      <charset val="204"/>
    </font>
    <font>
      <sz val="11"/>
      <name val="Times New Roman"/>
      <family val="1"/>
      <charset val="204"/>
    </font>
    <font>
      <sz val="10"/>
      <name val="Arial"/>
      <family val="2"/>
      <charset val="204"/>
    </font>
    <font>
      <sz val="10"/>
      <name val="Times New Roman"/>
      <family val="1"/>
    </font>
    <font>
      <sz val="11"/>
      <color rgb="FF000000"/>
      <name val="Times New Roman"/>
      <family val="1"/>
      <charset val="204"/>
    </font>
    <font>
      <b/>
      <sz val="12"/>
      <color rgb="FF000000"/>
      <name val="Times New Roman"/>
      <family val="1"/>
      <charset val="204"/>
    </font>
    <font>
      <sz val="12"/>
      <color rgb="FF000000"/>
      <name val="Times New Roman"/>
      <family val="1"/>
      <charset val="204"/>
    </font>
    <font>
      <b/>
      <sz val="10"/>
      <name val="Arial"/>
      <family val="2"/>
      <charset val="204"/>
    </font>
    <font>
      <sz val="11"/>
      <color rgb="FFFF0000"/>
      <name val="Times New Roman"/>
      <family val="1"/>
      <charset val="204"/>
    </font>
    <font>
      <sz val="12"/>
      <color indexed="72"/>
      <name val="Times New Roman"/>
      <family val="1"/>
      <charset val="204"/>
    </font>
    <font>
      <b/>
      <sz val="12"/>
      <color indexed="72"/>
      <name val="Times New Roman"/>
      <family val="1"/>
      <charset val="204"/>
    </font>
    <font>
      <sz val="9"/>
      <name val="Times New Roman"/>
      <family val="1"/>
      <charset val="204"/>
    </font>
    <font>
      <sz val="10"/>
      <name val="Times New Roman Cyr"/>
      <family val="1"/>
      <charset val="204"/>
    </font>
    <font>
      <sz val="12"/>
      <color rgb="FFFF0000"/>
      <name val="Times New Roman"/>
      <family val="1"/>
      <charset val="204"/>
    </font>
    <font>
      <i/>
      <sz val="12"/>
      <color rgb="FF000000"/>
      <name val="Times New Roman"/>
      <family val="1"/>
      <charset val="204"/>
    </font>
    <font>
      <b/>
      <sz val="12"/>
      <color theme="1"/>
      <name val="Times New Roman"/>
      <family val="1"/>
      <charset val="204"/>
    </font>
    <font>
      <i/>
      <sz val="10"/>
      <name val="Arial Cyr"/>
      <charset val="204"/>
    </font>
    <font>
      <sz val="9"/>
      <color indexed="81"/>
      <name val="Tahoma"/>
      <family val="2"/>
      <charset val="204"/>
    </font>
    <font>
      <b/>
      <sz val="9"/>
      <color indexed="81"/>
      <name val="Tahoma"/>
      <family val="2"/>
      <charset val="204"/>
    </font>
    <font>
      <sz val="12"/>
      <color rgb="FFFF0000"/>
      <name val="Times New Roman Cyr"/>
      <family val="1"/>
      <charset val="204"/>
    </font>
    <font>
      <sz val="12"/>
      <color rgb="FFFF0000"/>
      <name val="Times New Roman CYR"/>
      <charset val="204"/>
    </font>
    <font>
      <sz val="12"/>
      <name val="Arial"/>
      <family val="2"/>
      <charset val="204"/>
    </font>
    <font>
      <sz val="10"/>
      <name val="Arial"/>
      <family val="2"/>
      <charset val="204"/>
    </font>
    <font>
      <sz val="10"/>
      <name val="Arial"/>
      <family val="2"/>
      <charset val="204"/>
    </font>
    <font>
      <sz val="12"/>
      <color theme="1"/>
      <name val="Times New Roman Cyr"/>
      <family val="1"/>
      <charset val="204"/>
    </font>
  </fonts>
  <fills count="1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8">
    <xf numFmtId="0" fontId="0" fillId="0" borderId="0"/>
    <xf numFmtId="164" fontId="2" fillId="0" borderId="0" applyFont="0" applyFill="0" applyBorder="0" applyAlignment="0" applyProtection="0"/>
    <xf numFmtId="0" fontId="29" fillId="0" borderId="0"/>
    <xf numFmtId="0" fontId="1" fillId="0" borderId="0"/>
    <xf numFmtId="165" fontId="2" fillId="0" borderId="0" applyFont="0" applyFill="0" applyBorder="0" applyAlignment="0" applyProtection="0"/>
    <xf numFmtId="0" fontId="40" fillId="0" borderId="0"/>
    <xf numFmtId="0" fontId="60" fillId="0" borderId="0"/>
    <xf numFmtId="0" fontId="61" fillId="0" borderId="0"/>
  </cellStyleXfs>
  <cellXfs count="940">
    <xf numFmtId="0" fontId="0" fillId="0" borderId="0" xfId="0"/>
    <xf numFmtId="0" fontId="6" fillId="0" borderId="0" xfId="0" applyFont="1"/>
    <xf numFmtId="0" fontId="7" fillId="0" borderId="1" xfId="0" applyFont="1" applyBorder="1" applyAlignment="1">
      <alignment horizontal="left" vertical="top" wrapText="1"/>
    </xf>
    <xf numFmtId="0" fontId="9" fillId="0" borderId="0" xfId="0" applyFont="1"/>
    <xf numFmtId="0" fontId="8" fillId="0" borderId="0" xfId="0" applyFont="1"/>
    <xf numFmtId="0" fontId="10" fillId="0" borderId="0" xfId="0" applyFont="1" applyFill="1" applyAlignment="1">
      <alignment horizontal="center" vertical="center" wrapText="1"/>
    </xf>
    <xf numFmtId="0" fontId="11" fillId="0" borderId="0" xfId="0" applyFont="1"/>
    <xf numFmtId="0" fontId="3" fillId="0" borderId="1" xfId="0"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Alignment="1">
      <alignment horizontal="right" wrapText="1"/>
    </xf>
    <xf numFmtId="49" fontId="9" fillId="0" borderId="0" xfId="0" applyNumberFormat="1" applyFont="1" applyAlignment="1">
      <alignment horizontal="justify" wrapText="1"/>
    </xf>
    <xf numFmtId="0" fontId="8" fillId="0" borderId="0" xfId="0" applyFont="1" applyAlignment="1">
      <alignment horizontal="center" wrapText="1"/>
    </xf>
    <xf numFmtId="49" fontId="9" fillId="0" borderId="0" xfId="0" applyNumberFormat="1" applyFont="1"/>
    <xf numFmtId="0" fontId="12" fillId="0" borderId="0" xfId="0" applyFont="1" applyProtection="1"/>
    <xf numFmtId="0" fontId="12" fillId="0" borderId="0" xfId="0" applyFont="1" applyAlignment="1" applyProtection="1">
      <alignment wrapText="1"/>
    </xf>
    <xf numFmtId="49" fontId="12" fillId="0" borderId="0" xfId="0" applyNumberFormat="1" applyFont="1" applyAlignment="1" applyProtection="1">
      <alignment horizontal="center"/>
    </xf>
    <xf numFmtId="0" fontId="12" fillId="0" borderId="0" xfId="0" applyFont="1" applyAlignment="1" applyProtection="1">
      <alignment horizontal="center" vertical="center" wrapText="1"/>
    </xf>
    <xf numFmtId="0" fontId="14" fillId="0" borderId="0" xfId="0" applyFont="1" applyProtection="1"/>
    <xf numFmtId="0" fontId="15" fillId="0" borderId="0" xfId="0" applyFont="1" applyProtection="1"/>
    <xf numFmtId="0" fontId="17" fillId="0" borderId="0" xfId="0" applyFont="1" applyProtection="1"/>
    <xf numFmtId="0" fontId="6" fillId="0" borderId="0" xfId="0" applyFont="1" applyAlignment="1">
      <alignment horizontal="center"/>
    </xf>
    <xf numFmtId="0" fontId="10" fillId="0" borderId="0" xfId="0" applyFont="1" applyFill="1" applyAlignment="1">
      <alignment horizontal="left" vertical="center" wrapText="1"/>
    </xf>
    <xf numFmtId="0" fontId="6" fillId="0" borderId="0" xfId="0" applyFont="1" applyAlignment="1">
      <alignment horizontal="left"/>
    </xf>
    <xf numFmtId="0" fontId="4" fillId="0" borderId="1" xfId="0" applyFont="1" applyBorder="1" applyAlignment="1">
      <alignment horizontal="left" vertical="top" wrapText="1"/>
    </xf>
    <xf numFmtId="49" fontId="20" fillId="0" borderId="1" xfId="0" applyNumberFormat="1" applyFont="1" applyBorder="1" applyAlignment="1">
      <alignment horizontal="center" vertical="justify" wrapText="1"/>
    </xf>
    <xf numFmtId="49" fontId="21" fillId="0" borderId="1" xfId="0" applyNumberFormat="1" applyFont="1" applyBorder="1" applyAlignment="1">
      <alignment horizontal="center" vertical="justify" wrapText="1"/>
    </xf>
    <xf numFmtId="49" fontId="20" fillId="0" borderId="1" xfId="0" applyNumberFormat="1" applyFont="1" applyBorder="1" applyAlignment="1">
      <alignment horizontal="center" vertical="justify"/>
    </xf>
    <xf numFmtId="49" fontId="21" fillId="0" borderId="1" xfId="0" applyNumberFormat="1" applyFont="1" applyBorder="1" applyAlignment="1">
      <alignment horizontal="center" vertical="justify"/>
    </xf>
    <xf numFmtId="49" fontId="22"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wrapText="1"/>
    </xf>
    <xf numFmtId="0" fontId="24" fillId="0" borderId="1" xfId="0" applyFont="1" applyBorder="1" applyAlignment="1">
      <alignment horizontal="left" vertical="top" wrapText="1"/>
    </xf>
    <xf numFmtId="0" fontId="9" fillId="0" borderId="0" xfId="0" applyFont="1" applyFill="1" applyAlignment="1">
      <alignment horizontal="left"/>
    </xf>
    <xf numFmtId="0" fontId="9" fillId="0" borderId="0" xfId="0" applyFont="1" applyFill="1" applyAlignment="1">
      <alignment horizontal="center"/>
    </xf>
    <xf numFmtId="0" fontId="8" fillId="0" borderId="0" xfId="0" applyFont="1" applyFill="1" applyAlignment="1">
      <alignment horizontal="center"/>
    </xf>
    <xf numFmtId="0" fontId="0" fillId="0" borderId="0" xfId="0" applyAlignment="1">
      <alignment wrapText="1"/>
    </xf>
    <xf numFmtId="167" fontId="25" fillId="0" borderId="0" xfId="0" applyNumberFormat="1" applyFont="1" applyAlignment="1">
      <alignment wrapText="1"/>
    </xf>
    <xf numFmtId="167" fontId="26" fillId="0" borderId="0" xfId="0" applyNumberFormat="1" applyFont="1" applyAlignment="1">
      <alignment wrapText="1"/>
    </xf>
    <xf numFmtId="169" fontId="0" fillId="0" borderId="0" xfId="0" applyNumberFormat="1" applyAlignment="1">
      <alignment horizontal="center"/>
    </xf>
    <xf numFmtId="169" fontId="26" fillId="0" borderId="0" xfId="0" applyNumberFormat="1" applyFont="1" applyAlignment="1">
      <alignment horizontal="center"/>
    </xf>
    <xf numFmtId="169" fontId="25" fillId="0" borderId="0" xfId="0" applyNumberFormat="1" applyFont="1" applyAlignment="1">
      <alignment horizontal="center"/>
    </xf>
    <xf numFmtId="0" fontId="18" fillId="0" borderId="1" xfId="0" applyFont="1" applyFill="1" applyBorder="1" applyAlignment="1" applyProtection="1">
      <alignment horizontal="left" vertical="top" wrapText="1" indent="2"/>
      <protection hidden="1"/>
    </xf>
    <xf numFmtId="3" fontId="18" fillId="0" borderId="1" xfId="0" applyNumberFormat="1" applyFont="1" applyFill="1" applyBorder="1" applyAlignment="1" applyProtection="1">
      <alignment horizontal="right" vertical="center"/>
    </xf>
    <xf numFmtId="3" fontId="12" fillId="0" borderId="1" xfId="0" applyNumberFormat="1" applyFont="1" applyBorder="1" applyAlignment="1" applyProtection="1">
      <alignment horizontal="right" vertical="center"/>
    </xf>
    <xf numFmtId="3" fontId="18" fillId="0" borderId="1" xfId="0" applyNumberFormat="1" applyFont="1" applyBorder="1" applyAlignment="1" applyProtection="1">
      <alignment horizontal="right" vertical="center"/>
    </xf>
    <xf numFmtId="0" fontId="3" fillId="0" borderId="1" xfId="0" applyFont="1" applyBorder="1" applyAlignment="1">
      <alignment wrapText="1"/>
    </xf>
    <xf numFmtId="0" fontId="16" fillId="0" borderId="1" xfId="0" applyFont="1" applyFill="1" applyBorder="1" applyAlignment="1" applyProtection="1">
      <alignment horizontal="left" vertical="top" wrapText="1"/>
      <protection hidden="1"/>
    </xf>
    <xf numFmtId="3" fontId="15" fillId="0" borderId="1" xfId="0" applyNumberFormat="1" applyFont="1" applyFill="1" applyBorder="1" applyAlignment="1" applyProtection="1">
      <alignment horizontal="right" vertical="center"/>
    </xf>
    <xf numFmtId="3" fontId="16" fillId="0" borderId="1" xfId="0" applyNumberFormat="1" applyFont="1" applyBorder="1" applyAlignment="1" applyProtection="1">
      <alignment horizontal="right" vertical="center"/>
    </xf>
    <xf numFmtId="0" fontId="28" fillId="0" borderId="1" xfId="0" applyFont="1" applyBorder="1" applyAlignment="1">
      <alignment horizontal="left" vertical="top" wrapText="1"/>
    </xf>
    <xf numFmtId="0" fontId="21" fillId="0" borderId="0" xfId="0" applyFont="1"/>
    <xf numFmtId="0" fontId="21" fillId="0" borderId="0" xfId="0" applyFont="1" applyAlignment="1">
      <alignment wrapText="1"/>
    </xf>
    <xf numFmtId="168" fontId="21" fillId="0" borderId="0" xfId="0" applyNumberFormat="1" applyFont="1" applyAlignment="1">
      <alignment horizontal="center"/>
    </xf>
    <xf numFmtId="0" fontId="21" fillId="0" borderId="0" xfId="0" applyFont="1" applyAlignment="1">
      <alignment horizontal="center" wrapText="1"/>
    </xf>
    <xf numFmtId="0" fontId="21" fillId="0" borderId="0" xfId="0" applyFont="1" applyAlignment="1">
      <alignment horizontal="center"/>
    </xf>
    <xf numFmtId="168" fontId="20" fillId="0" borderId="1" xfId="0" applyNumberFormat="1" applyFont="1" applyBorder="1" applyAlignment="1">
      <alignment horizontal="center" vertical="top" wrapText="1"/>
    </xf>
    <xf numFmtId="0" fontId="20" fillId="0" borderId="1" xfId="0" applyFont="1" applyBorder="1" applyAlignment="1">
      <alignment vertical="top" wrapText="1"/>
    </xf>
    <xf numFmtId="168" fontId="21" fillId="0" borderId="1" xfId="0" applyNumberFormat="1" applyFont="1" applyBorder="1" applyAlignment="1">
      <alignment horizontal="center" vertical="top" wrapText="1"/>
    </xf>
    <xf numFmtId="0" fontId="21" fillId="0" borderId="1" xfId="0" applyFont="1" applyBorder="1" applyAlignment="1">
      <alignmen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20" fillId="0" borderId="1" xfId="0" applyFont="1" applyBorder="1" applyAlignment="1">
      <alignment horizontal="left" vertical="top" wrapText="1"/>
    </xf>
    <xf numFmtId="168" fontId="23"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horizontal="justify" vertical="top" wrapText="1"/>
    </xf>
    <xf numFmtId="169" fontId="21" fillId="0" borderId="0" xfId="0" applyNumberFormat="1" applyFont="1" applyAlignment="1">
      <alignment horizontal="center"/>
    </xf>
    <xf numFmtId="170" fontId="21" fillId="0" borderId="0" xfId="0" applyNumberFormat="1" applyFont="1" applyAlignment="1">
      <alignment horizontal="center"/>
    </xf>
    <xf numFmtId="0" fontId="21" fillId="0" borderId="0" xfId="0" applyFont="1" applyAlignment="1">
      <alignment horizontal="left" wrapText="1"/>
    </xf>
    <xf numFmtId="49" fontId="12" fillId="0" borderId="1" xfId="0" applyNumberFormat="1" applyFont="1" applyFill="1" applyBorder="1" applyAlignment="1" applyProtection="1">
      <alignment horizontal="center" vertical="center"/>
    </xf>
    <xf numFmtId="0" fontId="12" fillId="0" borderId="0" xfId="0" applyFont="1" applyAlignment="1" applyProtection="1">
      <alignment horizontal="right" wrapText="1"/>
    </xf>
    <xf numFmtId="49" fontId="12" fillId="0" borderId="0" xfId="0" applyNumberFormat="1" applyFont="1" applyAlignment="1" applyProtection="1">
      <alignment horizontal="right"/>
    </xf>
    <xf numFmtId="3" fontId="4" fillId="0" borderId="1" xfId="1" applyNumberFormat="1" applyFont="1" applyBorder="1" applyAlignment="1">
      <alignment horizontal="right" vertical="center" wrapText="1"/>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12" fillId="0" borderId="1" xfId="0" applyNumberFormat="1" applyFont="1" applyFill="1" applyBorder="1" applyAlignment="1" applyProtection="1">
      <alignment horizontal="right" vertical="center"/>
    </xf>
    <xf numFmtId="168" fontId="12" fillId="0" borderId="1" xfId="0" applyNumberFormat="1" applyFont="1" applyBorder="1" applyAlignment="1" applyProtection="1">
      <alignment horizontal="center" vertical="center"/>
    </xf>
    <xf numFmtId="169" fontId="12" fillId="0" borderId="1" xfId="0" applyNumberFormat="1" applyFont="1" applyBorder="1" applyAlignment="1" applyProtection="1">
      <alignment horizontal="center" vertical="center"/>
    </xf>
    <xf numFmtId="3" fontId="16" fillId="0" borderId="1" xfId="0" applyNumberFormat="1" applyFont="1" applyFill="1" applyBorder="1" applyAlignment="1" applyProtection="1">
      <alignment horizontal="right" vertical="center"/>
    </xf>
    <xf numFmtId="1" fontId="16" fillId="0" borderId="1" xfId="0" applyNumberFormat="1" applyFont="1" applyFill="1" applyBorder="1" applyAlignment="1" applyProtection="1">
      <alignment horizontal="center" vertical="center"/>
    </xf>
    <xf numFmtId="168" fontId="12" fillId="0" borderId="1" xfId="0" applyNumberFormat="1" applyFont="1" applyFill="1" applyBorder="1" applyAlignment="1" applyProtection="1">
      <alignment horizontal="center" vertical="center"/>
    </xf>
    <xf numFmtId="169" fontId="12" fillId="0" borderId="1" xfId="0" applyNumberFormat="1" applyFont="1" applyFill="1" applyBorder="1" applyAlignment="1" applyProtection="1">
      <alignment horizontal="center" vertical="center"/>
    </xf>
    <xf numFmtId="1" fontId="12" fillId="0" borderId="1" xfId="0" applyNumberFormat="1" applyFont="1" applyFill="1" applyBorder="1" applyAlignment="1" applyProtection="1">
      <alignment horizontal="center" vertical="center"/>
    </xf>
    <xf numFmtId="1" fontId="12" fillId="0" borderId="1" xfId="0" applyNumberFormat="1" applyFont="1" applyBorder="1" applyAlignment="1" applyProtection="1">
      <alignment horizontal="center" vertical="center"/>
    </xf>
    <xf numFmtId="1" fontId="9" fillId="0" borderId="1" xfId="0" applyNumberFormat="1" applyFont="1" applyBorder="1" applyAlignment="1" applyProtection="1">
      <alignment horizontal="center" vertical="center" wrapText="1"/>
    </xf>
    <xf numFmtId="168" fontId="9" fillId="0" borderId="1" xfId="0" applyNumberFormat="1" applyFont="1" applyBorder="1" applyAlignment="1" applyProtection="1">
      <alignment horizontal="center" vertical="center" wrapText="1"/>
    </xf>
    <xf numFmtId="169" fontId="9" fillId="0" borderId="1" xfId="0" applyNumberFormat="1" applyFont="1" applyBorder="1" applyAlignment="1" applyProtection="1">
      <alignment horizontal="center" vertical="center" wrapText="1"/>
    </xf>
    <xf numFmtId="168" fontId="16" fillId="0" borderId="1" xfId="0" applyNumberFormat="1" applyFont="1" applyFill="1" applyBorder="1" applyAlignment="1" applyProtection="1">
      <alignment horizontal="center" vertical="center"/>
    </xf>
    <xf numFmtId="1" fontId="18" fillId="0" borderId="1" xfId="0" applyNumberFormat="1" applyFont="1" applyFill="1" applyBorder="1" applyAlignment="1" applyProtection="1">
      <alignment horizontal="center" vertical="center"/>
    </xf>
    <xf numFmtId="168" fontId="18" fillId="0" borderId="1" xfId="0" applyNumberFormat="1" applyFont="1" applyFill="1" applyBorder="1" applyAlignment="1" applyProtection="1">
      <alignment horizontal="center" vertical="center"/>
    </xf>
    <xf numFmtId="169" fontId="18" fillId="0" borderId="1" xfId="0" applyNumberFormat="1" applyFont="1" applyFill="1" applyBorder="1" applyAlignment="1" applyProtection="1">
      <alignment horizontal="center" vertical="center"/>
    </xf>
    <xf numFmtId="169" fontId="16" fillId="0" borderId="1" xfId="0" applyNumberFormat="1" applyFont="1" applyFill="1" applyBorder="1" applyAlignment="1" applyProtection="1">
      <alignment horizontal="center" vertical="center"/>
    </xf>
    <xf numFmtId="0" fontId="2" fillId="0" borderId="0" xfId="0" applyFont="1"/>
    <xf numFmtId="3" fontId="12" fillId="0" borderId="1" xfId="0" applyNumberFormat="1" applyFont="1" applyFill="1" applyBorder="1" applyAlignment="1" applyProtection="1">
      <alignment horizontal="right" vertical="center"/>
      <protection locked="0"/>
    </xf>
    <xf numFmtId="0" fontId="18" fillId="0" borderId="1" xfId="0" applyFont="1" applyFill="1" applyBorder="1" applyAlignment="1" applyProtection="1">
      <alignment horizontal="center" vertical="center" wrapText="1"/>
    </xf>
    <xf numFmtId="0" fontId="3" fillId="0" borderId="1" xfId="0" applyFont="1" applyBorder="1" applyAlignment="1">
      <alignment vertical="top" wrapText="1"/>
    </xf>
    <xf numFmtId="3"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vertical="center"/>
      <protection locked="0"/>
    </xf>
    <xf numFmtId="3" fontId="4" fillId="0" borderId="1" xfId="0" applyNumberFormat="1" applyFont="1" applyBorder="1" applyAlignment="1" applyProtection="1">
      <alignment horizontal="right" vertical="center"/>
      <protection locked="0"/>
    </xf>
    <xf numFmtId="0" fontId="12"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ill="1"/>
    <xf numFmtId="0" fontId="30" fillId="0" borderId="1" xfId="0" applyFont="1" applyBorder="1" applyAlignment="1">
      <alignment horizontal="center" vertical="top" wrapText="1"/>
    </xf>
    <xf numFmtId="0" fontId="9" fillId="0" borderId="9" xfId="0" applyFont="1" applyBorder="1" applyAlignment="1">
      <alignment vertical="top" wrapText="1"/>
    </xf>
    <xf numFmtId="0" fontId="9" fillId="0" borderId="1" xfId="0" applyFont="1" applyBorder="1" applyAlignment="1">
      <alignment vertical="top" wrapText="1"/>
    </xf>
    <xf numFmtId="0" fontId="0" fillId="0" borderId="0" xfId="0" applyAlignment="1">
      <alignment horizontal="center"/>
    </xf>
    <xf numFmtId="3" fontId="3" fillId="0" borderId="1" xfId="0" applyNumberFormat="1" applyFont="1" applyFill="1" applyBorder="1" applyAlignment="1">
      <alignment horizontal="center" wrapText="1"/>
    </xf>
    <xf numFmtId="0" fontId="3" fillId="0" borderId="0" xfId="0" applyFont="1" applyAlignment="1">
      <alignment horizontal="right" wrapText="1"/>
    </xf>
    <xf numFmtId="0" fontId="3" fillId="0" borderId="0" xfId="0" applyFont="1" applyAlignment="1">
      <alignment horizontal="center" wrapText="1"/>
    </xf>
    <xf numFmtId="0" fontId="21" fillId="0" borderId="1" xfId="0" applyFont="1" applyBorder="1" applyAlignment="1">
      <alignment vertical="center"/>
    </xf>
    <xf numFmtId="49" fontId="21" fillId="0" borderId="0" xfId="0" applyNumberFormat="1" applyFont="1" applyAlignment="1">
      <alignment horizontal="center" wrapText="1"/>
    </xf>
    <xf numFmtId="49" fontId="21" fillId="0" borderId="0" xfId="0" applyNumberFormat="1" applyFont="1" applyAlignment="1">
      <alignment wrapText="1"/>
    </xf>
    <xf numFmtId="49" fontId="35" fillId="0" borderId="1" xfId="0" applyNumberFormat="1" applyFont="1" applyBorder="1" applyAlignment="1">
      <alignment vertical="center" wrapText="1"/>
    </xf>
    <xf numFmtId="0" fontId="35" fillId="0" borderId="1" xfId="0" applyNumberFormat="1" applyFont="1" applyBorder="1" applyAlignment="1">
      <alignment vertical="center" wrapText="1"/>
    </xf>
    <xf numFmtId="3" fontId="3" fillId="0" borderId="1" xfId="1" applyNumberFormat="1" applyFont="1" applyBorder="1" applyAlignment="1">
      <alignment horizontal="right" vertical="center" wrapText="1"/>
    </xf>
    <xf numFmtId="1" fontId="0" fillId="0" borderId="0" xfId="0" applyNumberFormat="1"/>
    <xf numFmtId="0" fontId="0" fillId="0" borderId="1" xfId="0" applyBorder="1" applyAlignment="1">
      <alignment wrapText="1"/>
    </xf>
    <xf numFmtId="0" fontId="0" fillId="0" borderId="1" xfId="0" applyNumberFormat="1" applyBorder="1" applyAlignment="1">
      <alignment wrapText="1"/>
    </xf>
    <xf numFmtId="170" fontId="0" fillId="0" borderId="1" xfId="0" applyNumberFormat="1" applyBorder="1"/>
    <xf numFmtId="0" fontId="10" fillId="0" borderId="0" xfId="0" applyFont="1" applyAlignment="1">
      <alignment horizontal="center"/>
    </xf>
    <xf numFmtId="0" fontId="8" fillId="0" borderId="2" xfId="0" applyFont="1" applyBorder="1" applyAlignment="1">
      <alignment horizontal="center" vertical="top" wrapText="1"/>
    </xf>
    <xf numFmtId="0" fontId="8" fillId="0" borderId="10"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9"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9" fillId="0" borderId="0" xfId="0" applyFont="1" applyFill="1" applyAlignment="1"/>
    <xf numFmtId="0" fontId="3"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69" fontId="3" fillId="0" borderId="1" xfId="0" applyNumberFormat="1" applyFont="1" applyFill="1" applyBorder="1" applyAlignment="1">
      <alignment horizontal="center" vertical="top" wrapText="1"/>
    </xf>
    <xf numFmtId="0" fontId="0" fillId="0" borderId="0" xfId="0" applyBorder="1"/>
    <xf numFmtId="3" fontId="0" fillId="0" borderId="1" xfId="0" applyNumberFormat="1" applyBorder="1" applyAlignment="1">
      <alignment horizontal="right"/>
    </xf>
    <xf numFmtId="0" fontId="3" fillId="0" borderId="0" xfId="0" applyFont="1" applyBorder="1" applyAlignment="1">
      <alignment horizontal="center" vertical="center" wrapText="1"/>
    </xf>
    <xf numFmtId="167" fontId="33" fillId="0" borderId="0" xfId="0" applyNumberFormat="1" applyFont="1" applyBorder="1" applyAlignment="1">
      <alignment wrapText="1"/>
    </xf>
    <xf numFmtId="3" fontId="3" fillId="0" borderId="0" xfId="0" applyNumberFormat="1" applyFont="1" applyFill="1" applyBorder="1" applyAlignment="1">
      <alignment horizontal="center" wrapText="1"/>
    </xf>
    <xf numFmtId="166" fontId="31" fillId="0" borderId="0"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67" fontId="33" fillId="0" borderId="6" xfId="0" applyNumberFormat="1" applyFont="1" applyBorder="1" applyAlignment="1">
      <alignment wrapText="1"/>
    </xf>
    <xf numFmtId="167" fontId="32" fillId="0" borderId="16" xfId="0" applyNumberFormat="1" applyFont="1" applyFill="1" applyBorder="1" applyAlignment="1">
      <alignment wrapText="1"/>
    </xf>
    <xf numFmtId="0" fontId="19" fillId="0" borderId="0" xfId="0" applyFont="1" applyAlignment="1">
      <alignment horizontal="center"/>
    </xf>
    <xf numFmtId="0" fontId="3" fillId="0" borderId="21" xfId="0" applyFont="1" applyBorder="1" applyAlignment="1">
      <alignment wrapText="1"/>
    </xf>
    <xf numFmtId="0" fontId="3" fillId="0" borderId="21" xfId="0" applyFont="1" applyBorder="1" applyAlignment="1">
      <alignment horizontal="center" wrapText="1"/>
    </xf>
    <xf numFmtId="0" fontId="0" fillId="3" borderId="0" xfId="0" applyFill="1"/>
    <xf numFmtId="0" fontId="3" fillId="0" borderId="21" xfId="0" applyFont="1" applyBorder="1" applyAlignment="1">
      <alignment horizontal="left" vertical="center" wrapText="1"/>
    </xf>
    <xf numFmtId="0" fontId="0" fillId="4" borderId="0" xfId="0" applyFill="1"/>
    <xf numFmtId="0" fontId="0" fillId="5" borderId="0" xfId="0" applyFill="1"/>
    <xf numFmtId="3" fontId="0" fillId="0" borderId="0" xfId="0" applyNumberFormat="1" applyBorder="1" applyAlignment="1">
      <alignment horizontal="right"/>
    </xf>
    <xf numFmtId="0" fontId="30" fillId="0" borderId="0" xfId="0" applyFont="1" applyAlignment="1">
      <alignment horizontal="justify"/>
    </xf>
    <xf numFmtId="3" fontId="4" fillId="0" borderId="22" xfId="0" applyNumberFormat="1" applyFont="1" applyBorder="1" applyAlignment="1">
      <alignment horizontal="right"/>
    </xf>
    <xf numFmtId="0" fontId="0" fillId="7" borderId="0" xfId="0" applyFill="1"/>
    <xf numFmtId="0" fontId="30" fillId="0" borderId="0" xfId="0" applyFont="1"/>
    <xf numFmtId="0" fontId="40" fillId="0" borderId="0" xfId="0" applyFont="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wrapText="1"/>
    </xf>
    <xf numFmtId="3" fontId="4" fillId="0" borderId="25" xfId="0" applyNumberFormat="1" applyFont="1" applyBorder="1" applyAlignment="1">
      <alignment horizontal="right" wrapText="1"/>
    </xf>
    <xf numFmtId="0" fontId="3" fillId="0" borderId="25" xfId="0" applyFont="1" applyBorder="1" applyAlignment="1">
      <alignment horizontal="center" wrapText="1"/>
    </xf>
    <xf numFmtId="3" fontId="3" fillId="0" borderId="25" xfId="0" applyNumberFormat="1" applyFont="1" applyBorder="1" applyAlignment="1">
      <alignment horizontal="right" wrapText="1"/>
    </xf>
    <xf numFmtId="0" fontId="4" fillId="0" borderId="23" xfId="0" applyFont="1" applyBorder="1" applyAlignment="1">
      <alignment horizontal="justify" wrapText="1"/>
    </xf>
    <xf numFmtId="3" fontId="4" fillId="0" borderId="23" xfId="0" applyNumberFormat="1" applyFont="1" applyBorder="1" applyAlignment="1">
      <alignment horizontal="right"/>
    </xf>
    <xf numFmtId="0" fontId="3" fillId="0" borderId="21" xfId="0" applyFont="1" applyBorder="1" applyAlignment="1">
      <alignment horizontal="center"/>
    </xf>
    <xf numFmtId="0" fontId="3" fillId="0" borderId="22" xfId="0" applyFont="1" applyBorder="1" applyAlignment="1">
      <alignment horizontal="justify" wrapText="1"/>
    </xf>
    <xf numFmtId="3" fontId="3" fillId="0" borderId="22" xfId="0" applyNumberFormat="1" applyFont="1" applyBorder="1" applyAlignment="1">
      <alignment horizontal="right"/>
    </xf>
    <xf numFmtId="0" fontId="4" fillId="0" borderId="21" xfId="0" applyFont="1" applyBorder="1" applyAlignment="1">
      <alignment horizontal="center"/>
    </xf>
    <xf numFmtId="0" fontId="4" fillId="0" borderId="22" xfId="0" applyFont="1" applyBorder="1" applyAlignment="1">
      <alignment horizontal="justify" wrapText="1"/>
    </xf>
    <xf numFmtId="0" fontId="41" fillId="0" borderId="1" xfId="0" applyFont="1" applyBorder="1" applyAlignment="1">
      <alignment horizontal="center" vertical="top"/>
    </xf>
    <xf numFmtId="49" fontId="41"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4" fillId="0" borderId="10" xfId="0" applyFont="1" applyBorder="1" applyAlignment="1">
      <alignment horizontal="left"/>
    </xf>
    <xf numFmtId="49" fontId="23" fillId="0" borderId="1" xfId="0" applyNumberFormat="1" applyFont="1" applyBorder="1" applyAlignment="1">
      <alignment vertical="center" wrapText="1"/>
    </xf>
    <xf numFmtId="3" fontId="18" fillId="5" borderId="1" xfId="0" applyNumberFormat="1" applyFont="1" applyFill="1" applyBorder="1" applyAlignment="1" applyProtection="1">
      <alignment horizontal="right" vertical="center"/>
      <protection locked="0"/>
    </xf>
    <xf numFmtId="0" fontId="40" fillId="0" borderId="0" xfId="0" applyFont="1" applyAlignment="1">
      <alignment wrapText="1"/>
    </xf>
    <xf numFmtId="0" fontId="3" fillId="0" borderId="19" xfId="0" applyFont="1" applyBorder="1" applyAlignment="1">
      <alignment horizontal="center" wrapText="1"/>
    </xf>
    <xf numFmtId="0" fontId="39" fillId="0" borderId="1" xfId="0" applyFont="1" applyBorder="1" applyAlignment="1">
      <alignment horizontal="center" wrapText="1"/>
    </xf>
    <xf numFmtId="0" fontId="39" fillId="6" borderId="1" xfId="0" applyFont="1" applyFill="1" applyBorder="1" applyAlignment="1">
      <alignment horizontal="center" wrapText="1"/>
    </xf>
    <xf numFmtId="0" fontId="39" fillId="0" borderId="1" xfId="0" applyFont="1" applyBorder="1" applyAlignment="1">
      <alignment horizontal="right" wrapText="1"/>
    </xf>
    <xf numFmtId="0" fontId="39" fillId="0" borderId="2" xfId="0" applyFont="1" applyBorder="1" applyAlignment="1">
      <alignment horizontal="center" wrapText="1"/>
    </xf>
    <xf numFmtId="0" fontId="42" fillId="0" borderId="2" xfId="0" applyFont="1" applyBorder="1" applyAlignment="1">
      <alignment wrapText="1"/>
    </xf>
    <xf numFmtId="0" fontId="3" fillId="0" borderId="3" xfId="0" applyFont="1" applyBorder="1" applyAlignment="1">
      <alignment horizontal="center" wrapText="1"/>
    </xf>
    <xf numFmtId="0" fontId="43" fillId="0" borderId="4" xfId="0" applyFont="1" applyBorder="1" applyAlignment="1">
      <alignment horizontal="center" wrapText="1"/>
    </xf>
    <xf numFmtId="3" fontId="4" fillId="0" borderId="5" xfId="0" applyNumberFormat="1" applyFont="1" applyBorder="1" applyAlignment="1">
      <alignment horizontal="right"/>
    </xf>
    <xf numFmtId="0" fontId="39" fillId="0" borderId="8" xfId="0" applyFont="1" applyBorder="1" applyAlignment="1">
      <alignment horizontal="center" wrapText="1"/>
    </xf>
    <xf numFmtId="3" fontId="39" fillId="0" borderId="1" xfId="0" applyNumberFormat="1" applyFont="1" applyBorder="1" applyAlignment="1">
      <alignment horizontal="right" wrapText="1"/>
    </xf>
    <xf numFmtId="0" fontId="43" fillId="0" borderId="23" xfId="0" applyFont="1" applyBorder="1" applyAlignment="1">
      <alignment horizontal="center" wrapText="1"/>
    </xf>
    <xf numFmtId="0" fontId="3" fillId="0" borderId="8" xfId="0" applyFont="1" applyBorder="1" applyAlignment="1">
      <alignment horizontal="left" wrapText="1"/>
    </xf>
    <xf numFmtId="0" fontId="44" fillId="0" borderId="1" xfId="0" applyFont="1" applyBorder="1" applyAlignment="1">
      <alignment wrapText="1"/>
    </xf>
    <xf numFmtId="4" fontId="39" fillId="0" borderId="2" xfId="0" applyNumberFormat="1" applyFont="1" applyBorder="1" applyAlignment="1">
      <alignment horizontal="right" wrapText="1"/>
    </xf>
    <xf numFmtId="3" fontId="39" fillId="0" borderId="8" xfId="0" applyNumberFormat="1" applyFont="1" applyBorder="1" applyAlignment="1">
      <alignment horizontal="right" wrapText="1"/>
    </xf>
    <xf numFmtId="3" fontId="39" fillId="6" borderId="1" xfId="0" applyNumberFormat="1" applyFont="1" applyFill="1" applyBorder="1" applyAlignment="1">
      <alignment horizontal="right" wrapText="1"/>
    </xf>
    <xf numFmtId="0" fontId="40" fillId="0" borderId="1" xfId="0" applyFont="1" applyBorder="1" applyAlignment="1">
      <alignment wrapText="1"/>
    </xf>
    <xf numFmtId="0" fontId="4" fillId="0" borderId="19" xfId="0" applyFont="1" applyBorder="1" applyAlignment="1">
      <alignment horizontal="center"/>
    </xf>
    <xf numFmtId="0" fontId="4" fillId="0" borderId="25" xfId="0" applyFont="1" applyBorder="1" applyAlignment="1">
      <alignment horizontal="center" wrapText="1"/>
    </xf>
    <xf numFmtId="0" fontId="3" fillId="0" borderId="27" xfId="0" applyFont="1" applyBorder="1" applyAlignment="1">
      <alignment horizontal="justify" vertical="center" wrapText="1"/>
    </xf>
    <xf numFmtId="0" fontId="31" fillId="7" borderId="0" xfId="0" applyFont="1" applyFill="1"/>
    <xf numFmtId="0" fontId="4" fillId="0" borderId="19" xfId="0" applyFont="1" applyBorder="1" applyAlignment="1">
      <alignment horizontal="center"/>
    </xf>
    <xf numFmtId="0" fontId="4" fillId="0" borderId="19" xfId="0" applyFont="1" applyBorder="1" applyAlignment="1">
      <alignment horizontal="center" wrapText="1"/>
    </xf>
    <xf numFmtId="0" fontId="4" fillId="0" borderId="25" xfId="0" applyFont="1" applyBorder="1" applyAlignment="1">
      <alignment horizontal="center" wrapText="1"/>
    </xf>
    <xf numFmtId="0" fontId="24" fillId="0" borderId="19" xfId="0" applyFont="1" applyBorder="1" applyAlignment="1">
      <alignment horizontal="center" wrapText="1"/>
    </xf>
    <xf numFmtId="0" fontId="24" fillId="0" borderId="20" xfId="0" applyFont="1" applyBorder="1" applyAlignment="1">
      <alignment horizontal="center" wrapText="1"/>
    </xf>
    <xf numFmtId="0" fontId="28" fillId="0" borderId="20" xfId="0" applyFont="1" applyBorder="1" applyAlignment="1">
      <alignment wrapText="1"/>
    </xf>
    <xf numFmtId="0" fontId="3" fillId="0" borderId="20" xfId="0" applyFont="1" applyBorder="1" applyAlignment="1">
      <alignment horizontal="left" vertical="top" wrapText="1" indent="3"/>
    </xf>
    <xf numFmtId="0" fontId="3" fillId="0" borderId="21" xfId="0" applyFont="1" applyBorder="1" applyAlignment="1">
      <alignment horizontal="left" vertical="top" wrapText="1" indent="3"/>
    </xf>
    <xf numFmtId="0" fontId="3" fillId="0" borderId="20" xfId="0" applyFont="1" applyBorder="1" applyAlignment="1">
      <alignment horizontal="right" vertical="center" wrapText="1"/>
    </xf>
    <xf numFmtId="0" fontId="28" fillId="0" borderId="20" xfId="0" applyFont="1" applyBorder="1" applyAlignment="1">
      <alignment vertical="top" wrapText="1"/>
    </xf>
    <xf numFmtId="0" fontId="24" fillId="0" borderId="20" xfId="0" applyFont="1" applyBorder="1" applyAlignment="1">
      <alignment horizontal="left" vertical="top" wrapText="1" indent="1"/>
    </xf>
    <xf numFmtId="0" fontId="28" fillId="0" borderId="20" xfId="0" applyFont="1" applyBorder="1" applyAlignment="1">
      <alignment horizontal="left" vertical="top" wrapText="1" indent="1"/>
    </xf>
    <xf numFmtId="0" fontId="24" fillId="0" borderId="22" xfId="0" applyFont="1" applyBorder="1" applyAlignment="1">
      <alignment horizontal="center" wrapText="1"/>
    </xf>
    <xf numFmtId="0" fontId="24" fillId="0" borderId="23" xfId="0" applyFont="1" applyBorder="1" applyAlignment="1">
      <alignment horizontal="center" wrapText="1"/>
    </xf>
    <xf numFmtId="0" fontId="24" fillId="0" borderId="21" xfId="0" applyFont="1" applyBorder="1" applyAlignment="1">
      <alignment horizontal="center" wrapText="1"/>
    </xf>
    <xf numFmtId="0" fontId="24" fillId="0" borderId="21" xfId="0" applyFont="1" applyBorder="1" applyAlignment="1">
      <alignment wrapText="1"/>
    </xf>
    <xf numFmtId="0" fontId="24" fillId="0" borderId="20" xfId="0" applyFont="1" applyBorder="1" applyAlignment="1">
      <alignment wrapText="1"/>
    </xf>
    <xf numFmtId="0" fontId="19" fillId="3" borderId="0" xfId="0" applyFont="1" applyFill="1"/>
    <xf numFmtId="171" fontId="24" fillId="0" borderId="22" xfId="0" applyNumberFormat="1" applyFont="1" applyBorder="1" applyAlignment="1">
      <alignment horizontal="right" wrapText="1"/>
    </xf>
    <xf numFmtId="0" fontId="3" fillId="0" borderId="26" xfId="0" applyFont="1" applyBorder="1" applyAlignment="1">
      <alignment vertical="top" wrapText="1"/>
    </xf>
    <xf numFmtId="0" fontId="3" fillId="0" borderId="26" xfId="0" applyFont="1" applyBorder="1" applyAlignment="1">
      <alignment horizontal="left" vertical="center" wrapText="1"/>
    </xf>
    <xf numFmtId="3" fontId="24" fillId="0" borderId="22" xfId="0" applyNumberFormat="1" applyFont="1" applyBorder="1" applyAlignment="1">
      <alignment horizontal="right" wrapText="1"/>
    </xf>
    <xf numFmtId="3" fontId="24" fillId="0" borderId="24" xfId="0" applyNumberFormat="1" applyFont="1" applyBorder="1" applyAlignment="1">
      <alignment horizontal="right" wrapText="1"/>
    </xf>
    <xf numFmtId="3" fontId="3" fillId="0" borderId="22" xfId="0" applyNumberFormat="1" applyFont="1" applyBorder="1" applyAlignment="1">
      <alignment horizontal="right" wrapText="1"/>
    </xf>
    <xf numFmtId="3" fontId="40" fillId="0" borderId="7" xfId="0" applyNumberFormat="1" applyFont="1" applyBorder="1" applyAlignment="1">
      <alignment horizontal="right" vertical="center"/>
    </xf>
    <xf numFmtId="3" fontId="45" fillId="0" borderId="17" xfId="0" applyNumberFormat="1" applyFont="1" applyBorder="1" applyAlignment="1">
      <alignment horizontal="right" vertical="center"/>
    </xf>
    <xf numFmtId="3" fontId="40" fillId="0" borderId="1" xfId="0" applyNumberFormat="1" applyFont="1" applyFill="1" applyBorder="1" applyAlignment="1">
      <alignment horizontal="right" vertical="center" wrapText="1"/>
    </xf>
    <xf numFmtId="3" fontId="39" fillId="8" borderId="8" xfId="0" applyNumberFormat="1" applyFont="1" applyFill="1" applyBorder="1" applyAlignment="1">
      <alignment horizontal="right" wrapText="1"/>
    </xf>
    <xf numFmtId="3" fontId="39" fillId="8" borderId="1" xfId="0" applyNumberFormat="1" applyFont="1" applyFill="1" applyBorder="1" applyAlignment="1">
      <alignment horizontal="right" wrapText="1"/>
    </xf>
    <xf numFmtId="4" fontId="39" fillId="8" borderId="2" xfId="0" applyNumberFormat="1" applyFont="1" applyFill="1" applyBorder="1" applyAlignment="1">
      <alignment horizontal="right" wrapText="1"/>
    </xf>
    <xf numFmtId="0" fontId="3" fillId="0" borderId="1" xfId="0" applyFont="1" applyBorder="1" applyAlignment="1">
      <alignment horizontal="left" vertical="top"/>
    </xf>
    <xf numFmtId="169" fontId="3" fillId="0" borderId="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5" borderId="1" xfId="0" applyFill="1" applyBorder="1"/>
    <xf numFmtId="169" fontId="0" fillId="4" borderId="0" xfId="0" applyNumberFormat="1" applyFill="1"/>
    <xf numFmtId="169" fontId="12" fillId="0" borderId="0" xfId="0" applyNumberFormat="1" applyFont="1" applyAlignment="1" applyProtection="1">
      <alignment horizontal="right"/>
    </xf>
    <xf numFmtId="169" fontId="12" fillId="0" borderId="0" xfId="0" applyNumberFormat="1" applyFont="1" applyAlignment="1" applyProtection="1">
      <alignment horizontal="center"/>
    </xf>
    <xf numFmtId="169" fontId="27" fillId="0" borderId="1" xfId="0" applyNumberFormat="1" applyFont="1" applyBorder="1" applyAlignment="1" applyProtection="1">
      <alignment horizontal="center" vertical="center"/>
    </xf>
    <xf numFmtId="169" fontId="18" fillId="0" borderId="1" xfId="0" applyNumberFormat="1" applyFont="1" applyBorder="1" applyAlignment="1" applyProtection="1">
      <alignment horizontal="center" vertical="center"/>
    </xf>
    <xf numFmtId="168" fontId="12" fillId="0" borderId="0" xfId="0" applyNumberFormat="1" applyFont="1" applyAlignment="1" applyProtection="1">
      <alignment horizontal="right"/>
    </xf>
    <xf numFmtId="168" fontId="12" fillId="0" borderId="0" xfId="0" applyNumberFormat="1" applyFont="1" applyAlignment="1" applyProtection="1">
      <alignment horizontal="center"/>
    </xf>
    <xf numFmtId="168" fontId="18" fillId="0" borderId="1"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3" fontId="3" fillId="0" borderId="1" xfId="0" applyNumberFormat="1" applyFont="1" applyFill="1" applyBorder="1" applyAlignment="1">
      <alignment horizontal="right" wrapText="1"/>
    </xf>
    <xf numFmtId="0" fontId="3" fillId="0" borderId="0" xfId="0" applyFont="1"/>
    <xf numFmtId="0" fontId="4" fillId="0" borderId="0" xfId="0" applyFont="1" applyFill="1" applyAlignment="1">
      <alignment horizontal="center" vertical="center" wrapText="1"/>
    </xf>
    <xf numFmtId="167" fontId="47" fillId="0" borderId="1" xfId="0" applyNumberFormat="1" applyFont="1" applyBorder="1" applyAlignment="1">
      <alignment wrapText="1"/>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167" fontId="48" fillId="0" borderId="1" xfId="0" applyNumberFormat="1" applyFont="1" applyFill="1" applyBorder="1" applyAlignment="1">
      <alignment wrapText="1"/>
    </xf>
    <xf numFmtId="166" fontId="4" fillId="0" borderId="1" xfId="0" applyNumberFormat="1" applyFont="1" applyBorder="1" applyAlignment="1">
      <alignment vertical="center"/>
    </xf>
    <xf numFmtId="166" fontId="4" fillId="0" borderId="0" xfId="0" applyNumberFormat="1" applyFont="1" applyBorder="1" applyAlignment="1">
      <alignment vertical="center"/>
    </xf>
    <xf numFmtId="0" fontId="3" fillId="0" borderId="0" xfId="0" applyFont="1" applyBorder="1"/>
    <xf numFmtId="0" fontId="3" fillId="0" borderId="0" xfId="0" applyFont="1" applyFill="1"/>
    <xf numFmtId="0" fontId="6" fillId="3" borderId="0" xfId="0" applyFont="1" applyFill="1"/>
    <xf numFmtId="0" fontId="6" fillId="2" borderId="0" xfId="0" applyFont="1" applyFill="1"/>
    <xf numFmtId="0" fontId="3" fillId="2" borderId="0" xfId="0" applyFont="1" applyFill="1"/>
    <xf numFmtId="3" fontId="4" fillId="0" borderId="1" xfId="0" applyNumberFormat="1" applyFont="1" applyBorder="1" applyAlignment="1">
      <alignment vertical="center"/>
    </xf>
    <xf numFmtId="0" fontId="3" fillId="5" borderId="0" xfId="0" applyFont="1" applyFill="1"/>
    <xf numFmtId="0" fontId="13" fillId="0" borderId="0" xfId="0" applyFont="1" applyAlignment="1" applyProtection="1">
      <alignment horizontal="center" wrapText="1"/>
    </xf>
    <xf numFmtId="0" fontId="16" fillId="0" borderId="1" xfId="0" applyFont="1" applyFill="1" applyBorder="1" applyAlignment="1" applyProtection="1">
      <alignment horizontal="left" vertical="top" wrapText="1" indent="2"/>
      <protection hidden="1"/>
    </xf>
    <xf numFmtId="0" fontId="3" fillId="0" borderId="0" xfId="0" applyFont="1" applyAlignment="1">
      <alignment horizontal="center"/>
    </xf>
    <xf numFmtId="0" fontId="4" fillId="0" borderId="0" xfId="0" applyFont="1" applyFill="1" applyAlignment="1">
      <alignment horizontal="center" vertical="center" wrapText="1"/>
    </xf>
    <xf numFmtId="49" fontId="49" fillId="0" borderId="1" xfId="0" applyNumberFormat="1" applyFont="1" applyBorder="1" applyAlignment="1">
      <alignment horizontal="center" vertical="center" textRotation="90"/>
    </xf>
    <xf numFmtId="49" fontId="49" fillId="0" borderId="1" xfId="0" applyNumberFormat="1" applyFont="1" applyBorder="1" applyAlignment="1">
      <alignment horizontal="center" vertical="center" textRotation="90" wrapText="1"/>
    </xf>
    <xf numFmtId="49" fontId="49" fillId="0" borderId="1" xfId="0" applyNumberFormat="1" applyFont="1" applyBorder="1" applyAlignment="1">
      <alignment horizontal="left" vertical="center" textRotation="90"/>
    </xf>
    <xf numFmtId="0" fontId="4" fillId="0" borderId="37" xfId="0" applyFont="1" applyFill="1" applyBorder="1" applyAlignment="1">
      <alignment horizontal="center" vertical="center" wrapText="1"/>
    </xf>
    <xf numFmtId="0" fontId="3" fillId="3" borderId="0" xfId="0" applyFont="1" applyFill="1"/>
    <xf numFmtId="3" fontId="4" fillId="0" borderId="1" xfId="0" applyNumberFormat="1" applyFont="1" applyBorder="1" applyAlignment="1">
      <alignment horizontal="right"/>
    </xf>
    <xf numFmtId="3" fontId="3" fillId="0" borderId="1" xfId="0" applyNumberFormat="1" applyFont="1" applyBorder="1" applyAlignment="1">
      <alignment horizontal="right" vertical="center" wrapText="1"/>
    </xf>
    <xf numFmtId="0" fontId="3" fillId="0" borderId="37" xfId="0" applyFont="1" applyBorder="1" applyAlignment="1"/>
    <xf numFmtId="3" fontId="4" fillId="0" borderId="0" xfId="0" applyNumberFormat="1" applyFont="1" applyBorder="1" applyAlignment="1">
      <alignment horizontal="right"/>
    </xf>
    <xf numFmtId="1" fontId="3" fillId="0" borderId="0" xfId="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7" fontId="47" fillId="0" borderId="6" xfId="0" applyNumberFormat="1" applyFont="1" applyBorder="1" applyAlignment="1">
      <alignment wrapText="1"/>
    </xf>
    <xf numFmtId="167" fontId="48" fillId="0" borderId="16" xfId="0" applyNumberFormat="1" applyFont="1" applyFill="1" applyBorder="1" applyAlignment="1">
      <alignment wrapText="1"/>
    </xf>
    <xf numFmtId="0" fontId="3" fillId="4" borderId="0" xfId="0" applyFont="1" applyFill="1"/>
    <xf numFmtId="0" fontId="4" fillId="0" borderId="0" xfId="0" applyFont="1" applyFill="1" applyAlignment="1">
      <alignment horizontal="left" vertical="center" wrapText="1"/>
    </xf>
    <xf numFmtId="3" fontId="3" fillId="0" borderId="7" xfId="0" applyNumberFormat="1" applyFont="1" applyBorder="1" applyAlignment="1">
      <alignment horizontal="right"/>
    </xf>
    <xf numFmtId="166" fontId="4" fillId="0" borderId="17" xfId="0" applyNumberFormat="1" applyFont="1" applyBorder="1" applyAlignment="1">
      <alignment horizontal="center" vertical="center"/>
    </xf>
    <xf numFmtId="3" fontId="4"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6" fillId="0" borderId="0" xfId="0" applyFont="1" applyAlignment="1">
      <alignment wrapText="1"/>
    </xf>
    <xf numFmtId="169" fontId="50" fillId="0" borderId="1" xfId="0" applyNumberFormat="1" applyFont="1" applyBorder="1" applyAlignment="1" applyProtection="1">
      <alignment horizontal="center" vertical="center" wrapText="1"/>
    </xf>
    <xf numFmtId="168" fontId="50" fillId="0" borderId="1" xfId="0" applyNumberFormat="1" applyFont="1" applyBorder="1" applyAlignment="1" applyProtection="1">
      <alignment horizontal="center" vertical="center" wrapText="1"/>
    </xf>
    <xf numFmtId="0" fontId="3" fillId="0" borderId="0" xfId="0" applyFont="1" applyAlignment="1">
      <alignment horizontal="justify" wrapText="1"/>
    </xf>
    <xf numFmtId="0" fontId="6" fillId="0" borderId="0" xfId="0" applyFont="1" applyFill="1" applyAlignment="1">
      <alignment wrapText="1"/>
    </xf>
    <xf numFmtId="49" fontId="8"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168" fontId="4" fillId="0" borderId="19" xfId="0" applyNumberFormat="1" applyFont="1" applyBorder="1" applyAlignment="1">
      <alignment horizontal="left" vertical="center" wrapText="1"/>
    </xf>
    <xf numFmtId="0" fontId="4" fillId="0" borderId="19" xfId="0" applyFont="1" applyBorder="1" applyAlignment="1">
      <alignment vertical="top" wrapText="1"/>
    </xf>
    <xf numFmtId="3" fontId="8" fillId="0" borderId="19" xfId="0" applyNumberFormat="1" applyFont="1" applyBorder="1" applyProtection="1"/>
    <xf numFmtId="168" fontId="3" fillId="0" borderId="19" xfId="0" applyNumberFormat="1" applyFont="1" applyBorder="1" applyAlignment="1">
      <alignment horizontal="center" vertical="center" wrapText="1"/>
    </xf>
    <xf numFmtId="0" fontId="3" fillId="0" borderId="19" xfId="0" applyFont="1" applyBorder="1" applyAlignment="1">
      <alignment vertical="top" wrapText="1"/>
    </xf>
    <xf numFmtId="3" fontId="3" fillId="0" borderId="19" xfId="0" applyNumberFormat="1" applyFont="1" applyBorder="1" applyProtection="1"/>
    <xf numFmtId="0" fontId="3" fillId="0" borderId="19" xfId="0" applyFont="1" applyBorder="1" applyAlignment="1">
      <alignment horizontal="left" vertical="top" wrapText="1"/>
    </xf>
    <xf numFmtId="0" fontId="28" fillId="0" borderId="19" xfId="0" applyFont="1" applyBorder="1" applyAlignment="1">
      <alignment horizontal="left" vertical="top" wrapText="1"/>
    </xf>
    <xf numFmtId="3" fontId="4" fillId="0" borderId="19" xfId="0" applyNumberFormat="1" applyFont="1" applyBorder="1" applyProtection="1"/>
    <xf numFmtId="0" fontId="24" fillId="0" borderId="19" xfId="0" applyFont="1" applyBorder="1" applyAlignment="1">
      <alignment horizontal="left" vertical="top" wrapText="1"/>
    </xf>
    <xf numFmtId="3" fontId="9" fillId="0" borderId="19" xfId="0" applyNumberFormat="1" applyFont="1" applyBorder="1" applyProtection="1"/>
    <xf numFmtId="0" fontId="4" fillId="0" borderId="19" xfId="0" applyFont="1" applyBorder="1" applyAlignment="1">
      <alignment horizontal="left" vertical="top" wrapText="1"/>
    </xf>
    <xf numFmtId="168" fontId="24" fillId="0" borderId="19" xfId="0" applyNumberFormat="1" applyFont="1" applyBorder="1" applyAlignment="1">
      <alignment horizontal="center" vertical="center" wrapText="1"/>
    </xf>
    <xf numFmtId="0" fontId="24" fillId="0" borderId="19" xfId="0" applyFont="1" applyBorder="1" applyAlignment="1">
      <alignment vertical="top" wrapText="1"/>
    </xf>
    <xf numFmtId="0" fontId="3" fillId="0" borderId="19" xfId="0" applyFont="1" applyBorder="1" applyAlignment="1">
      <alignment horizontal="justify" vertical="top" wrapText="1"/>
    </xf>
    <xf numFmtId="3" fontId="8" fillId="0" borderId="19" xfId="0" applyNumberFormat="1" applyFont="1" applyBorder="1" applyProtection="1">
      <protection locked="0"/>
    </xf>
    <xf numFmtId="0" fontId="9"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top" wrapText="1"/>
    </xf>
    <xf numFmtId="3" fontId="4" fillId="0" borderId="19" xfId="1" applyNumberFormat="1" applyFont="1" applyFill="1" applyBorder="1" applyAlignment="1">
      <alignment vertical="center" wrapText="1"/>
    </xf>
    <xf numFmtId="49" fontId="9" fillId="0" borderId="19" xfId="0" applyNumberFormat="1" applyFont="1" applyFill="1" applyBorder="1" applyAlignment="1">
      <alignment vertical="center" wrapText="1"/>
    </xf>
    <xf numFmtId="0" fontId="9" fillId="0" borderId="19" xfId="0" applyFont="1" applyFill="1" applyBorder="1" applyAlignment="1">
      <alignment vertical="top" wrapText="1"/>
    </xf>
    <xf numFmtId="3" fontId="9" fillId="0" borderId="19" xfId="1" applyNumberFormat="1" applyFont="1" applyFill="1" applyBorder="1" applyAlignment="1">
      <alignment vertical="center" wrapText="1"/>
    </xf>
    <xf numFmtId="3" fontId="4" fillId="0" borderId="19" xfId="0" applyNumberFormat="1" applyFont="1" applyFill="1" applyBorder="1" applyAlignment="1">
      <alignment vertical="center"/>
    </xf>
    <xf numFmtId="3" fontId="3" fillId="0" borderId="19" xfId="1"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wrapText="1"/>
    </xf>
    <xf numFmtId="0" fontId="44" fillId="0" borderId="19" xfId="0" applyFont="1" applyBorder="1" applyAlignment="1">
      <alignment horizontal="left" vertical="top" wrapText="1"/>
    </xf>
    <xf numFmtId="169" fontId="3" fillId="0" borderId="19" xfId="0" applyNumberFormat="1" applyFont="1" applyFill="1" applyBorder="1" applyAlignment="1">
      <alignment horizontal="center" vertical="top" wrapText="1"/>
    </xf>
    <xf numFmtId="3" fontId="3" fillId="0" borderId="19" xfId="0" applyNumberFormat="1" applyFont="1" applyBorder="1" applyAlignment="1">
      <alignment horizontal="right" vertical="top" wrapText="1"/>
    </xf>
    <xf numFmtId="0" fontId="43" fillId="0" borderId="19" xfId="0" applyFont="1" applyBorder="1" applyAlignment="1">
      <alignment horizontal="left" vertical="top" wrapText="1"/>
    </xf>
    <xf numFmtId="169" fontId="4" fillId="0" borderId="19" xfId="0" applyNumberFormat="1" applyFont="1" applyBorder="1" applyAlignment="1">
      <alignment horizontal="right" vertical="top" wrapText="1"/>
    </xf>
    <xf numFmtId="3" fontId="4" fillId="0" borderId="19" xfId="0" applyNumberFormat="1" applyFont="1" applyBorder="1" applyAlignment="1">
      <alignment horizontal="right" vertical="top" wrapText="1"/>
    </xf>
    <xf numFmtId="169" fontId="12" fillId="0" borderId="19" xfId="0" applyNumberFormat="1" applyFont="1" applyFill="1" applyBorder="1" applyAlignment="1" applyProtection="1">
      <alignment horizontal="center" vertical="center" wrapText="1"/>
    </xf>
    <xf numFmtId="49" fontId="3" fillId="0" borderId="19" xfId="0" applyNumberFormat="1" applyFont="1" applyBorder="1" applyAlignment="1">
      <alignment horizontal="left" vertical="top" wrapText="1"/>
    </xf>
    <xf numFmtId="49" fontId="0" fillId="4" borderId="0" xfId="0" applyNumberFormat="1" applyFill="1"/>
    <xf numFmtId="49" fontId="3" fillId="0" borderId="19" xfId="0" applyNumberFormat="1" applyFont="1" applyBorder="1" applyAlignment="1">
      <alignment horizontal="right" vertical="top" wrapText="1"/>
    </xf>
    <xf numFmtId="49" fontId="3" fillId="6" borderId="19" xfId="0" applyNumberFormat="1" applyFont="1" applyFill="1" applyBorder="1" applyAlignment="1">
      <alignment horizontal="right" vertical="top" wrapText="1"/>
    </xf>
    <xf numFmtId="0" fontId="6" fillId="0" borderId="0" xfId="0" applyFont="1" applyAlignment="1">
      <alignment vertical="distributed"/>
    </xf>
    <xf numFmtId="3" fontId="4" fillId="0" borderId="1" xfId="1" applyNumberFormat="1" applyFont="1" applyBorder="1" applyAlignment="1">
      <alignment horizontal="right" vertical="center"/>
    </xf>
    <xf numFmtId="3" fontId="4" fillId="5" borderId="1" xfId="0" applyNumberFormat="1" applyFont="1" applyFill="1" applyBorder="1"/>
    <xf numFmtId="169" fontId="4" fillId="0" borderId="19" xfId="0" applyNumberFormat="1" applyFont="1" applyFill="1" applyBorder="1" applyAlignment="1">
      <alignment horizontal="center" vertical="top" wrapText="1"/>
    </xf>
    <xf numFmtId="3" fontId="18" fillId="7" borderId="1" xfId="0" applyNumberFormat="1" applyFont="1" applyFill="1" applyBorder="1" applyAlignment="1" applyProtection="1">
      <alignment horizontal="right" vertical="center"/>
    </xf>
    <xf numFmtId="3" fontId="12" fillId="7" borderId="1" xfId="0" applyNumberFormat="1" applyFont="1" applyFill="1" applyBorder="1" applyAlignment="1" applyProtection="1">
      <alignment horizontal="right" vertical="center"/>
    </xf>
    <xf numFmtId="3" fontId="12" fillId="7" borderId="1" xfId="0" applyNumberFormat="1" applyFont="1" applyFill="1" applyBorder="1" applyAlignment="1" applyProtection="1">
      <alignment horizontal="right" vertical="center"/>
      <protection locked="0"/>
    </xf>
    <xf numFmtId="3" fontId="45" fillId="0" borderId="7" xfId="0" applyNumberFormat="1" applyFont="1" applyBorder="1" applyAlignment="1">
      <alignment horizontal="right" vertical="center"/>
    </xf>
    <xf numFmtId="3" fontId="18" fillId="5" borderId="1" xfId="0" applyNumberFormat="1" applyFont="1" applyFill="1" applyBorder="1" applyAlignment="1" applyProtection="1">
      <alignment horizontal="right" vertical="center"/>
    </xf>
    <xf numFmtId="0" fontId="3" fillId="0" borderId="0" xfId="0" applyFont="1" applyAlignment="1">
      <alignment horizontal="left" vertical="top" wrapText="1"/>
    </xf>
    <xf numFmtId="3" fontId="12" fillId="9" borderId="1" xfId="0" applyNumberFormat="1" applyFont="1" applyFill="1" applyBorder="1" applyAlignment="1" applyProtection="1">
      <alignment horizontal="right" vertical="center"/>
      <protection locked="0"/>
    </xf>
    <xf numFmtId="3" fontId="12" fillId="10" borderId="1" xfId="0" applyNumberFormat="1" applyFont="1" applyFill="1" applyBorder="1" applyAlignment="1" applyProtection="1">
      <alignment horizontal="right" vertical="center"/>
    </xf>
    <xf numFmtId="3" fontId="18" fillId="10" borderId="1" xfId="0" applyNumberFormat="1" applyFont="1" applyFill="1" applyBorder="1" applyAlignment="1" applyProtection="1">
      <alignment horizontal="right" vertical="center"/>
    </xf>
    <xf numFmtId="3" fontId="12" fillId="5" borderId="1" xfId="0" applyNumberFormat="1" applyFont="1" applyFill="1" applyBorder="1" applyAlignment="1" applyProtection="1">
      <alignment horizontal="right" vertical="center"/>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3" fontId="45" fillId="0" borderId="18" xfId="0" applyNumberFormat="1" applyFont="1" applyBorder="1" applyAlignment="1">
      <alignment horizontal="right" vertical="center"/>
    </xf>
    <xf numFmtId="49" fontId="20" fillId="0" borderId="1" xfId="0" applyNumberFormat="1" applyFont="1" applyBorder="1" applyAlignment="1">
      <alignment horizontal="center" vertical="distributed"/>
    </xf>
    <xf numFmtId="49" fontId="21" fillId="0" borderId="1" xfId="0" applyNumberFormat="1" applyFont="1" applyBorder="1" applyAlignment="1">
      <alignment horizontal="center" vertical="distributed"/>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167" fontId="48" fillId="0" borderId="0" xfId="0" applyNumberFormat="1" applyFont="1" applyFill="1" applyBorder="1" applyAlignment="1">
      <alignment wrapText="1"/>
    </xf>
    <xf numFmtId="3" fontId="4" fillId="0" borderId="17" xfId="0" applyNumberFormat="1" applyFont="1" applyBorder="1" applyAlignment="1">
      <alignment horizontal="right"/>
    </xf>
    <xf numFmtId="49" fontId="9" fillId="0" borderId="6" xfId="3" applyNumberFormat="1" applyFont="1" applyFill="1" applyBorder="1" applyAlignment="1">
      <alignment vertical="center" wrapText="1"/>
    </xf>
    <xf numFmtId="0" fontId="3" fillId="0" borderId="19" xfId="0" applyFont="1" applyFill="1" applyBorder="1" applyAlignment="1">
      <alignment vertical="top" wrapText="1"/>
    </xf>
    <xf numFmtId="49" fontId="0" fillId="0" borderId="0" xfId="0" applyNumberFormat="1"/>
    <xf numFmtId="0" fontId="44" fillId="0" borderId="1" xfId="0" applyFont="1" applyBorder="1" applyAlignment="1">
      <alignment horizontal="left" wrapText="1"/>
    </xf>
    <xf numFmtId="3" fontId="12" fillId="0" borderId="0" xfId="0" applyNumberFormat="1" applyFont="1" applyProtection="1"/>
    <xf numFmtId="3" fontId="3" fillId="0" borderId="1" xfId="2" applyNumberFormat="1" applyFont="1" applyFill="1" applyBorder="1" applyAlignment="1" applyProtection="1">
      <alignment horizontal="right" vertical="center" wrapText="1"/>
      <protection locked="0"/>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0" fontId="0" fillId="11" borderId="0" xfId="0" applyFill="1"/>
    <xf numFmtId="0" fontId="3" fillId="0" borderId="0" xfId="0" applyFont="1" applyAlignment="1">
      <alignment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right" vertical="center" wrapText="1"/>
    </xf>
    <xf numFmtId="172" fontId="3" fillId="0" borderId="1" xfId="4" applyNumberFormat="1" applyFont="1" applyBorder="1" applyAlignment="1">
      <alignment horizontal="right" vertical="center" wrapText="1"/>
    </xf>
    <xf numFmtId="0" fontId="6" fillId="0" borderId="0" xfId="0" applyFont="1" applyAlignment="1">
      <alignment horizontal="center"/>
    </xf>
    <xf numFmtId="0" fontId="0" fillId="0" borderId="0" xfId="0" applyBorder="1" applyAlignment="1">
      <alignment horizontal="center" vertical="top"/>
    </xf>
    <xf numFmtId="0" fontId="3" fillId="0" borderId="1" xfId="0" applyFont="1" applyBorder="1" applyAlignment="1">
      <alignment horizontal="center" vertical="center"/>
    </xf>
    <xf numFmtId="0" fontId="4" fillId="0" borderId="1" xfId="0" applyFont="1" applyBorder="1" applyAlignment="1">
      <alignment horizontal="center" wrapText="1"/>
    </xf>
    <xf numFmtId="0" fontId="4" fillId="0" borderId="0" xfId="0" applyFont="1" applyAlignment="1">
      <alignment wrapText="1"/>
    </xf>
    <xf numFmtId="0" fontId="4" fillId="0" borderId="1" xfId="0" applyFont="1" applyBorder="1" applyAlignment="1">
      <alignment wrapText="1"/>
    </xf>
    <xf numFmtId="0" fontId="3" fillId="0" borderId="0" xfId="0" applyFont="1" applyAlignment="1">
      <alignment vertical="top" wrapText="1"/>
    </xf>
    <xf numFmtId="0" fontId="3" fillId="0" borderId="2" xfId="0" applyFont="1" applyBorder="1" applyAlignment="1">
      <alignment horizontal="center" vertical="center"/>
    </xf>
    <xf numFmtId="0" fontId="6" fillId="0" borderId="1" xfId="0" applyFont="1" applyBorder="1" applyAlignment="1">
      <alignment horizontal="center" vertical="center"/>
    </xf>
    <xf numFmtId="49" fontId="12"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wrapText="1"/>
    </xf>
    <xf numFmtId="49" fontId="27" fillId="0" borderId="1" xfId="0" applyNumberFormat="1" applyFont="1" applyBorder="1" applyAlignment="1" applyProtection="1">
      <alignment horizontal="center" vertical="center"/>
    </xf>
    <xf numFmtId="49" fontId="18" fillId="0" borderId="1" xfId="0" applyNumberFormat="1" applyFont="1" applyBorder="1" applyAlignment="1" applyProtection="1">
      <alignment horizontal="center" vertical="center"/>
    </xf>
    <xf numFmtId="49" fontId="16" fillId="0" borderId="1"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horizontal="center" vertical="center"/>
    </xf>
    <xf numFmtId="0" fontId="4" fillId="4" borderId="0" xfId="0" applyFont="1" applyFill="1" applyAlignment="1">
      <alignment horizontal="center"/>
    </xf>
    <xf numFmtId="0" fontId="3" fillId="4" borderId="0" xfId="0" applyFont="1" applyFill="1" applyAlignment="1">
      <alignment horizontal="center"/>
    </xf>
    <xf numFmtId="0" fontId="5" fillId="4" borderId="0" xfId="0" applyFont="1" applyFill="1" applyAlignment="1">
      <alignment horizontal="center"/>
    </xf>
    <xf numFmtId="49" fontId="4" fillId="0" borderId="3" xfId="0" applyNumberFormat="1" applyFont="1" applyBorder="1" applyAlignment="1">
      <alignment horizontal="center" wrapText="1"/>
    </xf>
    <xf numFmtId="0" fontId="4" fillId="0" borderId="5" xfId="0" applyFont="1" applyBorder="1" applyAlignment="1">
      <alignment horizontal="center" wrapText="1"/>
    </xf>
    <xf numFmtId="0" fontId="43" fillId="0" borderId="5" xfId="0" applyFont="1" applyBorder="1" applyAlignment="1">
      <alignment horizontal="center" wrapText="1"/>
    </xf>
    <xf numFmtId="49" fontId="4" fillId="5" borderId="3" xfId="0" applyNumberFormat="1" applyFont="1" applyFill="1" applyBorder="1" applyAlignment="1">
      <alignment horizontal="center" wrapText="1"/>
    </xf>
    <xf numFmtId="0" fontId="43" fillId="5" borderId="5" xfId="0" applyFont="1" applyFill="1" applyBorder="1" applyAlignment="1">
      <alignment horizontal="center" wrapText="1"/>
    </xf>
    <xf numFmtId="169" fontId="4" fillId="5" borderId="3" xfId="0" applyNumberFormat="1" applyFont="1" applyFill="1" applyBorder="1" applyAlignment="1">
      <alignment horizontal="center" wrapText="1"/>
    </xf>
    <xf numFmtId="0" fontId="4" fillId="5" borderId="5" xfId="0" applyFont="1" applyFill="1" applyBorder="1" applyAlignment="1">
      <alignment horizontal="center" wrapText="1"/>
    </xf>
    <xf numFmtId="0" fontId="53" fillId="5" borderId="5" xfId="0" applyFont="1" applyFill="1" applyBorder="1" applyAlignment="1">
      <alignment horizontal="center" wrapText="1"/>
    </xf>
    <xf numFmtId="49" fontId="4" fillId="0" borderId="42" xfId="0" applyNumberFormat="1" applyFont="1" applyBorder="1" applyAlignment="1">
      <alignment horizontal="center" wrapText="1"/>
    </xf>
    <xf numFmtId="0" fontId="4" fillId="5" borderId="44" xfId="0" applyFont="1" applyFill="1" applyBorder="1" applyAlignment="1">
      <alignment horizontal="center"/>
    </xf>
    <xf numFmtId="0" fontId="4" fillId="5" borderId="45" xfId="0" applyFont="1" applyFill="1" applyBorder="1" applyAlignment="1">
      <alignment horizontal="center"/>
    </xf>
    <xf numFmtId="49" fontId="5" fillId="0" borderId="46" xfId="0" applyNumberFormat="1" applyFont="1" applyBorder="1" applyAlignment="1">
      <alignment horizontal="center" wrapText="1"/>
    </xf>
    <xf numFmtId="0" fontId="52" fillId="0" borderId="47" xfId="0" applyFont="1" applyBorder="1" applyAlignment="1">
      <alignment horizontal="center" wrapText="1"/>
    </xf>
    <xf numFmtId="49" fontId="3" fillId="0" borderId="6" xfId="0" applyNumberFormat="1" applyFont="1" applyBorder="1" applyAlignment="1">
      <alignment horizontal="center" wrapText="1"/>
    </xf>
    <xf numFmtId="0" fontId="44" fillId="0" borderId="7" xfId="0" applyFont="1" applyBorder="1" applyAlignment="1">
      <alignment horizontal="left" wrapText="1"/>
    </xf>
    <xf numFmtId="49" fontId="5" fillId="0" borderId="6" xfId="0" applyNumberFormat="1" applyFont="1" applyBorder="1" applyAlignment="1">
      <alignment horizontal="center" wrapText="1"/>
    </xf>
    <xf numFmtId="0" fontId="52" fillId="0" borderId="7" xfId="0" applyFont="1" applyBorder="1" applyAlignment="1">
      <alignment horizontal="center" wrapText="1"/>
    </xf>
    <xf numFmtId="49" fontId="3" fillId="0" borderId="48" xfId="0" applyNumberFormat="1" applyFont="1" applyBorder="1" applyAlignment="1">
      <alignment horizontal="center" wrapText="1"/>
    </xf>
    <xf numFmtId="0" fontId="44" fillId="0" borderId="49" xfId="0" applyFont="1" applyBorder="1" applyAlignment="1">
      <alignment horizontal="center" wrapText="1"/>
    </xf>
    <xf numFmtId="0" fontId="44" fillId="0" borderId="7" xfId="0" applyFont="1" applyBorder="1" applyAlignment="1">
      <alignment horizontal="center" wrapText="1"/>
    </xf>
    <xf numFmtId="49" fontId="3" fillId="0" borderId="46" xfId="0" applyNumberFormat="1" applyFont="1" applyBorder="1" applyAlignment="1">
      <alignment horizontal="center" wrapText="1"/>
    </xf>
    <xf numFmtId="49" fontId="3" fillId="0" borderId="50" xfId="0" applyNumberFormat="1" applyFont="1" applyBorder="1" applyAlignment="1">
      <alignment horizontal="center" wrapText="1"/>
    </xf>
    <xf numFmtId="0" fontId="44" fillId="0" borderId="51" xfId="0" applyFont="1" applyBorder="1" applyAlignment="1">
      <alignment horizontal="center" wrapText="1"/>
    </xf>
    <xf numFmtId="49" fontId="5" fillId="5" borderId="46" xfId="0" applyNumberFormat="1" applyFont="1" applyFill="1" applyBorder="1" applyAlignment="1">
      <alignment horizontal="center" wrapText="1"/>
    </xf>
    <xf numFmtId="0" fontId="52" fillId="5" borderId="47" xfId="0" applyFont="1" applyFill="1" applyBorder="1" applyAlignment="1">
      <alignment horizontal="center" wrapText="1"/>
    </xf>
    <xf numFmtId="49" fontId="3" fillId="5" borderId="6" xfId="0" applyNumberFormat="1" applyFont="1" applyFill="1" applyBorder="1" applyAlignment="1">
      <alignment horizontal="center" wrapText="1"/>
    </xf>
    <xf numFmtId="0" fontId="44" fillId="5" borderId="7" xfId="0" applyFont="1" applyFill="1" applyBorder="1" applyAlignment="1">
      <alignment horizontal="left" wrapText="1"/>
    </xf>
    <xf numFmtId="49" fontId="5" fillId="5" borderId="6" xfId="0" applyNumberFormat="1" applyFont="1" applyFill="1" applyBorder="1" applyAlignment="1">
      <alignment horizontal="center" wrapText="1"/>
    </xf>
    <xf numFmtId="0" fontId="52" fillId="5" borderId="7" xfId="0" applyFont="1" applyFill="1" applyBorder="1" applyAlignment="1">
      <alignment horizontal="center" wrapText="1"/>
    </xf>
    <xf numFmtId="0" fontId="3" fillId="5" borderId="7" xfId="5" applyNumberFormat="1" applyFont="1" applyFill="1" applyBorder="1" applyAlignment="1" applyProtection="1">
      <alignment horizontal="left" wrapText="1"/>
      <protection hidden="1"/>
    </xf>
    <xf numFmtId="49" fontId="3" fillId="5" borderId="48" xfId="0" applyNumberFormat="1" applyFont="1" applyFill="1" applyBorder="1" applyAlignment="1">
      <alignment horizontal="center" wrapText="1"/>
    </xf>
    <xf numFmtId="0" fontId="44" fillId="5" borderId="49" xfId="0" applyFont="1" applyFill="1" applyBorder="1" applyAlignment="1">
      <alignment horizontal="left" wrapText="1"/>
    </xf>
    <xf numFmtId="0" fontId="44" fillId="0" borderId="49" xfId="0" applyFont="1" applyBorder="1" applyAlignment="1">
      <alignment horizontal="left" wrapText="1"/>
    </xf>
    <xf numFmtId="0" fontId="5" fillId="5" borderId="47" xfId="0" applyFont="1" applyFill="1" applyBorder="1" applyAlignment="1">
      <alignment horizontal="center" wrapText="1"/>
    </xf>
    <xf numFmtId="0" fontId="3" fillId="5" borderId="7" xfId="0" applyFont="1" applyFill="1" applyBorder="1" applyAlignment="1">
      <alignment horizontal="left" wrapText="1"/>
    </xf>
    <xf numFmtId="0" fontId="5" fillId="5" borderId="7" xfId="0" applyFont="1" applyFill="1" applyBorder="1" applyAlignment="1">
      <alignment horizontal="center" wrapText="1"/>
    </xf>
    <xf numFmtId="49" fontId="5" fillId="5" borderId="48" xfId="0" applyNumberFormat="1" applyFont="1" applyFill="1" applyBorder="1" applyAlignment="1">
      <alignment horizontal="center" wrapText="1"/>
    </xf>
    <xf numFmtId="0" fontId="3" fillId="5" borderId="49" xfId="0" applyFont="1" applyFill="1" applyBorder="1" applyAlignment="1">
      <alignment horizontal="left" wrapText="1"/>
    </xf>
    <xf numFmtId="0" fontId="52" fillId="0" borderId="47" xfId="0" applyFont="1" applyBorder="1" applyAlignment="1">
      <alignment horizontal="center" vertical="top" wrapText="1"/>
    </xf>
    <xf numFmtId="0" fontId="52" fillId="0" borderId="7" xfId="0" applyFont="1" applyBorder="1" applyAlignment="1">
      <alignment horizontal="center" vertical="top" wrapText="1"/>
    </xf>
    <xf numFmtId="0" fontId="3" fillId="5" borderId="47" xfId="5" applyNumberFormat="1" applyFont="1" applyFill="1" applyBorder="1" applyAlignment="1" applyProtection="1">
      <alignment horizontal="left" wrapText="1"/>
      <protection hidden="1"/>
    </xf>
    <xf numFmtId="169" fontId="3" fillId="5" borderId="46" xfId="0" applyNumberFormat="1" applyFont="1" applyFill="1" applyBorder="1" applyAlignment="1">
      <alignment horizontal="center"/>
    </xf>
    <xf numFmtId="0" fontId="3" fillId="5" borderId="47" xfId="0" applyFont="1" applyFill="1" applyBorder="1" applyAlignment="1">
      <alignment horizontal="center"/>
    </xf>
    <xf numFmtId="0" fontId="52" fillId="0" borderId="49" xfId="0" applyFont="1" applyBorder="1" applyAlignment="1">
      <alignment horizontal="center" wrapText="1"/>
    </xf>
    <xf numFmtId="49" fontId="3" fillId="0" borderId="16" xfId="0" applyNumberFormat="1" applyFont="1" applyBorder="1" applyAlignment="1">
      <alignment horizontal="center" wrapText="1"/>
    </xf>
    <xf numFmtId="0" fontId="44" fillId="0" borderId="18" xfId="0" applyFont="1" applyBorder="1" applyAlignment="1">
      <alignment horizontal="left" wrapText="1"/>
    </xf>
    <xf numFmtId="49" fontId="3" fillId="0" borderId="1" xfId="0" applyNumberFormat="1" applyFont="1" applyBorder="1" applyAlignment="1">
      <alignment horizontal="center" wrapText="1"/>
    </xf>
    <xf numFmtId="0" fontId="43" fillId="0" borderId="43" xfId="0" applyFont="1" applyBorder="1" applyAlignment="1">
      <alignment horizontal="center" vertical="top" wrapText="1"/>
    </xf>
    <xf numFmtId="0" fontId="44" fillId="0" borderId="51" xfId="0" applyFont="1" applyBorder="1" applyAlignment="1">
      <alignment horizontal="left" wrapText="1"/>
    </xf>
    <xf numFmtId="0" fontId="3" fillId="0" borderId="7" xfId="0" applyFont="1" applyBorder="1" applyAlignment="1">
      <alignment horizontal="left" vertical="top" wrapText="1"/>
    </xf>
    <xf numFmtId="0" fontId="44" fillId="0" borderId="49" xfId="0" applyFont="1" applyBorder="1" applyAlignment="1">
      <alignment horizontal="left" vertical="top" wrapText="1"/>
    </xf>
    <xf numFmtId="0" fontId="3" fillId="0" borderId="51" xfId="0" applyFont="1" applyBorder="1" applyAlignment="1">
      <alignment horizontal="left" wrapText="1"/>
    </xf>
    <xf numFmtId="49" fontId="3" fillId="0" borderId="13" xfId="0" applyNumberFormat="1" applyFont="1" applyBorder="1" applyAlignment="1">
      <alignment horizontal="center" wrapText="1"/>
    </xf>
    <xf numFmtId="0" fontId="3" fillId="0" borderId="15" xfId="0" applyFont="1" applyBorder="1" applyAlignment="1">
      <alignment horizontal="left" wrapText="1"/>
    </xf>
    <xf numFmtId="49" fontId="4" fillId="5" borderId="42" xfId="0" applyNumberFormat="1" applyFont="1" applyFill="1" applyBorder="1" applyAlignment="1">
      <alignment horizontal="center" wrapText="1"/>
    </xf>
    <xf numFmtId="0" fontId="43" fillId="5" borderId="43" xfId="0" applyFont="1" applyFill="1" applyBorder="1" applyAlignment="1">
      <alignment horizontal="center" wrapText="1"/>
    </xf>
    <xf numFmtId="49" fontId="3" fillId="5" borderId="1" xfId="0" applyNumberFormat="1" applyFont="1" applyFill="1" applyBorder="1" applyAlignment="1">
      <alignment horizontal="center" wrapText="1"/>
    </xf>
    <xf numFmtId="0" fontId="3" fillId="5" borderId="1" xfId="0" applyFont="1" applyFill="1" applyBorder="1" applyAlignment="1">
      <alignment horizontal="left" wrapText="1"/>
    </xf>
    <xf numFmtId="0" fontId="3" fillId="5" borderId="12" xfId="0" applyFont="1" applyFill="1" applyBorder="1" applyAlignment="1">
      <alignment horizontal="left" wrapText="1"/>
    </xf>
    <xf numFmtId="0" fontId="4" fillId="0" borderId="43" xfId="0" applyFont="1" applyBorder="1" applyAlignment="1">
      <alignment horizontal="center" wrapText="1"/>
    </xf>
    <xf numFmtId="0" fontId="3" fillId="5" borderId="1" xfId="0" applyFont="1" applyFill="1" applyBorder="1" applyAlignment="1">
      <alignment horizontal="left"/>
    </xf>
    <xf numFmtId="169" fontId="4" fillId="0" borderId="42" xfId="0" applyNumberFormat="1" applyFont="1" applyBorder="1" applyAlignment="1">
      <alignment horizontal="center" wrapText="1"/>
    </xf>
    <xf numFmtId="49" fontId="4" fillId="0" borderId="1" xfId="0" applyNumberFormat="1" applyFont="1" applyBorder="1" applyAlignment="1">
      <alignment horizontal="center" wrapText="1"/>
    </xf>
    <xf numFmtId="49" fontId="3" fillId="5" borderId="2" xfId="0" applyNumberFormat="1" applyFont="1" applyFill="1" applyBorder="1" applyAlignment="1">
      <alignment horizontal="center" wrapText="1"/>
    </xf>
    <xf numFmtId="0" fontId="3" fillId="5" borderId="2" xfId="0" applyFont="1" applyFill="1" applyBorder="1" applyAlignment="1">
      <alignment horizontal="left"/>
    </xf>
    <xf numFmtId="0" fontId="43" fillId="0" borderId="5" xfId="0" applyFont="1" applyBorder="1" applyAlignment="1">
      <alignment horizontal="center" vertical="top" wrapText="1"/>
    </xf>
    <xf numFmtId="0" fontId="51" fillId="0" borderId="1" xfId="0" applyFont="1" applyBorder="1" applyAlignment="1">
      <alignmen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xf numFmtId="0" fontId="3" fillId="0" borderId="1" xfId="0" applyFont="1" applyBorder="1" applyAlignment="1">
      <alignment horizontal="left" wrapText="1"/>
    </xf>
    <xf numFmtId="0" fontId="0" fillId="4" borderId="0" xfId="0" applyFill="1" applyBorder="1"/>
    <xf numFmtId="0" fontId="5" fillId="0" borderId="49" xfId="0" applyFont="1" applyBorder="1" applyAlignment="1">
      <alignment horizontal="center" wrapText="1"/>
    </xf>
    <xf numFmtId="0" fontId="3" fillId="0" borderId="49" xfId="0" applyFont="1" applyBorder="1" applyAlignment="1">
      <alignment horizontal="left" wrapText="1"/>
    </xf>
    <xf numFmtId="0" fontId="31" fillId="4" borderId="0" xfId="0" applyFont="1" applyFill="1"/>
    <xf numFmtId="0" fontId="54" fillId="4" borderId="0" xfId="0" applyFont="1" applyFill="1"/>
    <xf numFmtId="3" fontId="12" fillId="12" borderId="1" xfId="0" applyNumberFormat="1" applyFont="1" applyFill="1" applyBorder="1" applyAlignment="1" applyProtection="1">
      <alignment horizontal="right" vertical="center"/>
      <protection locked="0"/>
    </xf>
    <xf numFmtId="3" fontId="12" fillId="10" borderId="1" xfId="0" applyNumberFormat="1" applyFont="1" applyFill="1" applyBorder="1" applyAlignment="1" applyProtection="1">
      <alignment horizontal="right" vertical="center"/>
      <protection locked="0"/>
    </xf>
    <xf numFmtId="0" fontId="3" fillId="5" borderId="1" xfId="0" applyFont="1" applyFill="1" applyBorder="1" applyAlignment="1">
      <alignment wrapText="1"/>
    </xf>
    <xf numFmtId="49" fontId="21" fillId="5" borderId="1" xfId="0" applyNumberFormat="1" applyFont="1" applyFill="1" applyBorder="1" applyAlignment="1">
      <alignment horizontal="center" vertical="justify"/>
    </xf>
    <xf numFmtId="49" fontId="21" fillId="5" borderId="1" xfId="0" applyNumberFormat="1" applyFont="1" applyFill="1" applyBorder="1" applyAlignment="1">
      <alignment horizontal="center" vertical="justify" wrapText="1"/>
    </xf>
    <xf numFmtId="0" fontId="3" fillId="5" borderId="1" xfId="0" applyNumberFormat="1" applyFont="1" applyFill="1" applyBorder="1" applyAlignment="1">
      <alignment horizontal="left" vertical="top" wrapText="1"/>
    </xf>
    <xf numFmtId="3" fontId="3" fillId="5" borderId="1" xfId="0" applyNumberFormat="1" applyFont="1" applyFill="1" applyBorder="1" applyAlignment="1">
      <alignment horizontal="right" vertical="center"/>
    </xf>
    <xf numFmtId="49" fontId="23" fillId="5" borderId="1" xfId="0" applyNumberFormat="1" applyFont="1" applyFill="1" applyBorder="1" applyAlignment="1">
      <alignment horizontal="center" vertical="justify" wrapText="1"/>
    </xf>
    <xf numFmtId="0" fontId="3" fillId="5" borderId="1" xfId="0" applyFont="1" applyFill="1" applyBorder="1" applyAlignment="1">
      <alignment horizontal="left" vertical="top" wrapText="1"/>
    </xf>
    <xf numFmtId="3" fontId="3" fillId="5" borderId="1" xfId="0" applyNumberFormat="1" applyFont="1" applyFill="1" applyBorder="1" applyAlignment="1" applyProtection="1">
      <alignment horizontal="right" vertical="center"/>
      <protection locked="0"/>
    </xf>
    <xf numFmtId="0" fontId="3" fillId="0" borderId="1" xfId="0" applyFont="1" applyBorder="1" applyAlignment="1">
      <alignment horizontal="left" vertical="center" wrapText="1"/>
    </xf>
    <xf numFmtId="49" fontId="3" fillId="0" borderId="29" xfId="0" applyNumberFormat="1" applyFont="1" applyBorder="1" applyAlignment="1">
      <alignment horizontal="right" vertical="top" wrapText="1"/>
    </xf>
    <xf numFmtId="49" fontId="3" fillId="6" borderId="29" xfId="0" applyNumberFormat="1" applyFont="1" applyFill="1" applyBorder="1" applyAlignment="1">
      <alignment horizontal="right" vertical="top" wrapText="1"/>
    </xf>
    <xf numFmtId="49" fontId="3" fillId="0" borderId="29" xfId="0" applyNumberFormat="1" applyFont="1" applyBorder="1" applyAlignment="1">
      <alignment horizontal="left" vertical="top" wrapText="1"/>
    </xf>
    <xf numFmtId="3" fontId="3" fillId="0" borderId="1" xfId="0" applyNumberFormat="1" applyFont="1" applyBorder="1" applyAlignment="1">
      <alignment horizontal="right" vertical="top" wrapText="1"/>
    </xf>
    <xf numFmtId="0" fontId="52" fillId="0" borderId="6" xfId="0" applyFont="1" applyBorder="1" applyAlignment="1">
      <alignment horizontal="left" vertical="top" wrapText="1"/>
    </xf>
    <xf numFmtId="0" fontId="44" fillId="0" borderId="6" xfId="0" applyFont="1" applyBorder="1" applyAlignment="1">
      <alignment horizontal="left" vertical="top" wrapText="1"/>
    </xf>
    <xf numFmtId="0" fontId="44" fillId="0" borderId="48" xfId="0" applyFont="1" applyBorder="1" applyAlignment="1">
      <alignment horizontal="left" vertical="top" wrapText="1"/>
    </xf>
    <xf numFmtId="3" fontId="12" fillId="5" borderId="1" xfId="0" applyNumberFormat="1" applyFont="1" applyFill="1" applyBorder="1" applyAlignment="1" applyProtection="1">
      <alignment horizontal="right" vertical="center"/>
      <protection locked="0"/>
    </xf>
    <xf numFmtId="3" fontId="12" fillId="4" borderId="1" xfId="0" applyNumberFormat="1" applyFont="1" applyFill="1" applyBorder="1" applyAlignment="1" applyProtection="1">
      <alignment horizontal="right" vertical="center"/>
      <protection locked="0"/>
    </xf>
    <xf numFmtId="3" fontId="18" fillId="4" borderId="1" xfId="0" applyNumberFormat="1" applyFont="1" applyFill="1" applyBorder="1" applyAlignment="1" applyProtection="1">
      <alignment horizontal="right" vertical="center"/>
    </xf>
    <xf numFmtId="3" fontId="3" fillId="0" borderId="2" xfId="0" applyNumberFormat="1" applyFont="1" applyBorder="1" applyAlignment="1">
      <alignment horizontal="right"/>
    </xf>
    <xf numFmtId="0" fontId="3" fillId="0" borderId="1" xfId="5" applyNumberFormat="1" applyFont="1" applyFill="1" applyBorder="1" applyAlignment="1" applyProtection="1">
      <alignment vertical="top" wrapText="1"/>
      <protection hidden="1"/>
    </xf>
    <xf numFmtId="3" fontId="12" fillId="13" borderId="1" xfId="0" applyNumberFormat="1" applyFont="1" applyFill="1" applyBorder="1" applyAlignment="1" applyProtection="1">
      <alignment horizontal="right" vertical="center"/>
      <protection locked="0"/>
    </xf>
    <xf numFmtId="49" fontId="3" fillId="5" borderId="1" xfId="0" applyNumberFormat="1" applyFont="1" applyFill="1" applyBorder="1" applyAlignment="1">
      <alignment horizontal="center" vertical="top" wrapText="1"/>
    </xf>
    <xf numFmtId="1" fontId="18" fillId="0" borderId="1" xfId="0" applyNumberFormat="1" applyFont="1" applyBorder="1" applyAlignment="1" applyProtection="1">
      <alignment horizontal="center" vertical="center"/>
    </xf>
    <xf numFmtId="0" fontId="16" fillId="0" borderId="0" xfId="0" applyFont="1" applyProtection="1"/>
    <xf numFmtId="3" fontId="18" fillId="0" borderId="1" xfId="0" applyNumberFormat="1" applyFont="1" applyFill="1" applyBorder="1" applyAlignment="1" applyProtection="1">
      <alignment horizontal="right" vertical="center"/>
      <protection locked="0"/>
    </xf>
    <xf numFmtId="3" fontId="18" fillId="14" borderId="1" xfId="0" applyNumberFormat="1" applyFont="1" applyFill="1" applyBorder="1" applyAlignment="1" applyProtection="1">
      <alignment horizontal="right" vertical="center"/>
    </xf>
    <xf numFmtId="49" fontId="4" fillId="0" borderId="29" xfId="0" applyNumberFormat="1" applyFont="1" applyBorder="1" applyAlignment="1">
      <alignment horizontal="right" vertical="top" wrapText="1"/>
    </xf>
    <xf numFmtId="49" fontId="5" fillId="0" borderId="29" xfId="0" applyNumberFormat="1" applyFont="1" applyBorder="1" applyAlignment="1">
      <alignment horizontal="right" vertical="top" wrapText="1"/>
    </xf>
    <xf numFmtId="0" fontId="3" fillId="0" borderId="1" xfId="0" applyFont="1" applyBorder="1" applyAlignment="1">
      <alignment horizontal="center" vertical="center" wrapText="1"/>
    </xf>
    <xf numFmtId="0" fontId="0" fillId="0" borderId="0" xfId="0" applyAlignment="1">
      <alignment horizontal="center"/>
    </xf>
    <xf numFmtId="0" fontId="3" fillId="0" borderId="14" xfId="0" applyFont="1" applyBorder="1" applyAlignment="1">
      <alignment horizontal="center" vertical="center" wrapText="1"/>
    </xf>
    <xf numFmtId="0" fontId="0" fillId="0" borderId="0" xfId="0" applyFont="1"/>
    <xf numFmtId="3" fontId="4" fillId="0" borderId="1" xfId="0" applyNumberFormat="1" applyFont="1" applyBorder="1" applyAlignment="1">
      <alignment horizontal="right" vertical="center" wrapText="1"/>
    </xf>
    <xf numFmtId="3" fontId="3" fillId="0" borderId="1" xfId="1" applyNumberFormat="1" applyFont="1" applyBorder="1" applyAlignment="1">
      <alignment horizontal="right" vertical="center"/>
    </xf>
    <xf numFmtId="0" fontId="3" fillId="0" borderId="5" xfId="0" applyFont="1" applyBorder="1" applyAlignment="1">
      <alignment horizontal="center" wrapText="1"/>
    </xf>
    <xf numFmtId="3" fontId="18" fillId="13" borderId="1" xfId="0" applyNumberFormat="1" applyFont="1" applyFill="1" applyBorder="1" applyAlignment="1" applyProtection="1">
      <alignment horizontal="right" vertical="center"/>
    </xf>
    <xf numFmtId="3" fontId="18" fillId="15" borderId="1" xfId="0" applyNumberFormat="1" applyFont="1" applyFill="1" applyBorder="1" applyAlignment="1" applyProtection="1">
      <alignment horizontal="right" vertical="center"/>
    </xf>
    <xf numFmtId="0" fontId="10" fillId="0" borderId="0" xfId="0" applyFont="1" applyFill="1" applyAlignment="1">
      <alignment horizontal="center" vertical="center" wrapText="1"/>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 xfId="5" applyNumberFormat="1" applyFont="1" applyFill="1" applyBorder="1" applyAlignment="1" applyProtection="1">
      <alignment horizontal="left" vertical="center" wrapText="1"/>
      <protection hidden="1"/>
    </xf>
    <xf numFmtId="0" fontId="3" fillId="0" borderId="15" xfId="0" applyFont="1" applyBorder="1" applyAlignment="1">
      <alignment horizontal="center" vertical="center" wrapText="1"/>
    </xf>
    <xf numFmtId="3" fontId="3" fillId="0" borderId="1" xfId="0" applyNumberFormat="1" applyFont="1" applyBorder="1"/>
    <xf numFmtId="3" fontId="3" fillId="0" borderId="7" xfId="0" applyNumberFormat="1" applyFont="1" applyBorder="1"/>
    <xf numFmtId="3" fontId="4" fillId="0" borderId="18" xfId="0" applyNumberFormat="1" applyFont="1" applyBorder="1"/>
    <xf numFmtId="0" fontId="4" fillId="0" borderId="0" xfId="0" applyFont="1"/>
    <xf numFmtId="3" fontId="4" fillId="0" borderId="0" xfId="0" applyNumberFormat="1" applyFont="1"/>
    <xf numFmtId="167" fontId="33" fillId="0" borderId="48" xfId="0" applyNumberFormat="1" applyFont="1" applyBorder="1" applyAlignment="1">
      <alignment wrapText="1"/>
    </xf>
    <xf numFmtId="3" fontId="40" fillId="0" borderId="49" xfId="0" applyNumberFormat="1" applyFont="1" applyBorder="1" applyAlignment="1">
      <alignment horizontal="right" vertical="center"/>
    </xf>
    <xf numFmtId="3" fontId="40" fillId="0" borderId="2" xfId="0" applyNumberFormat="1" applyFont="1" applyFill="1" applyBorder="1" applyAlignment="1">
      <alignment horizontal="right" vertical="center" wrapText="1"/>
    </xf>
    <xf numFmtId="3" fontId="40" fillId="0" borderId="11" xfId="0" applyNumberFormat="1" applyFont="1" applyFill="1" applyBorder="1" applyAlignment="1">
      <alignment horizontal="right" vertical="center" wrapText="1"/>
    </xf>
    <xf numFmtId="3" fontId="40" fillId="0" borderId="38" xfId="0" applyNumberFormat="1" applyFont="1" applyFill="1" applyBorder="1" applyAlignment="1">
      <alignment horizontal="right" vertical="center" wrapText="1"/>
    </xf>
    <xf numFmtId="3" fontId="45" fillId="0" borderId="54" xfId="0" applyNumberFormat="1" applyFont="1" applyBorder="1" applyAlignment="1">
      <alignment horizontal="right" vertical="center"/>
    </xf>
    <xf numFmtId="0" fontId="3" fillId="5" borderId="51" xfId="5" applyNumberFormat="1" applyFont="1" applyFill="1" applyBorder="1" applyAlignment="1" applyProtection="1">
      <alignment horizontal="left" wrapText="1"/>
      <protection hidden="1"/>
    </xf>
    <xf numFmtId="0" fontId="58" fillId="0" borderId="0" xfId="0" applyFont="1" applyProtection="1"/>
    <xf numFmtId="3" fontId="3" fillId="0" borderId="2" xfId="0" applyNumberFormat="1" applyFont="1" applyBorder="1" applyAlignment="1">
      <alignment horizontal="right" vertical="top" wrapText="1"/>
    </xf>
    <xf numFmtId="0" fontId="44" fillId="0" borderId="1" xfId="0" applyFont="1" applyBorder="1" applyAlignment="1">
      <alignment horizontal="left" vertical="top" wrapText="1"/>
    </xf>
    <xf numFmtId="49" fontId="4" fillId="0" borderId="29" xfId="0" applyNumberFormat="1" applyFont="1" applyBorder="1" applyAlignment="1">
      <alignment horizontal="left" vertical="top" wrapText="1"/>
    </xf>
    <xf numFmtId="49" fontId="5" fillId="6" borderId="29" xfId="0" applyNumberFormat="1" applyFont="1" applyFill="1" applyBorder="1" applyAlignment="1">
      <alignment horizontal="right" vertical="top" wrapText="1"/>
    </xf>
    <xf numFmtId="49" fontId="5" fillId="0" borderId="29" xfId="0" applyNumberFormat="1" applyFont="1" applyBorder="1" applyAlignment="1">
      <alignment horizontal="left" vertical="top" wrapText="1"/>
    </xf>
    <xf numFmtId="0" fontId="43" fillId="0" borderId="1" xfId="0" applyFont="1" applyBorder="1" applyAlignment="1">
      <alignment horizontal="left" vertical="top" wrapText="1"/>
    </xf>
    <xf numFmtId="49" fontId="4" fillId="0" borderId="1" xfId="0" applyNumberFormat="1" applyFont="1" applyFill="1" applyBorder="1" applyAlignment="1">
      <alignment horizontal="center" vertical="top" wrapText="1"/>
    </xf>
    <xf numFmtId="3" fontId="4" fillId="0" borderId="1" xfId="0" applyNumberFormat="1" applyFont="1" applyBorder="1" applyAlignment="1">
      <alignment horizontal="right" vertical="top" wrapText="1"/>
    </xf>
    <xf numFmtId="49" fontId="17" fillId="0" borderId="1" xfId="0" applyNumberFormat="1" applyFont="1" applyFill="1" applyBorder="1" applyAlignment="1" applyProtection="1">
      <alignment horizontal="center" vertical="top"/>
    </xf>
    <xf numFmtId="3" fontId="5" fillId="0" borderId="1" xfId="0" applyNumberFormat="1" applyFont="1" applyBorder="1" applyAlignment="1">
      <alignment horizontal="right" vertical="top" wrapText="1"/>
    </xf>
    <xf numFmtId="49" fontId="12" fillId="0" borderId="1" xfId="0" applyNumberFormat="1" applyFont="1" applyFill="1" applyBorder="1" applyAlignment="1" applyProtection="1">
      <alignment horizontal="center" vertical="top"/>
    </xf>
    <xf numFmtId="49" fontId="5"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5" fillId="5" borderId="1" xfId="0" applyNumberFormat="1" applyFont="1" applyFill="1" applyBorder="1" applyAlignment="1">
      <alignment horizontal="center" vertical="top" wrapText="1"/>
    </xf>
    <xf numFmtId="169" fontId="4" fillId="0" borderId="1" xfId="0" applyNumberFormat="1" applyFont="1" applyBorder="1" applyAlignment="1">
      <alignment horizontal="right" vertical="top" wrapText="1"/>
    </xf>
    <xf numFmtId="0" fontId="43" fillId="0" borderId="8" xfId="0" applyFont="1" applyBorder="1" applyAlignment="1">
      <alignment horizontal="left" vertical="top" wrapText="1"/>
    </xf>
    <xf numFmtId="49" fontId="4" fillId="0" borderId="8" xfId="0" applyNumberFormat="1" applyFont="1" applyFill="1" applyBorder="1" applyAlignment="1">
      <alignment horizontal="center" vertical="top" wrapText="1"/>
    </xf>
    <xf numFmtId="3" fontId="4" fillId="0" borderId="8" xfId="0" applyNumberFormat="1" applyFont="1" applyBorder="1" applyAlignment="1">
      <alignment horizontal="right" vertical="top" wrapText="1"/>
    </xf>
    <xf numFmtId="0" fontId="43" fillId="0" borderId="13" xfId="0" applyFont="1" applyBorder="1" applyAlignment="1">
      <alignment horizontal="left" vertical="top" wrapText="1"/>
    </xf>
    <xf numFmtId="49" fontId="4" fillId="0" borderId="14" xfId="0" applyNumberFormat="1" applyFont="1" applyFill="1" applyBorder="1" applyAlignment="1">
      <alignment horizontal="center" vertical="top" wrapText="1"/>
    </xf>
    <xf numFmtId="3" fontId="4" fillId="0" borderId="14" xfId="0" applyNumberFormat="1" applyFont="1" applyBorder="1" applyAlignment="1">
      <alignment horizontal="right" vertical="top" wrapText="1"/>
    </xf>
    <xf numFmtId="3" fontId="4" fillId="0" borderId="15" xfId="0" applyNumberFormat="1" applyFont="1" applyBorder="1" applyAlignment="1">
      <alignment horizontal="right" vertical="top" wrapText="1"/>
    </xf>
    <xf numFmtId="3" fontId="3" fillId="0" borderId="7" xfId="0" applyNumberFormat="1" applyFont="1" applyBorder="1" applyAlignment="1">
      <alignment horizontal="right" vertical="top" wrapText="1"/>
    </xf>
    <xf numFmtId="0" fontId="44" fillId="0" borderId="16" xfId="0" applyFont="1" applyBorder="1" applyAlignment="1">
      <alignment horizontal="left" vertical="top" wrapText="1"/>
    </xf>
    <xf numFmtId="49" fontId="3" fillId="0" borderId="17" xfId="0" applyNumberFormat="1" applyFont="1" applyFill="1" applyBorder="1" applyAlignment="1">
      <alignment horizontal="center" vertical="top" wrapText="1"/>
    </xf>
    <xf numFmtId="3" fontId="3" fillId="0" borderId="17"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0" fontId="44" fillId="0" borderId="2" xfId="0" applyFont="1" applyBorder="1" applyAlignment="1">
      <alignment horizontal="left" vertical="top" wrapText="1"/>
    </xf>
    <xf numFmtId="49" fontId="3" fillId="0" borderId="2" xfId="0" applyNumberFormat="1" applyFont="1" applyFill="1" applyBorder="1" applyAlignment="1">
      <alignment horizontal="center" vertical="top" wrapText="1"/>
    </xf>
    <xf numFmtId="0" fontId="43" fillId="0" borderId="6" xfId="0" applyFont="1" applyBorder="1" applyAlignment="1">
      <alignment horizontal="left" vertical="top" wrapText="1"/>
    </xf>
    <xf numFmtId="3" fontId="4" fillId="0" borderId="7" xfId="0" applyNumberFormat="1" applyFont="1" applyBorder="1" applyAlignment="1">
      <alignment horizontal="right" vertical="top" wrapText="1"/>
    </xf>
    <xf numFmtId="49" fontId="3" fillId="0" borderId="1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0" fontId="44" fillId="0" borderId="52" xfId="0" applyFont="1" applyBorder="1" applyAlignment="1">
      <alignment horizontal="left" vertical="top" wrapText="1"/>
    </xf>
    <xf numFmtId="49" fontId="3" fillId="0" borderId="52" xfId="0" applyNumberFormat="1" applyFont="1" applyBorder="1" applyAlignment="1">
      <alignment horizontal="center" vertical="top" wrapText="1"/>
    </xf>
    <xf numFmtId="3" fontId="3" fillId="0" borderId="52" xfId="0" applyNumberFormat="1" applyFont="1" applyBorder="1" applyAlignment="1">
      <alignment horizontal="right" vertical="top" wrapText="1"/>
    </xf>
    <xf numFmtId="49" fontId="4" fillId="5" borderId="14" xfId="0" applyNumberFormat="1" applyFont="1" applyFill="1" applyBorder="1" applyAlignment="1">
      <alignment horizontal="center" vertical="top" wrapText="1"/>
    </xf>
    <xf numFmtId="49" fontId="3" fillId="5" borderId="17" xfId="0" applyNumberFormat="1" applyFont="1" applyFill="1" applyBorder="1" applyAlignment="1">
      <alignment horizontal="center" vertical="top" wrapText="1"/>
    </xf>
    <xf numFmtId="0" fontId="43" fillId="0" borderId="8" xfId="0" applyFont="1" applyBorder="1" applyAlignment="1">
      <alignment horizontal="left" vertical="center" wrapText="1"/>
    </xf>
    <xf numFmtId="49" fontId="4" fillId="0" borderId="8" xfId="0" applyNumberFormat="1" applyFont="1" applyFill="1" applyBorder="1" applyAlignment="1">
      <alignment horizontal="center" vertical="center" wrapText="1"/>
    </xf>
    <xf numFmtId="3" fontId="4" fillId="0" borderId="8" xfId="0" applyNumberFormat="1" applyFont="1" applyBorder="1" applyAlignment="1">
      <alignment horizontal="right" vertical="center" wrapText="1"/>
    </xf>
    <xf numFmtId="0" fontId="3" fillId="0" borderId="14" xfId="0" applyFont="1" applyBorder="1" applyAlignment="1">
      <alignment horizontal="center" vertical="center" wrapText="1"/>
    </xf>
    <xf numFmtId="3" fontId="4" fillId="0" borderId="18" xfId="0" applyNumberFormat="1" applyFont="1" applyBorder="1" applyAlignment="1">
      <alignment horizontal="right"/>
    </xf>
    <xf numFmtId="0" fontId="3" fillId="0" borderId="14" xfId="0" applyFont="1" applyBorder="1" applyAlignment="1">
      <alignment horizontal="center" vertical="center" wrapText="1"/>
    </xf>
    <xf numFmtId="4" fontId="3" fillId="0" borderId="1" xfId="0" applyNumberFormat="1" applyFont="1" applyBorder="1"/>
    <xf numFmtId="4" fontId="3" fillId="0" borderId="7" xfId="0" applyNumberFormat="1" applyFont="1" applyBorder="1"/>
    <xf numFmtId="4" fontId="3" fillId="0" borderId="2" xfId="0" applyNumberFormat="1" applyFont="1" applyBorder="1"/>
    <xf numFmtId="4" fontId="4" fillId="0" borderId="17" xfId="0" applyNumberFormat="1" applyFont="1" applyBorder="1" applyAlignment="1">
      <alignment horizontal="right"/>
    </xf>
    <xf numFmtId="167" fontId="48" fillId="0" borderId="0" xfId="0" applyNumberFormat="1" applyFont="1" applyBorder="1" applyAlignment="1">
      <alignment horizontal="left" wrapText="1"/>
    </xf>
    <xf numFmtId="4" fontId="4" fillId="0" borderId="18" xfId="0" applyNumberFormat="1" applyFont="1" applyBorder="1"/>
    <xf numFmtId="0" fontId="3" fillId="0" borderId="14" xfId="0" applyFont="1" applyBorder="1" applyAlignment="1">
      <alignment horizontal="center" vertical="center" wrapText="1"/>
    </xf>
    <xf numFmtId="3" fontId="3" fillId="0" borderId="2" xfId="0" applyNumberFormat="1" applyFont="1" applyBorder="1"/>
    <xf numFmtId="0" fontId="44" fillId="5" borderId="51" xfId="0" applyFont="1" applyFill="1" applyBorder="1" applyAlignment="1">
      <alignment horizontal="left" wrapText="1"/>
    </xf>
    <xf numFmtId="49" fontId="3" fillId="5" borderId="0" xfId="0" applyNumberFormat="1" applyFont="1" applyFill="1" applyAlignment="1">
      <alignment horizontal="justify"/>
    </xf>
    <xf numFmtId="0" fontId="6" fillId="5" borderId="0" xfId="0" applyFont="1" applyFill="1"/>
    <xf numFmtId="0" fontId="6" fillId="5" borderId="0" xfId="0" applyFont="1" applyFill="1" applyBorder="1" applyAlignment="1">
      <alignment horizontal="center"/>
    </xf>
    <xf numFmtId="3" fontId="3" fillId="0" borderId="49" xfId="0" applyNumberFormat="1" applyFont="1" applyBorder="1" applyAlignment="1">
      <alignment horizontal="right" vertical="top" wrapText="1"/>
    </xf>
    <xf numFmtId="0" fontId="10" fillId="0" borderId="0" xfId="0" applyFont="1" applyFill="1" applyAlignment="1">
      <alignment horizontal="center" vertical="center" wrapText="1"/>
    </xf>
    <xf numFmtId="0" fontId="3" fillId="0" borderId="14" xfId="0" applyFont="1" applyBorder="1" applyAlignment="1">
      <alignment horizontal="center" vertical="center" wrapText="1"/>
    </xf>
    <xf numFmtId="3" fontId="9" fillId="0" borderId="1" xfId="0" applyNumberFormat="1" applyFont="1" applyBorder="1" applyAlignment="1" applyProtection="1">
      <alignment vertical="center"/>
      <protection locked="0"/>
    </xf>
    <xf numFmtId="3" fontId="3" fillId="0" borderId="38" xfId="0" applyNumberFormat="1" applyFont="1" applyBorder="1"/>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3" fontId="18" fillId="8" borderId="1" xfId="0" applyNumberFormat="1" applyFont="1" applyFill="1" applyBorder="1" applyAlignment="1" applyProtection="1">
      <alignment horizontal="right" vertical="center"/>
    </xf>
    <xf numFmtId="167" fontId="47" fillId="0" borderId="6" xfId="0" applyNumberFormat="1" applyFont="1" applyBorder="1" applyAlignment="1">
      <alignment horizontal="left" wrapText="1"/>
    </xf>
    <xf numFmtId="167" fontId="47" fillId="0" borderId="1" xfId="0" applyNumberFormat="1" applyFont="1" applyBorder="1" applyAlignment="1">
      <alignment horizontal="left" wrapText="1"/>
    </xf>
    <xf numFmtId="0" fontId="59" fillId="0" borderId="8" xfId="0" applyFont="1" applyBorder="1" applyAlignment="1">
      <alignment horizontal="center" vertical="center" wrapText="1"/>
    </xf>
    <xf numFmtId="3" fontId="40" fillId="0" borderId="12" xfId="0" applyNumberFormat="1" applyFont="1" applyBorder="1" applyAlignment="1">
      <alignment horizontal="right" vertical="center" wrapText="1"/>
    </xf>
    <xf numFmtId="3" fontId="40" fillId="0" borderId="47" xfId="0" applyNumberFormat="1" applyFont="1" applyBorder="1" applyAlignment="1">
      <alignment horizontal="right" vertical="center" wrapText="1"/>
    </xf>
    <xf numFmtId="0" fontId="3" fillId="0" borderId="11" xfId="5" applyNumberFormat="1" applyFont="1" applyFill="1" applyBorder="1" applyAlignment="1" applyProtection="1">
      <alignment vertical="center" wrapText="1"/>
      <protection hidden="1"/>
    </xf>
    <xf numFmtId="1" fontId="27" fillId="0" borderId="1" xfId="0" applyNumberFormat="1" applyFont="1" applyBorder="1" applyAlignment="1" applyProtection="1">
      <alignment horizontal="center" vertical="center"/>
    </xf>
    <xf numFmtId="1" fontId="57" fillId="0" borderId="1" xfId="0" applyNumberFormat="1" applyFont="1" applyBorder="1" applyAlignment="1" applyProtection="1">
      <alignment horizontal="center" vertical="center"/>
    </xf>
    <xf numFmtId="1" fontId="12" fillId="0" borderId="0" xfId="0" applyNumberFormat="1" applyFont="1" applyAlignment="1" applyProtection="1">
      <alignment horizontal="center"/>
    </xf>
    <xf numFmtId="1" fontId="3" fillId="0" borderId="1" xfId="0" applyNumberFormat="1" applyFont="1" applyBorder="1" applyAlignment="1">
      <alignment horizontal="center"/>
    </xf>
    <xf numFmtId="167" fontId="48" fillId="0" borderId="48" xfId="0" applyNumberFormat="1" applyFont="1" applyFill="1" applyBorder="1" applyAlignment="1">
      <alignment wrapText="1"/>
    </xf>
    <xf numFmtId="3" fontId="20" fillId="0" borderId="49" xfId="0" applyNumberFormat="1" applyFont="1" applyBorder="1" applyAlignment="1">
      <alignment horizontal="right" vertical="center"/>
    </xf>
    <xf numFmtId="3" fontId="45" fillId="0" borderId="2" xfId="0" applyNumberFormat="1" applyFont="1" applyBorder="1" applyAlignment="1">
      <alignment horizontal="right" vertical="center"/>
    </xf>
    <xf numFmtId="3" fontId="45" fillId="0" borderId="38" xfId="0" applyNumberFormat="1" applyFont="1" applyBorder="1" applyAlignment="1">
      <alignment horizontal="right" vertical="center"/>
    </xf>
    <xf numFmtId="0" fontId="31" fillId="5" borderId="1" xfId="0" applyFont="1" applyFill="1" applyBorder="1" applyAlignment="1">
      <alignment horizontal="right"/>
    </xf>
    <xf numFmtId="0" fontId="31" fillId="5" borderId="1" xfId="0" applyFont="1" applyFill="1" applyBorder="1"/>
    <xf numFmtId="3" fontId="31" fillId="5" borderId="1" xfId="0" applyNumberFormat="1" applyFont="1" applyFill="1" applyBorder="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 fontId="0" fillId="5" borderId="1" xfId="0" applyNumberFormat="1" applyFill="1" applyBorder="1"/>
    <xf numFmtId="1" fontId="3" fillId="0" borderId="1" xfId="0" applyNumberFormat="1" applyFont="1" applyFill="1" applyBorder="1" applyAlignment="1">
      <alignment horizontal="center"/>
    </xf>
    <xf numFmtId="1" fontId="46" fillId="0" borderId="0" xfId="0" applyNumberFormat="1" applyFont="1" applyBorder="1" applyAlignment="1">
      <alignment horizontal="justify"/>
    </xf>
    <xf numFmtId="1" fontId="0" fillId="0" borderId="0" xfId="0" applyNumberFormat="1" applyBorder="1"/>
    <xf numFmtId="1" fontId="0" fillId="4" borderId="0" xfId="0" applyNumberFormat="1" applyFill="1" applyBorder="1"/>
    <xf numFmtId="167" fontId="47" fillId="0" borderId="48" xfId="0" applyNumberFormat="1" applyFont="1" applyBorder="1" applyAlignment="1">
      <alignment wrapText="1"/>
    </xf>
    <xf numFmtId="3" fontId="3" fillId="0" borderId="7" xfId="0" applyNumberFormat="1" applyFont="1" applyBorder="1" applyAlignment="1">
      <alignment horizontal="right" vertical="center"/>
    </xf>
    <xf numFmtId="3" fontId="3" fillId="0" borderId="1" xfId="0" applyNumberFormat="1" applyFont="1" applyFill="1" applyBorder="1" applyAlignment="1">
      <alignment horizontal="right" vertical="center" wrapText="1"/>
    </xf>
    <xf numFmtId="3" fontId="3" fillId="0" borderId="49" xfId="0" applyNumberFormat="1" applyFont="1" applyBorder="1" applyAlignment="1">
      <alignment horizontal="right" vertical="center"/>
    </xf>
    <xf numFmtId="3" fontId="3" fillId="0" borderId="2" xfId="0" applyNumberFormat="1" applyFont="1" applyFill="1" applyBorder="1" applyAlignment="1">
      <alignment horizontal="right" vertical="center" wrapText="1"/>
    </xf>
    <xf numFmtId="3" fontId="4" fillId="0" borderId="17" xfId="0" applyNumberFormat="1" applyFont="1" applyBorder="1" applyAlignment="1">
      <alignment horizontal="right" vertical="center"/>
    </xf>
    <xf numFmtId="0" fontId="4" fillId="5" borderId="0" xfId="0" applyFont="1" applyFill="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5" borderId="46" xfId="0" applyFont="1" applyFill="1" applyBorder="1"/>
    <xf numFmtId="0" fontId="3" fillId="5" borderId="6" xfId="0" applyFont="1" applyFill="1" applyBorder="1"/>
    <xf numFmtId="0" fontId="4" fillId="5" borderId="1" xfId="0" applyFont="1" applyFill="1" applyBorder="1"/>
    <xf numFmtId="4" fontId="3" fillId="5" borderId="8" xfId="0" applyNumberFormat="1" applyFont="1" applyFill="1" applyBorder="1"/>
    <xf numFmtId="4" fontId="3" fillId="5" borderId="47" xfId="0" applyNumberFormat="1" applyFont="1" applyFill="1" applyBorder="1"/>
    <xf numFmtId="4" fontId="3" fillId="5" borderId="1" xfId="0" applyNumberFormat="1" applyFont="1" applyFill="1" applyBorder="1"/>
    <xf numFmtId="4" fontId="4" fillId="5" borderId="1" xfId="0" applyNumberFormat="1" applyFont="1" applyFill="1" applyBorder="1"/>
    <xf numFmtId="173"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0" fontId="3" fillId="0" borderId="14" xfId="0" applyFont="1" applyBorder="1" applyAlignment="1">
      <alignment horizontal="center" vertical="center" wrapText="1"/>
    </xf>
    <xf numFmtId="167" fontId="47" fillId="0" borderId="39" xfId="0" applyNumberFormat="1" applyFont="1" applyBorder="1" applyAlignment="1">
      <alignment horizontal="left" wrapText="1"/>
    </xf>
    <xf numFmtId="167" fontId="47" fillId="0" borderId="39" xfId="0" applyNumberFormat="1" applyFont="1" applyBorder="1" applyAlignment="1">
      <alignment wrapText="1"/>
    </xf>
    <xf numFmtId="167" fontId="47" fillId="0" borderId="36" xfId="0" applyNumberFormat="1" applyFont="1" applyBorder="1" applyAlignment="1">
      <alignment wrapText="1"/>
    </xf>
    <xf numFmtId="0" fontId="3" fillId="0" borderId="0" xfId="0" applyFont="1" applyAlignment="1">
      <alignment horizontal="center"/>
    </xf>
    <xf numFmtId="0" fontId="3" fillId="0" borderId="14" xfId="0" applyFont="1" applyBorder="1" applyAlignment="1">
      <alignment horizontal="center" vertical="center" wrapText="1"/>
    </xf>
    <xf numFmtId="0" fontId="0" fillId="0" borderId="0" xfId="0" applyAlignment="1">
      <alignment horizontal="center"/>
    </xf>
    <xf numFmtId="0" fontId="12" fillId="5" borderId="1" xfId="0" applyNumberFormat="1" applyFont="1" applyFill="1" applyBorder="1" applyAlignment="1" applyProtection="1">
      <alignment horizontal="center" vertical="center"/>
    </xf>
    <xf numFmtId="1" fontId="12" fillId="5" borderId="1" xfId="0" applyNumberFormat="1" applyFont="1" applyFill="1" applyBorder="1" applyAlignment="1" applyProtection="1">
      <alignment horizontal="center" vertical="center"/>
    </xf>
    <xf numFmtId="3" fontId="20" fillId="0" borderId="38" xfId="0" applyNumberFormat="1" applyFont="1" applyBorder="1" applyAlignment="1">
      <alignment horizontal="right" vertical="center"/>
    </xf>
    <xf numFmtId="3" fontId="4" fillId="0" borderId="2" xfId="0" applyNumberFormat="1" applyFont="1" applyBorder="1" applyAlignment="1">
      <alignment horizontal="right"/>
    </xf>
    <xf numFmtId="0" fontId="3" fillId="5" borderId="1" xfId="0" applyNumberFormat="1" applyFont="1" applyFill="1" applyBorder="1" applyAlignment="1">
      <alignment horizontal="center"/>
    </xf>
    <xf numFmtId="167" fontId="8" fillId="0" borderId="16" xfId="0" applyNumberFormat="1" applyFont="1" applyFill="1" applyBorder="1" applyAlignment="1">
      <alignment wrapText="1"/>
    </xf>
    <xf numFmtId="167" fontId="3" fillId="0" borderId="6" xfId="0" applyNumberFormat="1" applyFont="1" applyBorder="1" applyAlignment="1">
      <alignment horizontal="left" wrapText="1"/>
    </xf>
    <xf numFmtId="167" fontId="3" fillId="0" borderId="1" xfId="0" applyNumberFormat="1" applyFont="1" applyBorder="1" applyAlignment="1">
      <alignment horizontal="left" wrapText="1"/>
    </xf>
    <xf numFmtId="167" fontId="4" fillId="0" borderId="48" xfId="0" applyNumberFormat="1" applyFont="1" applyFill="1" applyBorder="1" applyAlignment="1">
      <alignment wrapText="1"/>
    </xf>
    <xf numFmtId="167" fontId="4" fillId="0" borderId="10" xfId="0" applyNumberFormat="1" applyFont="1" applyFill="1" applyBorder="1" applyAlignment="1">
      <alignment wrapText="1"/>
    </xf>
    <xf numFmtId="167" fontId="4" fillId="0" borderId="10" xfId="0" applyNumberFormat="1" applyFont="1" applyBorder="1" applyAlignment="1">
      <alignment horizontal="left" wrapText="1"/>
    </xf>
    <xf numFmtId="167" fontId="4" fillId="0" borderId="2" xfId="0" applyNumberFormat="1" applyFont="1" applyBorder="1" applyAlignment="1">
      <alignment horizontal="left" wrapText="1"/>
    </xf>
    <xf numFmtId="0" fontId="3" fillId="0" borderId="11" xfId="6" applyNumberFormat="1" applyFont="1" applyFill="1" applyBorder="1" applyAlignment="1" applyProtection="1">
      <alignment vertical="top" wrapText="1"/>
      <protection hidden="1"/>
    </xf>
    <xf numFmtId="0" fontId="3" fillId="0" borderId="11" xfId="5" applyNumberFormat="1" applyFont="1" applyFill="1" applyBorder="1" applyAlignment="1" applyProtection="1">
      <alignment vertical="top" wrapText="1"/>
      <protection hidden="1"/>
    </xf>
    <xf numFmtId="0" fontId="9" fillId="0" borderId="46" xfId="0" applyFont="1" applyBorder="1" applyAlignment="1">
      <alignment vertical="center" wrapText="1"/>
    </xf>
    <xf numFmtId="0" fontId="9" fillId="0" borderId="8" xfId="0" applyFont="1" applyBorder="1" applyAlignment="1">
      <alignment vertical="center" wrapText="1"/>
    </xf>
    <xf numFmtId="3" fontId="3" fillId="0" borderId="12" xfId="0" applyNumberFormat="1" applyFont="1" applyBorder="1" applyAlignment="1">
      <alignment horizontal="right" vertical="center" wrapText="1"/>
    </xf>
    <xf numFmtId="3" fontId="3" fillId="0" borderId="47" xfId="0" applyNumberFormat="1" applyFont="1" applyBorder="1" applyAlignment="1">
      <alignment horizontal="right" vertical="center" wrapText="1"/>
    </xf>
    <xf numFmtId="172" fontId="9" fillId="0" borderId="1" xfId="4" applyNumberFormat="1" applyFont="1" applyBorder="1" applyAlignment="1" applyProtection="1">
      <alignment vertical="center"/>
      <protection locked="0"/>
    </xf>
    <xf numFmtId="0" fontId="3" fillId="0" borderId="1" xfId="0" applyNumberFormat="1" applyFont="1" applyBorder="1" applyAlignment="1">
      <alignment horizontal="center"/>
    </xf>
    <xf numFmtId="4" fontId="8" fillId="0" borderId="19" xfId="0" applyNumberFormat="1" applyFont="1" applyBorder="1" applyProtection="1"/>
    <xf numFmtId="4" fontId="3" fillId="0" borderId="19" xfId="0" applyNumberFormat="1" applyFont="1" applyBorder="1" applyProtection="1"/>
    <xf numFmtId="1" fontId="62" fillId="0" borderId="1" xfId="0" applyNumberFormat="1" applyFont="1" applyBorder="1" applyAlignment="1" applyProtection="1">
      <alignment horizontal="center" vertical="center"/>
    </xf>
    <xf numFmtId="49" fontId="3" fillId="0" borderId="1" xfId="0" applyNumberFormat="1" applyFont="1" applyBorder="1" applyAlignment="1">
      <alignment wrapText="1"/>
    </xf>
    <xf numFmtId="49" fontId="3" fillId="0" borderId="1" xfId="0" applyNumberFormat="1" applyFont="1" applyBorder="1" applyAlignment="1">
      <alignment horizontal="center"/>
    </xf>
    <xf numFmtId="0" fontId="6" fillId="5" borderId="0" xfId="0" applyFont="1" applyFill="1" applyAlignment="1">
      <alignment horizontal="center"/>
    </xf>
    <xf numFmtId="0" fontId="17" fillId="13" borderId="0" xfId="0" applyFont="1" applyFill="1" applyAlignment="1" applyProtection="1">
      <alignment horizontal="right"/>
    </xf>
    <xf numFmtId="0" fontId="44" fillId="0" borderId="0" xfId="0" applyFont="1" applyAlignment="1">
      <alignment wrapText="1"/>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0" fillId="0" borderId="0" xfId="0" applyAlignment="1">
      <alignment horizontal="center"/>
    </xf>
    <xf numFmtId="0" fontId="3" fillId="0" borderId="55" xfId="0" applyFont="1" applyBorder="1" applyAlignment="1">
      <alignment horizontal="center" vertical="center" wrapText="1"/>
    </xf>
    <xf numFmtId="3" fontId="3" fillId="0" borderId="11" xfId="0" applyNumberFormat="1" applyFont="1" applyBorder="1"/>
    <xf numFmtId="3" fontId="4" fillId="0" borderId="54" xfId="0" applyNumberFormat="1" applyFont="1" applyBorder="1" applyAlignment="1">
      <alignment horizontal="right"/>
    </xf>
    <xf numFmtId="3" fontId="4" fillId="0" borderId="53" xfId="0" applyNumberFormat="1" applyFont="1" applyBorder="1" applyAlignment="1">
      <alignment horizontal="right"/>
    </xf>
    <xf numFmtId="0" fontId="18" fillId="13" borderId="0" xfId="0" applyFont="1" applyFill="1" applyAlignment="1" applyProtection="1">
      <alignment horizontal="right"/>
    </xf>
    <xf numFmtId="0" fontId="3" fillId="0" borderId="0" xfId="0" applyFont="1" applyAlignment="1">
      <alignment horizontal="right" vertical="center"/>
    </xf>
    <xf numFmtId="0" fontId="4" fillId="0" borderId="1" xfId="2" applyNumberFormat="1" applyFont="1" applyFill="1" applyBorder="1" applyAlignment="1">
      <alignment horizontal="left" vertical="top" wrapText="1"/>
    </xf>
    <xf numFmtId="0" fontId="3" fillId="0" borderId="48"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9"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4" fillId="5" borderId="0" xfId="0" applyFont="1" applyFill="1" applyBorder="1" applyAlignment="1">
      <alignment horizontal="center" wrapText="1"/>
    </xf>
    <xf numFmtId="4" fontId="3" fillId="0" borderId="0" xfId="0" applyNumberFormat="1" applyFont="1"/>
    <xf numFmtId="0" fontId="3" fillId="0" borderId="15" xfId="0" applyFont="1" applyBorder="1" applyAlignment="1">
      <alignment vertical="center" wrapText="1"/>
    </xf>
    <xf numFmtId="4" fontId="4" fillId="0" borderId="17" xfId="0" applyNumberFormat="1" applyFont="1" applyBorder="1"/>
    <xf numFmtId="3" fontId="4" fillId="0" borderId="1" xfId="0" applyNumberFormat="1" applyFont="1" applyBorder="1"/>
    <xf numFmtId="3" fontId="3" fillId="0" borderId="7" xfId="0" applyNumberFormat="1" applyFont="1" applyBorder="1" applyAlignment="1">
      <alignment vertical="center" wrapText="1"/>
    </xf>
    <xf numFmtId="3" fontId="3" fillId="0" borderId="0" xfId="0" applyNumberFormat="1" applyFont="1"/>
    <xf numFmtId="3" fontId="3" fillId="0" borderId="1" xfId="0" applyNumberFormat="1" applyFont="1" applyBorder="1" applyAlignment="1">
      <alignment vertical="center" wrapText="1"/>
    </xf>
    <xf numFmtId="3" fontId="3" fillId="0" borderId="48" xfId="0" applyNumberFormat="1" applyFont="1" applyBorder="1" applyAlignment="1">
      <alignment vertical="center" wrapText="1"/>
    </xf>
    <xf numFmtId="3" fontId="3" fillId="0" borderId="2" xfId="0" applyNumberFormat="1" applyFont="1" applyBorder="1" applyAlignment="1">
      <alignment vertical="center" wrapText="1"/>
    </xf>
    <xf numFmtId="3" fontId="3" fillId="5" borderId="47" xfId="0" applyNumberFormat="1" applyFont="1" applyFill="1" applyBorder="1"/>
    <xf numFmtId="3" fontId="3" fillId="5" borderId="12" xfId="0" applyNumberFormat="1" applyFont="1" applyFill="1" applyBorder="1"/>
    <xf numFmtId="0" fontId="3" fillId="0" borderId="19" xfId="0" applyFont="1" applyBorder="1" applyAlignment="1">
      <alignment vertical="center" wrapText="1"/>
    </xf>
    <xf numFmtId="0" fontId="4" fillId="5" borderId="8" xfId="0" applyFont="1" applyFill="1" applyBorder="1" applyAlignment="1">
      <alignment horizontal="right"/>
    </xf>
    <xf numFmtId="3" fontId="4" fillId="5" borderId="8" xfId="0" applyNumberFormat="1" applyFont="1" applyFill="1" applyBorder="1" applyAlignment="1">
      <alignment horizontal="right"/>
    </xf>
    <xf numFmtId="3" fontId="3" fillId="0" borderId="47" xfId="0" applyNumberFormat="1" applyFont="1" applyBorder="1" applyAlignment="1">
      <alignment vertical="center" wrapText="1"/>
    </xf>
    <xf numFmtId="0" fontId="4" fillId="5" borderId="16" xfId="0" applyFont="1" applyFill="1" applyBorder="1"/>
    <xf numFmtId="4" fontId="4" fillId="5" borderId="17" xfId="0" applyNumberFormat="1" applyFont="1" applyFill="1" applyBorder="1"/>
    <xf numFmtId="3" fontId="4" fillId="5" borderId="17" xfId="0" applyNumberFormat="1" applyFont="1" applyFill="1" applyBorder="1"/>
    <xf numFmtId="3" fontId="4" fillId="5" borderId="18" xfId="0" applyNumberFormat="1" applyFont="1" applyFill="1" applyBorder="1"/>
    <xf numFmtId="3" fontId="3" fillId="0" borderId="45"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 xfId="0" applyFont="1" applyBorder="1" applyAlignment="1">
      <alignment horizontal="center" vertical="top" wrapText="1"/>
    </xf>
    <xf numFmtId="0" fontId="3" fillId="0" borderId="10" xfId="0" applyFont="1" applyBorder="1" applyAlignment="1">
      <alignment horizontal="center" vertical="center" wrapText="1"/>
    </xf>
    <xf numFmtId="0" fontId="3" fillId="0" borderId="48" xfId="0" applyFont="1" applyBorder="1" applyAlignment="1">
      <alignment horizontal="center" vertical="center" wrapText="1"/>
    </xf>
    <xf numFmtId="0" fontId="4" fillId="0" borderId="1" xfId="0" applyFont="1" applyBorder="1" applyAlignment="1">
      <alignment horizontal="center" vertical="top" wrapText="1"/>
    </xf>
    <xf numFmtId="172" fontId="3" fillId="0" borderId="1" xfId="4" applyNumberFormat="1" applyFont="1" applyBorder="1" applyAlignment="1">
      <alignment horizontal="center" vertical="top" wrapText="1"/>
    </xf>
    <xf numFmtId="0" fontId="6" fillId="0" borderId="0" xfId="0" applyFont="1" applyBorder="1"/>
    <xf numFmtId="172" fontId="3" fillId="0" borderId="1" xfId="4" applyNumberFormat="1" applyFont="1" applyBorder="1" applyAlignment="1">
      <alignment horizontal="right" vertical="top" wrapText="1"/>
    </xf>
    <xf numFmtId="0" fontId="0" fillId="4" borderId="0" xfId="0" applyFill="1" applyAlignment="1">
      <alignment wrapText="1"/>
    </xf>
    <xf numFmtId="0" fontId="24" fillId="0" borderId="22" xfId="0" applyFont="1" applyBorder="1" applyAlignment="1">
      <alignment horizontal="center" wrapText="1"/>
    </xf>
    <xf numFmtId="0" fontId="3" fillId="0" borderId="0" xfId="0" applyFont="1" applyAlignment="1">
      <alignment horizontal="center"/>
    </xf>
    <xf numFmtId="0" fontId="24" fillId="0" borderId="21" xfId="0" applyFont="1" applyBorder="1" applyAlignment="1">
      <alignment horizontal="center" wrapText="1"/>
    </xf>
    <xf numFmtId="0" fontId="24" fillId="0" borderId="33" xfId="0" applyFont="1" applyBorder="1" applyAlignment="1">
      <alignment horizontal="center" wrapText="1"/>
    </xf>
    <xf numFmtId="0" fontId="24" fillId="0" borderId="23" xfId="0" applyFont="1" applyBorder="1" applyAlignment="1">
      <alignment horizontal="center" wrapText="1"/>
    </xf>
    <xf numFmtId="0" fontId="24" fillId="0" borderId="19" xfId="0" applyFont="1" applyBorder="1" applyAlignment="1">
      <alignment horizontal="center" wrapText="1"/>
    </xf>
    <xf numFmtId="0" fontId="4" fillId="0" borderId="19" xfId="0" applyFont="1" applyBorder="1" applyAlignment="1">
      <alignment horizontal="center" wrapText="1"/>
    </xf>
    <xf numFmtId="0" fontId="3" fillId="0" borderId="1" xfId="0" applyFont="1" applyBorder="1" applyAlignment="1">
      <alignment horizontal="center" vertical="center" wrapText="1"/>
    </xf>
    <xf numFmtId="0" fontId="9" fillId="0" borderId="0" xfId="0" applyFont="1" applyFill="1" applyAlignment="1">
      <alignment horizontal="right"/>
    </xf>
    <xf numFmtId="0" fontId="8" fillId="0" borderId="0" xfId="0" applyFont="1" applyFill="1" applyAlignment="1">
      <alignment horizontal="center" vertical="center" wrapText="1"/>
    </xf>
    <xf numFmtId="0" fontId="3" fillId="0" borderId="1" xfId="0" applyFont="1" applyBorder="1" applyAlignment="1">
      <alignment horizontal="center" wrapText="1"/>
    </xf>
    <xf numFmtId="0" fontId="8" fillId="0" borderId="19" xfId="0" applyFont="1" applyBorder="1" applyAlignment="1">
      <alignment horizontal="left"/>
    </xf>
    <xf numFmtId="0" fontId="8" fillId="0" borderId="0" xfId="0" applyFont="1" applyAlignment="1">
      <alignment horizontal="center" wrapText="1"/>
    </xf>
    <xf numFmtId="0" fontId="9" fillId="0" borderId="19" xfId="0" applyFont="1" applyFill="1" applyBorder="1" applyAlignment="1">
      <alignment horizontal="left" vertical="top" wrapText="1"/>
    </xf>
    <xf numFmtId="0" fontId="24" fillId="0" borderId="32" xfId="0" applyFont="1" applyBorder="1" applyAlignment="1">
      <alignment horizontal="center" wrapText="1"/>
    </xf>
    <xf numFmtId="0" fontId="24" fillId="0" borderId="22" xfId="0" applyFont="1" applyBorder="1" applyAlignment="1">
      <alignment horizontal="center" wrapText="1"/>
    </xf>
    <xf numFmtId="3" fontId="3" fillId="0" borderId="19" xfId="0" applyNumberFormat="1" applyFont="1" applyBorder="1" applyAlignment="1">
      <alignment horizontal="right" vertical="center" wrapText="1"/>
    </xf>
    <xf numFmtId="3" fontId="6" fillId="0" borderId="19" xfId="0" applyNumberFormat="1" applyFont="1" applyBorder="1" applyAlignment="1">
      <alignment horizontal="right" vertical="center"/>
    </xf>
    <xf numFmtId="0" fontId="3" fillId="0" borderId="28" xfId="0" applyFont="1" applyBorder="1" applyAlignment="1">
      <alignment horizontal="center" wrapText="1"/>
    </xf>
    <xf numFmtId="3" fontId="4" fillId="0" borderId="29" xfId="0" applyNumberFormat="1" applyFont="1" applyBorder="1" applyAlignment="1">
      <alignment horizontal="right" wrapText="1"/>
    </xf>
    <xf numFmtId="3" fontId="6" fillId="0" borderId="33" xfId="0" applyNumberFormat="1" applyFont="1" applyBorder="1" applyAlignment="1">
      <alignment horizontal="right"/>
    </xf>
    <xf numFmtId="3" fontId="6" fillId="0" borderId="23" xfId="0" applyNumberFormat="1" applyFont="1" applyBorder="1" applyAlignment="1">
      <alignment horizontal="right"/>
    </xf>
    <xf numFmtId="3" fontId="28" fillId="0" borderId="29" xfId="0" applyNumberFormat="1" applyFont="1" applyBorder="1" applyAlignment="1">
      <alignment horizontal="right" wrapText="1"/>
    </xf>
    <xf numFmtId="3" fontId="24" fillId="0" borderId="29" xfId="0" applyNumberFormat="1" applyFont="1" applyBorder="1" applyAlignment="1">
      <alignment horizontal="right" wrapText="1"/>
    </xf>
    <xf numFmtId="3" fontId="3" fillId="0" borderId="29" xfId="0" applyNumberFormat="1" applyFont="1" applyBorder="1" applyAlignment="1">
      <alignment horizontal="right" wrapText="1"/>
    </xf>
    <xf numFmtId="3" fontId="28" fillId="0" borderId="38" xfId="0" applyNumberFormat="1" applyFont="1" applyBorder="1" applyAlignment="1">
      <alignment horizontal="center" vertical="center" wrapText="1"/>
    </xf>
    <xf numFmtId="3" fontId="24" fillId="0" borderId="37" xfId="0" applyNumberFormat="1" applyFont="1" applyBorder="1" applyAlignment="1">
      <alignment horizontal="center" vertical="center" wrapText="1"/>
    </xf>
    <xf numFmtId="3" fontId="24" fillId="0" borderId="10" xfId="0" applyNumberFormat="1" applyFont="1" applyBorder="1" applyAlignment="1">
      <alignment horizontal="center" vertical="center" wrapText="1"/>
    </xf>
    <xf numFmtId="0" fontId="3" fillId="0" borderId="0" xfId="0" applyFont="1" applyAlignment="1">
      <alignment horizontal="right"/>
    </xf>
    <xf numFmtId="0" fontId="6" fillId="0" borderId="0" xfId="0" applyFont="1" applyAlignment="1">
      <alignment horizontal="right"/>
    </xf>
    <xf numFmtId="0" fontId="3" fillId="0" borderId="27" xfId="0" applyFont="1" applyBorder="1" applyAlignment="1">
      <alignment horizontal="justify" shrinkToFit="1"/>
    </xf>
    <xf numFmtId="0" fontId="6" fillId="0" borderId="27" xfId="0" applyFont="1" applyBorder="1" applyAlignment="1">
      <alignment shrinkToFit="1"/>
    </xf>
    <xf numFmtId="0" fontId="3" fillId="0" borderId="0" xfId="0" applyFont="1" applyAlignment="1">
      <alignment horizontal="center"/>
    </xf>
    <xf numFmtId="0" fontId="6" fillId="0" borderId="0" xfId="0" applyFont="1" applyAlignment="1">
      <alignment horizontal="center"/>
    </xf>
    <xf numFmtId="0" fontId="4" fillId="0" borderId="29" xfId="0" applyFont="1" applyBorder="1" applyAlignment="1">
      <alignment horizontal="center" wrapText="1"/>
    </xf>
    <xf numFmtId="0" fontId="6" fillId="0" borderId="33" xfId="0" applyFont="1" applyBorder="1" applyAlignment="1"/>
    <xf numFmtId="0" fontId="6" fillId="0" borderId="23" xfId="0" applyFont="1" applyBorder="1" applyAlignment="1"/>
    <xf numFmtId="0" fontId="24" fillId="0" borderId="29" xfId="0" applyFont="1" applyBorder="1" applyAlignment="1">
      <alignment horizontal="center" wrapText="1"/>
    </xf>
    <xf numFmtId="0" fontId="6" fillId="0" borderId="33" xfId="0" applyFont="1" applyBorder="1" applyAlignment="1">
      <alignment horizontal="center"/>
    </xf>
    <xf numFmtId="0" fontId="6" fillId="0" borderId="23" xfId="0" applyFont="1" applyBorder="1" applyAlignment="1">
      <alignment horizontal="center"/>
    </xf>
    <xf numFmtId="0" fontId="24" fillId="0" borderId="25" xfId="0" applyFont="1" applyBorder="1" applyAlignment="1">
      <alignment horizontal="center" wrapText="1"/>
    </xf>
    <xf numFmtId="0" fontId="24" fillId="0" borderId="26" xfId="0" applyFont="1" applyBorder="1" applyAlignment="1">
      <alignment horizontal="center" wrapText="1"/>
    </xf>
    <xf numFmtId="0" fontId="24" fillId="0" borderId="21" xfId="0" applyFont="1" applyBorder="1" applyAlignment="1">
      <alignment horizontal="center" wrapText="1"/>
    </xf>
    <xf numFmtId="0" fontId="24" fillId="0" borderId="33" xfId="0" applyFont="1" applyBorder="1" applyAlignment="1">
      <alignment horizontal="center" wrapText="1"/>
    </xf>
    <xf numFmtId="0" fontId="24" fillId="0" borderId="23" xfId="0" applyFont="1" applyBorder="1" applyAlignment="1">
      <alignment horizontal="center" wrapText="1"/>
    </xf>
    <xf numFmtId="0" fontId="24" fillId="0" borderId="30" xfId="0" applyFont="1" applyBorder="1" applyAlignment="1">
      <alignment horizontal="center" wrapText="1"/>
    </xf>
    <xf numFmtId="0" fontId="24" fillId="0" borderId="31" xfId="0" applyFont="1" applyBorder="1" applyAlignment="1">
      <alignment horizontal="center" wrapText="1"/>
    </xf>
    <xf numFmtId="0" fontId="3" fillId="0" borderId="27" xfId="0" applyFont="1" applyBorder="1" applyAlignment="1">
      <alignment horizontal="left" vertical="top" wrapText="1"/>
    </xf>
    <xf numFmtId="3" fontId="3" fillId="0" borderId="29" xfId="0" applyNumberFormat="1" applyFont="1" applyBorder="1" applyAlignment="1">
      <alignment horizontal="right" vertical="center" wrapText="1"/>
    </xf>
    <xf numFmtId="3" fontId="6" fillId="0" borderId="33" xfId="0" applyNumberFormat="1" applyFont="1" applyBorder="1" applyAlignment="1">
      <alignment horizontal="right" vertical="center"/>
    </xf>
    <xf numFmtId="3" fontId="6" fillId="0" borderId="23" xfId="0" applyNumberFormat="1" applyFont="1" applyBorder="1" applyAlignment="1">
      <alignment horizontal="right" vertical="center"/>
    </xf>
    <xf numFmtId="3" fontId="24" fillId="0" borderId="30" xfId="0" applyNumberFormat="1" applyFont="1" applyBorder="1" applyAlignment="1">
      <alignment horizontal="right" vertical="center" wrapText="1"/>
    </xf>
    <xf numFmtId="3" fontId="6" fillId="0" borderId="27" xfId="0" applyNumberFormat="1" applyFont="1" applyBorder="1" applyAlignment="1">
      <alignment horizontal="right" vertical="center"/>
    </xf>
    <xf numFmtId="3" fontId="6" fillId="0" borderId="31" xfId="0" applyNumberFormat="1" applyFont="1" applyBorder="1" applyAlignment="1">
      <alignment horizontal="right" vertical="center"/>
    </xf>
    <xf numFmtId="0" fontId="3" fillId="0" borderId="28" xfId="0" applyFont="1" applyBorder="1" applyAlignment="1">
      <alignment horizontal="right"/>
    </xf>
    <xf numFmtId="0" fontId="6" fillId="0" borderId="28" xfId="0" applyFont="1" applyBorder="1" applyAlignment="1">
      <alignment horizontal="right"/>
    </xf>
    <xf numFmtId="0" fontId="4" fillId="0" borderId="0" xfId="0" applyFont="1" applyAlignment="1">
      <alignment horizontal="center"/>
    </xf>
    <xf numFmtId="0" fontId="4" fillId="0" borderId="0" xfId="0" applyFont="1" applyAlignment="1">
      <alignment horizontal="center" vertical="justify"/>
    </xf>
    <xf numFmtId="0" fontId="6" fillId="0" borderId="0" xfId="0" applyFont="1" applyAlignment="1">
      <alignment horizontal="center" vertical="justify"/>
    </xf>
    <xf numFmtId="0" fontId="3" fillId="0" borderId="0" xfId="0" applyFont="1" applyAlignment="1">
      <alignment horizontal="center" vertical="justify"/>
    </xf>
    <xf numFmtId="0" fontId="4" fillId="0" borderId="11" xfId="0" applyFont="1" applyBorder="1" applyAlignment="1">
      <alignment horizontal="center"/>
    </xf>
    <xf numFmtId="0" fontId="31" fillId="0" borderId="35" xfId="0" applyFont="1" applyBorder="1" applyAlignment="1">
      <alignment horizontal="center"/>
    </xf>
    <xf numFmtId="0" fontId="31" fillId="0" borderId="36"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34"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11"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169" fontId="4" fillId="0" borderId="11" xfId="0" applyNumberFormat="1" applyFont="1" applyBorder="1" applyAlignment="1">
      <alignment horizontal="center" vertical="top" wrapText="1"/>
    </xf>
    <xf numFmtId="169" fontId="4" fillId="0" borderId="35" xfId="0" applyNumberFormat="1" applyFont="1" applyBorder="1" applyAlignment="1">
      <alignment horizontal="center" vertical="top" wrapText="1"/>
    </xf>
    <xf numFmtId="169" fontId="4" fillId="0" borderId="36" xfId="0" applyNumberFormat="1" applyFont="1" applyBorder="1" applyAlignment="1">
      <alignment horizontal="center" vertical="top" wrapText="1"/>
    </xf>
    <xf numFmtId="0" fontId="37" fillId="0" borderId="0" xfId="0" applyFont="1" applyAlignment="1">
      <alignment horizontal="center"/>
    </xf>
    <xf numFmtId="3" fontId="3" fillId="0" borderId="19" xfId="0" applyNumberFormat="1" applyFont="1" applyBorder="1" applyAlignment="1">
      <alignment horizontal="right" wrapText="1"/>
    </xf>
    <xf numFmtId="3" fontId="6" fillId="0" borderId="19" xfId="0" applyNumberFormat="1" applyFont="1" applyBorder="1" applyAlignment="1">
      <alignment horizontal="right"/>
    </xf>
    <xf numFmtId="0" fontId="24" fillId="0" borderId="25" xfId="0" applyFont="1" applyBorder="1" applyAlignment="1">
      <alignment horizontal="right" wrapText="1"/>
    </xf>
    <xf numFmtId="0" fontId="6" fillId="0" borderId="25" xfId="0" applyFont="1" applyBorder="1" applyAlignment="1">
      <alignment horizontal="right"/>
    </xf>
    <xf numFmtId="0" fontId="3" fillId="0" borderId="36" xfId="0" applyFont="1" applyBorder="1" applyAlignment="1">
      <alignment horizontal="center" vertical="top" wrapText="1"/>
    </xf>
    <xf numFmtId="3" fontId="3" fillId="0" borderId="21" xfId="0" applyNumberFormat="1" applyFont="1" applyBorder="1" applyAlignment="1">
      <alignment horizontal="right" wrapText="1"/>
    </xf>
    <xf numFmtId="3" fontId="6" fillId="0" borderId="21" xfId="0" applyNumberFormat="1" applyFont="1" applyBorder="1" applyAlignment="1">
      <alignment horizontal="right"/>
    </xf>
    <xf numFmtId="0" fontId="28" fillId="0" borderId="19" xfId="0" applyFont="1" applyBorder="1" applyAlignment="1">
      <alignment horizontal="center" wrapText="1"/>
    </xf>
    <xf numFmtId="0" fontId="4" fillId="0" borderId="19" xfId="0" applyFont="1" applyBorder="1" applyAlignment="1">
      <alignment horizontal="center"/>
    </xf>
    <xf numFmtId="0" fontId="24" fillId="0" borderId="19" xfId="0" applyFont="1" applyBorder="1" applyAlignment="1">
      <alignment horizontal="center" wrapText="1"/>
    </xf>
    <xf numFmtId="0" fontId="3" fillId="0" borderId="19" xfId="0" applyFont="1" applyBorder="1" applyAlignment="1">
      <alignment horizontal="center"/>
    </xf>
    <xf numFmtId="3" fontId="4" fillId="0" borderId="19" xfId="0" applyNumberFormat="1" applyFont="1" applyBorder="1" applyAlignment="1">
      <alignment horizontal="right" wrapText="1"/>
    </xf>
    <xf numFmtId="3" fontId="3" fillId="0" borderId="19" xfId="0" applyNumberFormat="1" applyFont="1" applyBorder="1" applyAlignment="1">
      <alignment horizontal="right"/>
    </xf>
    <xf numFmtId="3" fontId="24" fillId="0" borderId="19" xfId="0" applyNumberFormat="1" applyFont="1" applyBorder="1" applyAlignment="1">
      <alignment horizontal="right" wrapText="1"/>
    </xf>
    <xf numFmtId="0" fontId="3" fillId="0" borderId="28" xfId="0" applyFont="1" applyBorder="1" applyAlignment="1">
      <alignment horizontal="center" vertical="justify"/>
    </xf>
    <xf numFmtId="0" fontId="6" fillId="0" borderId="28" xfId="0" applyFont="1" applyBorder="1" applyAlignment="1">
      <alignment horizontal="center" vertical="justify"/>
    </xf>
    <xf numFmtId="3" fontId="28" fillId="0" borderId="19" xfId="0" applyNumberFormat="1" applyFont="1" applyBorder="1" applyAlignment="1">
      <alignment horizontal="right" wrapText="1"/>
    </xf>
    <xf numFmtId="0" fontId="4" fillId="0" borderId="19" xfId="0" applyFont="1" applyBorder="1" applyAlignment="1">
      <alignment horizontal="center" wrapText="1"/>
    </xf>
    <xf numFmtId="0" fontId="6" fillId="0" borderId="19" xfId="0" applyFont="1" applyBorder="1" applyAlignment="1">
      <alignment horizontal="center"/>
    </xf>
    <xf numFmtId="0" fontId="9" fillId="0" borderId="0" xfId="0" applyFont="1" applyFill="1" applyAlignment="1" applyProtection="1">
      <alignment horizontal="right"/>
    </xf>
    <xf numFmtId="0" fontId="15" fillId="0" borderId="0" xfId="0" applyFont="1" applyAlignment="1" applyProtection="1">
      <alignment horizontal="center" wrapText="1"/>
    </xf>
    <xf numFmtId="0" fontId="18"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protection hidden="1"/>
    </xf>
    <xf numFmtId="49" fontId="12" fillId="0" borderId="1" xfId="0" applyNumberFormat="1" applyFont="1" applyBorder="1" applyAlignment="1" applyProtection="1">
      <alignment horizontal="center" vertical="center" wrapText="1"/>
    </xf>
    <xf numFmtId="169" fontId="50" fillId="0" borderId="1" xfId="0" applyNumberFormat="1" applyFont="1" applyBorder="1" applyAlignment="1" applyProtection="1">
      <alignment horizontal="center"/>
    </xf>
    <xf numFmtId="0" fontId="3" fillId="0" borderId="0" xfId="0" applyFont="1" applyAlignment="1">
      <alignment horizontal="right" wrapText="1"/>
    </xf>
    <xf numFmtId="0" fontId="6" fillId="0" borderId="0" xfId="0" applyFont="1" applyFill="1" applyAlignment="1">
      <alignment horizontal="center" wrapText="1"/>
    </xf>
    <xf numFmtId="0" fontId="6" fillId="0" borderId="28" xfId="0" applyFont="1" applyFill="1" applyBorder="1" applyAlignment="1">
      <alignment horizontal="center" wrapText="1"/>
    </xf>
    <xf numFmtId="0" fontId="0" fillId="0" borderId="19" xfId="0" applyBorder="1" applyAlignment="1">
      <alignment horizontal="center" wrapText="1"/>
    </xf>
    <xf numFmtId="0" fontId="4" fillId="0" borderId="0" xfId="0" applyFont="1" applyFill="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xf>
    <xf numFmtId="0" fontId="6" fillId="3" borderId="0" xfId="0" applyFont="1" applyFill="1" applyAlignment="1">
      <alignment horizontal="righ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0" xfId="0" applyFont="1" applyAlignment="1">
      <alignment horizontal="center" wrapText="1"/>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3" fillId="5" borderId="0" xfId="0" applyFont="1" applyFill="1" applyAlignment="1">
      <alignment horizontal="right"/>
    </xf>
    <xf numFmtId="0" fontId="4" fillId="5" borderId="0" xfId="0" applyFont="1" applyFill="1" applyAlignment="1">
      <alignment horizontal="center" vertical="center" wrapText="1"/>
    </xf>
    <xf numFmtId="0" fontId="4" fillId="0" borderId="14"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center" wrapText="1"/>
    </xf>
    <xf numFmtId="0" fontId="4" fillId="0" borderId="18" xfId="0" applyFont="1" applyBorder="1" applyAlignment="1">
      <alignment horizontal="center" wrapText="1"/>
    </xf>
    <xf numFmtId="49" fontId="4" fillId="0" borderId="30" xfId="0" applyNumberFormat="1" applyFont="1" applyBorder="1" applyAlignment="1">
      <alignment horizontal="center" wrapText="1"/>
    </xf>
    <xf numFmtId="49" fontId="4" fillId="0" borderId="32" xfId="0" applyNumberFormat="1"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3" fontId="3" fillId="0" borderId="11" xfId="0" applyNumberFormat="1" applyFont="1" applyBorder="1" applyAlignment="1">
      <alignment horizontal="center"/>
    </xf>
    <xf numFmtId="3" fontId="3" fillId="0" borderId="36" xfId="0" applyNumberFormat="1" applyFont="1" applyBorder="1" applyAlignment="1">
      <alignment horizontal="center"/>
    </xf>
    <xf numFmtId="166" fontId="4" fillId="0" borderId="11" xfId="0" applyNumberFormat="1" applyFont="1" applyBorder="1" applyAlignment="1">
      <alignment horizontal="center" vertical="center"/>
    </xf>
    <xf numFmtId="166" fontId="4" fillId="0" borderId="36" xfId="0" applyNumberFormat="1" applyFont="1" applyBorder="1" applyAlignment="1">
      <alignment horizontal="center" vertical="center"/>
    </xf>
    <xf numFmtId="167" fontId="48" fillId="0" borderId="1" xfId="0" applyNumberFormat="1" applyFont="1" applyFill="1" applyBorder="1" applyAlignment="1">
      <alignment horizontal="left" wrapText="1"/>
    </xf>
    <xf numFmtId="167" fontId="47" fillId="0" borderId="11" xfId="0" applyNumberFormat="1" applyFont="1" applyBorder="1" applyAlignment="1">
      <alignment horizontal="left" wrapText="1"/>
    </xf>
    <xf numFmtId="167" fontId="47" fillId="0" borderId="36" xfId="0" applyNumberFormat="1" applyFont="1" applyBorder="1" applyAlignment="1">
      <alignment horizontal="left" wrapText="1"/>
    </xf>
    <xf numFmtId="167" fontId="48" fillId="0" borderId="11" xfId="0" applyNumberFormat="1" applyFont="1" applyFill="1" applyBorder="1" applyAlignment="1">
      <alignment horizontal="left" wrapText="1"/>
    </xf>
    <xf numFmtId="167" fontId="48" fillId="0" borderId="36" xfId="0" applyNumberFormat="1" applyFont="1" applyFill="1" applyBorder="1" applyAlignment="1">
      <alignment horizontal="left" wrapText="1"/>
    </xf>
    <xf numFmtId="0" fontId="4" fillId="0" borderId="37" xfId="0" applyFont="1" applyFill="1" applyBorder="1" applyAlignment="1">
      <alignment horizontal="center" vertical="center" wrapText="1"/>
    </xf>
    <xf numFmtId="0" fontId="3" fillId="0" borderId="37" xfId="0" applyFont="1" applyBorder="1" applyAlignment="1"/>
    <xf numFmtId="0" fontId="3" fillId="0" borderId="0" xfId="0" applyFont="1" applyAlignment="1"/>
    <xf numFmtId="0" fontId="38" fillId="0" borderId="15" xfId="0" applyFont="1" applyBorder="1" applyAlignment="1">
      <alignment horizontal="center" wrapText="1"/>
    </xf>
    <xf numFmtId="0" fontId="38" fillId="0" borderId="18" xfId="0" applyFont="1" applyBorder="1" applyAlignment="1">
      <alignment horizontal="center" wrapText="1"/>
    </xf>
    <xf numFmtId="0" fontId="30" fillId="0" borderId="0" xfId="0" applyFont="1" applyAlignment="1">
      <alignment horizontal="right"/>
    </xf>
    <xf numFmtId="0" fontId="0" fillId="0" borderId="0" xfId="0" applyAlignment="1">
      <alignment horizontal="right"/>
    </xf>
    <xf numFmtId="0" fontId="0" fillId="0" borderId="0" xfId="0" applyAlignment="1"/>
    <xf numFmtId="0" fontId="37"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38" fillId="0" borderId="13" xfId="0" applyFont="1" applyBorder="1" applyAlignment="1">
      <alignment horizontal="center" wrapText="1"/>
    </xf>
    <xf numFmtId="0" fontId="38" fillId="0" borderId="16" xfId="0" applyFont="1" applyBorder="1" applyAlignment="1">
      <alignment horizontal="center" wrapText="1"/>
    </xf>
    <xf numFmtId="0" fontId="38" fillId="0" borderId="14" xfId="0" applyFont="1" applyBorder="1" applyAlignment="1">
      <alignment horizontal="center" wrapText="1"/>
    </xf>
    <xf numFmtId="0" fontId="38" fillId="0" borderId="17" xfId="0" applyFont="1" applyBorder="1" applyAlignment="1">
      <alignment horizontal="center" wrapText="1"/>
    </xf>
    <xf numFmtId="0" fontId="38" fillId="0" borderId="25" xfId="0" applyFont="1" applyBorder="1" applyAlignment="1">
      <alignment horizontal="center" wrapText="1"/>
    </xf>
    <xf numFmtId="0" fontId="38" fillId="0" borderId="21" xfId="0" applyFont="1" applyBorder="1" applyAlignment="1">
      <alignment horizontal="center" wrapText="1"/>
    </xf>
    <xf numFmtId="0" fontId="4" fillId="0" borderId="29" xfId="0" applyFont="1" applyBorder="1" applyAlignment="1">
      <alignment horizontal="center"/>
    </xf>
    <xf numFmtId="0" fontId="4" fillId="0" borderId="23" xfId="0" applyFont="1" applyBorder="1" applyAlignment="1">
      <alignment horizontal="center"/>
    </xf>
    <xf numFmtId="0" fontId="4" fillId="0" borderId="25" xfId="0" applyFont="1" applyBorder="1" applyAlignment="1">
      <alignment horizontal="center" wrapText="1"/>
    </xf>
    <xf numFmtId="0" fontId="4" fillId="0" borderId="21" xfId="0" applyFont="1" applyBorder="1" applyAlignment="1">
      <alignment horizontal="center" wrapText="1"/>
    </xf>
    <xf numFmtId="167" fontId="32" fillId="0" borderId="0" xfId="0" applyNumberFormat="1" applyFont="1" applyFill="1" applyBorder="1" applyAlignment="1">
      <alignment horizontal="left" wrapText="1"/>
    </xf>
    <xf numFmtId="0" fontId="5" fillId="0" borderId="0" xfId="0" applyFont="1" applyAlignment="1">
      <alignment horizontal="left" vertical="center" wrapText="1"/>
    </xf>
    <xf numFmtId="0" fontId="3" fillId="0" borderId="0" xfId="0" applyFont="1" applyAlignment="1">
      <alignment vertical="center" wrapText="1"/>
    </xf>
    <xf numFmtId="167" fontId="33" fillId="0" borderId="11" xfId="0" applyNumberFormat="1" applyFont="1" applyBorder="1" applyAlignment="1">
      <alignment horizontal="left" wrapText="1"/>
    </xf>
    <xf numFmtId="167" fontId="33" fillId="0" borderId="36" xfId="0" applyNumberFormat="1" applyFont="1" applyBorder="1" applyAlignment="1">
      <alignment horizontal="left" wrapText="1"/>
    </xf>
    <xf numFmtId="0" fontId="4" fillId="0" borderId="37" xfId="0" applyFont="1" applyBorder="1" applyAlignment="1">
      <alignment horizontal="left"/>
    </xf>
    <xf numFmtId="0" fontId="4" fillId="0" borderId="10" xfId="0" applyFont="1" applyBorder="1" applyAlignment="1">
      <alignment horizontal="left"/>
    </xf>
    <xf numFmtId="0" fontId="9" fillId="0" borderId="1" xfId="0" applyFont="1" applyBorder="1" applyAlignment="1">
      <alignment horizontal="center" vertical="center" wrapText="1"/>
    </xf>
    <xf numFmtId="0" fontId="8" fillId="0" borderId="34" xfId="0"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34" xfId="0" applyBorder="1" applyAlignment="1"/>
    <xf numFmtId="0" fontId="4" fillId="0" borderId="2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7" fontId="47" fillId="0" borderId="6" xfId="0" applyNumberFormat="1" applyFont="1" applyBorder="1" applyAlignment="1">
      <alignment horizontal="left" wrapText="1"/>
    </xf>
    <xf numFmtId="167" fontId="47" fillId="0" borderId="1" xfId="0" applyNumberFormat="1" applyFont="1" applyBorder="1" applyAlignment="1">
      <alignment horizontal="left" wrapText="1"/>
    </xf>
    <xf numFmtId="167" fontId="48" fillId="0" borderId="16" xfId="0" applyNumberFormat="1" applyFont="1" applyBorder="1" applyAlignment="1">
      <alignment horizontal="left" wrapText="1"/>
    </xf>
    <xf numFmtId="167" fontId="48" fillId="0" borderId="17" xfId="0" applyNumberFormat="1" applyFont="1" applyBorder="1" applyAlignment="1">
      <alignment horizontal="left" wrapText="1"/>
    </xf>
    <xf numFmtId="167" fontId="47" fillId="0" borderId="39" xfId="0" applyNumberFormat="1" applyFont="1" applyBorder="1" applyAlignment="1">
      <alignment horizontal="left" wrapText="1"/>
    </xf>
    <xf numFmtId="0" fontId="4" fillId="0" borderId="33" xfId="0" applyFont="1" applyFill="1" applyBorder="1" applyAlignment="1">
      <alignment horizontal="center" vertical="center" wrapText="1"/>
    </xf>
    <xf numFmtId="167" fontId="48" fillId="0" borderId="0" xfId="0" applyNumberFormat="1" applyFont="1" applyFill="1" applyBorder="1" applyAlignment="1">
      <alignment horizontal="left" wrapText="1"/>
    </xf>
    <xf numFmtId="167" fontId="48" fillId="0" borderId="40" xfId="0" applyNumberFormat="1" applyFont="1" applyBorder="1" applyAlignment="1">
      <alignment horizontal="left" wrapText="1"/>
    </xf>
    <xf numFmtId="167" fontId="48" fillId="0" borderId="41" xfId="0" applyNumberFormat="1" applyFont="1" applyBorder="1" applyAlignment="1">
      <alignment horizontal="left" wrapText="1"/>
    </xf>
    <xf numFmtId="0" fontId="4" fillId="0" borderId="1" xfId="0" applyFont="1" applyFill="1" applyBorder="1" applyAlignment="1">
      <alignment horizontal="center" vertical="center" wrapText="1"/>
    </xf>
    <xf numFmtId="0" fontId="3" fillId="0" borderId="1" xfId="0" applyFont="1" applyBorder="1" applyAlignment="1"/>
    <xf numFmtId="0" fontId="0" fillId="0" borderId="0" xfId="0" applyAlignment="1">
      <alignment horizontal="center"/>
    </xf>
    <xf numFmtId="0" fontId="0" fillId="0" borderId="28" xfId="0" applyBorder="1" applyAlignment="1">
      <alignment horizontal="center"/>
    </xf>
    <xf numFmtId="0" fontId="8" fillId="0" borderId="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4" fillId="5" borderId="0" xfId="0" applyFont="1" applyFill="1" applyBorder="1" applyAlignment="1">
      <alignment horizontal="center" wrapText="1"/>
    </xf>
    <xf numFmtId="167" fontId="48" fillId="0" borderId="0" xfId="0" applyNumberFormat="1" applyFont="1" applyBorder="1" applyAlignment="1">
      <alignment horizontal="center" wrapText="1"/>
    </xf>
    <xf numFmtId="167" fontId="48" fillId="0" borderId="1" xfId="0" applyNumberFormat="1" applyFont="1" applyBorder="1" applyAlignment="1">
      <alignment horizontal="left" wrapText="1"/>
    </xf>
    <xf numFmtId="167" fontId="3" fillId="0" borderId="6" xfId="0" applyNumberFormat="1" applyFont="1" applyBorder="1" applyAlignment="1">
      <alignment horizontal="left" wrapText="1"/>
    </xf>
    <xf numFmtId="167" fontId="3" fillId="0" borderId="1" xfId="0" applyNumberFormat="1" applyFont="1" applyBorder="1" applyAlignment="1">
      <alignment horizontal="left" wrapText="1"/>
    </xf>
    <xf numFmtId="167" fontId="4" fillId="0" borderId="16" xfId="0" applyNumberFormat="1" applyFont="1" applyBorder="1" applyAlignment="1">
      <alignment horizontal="left" wrapText="1"/>
    </xf>
    <xf numFmtId="167" fontId="4" fillId="0" borderId="17" xfId="0" applyNumberFormat="1" applyFont="1" applyBorder="1" applyAlignment="1">
      <alignment horizontal="left" wrapText="1"/>
    </xf>
    <xf numFmtId="167" fontId="3" fillId="0" borderId="6" xfId="0" applyNumberFormat="1" applyFont="1" applyBorder="1" applyAlignment="1">
      <alignment wrapText="1"/>
    </xf>
    <xf numFmtId="167" fontId="3" fillId="0" borderId="1" xfId="0" applyNumberFormat="1" applyFont="1" applyBorder="1" applyAlignment="1">
      <alignment wrapText="1"/>
    </xf>
    <xf numFmtId="0" fontId="4" fillId="0" borderId="34" xfId="0" applyFont="1" applyBorder="1" applyAlignment="1">
      <alignment horizontal="center" vertical="center" wrapText="1"/>
    </xf>
    <xf numFmtId="0" fontId="3" fillId="0" borderId="11" xfId="0" applyFont="1" applyBorder="1" applyAlignment="1">
      <alignment horizontal="center" vertical="top" wrapText="1"/>
    </xf>
    <xf numFmtId="0" fontId="6" fillId="0" borderId="36" xfId="0" applyFont="1" applyBorder="1" applyAlignment="1"/>
    <xf numFmtId="0" fontId="3" fillId="0" borderId="11" xfId="0" applyFont="1" applyBorder="1" applyAlignment="1">
      <alignment horizontal="left" vertical="top" wrapText="1"/>
    </xf>
    <xf numFmtId="0" fontId="3" fillId="0" borderId="36" xfId="0" applyFont="1" applyBorder="1" applyAlignment="1">
      <alignment horizontal="left"/>
    </xf>
    <xf numFmtId="0" fontId="3" fillId="0" borderId="1" xfId="0" applyFont="1" applyBorder="1" applyAlignment="1">
      <alignment horizontal="left" vertical="top" wrapText="1"/>
    </xf>
    <xf numFmtId="0" fontId="3" fillId="0" borderId="1" xfId="0" applyFont="1" applyBorder="1" applyAlignment="1">
      <alignment horizontal="left"/>
    </xf>
    <xf numFmtId="49" fontId="3" fillId="0" borderId="1" xfId="0" applyNumberFormat="1" applyFont="1" applyBorder="1" applyAlignment="1">
      <alignment horizontal="left" vertical="top" wrapText="1"/>
    </xf>
    <xf numFmtId="172" fontId="3" fillId="0" borderId="1" xfId="4" applyNumberFormat="1" applyFont="1" applyBorder="1" applyAlignment="1">
      <alignment horizontal="right" wrapText="1"/>
    </xf>
    <xf numFmtId="172" fontId="3" fillId="0" borderId="1" xfId="4" applyNumberFormat="1" applyFont="1" applyBorder="1" applyAlignment="1">
      <alignment horizontal="right" wrapText="1"/>
    </xf>
    <xf numFmtId="49" fontId="3" fillId="0" borderId="1" xfId="0" applyNumberFormat="1" applyFont="1" applyBorder="1" applyAlignment="1">
      <alignment horizontal="left" vertical="top" wrapText="1"/>
    </xf>
    <xf numFmtId="0" fontId="3" fillId="5" borderId="1" xfId="0" applyFont="1" applyFill="1" applyBorder="1" applyAlignment="1">
      <alignment horizontal="left" wrapText="1"/>
    </xf>
    <xf numFmtId="0" fontId="3" fillId="5" borderId="1" xfId="0" applyFont="1" applyFill="1" applyBorder="1" applyAlignment="1">
      <alignment horizontal="right"/>
    </xf>
    <xf numFmtId="0" fontId="4" fillId="0" borderId="0" xfId="0" applyFont="1" applyBorder="1" applyAlignment="1">
      <alignment horizontal="center" vertical="center"/>
    </xf>
  </cellXfs>
  <cellStyles count="8">
    <cellStyle name="Денежный" xfId="1" builtinId="4"/>
    <cellStyle name="Обычный" xfId="0" builtinId="0"/>
    <cellStyle name="Обычный 11" xfId="3"/>
    <cellStyle name="Обычный 2" xfId="5"/>
    <cellStyle name="Обычный 2 2" xfId="6"/>
    <cellStyle name="Обычный 2 3" xfId="7"/>
    <cellStyle name="Обычный_Пр_1" xfId="2"/>
    <cellStyle name="Финансовый" xfId="4" builtinId="3"/>
  </cellStyles>
  <dxfs count="2">
    <dxf>
      <font>
        <b val="0"/>
        <i val="0"/>
        <strike val="0"/>
        <condense val="0"/>
        <extend val="0"/>
        <outline val="0"/>
        <shadow val="0"/>
        <u val="none"/>
        <vertAlign val="baseline"/>
        <sz val="10"/>
        <color indexed="72"/>
        <name val="Arial"/>
        <scheme val="none"/>
      </font>
      <numFmt numFmtId="167" formatCode=";;"/>
      <alignment horizontal="general" vertical="bottom" textRotation="0" wrapText="1" indent="0" relativeIndent="0" justifyLastLine="0" shrinkToFit="0" readingOrder="0"/>
    </dxf>
    <dxf>
      <font>
        <b val="0"/>
        <i val="0"/>
        <strike val="0"/>
        <condense val="0"/>
        <extend val="0"/>
        <outline val="0"/>
        <shadow val="0"/>
        <u val="none"/>
        <vertAlign val="baseline"/>
        <sz val="10"/>
        <color indexed="72"/>
        <name val="Arial"/>
        <scheme val="none"/>
      </font>
      <numFmt numFmtId="169" formatCode="000"/>
      <alignment horizontal="center" vertical="bottom" textRotation="0" wrapText="0" indent="0" relativeIndent="0" justifyLastLine="0" shrinkToFit="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M172"/>
  <sheetViews>
    <sheetView showGridLines="0" view="pageBreakPreview" zoomScaleSheetLayoutView="100" workbookViewId="0">
      <selection activeCell="A149" sqref="A149:XFD150"/>
    </sheetView>
  </sheetViews>
  <sheetFormatPr defaultColWidth="8.85546875" defaultRowHeight="15"/>
  <cols>
    <col min="1" max="1" width="5.140625" style="21" bestFit="1" customWidth="1"/>
    <col min="2" max="2" width="3" style="21" bestFit="1" customWidth="1"/>
    <col min="3" max="3" width="3.42578125" style="21" customWidth="1"/>
    <col min="4" max="4" width="3.42578125" style="382" customWidth="1"/>
    <col min="5" max="5" width="6.85546875" style="21" customWidth="1"/>
    <col min="6" max="6" width="3" style="21" customWidth="1"/>
    <col min="7" max="7" width="5.85546875" style="23" customWidth="1"/>
    <col min="8" max="8" width="4.85546875" style="21" bestFit="1" customWidth="1"/>
    <col min="9" max="9" width="43.85546875" style="1" customWidth="1"/>
    <col min="10" max="11" width="20.85546875" style="1" hidden="1" customWidth="1"/>
    <col min="12" max="12" width="15.85546875" style="1" hidden="1" customWidth="1"/>
    <col min="13" max="13" width="16.42578125" style="1" customWidth="1"/>
    <col min="14" max="16384" width="8.85546875" style="1"/>
  </cols>
  <sheetData>
    <row r="1" spans="1:13" ht="15.75">
      <c r="G1" s="737" t="s">
        <v>644</v>
      </c>
      <c r="H1" s="737"/>
      <c r="I1" s="737"/>
      <c r="J1" s="737"/>
      <c r="K1" s="737"/>
      <c r="L1" s="737"/>
      <c r="M1" s="737"/>
    </row>
    <row r="2" spans="1:13" ht="15.75">
      <c r="G2" s="737" t="s">
        <v>1058</v>
      </c>
      <c r="H2" s="737"/>
      <c r="I2" s="737"/>
      <c r="J2" s="737"/>
      <c r="K2" s="737"/>
      <c r="L2" s="737"/>
      <c r="M2" s="737"/>
    </row>
    <row r="3" spans="1:13" ht="15.75">
      <c r="G3" s="737" t="s">
        <v>716</v>
      </c>
      <c r="H3" s="737"/>
      <c r="I3" s="737"/>
      <c r="J3" s="737"/>
      <c r="K3" s="737"/>
      <c r="L3" s="737"/>
      <c r="M3" s="737"/>
    </row>
    <row r="4" spans="1:13" ht="15.75">
      <c r="G4" s="737" t="s">
        <v>3096</v>
      </c>
      <c r="H4" s="737"/>
      <c r="I4" s="737"/>
      <c r="J4" s="737"/>
      <c r="K4" s="737"/>
      <c r="L4" s="737"/>
      <c r="M4" s="737"/>
    </row>
    <row r="5" spans="1:13" ht="10.5" customHeight="1">
      <c r="G5" s="32"/>
      <c r="H5" s="33"/>
    </row>
    <row r="6" spans="1:13" ht="42.75" customHeight="1">
      <c r="A6" s="738" t="s">
        <v>3240</v>
      </c>
      <c r="B6" s="738"/>
      <c r="C6" s="738"/>
      <c r="D6" s="738"/>
      <c r="E6" s="738"/>
      <c r="F6" s="738"/>
      <c r="G6" s="738"/>
      <c r="H6" s="738"/>
      <c r="I6" s="738"/>
      <c r="J6" s="738"/>
      <c r="K6" s="738"/>
      <c r="L6" s="738"/>
      <c r="M6" s="738"/>
    </row>
    <row r="7" spans="1:13" ht="4.5" customHeight="1">
      <c r="G7" s="22"/>
      <c r="H7" s="5"/>
      <c r="I7" s="5"/>
    </row>
    <row r="8" spans="1:13" ht="18.75" hidden="1">
      <c r="G8" s="22"/>
      <c r="H8" s="5"/>
      <c r="I8" s="5"/>
    </row>
    <row r="9" spans="1:13" ht="15.75" customHeight="1">
      <c r="A9" s="739" t="s">
        <v>1301</v>
      </c>
      <c r="B9" s="739"/>
      <c r="C9" s="739"/>
      <c r="D9" s="739"/>
      <c r="E9" s="739"/>
      <c r="F9" s="739"/>
      <c r="G9" s="739"/>
      <c r="H9" s="739"/>
      <c r="I9" s="736" t="s">
        <v>962</v>
      </c>
      <c r="J9" s="736" t="s">
        <v>3220</v>
      </c>
      <c r="K9" s="736" t="s">
        <v>1129</v>
      </c>
      <c r="L9" s="736" t="s">
        <v>2495</v>
      </c>
      <c r="M9" s="736" t="s">
        <v>3247</v>
      </c>
    </row>
    <row r="10" spans="1:13" ht="131.25" customHeight="1">
      <c r="A10" s="267" t="s">
        <v>17</v>
      </c>
      <c r="B10" s="267" t="s">
        <v>18</v>
      </c>
      <c r="C10" s="267" t="s">
        <v>63</v>
      </c>
      <c r="D10" s="267" t="s">
        <v>2600</v>
      </c>
      <c r="E10" s="268" t="s">
        <v>2601</v>
      </c>
      <c r="F10" s="267" t="s">
        <v>2602</v>
      </c>
      <c r="G10" s="269" t="s">
        <v>2603</v>
      </c>
      <c r="H10" s="268" t="s">
        <v>2604</v>
      </c>
      <c r="I10" s="736"/>
      <c r="J10" s="736"/>
      <c r="K10" s="736"/>
      <c r="L10" s="736"/>
      <c r="M10" s="736"/>
    </row>
    <row r="11" spans="1:13" s="333" customFormat="1" ht="18.75" customHeight="1">
      <c r="A11" s="353" t="s">
        <v>96</v>
      </c>
      <c r="B11" s="353" t="s">
        <v>97</v>
      </c>
      <c r="C11" s="353" t="s">
        <v>98</v>
      </c>
      <c r="D11" s="353" t="s">
        <v>98</v>
      </c>
      <c r="E11" s="353" t="s">
        <v>96</v>
      </c>
      <c r="F11" s="353" t="s">
        <v>98</v>
      </c>
      <c r="G11" s="353" t="s">
        <v>99</v>
      </c>
      <c r="H11" s="353" t="s">
        <v>96</v>
      </c>
      <c r="I11" s="24" t="s">
        <v>465</v>
      </c>
      <c r="J11" s="334">
        <v>170272000</v>
      </c>
      <c r="K11" s="334">
        <f>K12+K14+K16+K20+K23+K24+K31+K34+K37+K43</f>
        <v>-5871374</v>
      </c>
      <c r="L11" s="334">
        <f>SUM(J11:K11)</f>
        <v>164400626</v>
      </c>
      <c r="M11" s="334">
        <f>M12+M14+M16+M20+M23+M24+M31+M34+M37+M43</f>
        <v>147255379</v>
      </c>
    </row>
    <row r="12" spans="1:13" s="333" customFormat="1" ht="19.5" customHeight="1">
      <c r="A12" s="353" t="s">
        <v>96</v>
      </c>
      <c r="B12" s="353" t="s">
        <v>97</v>
      </c>
      <c r="C12" s="353" t="s">
        <v>288</v>
      </c>
      <c r="D12" s="353" t="s">
        <v>98</v>
      </c>
      <c r="E12" s="353" t="s">
        <v>96</v>
      </c>
      <c r="F12" s="353" t="s">
        <v>98</v>
      </c>
      <c r="G12" s="353" t="s">
        <v>99</v>
      </c>
      <c r="H12" s="353" t="s">
        <v>96</v>
      </c>
      <c r="I12" s="24" t="s">
        <v>466</v>
      </c>
      <c r="J12" s="72">
        <v>95989000</v>
      </c>
      <c r="K12" s="72">
        <f t="shared" ref="K12:M12" si="0">K13</f>
        <v>0</v>
      </c>
      <c r="L12" s="334">
        <f t="shared" ref="L12:L107" si="1">SUM(J12:K12)</f>
        <v>95989000</v>
      </c>
      <c r="M12" s="72">
        <f t="shared" si="0"/>
        <v>91027704</v>
      </c>
    </row>
    <row r="13" spans="1:13" s="333" customFormat="1" ht="18.75" customHeight="1">
      <c r="A13" s="354" t="s">
        <v>100</v>
      </c>
      <c r="B13" s="354" t="s">
        <v>97</v>
      </c>
      <c r="C13" s="354" t="s">
        <v>288</v>
      </c>
      <c r="D13" s="354" t="s">
        <v>295</v>
      </c>
      <c r="E13" s="354" t="s">
        <v>96</v>
      </c>
      <c r="F13" s="354" t="s">
        <v>288</v>
      </c>
      <c r="G13" s="354" t="s">
        <v>99</v>
      </c>
      <c r="H13" s="354" t="s">
        <v>296</v>
      </c>
      <c r="I13" s="7" t="s">
        <v>1515</v>
      </c>
      <c r="J13" s="96">
        <v>95989000</v>
      </c>
      <c r="K13" s="96"/>
      <c r="L13" s="512">
        <f t="shared" si="1"/>
        <v>95989000</v>
      </c>
      <c r="M13" s="96">
        <v>91027704</v>
      </c>
    </row>
    <row r="14" spans="1:13" s="333" customFormat="1" ht="47.25">
      <c r="A14" s="353" t="s">
        <v>96</v>
      </c>
      <c r="B14" s="353" t="s">
        <v>97</v>
      </c>
      <c r="C14" s="353" t="s">
        <v>2217</v>
      </c>
      <c r="D14" s="353" t="s">
        <v>98</v>
      </c>
      <c r="E14" s="353" t="s">
        <v>96</v>
      </c>
      <c r="F14" s="353" t="s">
        <v>98</v>
      </c>
      <c r="G14" s="353" t="s">
        <v>99</v>
      </c>
      <c r="H14" s="353" t="s">
        <v>96</v>
      </c>
      <c r="I14" s="24" t="s">
        <v>2219</v>
      </c>
      <c r="J14" s="72">
        <v>9241000</v>
      </c>
      <c r="K14" s="72">
        <f t="shared" ref="K14:M14" si="2">K15</f>
        <v>0</v>
      </c>
      <c r="L14" s="334">
        <f t="shared" si="1"/>
        <v>9241000</v>
      </c>
      <c r="M14" s="72">
        <f t="shared" si="2"/>
        <v>8957044</v>
      </c>
    </row>
    <row r="15" spans="1:13" s="333" customFormat="1" ht="47.25">
      <c r="A15" s="354" t="s">
        <v>2446</v>
      </c>
      <c r="B15" s="354" t="s">
        <v>97</v>
      </c>
      <c r="C15" s="354" t="s">
        <v>2217</v>
      </c>
      <c r="D15" s="354" t="s">
        <v>295</v>
      </c>
      <c r="E15" s="354" t="s">
        <v>96</v>
      </c>
      <c r="F15" s="354" t="s">
        <v>288</v>
      </c>
      <c r="G15" s="354" t="s">
        <v>99</v>
      </c>
      <c r="H15" s="354" t="s">
        <v>296</v>
      </c>
      <c r="I15" s="7" t="s">
        <v>2218</v>
      </c>
      <c r="J15" s="74">
        <v>9241000</v>
      </c>
      <c r="K15" s="74"/>
      <c r="L15" s="512">
        <f t="shared" si="1"/>
        <v>9241000</v>
      </c>
      <c r="M15" s="74">
        <v>8957044</v>
      </c>
    </row>
    <row r="16" spans="1:13" ht="21.75" customHeight="1">
      <c r="A16" s="27" t="s">
        <v>96</v>
      </c>
      <c r="B16" s="27" t="s">
        <v>97</v>
      </c>
      <c r="C16" s="27" t="s">
        <v>289</v>
      </c>
      <c r="D16" s="27" t="s">
        <v>98</v>
      </c>
      <c r="E16" s="27" t="s">
        <v>96</v>
      </c>
      <c r="F16" s="27" t="s">
        <v>98</v>
      </c>
      <c r="G16" s="25" t="s">
        <v>99</v>
      </c>
      <c r="H16" s="25" t="s">
        <v>96</v>
      </c>
      <c r="I16" s="24" t="s">
        <v>895</v>
      </c>
      <c r="J16" s="98">
        <v>15483000</v>
      </c>
      <c r="K16" s="98">
        <f t="shared" ref="K16:M16" si="3">K17+K18+K19</f>
        <v>0</v>
      </c>
      <c r="L16" s="334">
        <f t="shared" si="1"/>
        <v>15483000</v>
      </c>
      <c r="M16" s="98">
        <f t="shared" si="3"/>
        <v>13285972</v>
      </c>
    </row>
    <row r="17" spans="1:13" ht="31.5">
      <c r="A17" s="28" t="s">
        <v>100</v>
      </c>
      <c r="B17" s="28" t="s">
        <v>97</v>
      </c>
      <c r="C17" s="28" t="s">
        <v>289</v>
      </c>
      <c r="D17" s="28" t="s">
        <v>295</v>
      </c>
      <c r="E17" s="28" t="s">
        <v>96</v>
      </c>
      <c r="F17" s="28" t="s">
        <v>295</v>
      </c>
      <c r="G17" s="26" t="s">
        <v>99</v>
      </c>
      <c r="H17" s="26" t="s">
        <v>296</v>
      </c>
      <c r="I17" s="7" t="s">
        <v>255</v>
      </c>
      <c r="J17" s="96">
        <v>14915000</v>
      </c>
      <c r="K17" s="96"/>
      <c r="L17" s="512">
        <f t="shared" si="1"/>
        <v>14915000</v>
      </c>
      <c r="M17" s="96">
        <v>13152445</v>
      </c>
    </row>
    <row r="18" spans="1:13" ht="22.5" customHeight="1">
      <c r="A18" s="28" t="s">
        <v>100</v>
      </c>
      <c r="B18" s="28" t="s">
        <v>97</v>
      </c>
      <c r="C18" s="28" t="s">
        <v>289</v>
      </c>
      <c r="D18" s="28" t="s">
        <v>2217</v>
      </c>
      <c r="E18" s="28" t="s">
        <v>96</v>
      </c>
      <c r="F18" s="28" t="s">
        <v>288</v>
      </c>
      <c r="G18" s="26" t="s">
        <v>99</v>
      </c>
      <c r="H18" s="26" t="s">
        <v>296</v>
      </c>
      <c r="I18" s="7" t="s">
        <v>646</v>
      </c>
      <c r="J18" s="96">
        <v>503000</v>
      </c>
      <c r="K18" s="96"/>
      <c r="L18" s="512">
        <f t="shared" si="1"/>
        <v>503000</v>
      </c>
      <c r="M18" s="96">
        <v>50977</v>
      </c>
    </row>
    <row r="19" spans="1:13" ht="31.5">
      <c r="A19" s="28" t="s">
        <v>100</v>
      </c>
      <c r="B19" s="28" t="s">
        <v>97</v>
      </c>
      <c r="C19" s="28" t="s">
        <v>289</v>
      </c>
      <c r="D19" s="28" t="s">
        <v>2616</v>
      </c>
      <c r="E19" s="28" t="s">
        <v>96</v>
      </c>
      <c r="F19" s="28" t="s">
        <v>295</v>
      </c>
      <c r="G19" s="26" t="s">
        <v>99</v>
      </c>
      <c r="H19" s="26" t="s">
        <v>296</v>
      </c>
      <c r="I19" s="7" t="s">
        <v>2220</v>
      </c>
      <c r="J19" s="114">
        <v>65000</v>
      </c>
      <c r="K19" s="114"/>
      <c r="L19" s="512">
        <f t="shared" si="1"/>
        <v>65000</v>
      </c>
      <c r="M19" s="114">
        <v>82550</v>
      </c>
    </row>
    <row r="20" spans="1:13" ht="20.25" customHeight="1">
      <c r="A20" s="27" t="s">
        <v>96</v>
      </c>
      <c r="B20" s="27" t="s">
        <v>97</v>
      </c>
      <c r="C20" s="27" t="s">
        <v>290</v>
      </c>
      <c r="D20" s="27" t="s">
        <v>98</v>
      </c>
      <c r="E20" s="27" t="s">
        <v>96</v>
      </c>
      <c r="F20" s="27" t="s">
        <v>98</v>
      </c>
      <c r="G20" s="25" t="s">
        <v>99</v>
      </c>
      <c r="H20" s="25" t="s">
        <v>96</v>
      </c>
      <c r="I20" s="24" t="s">
        <v>261</v>
      </c>
      <c r="J20" s="98">
        <v>7600000</v>
      </c>
      <c r="K20" s="98">
        <f t="shared" ref="K20:M20" si="4">K21+K22</f>
        <v>0</v>
      </c>
      <c r="L20" s="334">
        <f t="shared" si="1"/>
        <v>7600000</v>
      </c>
      <c r="M20" s="98">
        <f t="shared" si="4"/>
        <v>6547648</v>
      </c>
    </row>
    <row r="21" spans="1:13" ht="47.25">
      <c r="A21" s="28" t="s">
        <v>100</v>
      </c>
      <c r="B21" s="28" t="s">
        <v>97</v>
      </c>
      <c r="C21" s="28" t="s">
        <v>290</v>
      </c>
      <c r="D21" s="28" t="s">
        <v>2217</v>
      </c>
      <c r="E21" s="28" t="s">
        <v>96</v>
      </c>
      <c r="F21" s="28" t="s">
        <v>288</v>
      </c>
      <c r="G21" s="26" t="s">
        <v>99</v>
      </c>
      <c r="H21" s="26" t="s">
        <v>296</v>
      </c>
      <c r="I21" s="7" t="s">
        <v>1247</v>
      </c>
      <c r="J21" s="96">
        <v>7540000</v>
      </c>
      <c r="K21" s="96"/>
      <c r="L21" s="512">
        <f t="shared" si="1"/>
        <v>7540000</v>
      </c>
      <c r="M21" s="96">
        <v>6547648</v>
      </c>
    </row>
    <row r="22" spans="1:13" ht="61.5" hidden="1" customHeight="1">
      <c r="A22" s="28" t="s">
        <v>2066</v>
      </c>
      <c r="B22" s="28" t="s">
        <v>97</v>
      </c>
      <c r="C22" s="28" t="s">
        <v>290</v>
      </c>
      <c r="D22" s="28" t="s">
        <v>2617</v>
      </c>
      <c r="E22" s="28" t="s">
        <v>96</v>
      </c>
      <c r="F22" s="28" t="s">
        <v>288</v>
      </c>
      <c r="G22" s="26" t="s">
        <v>99</v>
      </c>
      <c r="H22" s="26" t="s">
        <v>296</v>
      </c>
      <c r="I22" s="7" t="s">
        <v>583</v>
      </c>
      <c r="J22" s="74">
        <v>60000</v>
      </c>
      <c r="K22" s="74"/>
      <c r="L22" s="512">
        <f t="shared" si="1"/>
        <v>60000</v>
      </c>
      <c r="M22" s="74">
        <v>0</v>
      </c>
    </row>
    <row r="23" spans="1:13" ht="52.5" customHeight="1">
      <c r="A23" s="27" t="s">
        <v>100</v>
      </c>
      <c r="B23" s="27" t="s">
        <v>97</v>
      </c>
      <c r="C23" s="27" t="s">
        <v>525</v>
      </c>
      <c r="D23" s="27" t="s">
        <v>98</v>
      </c>
      <c r="E23" s="27" t="s">
        <v>96</v>
      </c>
      <c r="F23" s="27" t="s">
        <v>98</v>
      </c>
      <c r="G23" s="25" t="s">
        <v>99</v>
      </c>
      <c r="H23" s="25" t="s">
        <v>96</v>
      </c>
      <c r="I23" s="24" t="s">
        <v>106</v>
      </c>
      <c r="J23" s="73">
        <v>32000</v>
      </c>
      <c r="K23" s="73"/>
      <c r="L23" s="334">
        <f t="shared" si="1"/>
        <v>32000</v>
      </c>
      <c r="M23" s="73">
        <v>32799</v>
      </c>
    </row>
    <row r="24" spans="1:13" ht="47.25">
      <c r="A24" s="27" t="s">
        <v>96</v>
      </c>
      <c r="B24" s="27" t="s">
        <v>97</v>
      </c>
      <c r="C24" s="27" t="s">
        <v>291</v>
      </c>
      <c r="D24" s="27" t="s">
        <v>98</v>
      </c>
      <c r="E24" s="27" t="s">
        <v>96</v>
      </c>
      <c r="F24" s="27" t="s">
        <v>98</v>
      </c>
      <c r="G24" s="25" t="s">
        <v>99</v>
      </c>
      <c r="H24" s="25" t="s">
        <v>96</v>
      </c>
      <c r="I24" s="24" t="s">
        <v>813</v>
      </c>
      <c r="J24" s="73">
        <v>12846100</v>
      </c>
      <c r="K24" s="73">
        <f t="shared" ref="K24:M24" si="5">K25+K27</f>
        <v>0</v>
      </c>
      <c r="L24" s="334">
        <f t="shared" si="1"/>
        <v>12846100</v>
      </c>
      <c r="M24" s="73">
        <f t="shared" si="5"/>
        <v>9719675</v>
      </c>
    </row>
    <row r="25" spans="1:13" ht="117" customHeight="1">
      <c r="A25" s="28" t="s">
        <v>96</v>
      </c>
      <c r="B25" s="28" t="s">
        <v>97</v>
      </c>
      <c r="C25" s="28" t="s">
        <v>291</v>
      </c>
      <c r="D25" s="28" t="s">
        <v>288</v>
      </c>
      <c r="E25" s="28" t="s">
        <v>96</v>
      </c>
      <c r="F25" s="28" t="s">
        <v>98</v>
      </c>
      <c r="G25" s="26" t="s">
        <v>99</v>
      </c>
      <c r="H25" s="26" t="s">
        <v>297</v>
      </c>
      <c r="I25" s="7" t="s">
        <v>1054</v>
      </c>
      <c r="J25" s="74">
        <v>6100</v>
      </c>
      <c r="K25" s="74">
        <f t="shared" ref="K25:M25" si="6">K26</f>
        <v>0</v>
      </c>
      <c r="L25" s="512">
        <f t="shared" si="1"/>
        <v>6100</v>
      </c>
      <c r="M25" s="74">
        <f t="shared" si="6"/>
        <v>6145</v>
      </c>
    </row>
    <row r="26" spans="1:13" ht="85.5" customHeight="1">
      <c r="A26" s="28" t="s">
        <v>384</v>
      </c>
      <c r="B26" s="28" t="s">
        <v>97</v>
      </c>
      <c r="C26" s="28" t="s">
        <v>291</v>
      </c>
      <c r="D26" s="28" t="s">
        <v>288</v>
      </c>
      <c r="E26" s="28" t="s">
        <v>2618</v>
      </c>
      <c r="F26" s="28" t="s">
        <v>289</v>
      </c>
      <c r="G26" s="26" t="s">
        <v>99</v>
      </c>
      <c r="H26" s="26" t="s">
        <v>297</v>
      </c>
      <c r="I26" s="171" t="s">
        <v>2450</v>
      </c>
      <c r="J26" s="114">
        <v>6100</v>
      </c>
      <c r="K26" s="114"/>
      <c r="L26" s="512">
        <f t="shared" si="1"/>
        <v>6100</v>
      </c>
      <c r="M26" s="114">
        <v>6145</v>
      </c>
    </row>
    <row r="27" spans="1:13" s="6" customFormat="1" ht="147" customHeight="1">
      <c r="A27" s="28" t="s">
        <v>96</v>
      </c>
      <c r="B27" s="28" t="s">
        <v>97</v>
      </c>
      <c r="C27" s="28" t="s">
        <v>291</v>
      </c>
      <c r="D27" s="28" t="s">
        <v>289</v>
      </c>
      <c r="E27" s="28" t="s">
        <v>96</v>
      </c>
      <c r="F27" s="28" t="s">
        <v>98</v>
      </c>
      <c r="G27" s="26" t="s">
        <v>99</v>
      </c>
      <c r="H27" s="26" t="s">
        <v>297</v>
      </c>
      <c r="I27" s="7" t="s">
        <v>454</v>
      </c>
      <c r="J27" s="72">
        <v>12840000</v>
      </c>
      <c r="K27" s="72">
        <f>K28+K29+K30</f>
        <v>0</v>
      </c>
      <c r="L27" s="334">
        <f>SUM(J27:K27)</f>
        <v>12840000</v>
      </c>
      <c r="M27" s="72">
        <f>M28+M29+M30</f>
        <v>9713530</v>
      </c>
    </row>
    <row r="28" spans="1:13" s="6" customFormat="1" ht="102.75" customHeight="1">
      <c r="A28" s="28" t="s">
        <v>96</v>
      </c>
      <c r="B28" s="28" t="s">
        <v>97</v>
      </c>
      <c r="C28" s="28" t="s">
        <v>291</v>
      </c>
      <c r="D28" s="28" t="s">
        <v>289</v>
      </c>
      <c r="E28" s="28" t="s">
        <v>2932</v>
      </c>
      <c r="F28" s="28" t="s">
        <v>98</v>
      </c>
      <c r="G28" s="26" t="s">
        <v>99</v>
      </c>
      <c r="H28" s="26" t="s">
        <v>297</v>
      </c>
      <c r="I28" s="7" t="s">
        <v>2933</v>
      </c>
      <c r="J28" s="114">
        <v>9838000</v>
      </c>
      <c r="K28" s="114"/>
      <c r="L28" s="512">
        <f t="shared" si="1"/>
        <v>9838000</v>
      </c>
      <c r="M28" s="114">
        <v>7383059</v>
      </c>
    </row>
    <row r="29" spans="1:13" s="6" customFormat="1" ht="147" customHeight="1">
      <c r="A29" s="28" t="s">
        <v>384</v>
      </c>
      <c r="B29" s="28" t="s">
        <v>97</v>
      </c>
      <c r="C29" s="28" t="s">
        <v>291</v>
      </c>
      <c r="D29" s="28" t="s">
        <v>289</v>
      </c>
      <c r="E29" s="28" t="s">
        <v>2623</v>
      </c>
      <c r="F29" s="28" t="s">
        <v>289</v>
      </c>
      <c r="G29" s="26" t="s">
        <v>99</v>
      </c>
      <c r="H29" s="26" t="s">
        <v>297</v>
      </c>
      <c r="I29" s="7" t="s">
        <v>3216</v>
      </c>
      <c r="J29" s="114">
        <v>2000</v>
      </c>
      <c r="K29" s="114"/>
      <c r="L29" s="512">
        <f>J29</f>
        <v>2000</v>
      </c>
      <c r="M29" s="114">
        <v>2002</v>
      </c>
    </row>
    <row r="30" spans="1:13" s="6" customFormat="1" ht="63">
      <c r="A30" s="28" t="s">
        <v>384</v>
      </c>
      <c r="B30" s="28" t="s">
        <v>97</v>
      </c>
      <c r="C30" s="28" t="s">
        <v>291</v>
      </c>
      <c r="D30" s="28" t="s">
        <v>289</v>
      </c>
      <c r="E30" s="28" t="s">
        <v>2620</v>
      </c>
      <c r="F30" s="28" t="s">
        <v>289</v>
      </c>
      <c r="G30" s="26" t="s">
        <v>99</v>
      </c>
      <c r="H30" s="26" t="s">
        <v>297</v>
      </c>
      <c r="I30" s="7" t="s">
        <v>2221</v>
      </c>
      <c r="J30" s="114">
        <v>3000000</v>
      </c>
      <c r="K30" s="114"/>
      <c r="L30" s="512">
        <f t="shared" si="1"/>
        <v>3000000</v>
      </c>
      <c r="M30" s="114">
        <v>2328469</v>
      </c>
    </row>
    <row r="31" spans="1:13" s="6" customFormat="1" ht="31.5">
      <c r="A31" s="27" t="s">
        <v>96</v>
      </c>
      <c r="B31" s="27" t="s">
        <v>97</v>
      </c>
      <c r="C31" s="27" t="s">
        <v>292</v>
      </c>
      <c r="D31" s="27" t="s">
        <v>98</v>
      </c>
      <c r="E31" s="27" t="s">
        <v>96</v>
      </c>
      <c r="F31" s="27" t="s">
        <v>98</v>
      </c>
      <c r="G31" s="25" t="s">
        <v>99</v>
      </c>
      <c r="H31" s="25" t="s">
        <v>96</v>
      </c>
      <c r="I31" s="24" t="s">
        <v>1097</v>
      </c>
      <c r="J31" s="73">
        <v>2547000</v>
      </c>
      <c r="K31" s="73">
        <f t="shared" ref="K31:M31" si="7">K32+K33</f>
        <v>0</v>
      </c>
      <c r="L31" s="334">
        <f t="shared" si="1"/>
        <v>2547000</v>
      </c>
      <c r="M31" s="73">
        <f t="shared" si="7"/>
        <v>2559550</v>
      </c>
    </row>
    <row r="32" spans="1:13" ht="31.5">
      <c r="A32" s="28" t="s">
        <v>96</v>
      </c>
      <c r="B32" s="28" t="s">
        <v>97</v>
      </c>
      <c r="C32" s="28" t="s">
        <v>292</v>
      </c>
      <c r="D32" s="28" t="s">
        <v>288</v>
      </c>
      <c r="E32" s="28" t="s">
        <v>96</v>
      </c>
      <c r="F32" s="28" t="s">
        <v>288</v>
      </c>
      <c r="G32" s="26" t="s">
        <v>99</v>
      </c>
      <c r="H32" s="26" t="s">
        <v>297</v>
      </c>
      <c r="I32" s="7" t="s">
        <v>88</v>
      </c>
      <c r="J32" s="96">
        <v>2542000</v>
      </c>
      <c r="K32" s="96"/>
      <c r="L32" s="512">
        <f t="shared" si="1"/>
        <v>2542000</v>
      </c>
      <c r="M32" s="96">
        <v>2552067</v>
      </c>
    </row>
    <row r="33" spans="1:13" ht="55.5" customHeight="1">
      <c r="A33" s="28" t="s">
        <v>100</v>
      </c>
      <c r="B33" s="28" t="s">
        <v>97</v>
      </c>
      <c r="C33" s="28" t="s">
        <v>292</v>
      </c>
      <c r="D33" s="28"/>
      <c r="E33" s="28" t="s">
        <v>83</v>
      </c>
      <c r="F33" s="28" t="s">
        <v>288</v>
      </c>
      <c r="G33" s="26" t="s">
        <v>99</v>
      </c>
      <c r="H33" s="26" t="s">
        <v>297</v>
      </c>
      <c r="I33" s="7" t="s">
        <v>2451</v>
      </c>
      <c r="J33" s="74">
        <v>5000</v>
      </c>
      <c r="K33" s="74"/>
      <c r="L33" s="512">
        <f t="shared" si="1"/>
        <v>5000</v>
      </c>
      <c r="M33" s="74">
        <v>7483</v>
      </c>
    </row>
    <row r="34" spans="1:13" ht="39" customHeight="1">
      <c r="A34" s="27" t="s">
        <v>96</v>
      </c>
      <c r="B34" s="27" t="s">
        <v>97</v>
      </c>
      <c r="C34" s="27" t="s">
        <v>2423</v>
      </c>
      <c r="D34" s="27" t="s">
        <v>98</v>
      </c>
      <c r="E34" s="27" t="s">
        <v>96</v>
      </c>
      <c r="F34" s="27" t="s">
        <v>98</v>
      </c>
      <c r="G34" s="25" t="s">
        <v>99</v>
      </c>
      <c r="H34" s="25" t="s">
        <v>2501</v>
      </c>
      <c r="I34" s="24" t="s">
        <v>2502</v>
      </c>
      <c r="J34" s="73">
        <v>8441000</v>
      </c>
      <c r="K34" s="73">
        <f>K35+K36</f>
        <v>0</v>
      </c>
      <c r="L34" s="334">
        <f t="shared" si="1"/>
        <v>8441000</v>
      </c>
      <c r="M34" s="73">
        <f>M35+M36</f>
        <v>7744855</v>
      </c>
    </row>
    <row r="35" spans="1:13" ht="51" customHeight="1">
      <c r="A35" s="28" t="s">
        <v>96</v>
      </c>
      <c r="B35" s="28" t="s">
        <v>97</v>
      </c>
      <c r="C35" s="28" t="s">
        <v>2423</v>
      </c>
      <c r="D35" s="28" t="s">
        <v>288</v>
      </c>
      <c r="E35" s="28" t="s">
        <v>2621</v>
      </c>
      <c r="F35" s="28" t="s">
        <v>289</v>
      </c>
      <c r="G35" s="26" t="s">
        <v>99</v>
      </c>
      <c r="H35" s="26" t="s">
        <v>2501</v>
      </c>
      <c r="I35" s="7" t="s">
        <v>2089</v>
      </c>
      <c r="J35" s="74">
        <v>5321000</v>
      </c>
      <c r="K35" s="74"/>
      <c r="L35" s="512">
        <f t="shared" si="1"/>
        <v>5321000</v>
      </c>
      <c r="M35" s="74">
        <v>5320868</v>
      </c>
    </row>
    <row r="36" spans="1:13" ht="35.25" customHeight="1">
      <c r="A36" s="28" t="s">
        <v>96</v>
      </c>
      <c r="B36" s="28" t="s">
        <v>97</v>
      </c>
      <c r="C36" s="28" t="s">
        <v>2423</v>
      </c>
      <c r="D36" s="28" t="s">
        <v>295</v>
      </c>
      <c r="E36" s="28" t="s">
        <v>2621</v>
      </c>
      <c r="F36" s="28" t="s">
        <v>289</v>
      </c>
      <c r="G36" s="26" t="s">
        <v>99</v>
      </c>
      <c r="H36" s="26" t="s">
        <v>2501</v>
      </c>
      <c r="I36" s="7" t="s">
        <v>2656</v>
      </c>
      <c r="J36" s="74">
        <v>3120000</v>
      </c>
      <c r="K36" s="74"/>
      <c r="L36" s="512">
        <f t="shared" si="1"/>
        <v>3120000</v>
      </c>
      <c r="M36" s="74">
        <v>2423987</v>
      </c>
    </row>
    <row r="37" spans="1:13" ht="31.5">
      <c r="A37" s="27" t="s">
        <v>96</v>
      </c>
      <c r="B37" s="27" t="s">
        <v>97</v>
      </c>
      <c r="C37" s="27" t="s">
        <v>293</v>
      </c>
      <c r="D37" s="27" t="s">
        <v>98</v>
      </c>
      <c r="E37" s="27" t="s">
        <v>96</v>
      </c>
      <c r="F37" s="27" t="s">
        <v>98</v>
      </c>
      <c r="G37" s="25" t="s">
        <v>99</v>
      </c>
      <c r="H37" s="25" t="s">
        <v>96</v>
      </c>
      <c r="I37" s="24" t="s">
        <v>1518</v>
      </c>
      <c r="J37" s="73">
        <v>13870000</v>
      </c>
      <c r="K37" s="73">
        <f t="shared" ref="K37:M37" si="8">K38+K39</f>
        <v>-5871374</v>
      </c>
      <c r="L37" s="334">
        <f t="shared" si="1"/>
        <v>7998626</v>
      </c>
      <c r="M37" s="73">
        <f t="shared" si="8"/>
        <v>3997677</v>
      </c>
    </row>
    <row r="38" spans="1:13" ht="126">
      <c r="A38" s="28" t="s">
        <v>96</v>
      </c>
      <c r="B38" s="28" t="s">
        <v>97</v>
      </c>
      <c r="C38" s="28" t="s">
        <v>293</v>
      </c>
      <c r="D38" s="28" t="s">
        <v>295</v>
      </c>
      <c r="E38" s="28" t="s">
        <v>96</v>
      </c>
      <c r="F38" s="28" t="s">
        <v>98</v>
      </c>
      <c r="G38" s="26" t="s">
        <v>99</v>
      </c>
      <c r="H38" s="26" t="s">
        <v>96</v>
      </c>
      <c r="I38" s="7" t="s">
        <v>1530</v>
      </c>
      <c r="J38" s="74">
        <v>8000000</v>
      </c>
      <c r="K38" s="74">
        <v>-5871374</v>
      </c>
      <c r="L38" s="512">
        <f t="shared" si="1"/>
        <v>2128626</v>
      </c>
      <c r="M38" s="74">
        <v>678503</v>
      </c>
    </row>
    <row r="39" spans="1:13" ht="47.25">
      <c r="A39" s="28" t="s">
        <v>96</v>
      </c>
      <c r="B39" s="28" t="s">
        <v>97</v>
      </c>
      <c r="C39" s="28" t="s">
        <v>293</v>
      </c>
      <c r="D39" s="28" t="s">
        <v>2622</v>
      </c>
      <c r="E39" s="28" t="s">
        <v>96</v>
      </c>
      <c r="F39" s="28" t="s">
        <v>98</v>
      </c>
      <c r="G39" s="26" t="s">
        <v>99</v>
      </c>
      <c r="H39" s="26" t="s">
        <v>1411</v>
      </c>
      <c r="I39" s="7" t="s">
        <v>2934</v>
      </c>
      <c r="J39" s="96">
        <v>5870000</v>
      </c>
      <c r="K39" s="96"/>
      <c r="L39" s="512">
        <f t="shared" si="1"/>
        <v>5870000</v>
      </c>
      <c r="M39" s="96">
        <v>3319174</v>
      </c>
    </row>
    <row r="40" spans="1:13" ht="66.75" customHeight="1">
      <c r="A40" s="28" t="s">
        <v>96</v>
      </c>
      <c r="B40" s="28" t="s">
        <v>97</v>
      </c>
      <c r="C40" s="28" t="s">
        <v>293</v>
      </c>
      <c r="D40" s="28" t="s">
        <v>2622</v>
      </c>
      <c r="E40" s="28" t="s">
        <v>2619</v>
      </c>
      <c r="F40" s="28" t="s">
        <v>2069</v>
      </c>
      <c r="G40" s="26" t="s">
        <v>99</v>
      </c>
      <c r="H40" s="26" t="s">
        <v>1411</v>
      </c>
      <c r="I40" s="7" t="s">
        <v>2624</v>
      </c>
      <c r="J40" s="96">
        <v>2570000</v>
      </c>
      <c r="K40" s="96"/>
      <c r="L40" s="512">
        <f t="shared" si="1"/>
        <v>2570000</v>
      </c>
      <c r="M40" s="96">
        <v>1788418</v>
      </c>
    </row>
    <row r="41" spans="1:13" ht="66.75" customHeight="1">
      <c r="A41" s="28" t="s">
        <v>96</v>
      </c>
      <c r="B41" s="28" t="s">
        <v>97</v>
      </c>
      <c r="C41" s="28" t="s">
        <v>293</v>
      </c>
      <c r="D41" s="28" t="s">
        <v>2622</v>
      </c>
      <c r="E41" s="28" t="s">
        <v>2619</v>
      </c>
      <c r="F41" s="28" t="s">
        <v>2423</v>
      </c>
      <c r="G41" s="26" t="s">
        <v>99</v>
      </c>
      <c r="H41" s="26" t="s">
        <v>1411</v>
      </c>
      <c r="I41" s="7" t="s">
        <v>2625</v>
      </c>
      <c r="J41" s="96">
        <v>1800000</v>
      </c>
      <c r="K41" s="96"/>
      <c r="L41" s="512">
        <f t="shared" si="1"/>
        <v>1800000</v>
      </c>
      <c r="M41" s="96">
        <v>1477757</v>
      </c>
    </row>
    <row r="42" spans="1:13" ht="81.75" customHeight="1">
      <c r="A42" s="28" t="s">
        <v>384</v>
      </c>
      <c r="B42" s="28" t="s">
        <v>97</v>
      </c>
      <c r="C42" s="28" t="s">
        <v>293</v>
      </c>
      <c r="D42" s="28" t="s">
        <v>2622</v>
      </c>
      <c r="E42" s="28" t="s">
        <v>2623</v>
      </c>
      <c r="F42" s="28" t="s">
        <v>289</v>
      </c>
      <c r="G42" s="26" t="s">
        <v>99</v>
      </c>
      <c r="H42" s="26" t="s">
        <v>1411</v>
      </c>
      <c r="I42" s="7" t="s">
        <v>2088</v>
      </c>
      <c r="J42" s="96">
        <v>1500000</v>
      </c>
      <c r="K42" s="96"/>
      <c r="L42" s="512">
        <f t="shared" si="1"/>
        <v>1500000</v>
      </c>
      <c r="M42" s="96">
        <v>53000</v>
      </c>
    </row>
    <row r="43" spans="1:13" ht="15.75">
      <c r="A43" s="27" t="s">
        <v>96</v>
      </c>
      <c r="B43" s="27" t="s">
        <v>97</v>
      </c>
      <c r="C43" s="27" t="s">
        <v>294</v>
      </c>
      <c r="D43" s="27" t="s">
        <v>98</v>
      </c>
      <c r="E43" s="27" t="s">
        <v>96</v>
      </c>
      <c r="F43" s="27" t="s">
        <v>98</v>
      </c>
      <c r="G43" s="25" t="s">
        <v>99</v>
      </c>
      <c r="H43" s="25" t="s">
        <v>96</v>
      </c>
      <c r="I43" s="24" t="s">
        <v>89</v>
      </c>
      <c r="J43" s="98">
        <v>4222900</v>
      </c>
      <c r="K43" s="98"/>
      <c r="L43" s="334">
        <f t="shared" si="1"/>
        <v>4222900</v>
      </c>
      <c r="M43" s="98">
        <v>3382455</v>
      </c>
    </row>
    <row r="44" spans="1:13" ht="22.5" customHeight="1">
      <c r="A44" s="27" t="s">
        <v>96</v>
      </c>
      <c r="B44" s="27" t="s">
        <v>287</v>
      </c>
      <c r="C44" s="27" t="s">
        <v>98</v>
      </c>
      <c r="D44" s="27" t="s">
        <v>98</v>
      </c>
      <c r="E44" s="27" t="s">
        <v>96</v>
      </c>
      <c r="F44" s="27" t="s">
        <v>98</v>
      </c>
      <c r="G44" s="29" t="s">
        <v>99</v>
      </c>
      <c r="H44" s="29" t="s">
        <v>96</v>
      </c>
      <c r="I44" s="49" t="s">
        <v>1935</v>
      </c>
      <c r="J44" s="73">
        <v>1840321464.0699999</v>
      </c>
      <c r="K44" s="73">
        <f t="shared" ref="K44" si="9">K45</f>
        <v>83691304.950000003</v>
      </c>
      <c r="L44" s="334">
        <f t="shared" si="1"/>
        <v>1924012769.02</v>
      </c>
      <c r="M44" s="73">
        <f>M45+M169+M170</f>
        <v>1767507992</v>
      </c>
    </row>
    <row r="45" spans="1:13" ht="47.25">
      <c r="A45" s="27" t="s">
        <v>96</v>
      </c>
      <c r="B45" s="27" t="s">
        <v>287</v>
      </c>
      <c r="C45" s="27" t="s">
        <v>295</v>
      </c>
      <c r="D45" s="27" t="s">
        <v>98</v>
      </c>
      <c r="E45" s="27" t="s">
        <v>96</v>
      </c>
      <c r="F45" s="27" t="s">
        <v>98</v>
      </c>
      <c r="G45" s="29" t="s">
        <v>99</v>
      </c>
      <c r="H45" s="29" t="s">
        <v>96</v>
      </c>
      <c r="I45" s="49" t="s">
        <v>320</v>
      </c>
      <c r="J45" s="73">
        <v>1840321464.0699999</v>
      </c>
      <c r="K45" s="73">
        <f>K46+K51+K79+K119</f>
        <v>83691304.950000003</v>
      </c>
      <c r="L45" s="334">
        <f t="shared" si="1"/>
        <v>1924012769.02</v>
      </c>
      <c r="M45" s="73">
        <f>M46+M51+M79+M119</f>
        <v>1767753559</v>
      </c>
    </row>
    <row r="46" spans="1:13" ht="47.25">
      <c r="A46" s="27" t="s">
        <v>96</v>
      </c>
      <c r="B46" s="27" t="s">
        <v>287</v>
      </c>
      <c r="C46" s="27" t="s">
        <v>295</v>
      </c>
      <c r="D46" s="27" t="s">
        <v>288</v>
      </c>
      <c r="E46" s="27" t="s">
        <v>96</v>
      </c>
      <c r="F46" s="27" t="s">
        <v>98</v>
      </c>
      <c r="G46" s="29" t="s">
        <v>99</v>
      </c>
      <c r="H46" s="29" t="s">
        <v>298</v>
      </c>
      <c r="I46" s="49" t="s">
        <v>2222</v>
      </c>
      <c r="J46" s="73">
        <v>503794433</v>
      </c>
      <c r="K46" s="73">
        <f t="shared" ref="K46:M46" si="10">K47+K48+K49+K50</f>
        <v>0</v>
      </c>
      <c r="L46" s="334">
        <f t="shared" si="1"/>
        <v>503794433</v>
      </c>
      <c r="M46" s="73">
        <f t="shared" si="10"/>
        <v>485488088</v>
      </c>
    </row>
    <row r="47" spans="1:13" ht="46.5" customHeight="1">
      <c r="A47" s="28" t="s">
        <v>1138</v>
      </c>
      <c r="B47" s="28" t="s">
        <v>287</v>
      </c>
      <c r="C47" s="28" t="s">
        <v>295</v>
      </c>
      <c r="D47" s="28" t="s">
        <v>288</v>
      </c>
      <c r="E47" s="28" t="s">
        <v>2626</v>
      </c>
      <c r="F47" s="28" t="s">
        <v>289</v>
      </c>
      <c r="G47" s="30" t="s">
        <v>99</v>
      </c>
      <c r="H47" s="30" t="s">
        <v>298</v>
      </c>
      <c r="I47" s="31" t="s">
        <v>2059</v>
      </c>
      <c r="J47" s="96">
        <v>401513000</v>
      </c>
      <c r="K47" s="96"/>
      <c r="L47" s="512">
        <f t="shared" si="1"/>
        <v>401513000</v>
      </c>
      <c r="M47" s="96">
        <v>386897905</v>
      </c>
    </row>
    <row r="48" spans="1:13" ht="47.25">
      <c r="A48" s="28" t="s">
        <v>1138</v>
      </c>
      <c r="B48" s="28" t="s">
        <v>287</v>
      </c>
      <c r="C48" s="28" t="s">
        <v>295</v>
      </c>
      <c r="D48" s="28" t="s">
        <v>288</v>
      </c>
      <c r="E48" s="28" t="s">
        <v>2626</v>
      </c>
      <c r="F48" s="28" t="s">
        <v>289</v>
      </c>
      <c r="G48" s="30" t="s">
        <v>99</v>
      </c>
      <c r="H48" s="30" t="s">
        <v>298</v>
      </c>
      <c r="I48" s="31" t="s">
        <v>2058</v>
      </c>
      <c r="J48" s="96">
        <v>20348000</v>
      </c>
      <c r="K48" s="96"/>
      <c r="L48" s="512">
        <f t="shared" si="1"/>
        <v>20348000</v>
      </c>
      <c r="M48" s="96">
        <v>19607000</v>
      </c>
    </row>
    <row r="49" spans="1:13" ht="63">
      <c r="A49" s="28" t="s">
        <v>1138</v>
      </c>
      <c r="B49" s="28" t="s">
        <v>287</v>
      </c>
      <c r="C49" s="28" t="s">
        <v>295</v>
      </c>
      <c r="D49" s="28" t="s">
        <v>288</v>
      </c>
      <c r="E49" s="28" t="s">
        <v>2627</v>
      </c>
      <c r="F49" s="28" t="s">
        <v>289</v>
      </c>
      <c r="G49" s="30" t="s">
        <v>99</v>
      </c>
      <c r="H49" s="30" t="s">
        <v>298</v>
      </c>
      <c r="I49" s="31" t="s">
        <v>2935</v>
      </c>
      <c r="J49" s="96">
        <v>81061000</v>
      </c>
      <c r="K49" s="96"/>
      <c r="L49" s="512">
        <f t="shared" si="1"/>
        <v>81061000</v>
      </c>
      <c r="M49" s="96">
        <v>78110750</v>
      </c>
    </row>
    <row r="50" spans="1:13" ht="65.25" customHeight="1">
      <c r="A50" s="28" t="s">
        <v>1138</v>
      </c>
      <c r="B50" s="28" t="s">
        <v>287</v>
      </c>
      <c r="C50" s="28" t="s">
        <v>295</v>
      </c>
      <c r="D50" s="28" t="s">
        <v>288</v>
      </c>
      <c r="E50" s="28" t="s">
        <v>2631</v>
      </c>
      <c r="F50" s="28" t="s">
        <v>289</v>
      </c>
      <c r="G50" s="30" t="s">
        <v>3126</v>
      </c>
      <c r="H50" s="30" t="s">
        <v>298</v>
      </c>
      <c r="I50" s="31" t="s">
        <v>3125</v>
      </c>
      <c r="J50" s="96">
        <v>872433</v>
      </c>
      <c r="K50" s="96"/>
      <c r="L50" s="512">
        <f t="shared" si="1"/>
        <v>872433</v>
      </c>
      <c r="M50" s="96">
        <v>872433</v>
      </c>
    </row>
    <row r="51" spans="1:13" ht="66.75" customHeight="1">
      <c r="A51" s="27" t="s">
        <v>96</v>
      </c>
      <c r="B51" s="27" t="s">
        <v>287</v>
      </c>
      <c r="C51" s="27" t="s">
        <v>295</v>
      </c>
      <c r="D51" s="27" t="s">
        <v>295</v>
      </c>
      <c r="E51" s="27" t="s">
        <v>96</v>
      </c>
      <c r="F51" s="27" t="s">
        <v>98</v>
      </c>
      <c r="G51" s="29" t="s">
        <v>99</v>
      </c>
      <c r="H51" s="29" t="s">
        <v>298</v>
      </c>
      <c r="I51" s="49" t="s">
        <v>2060</v>
      </c>
      <c r="J51" s="98">
        <v>210451716.06999999</v>
      </c>
      <c r="K51" s="98">
        <f>SUM(K52:K78)</f>
        <v>13229891.950000001</v>
      </c>
      <c r="L51" s="334">
        <f>SUM(J51:K51)</f>
        <v>223681608.01999998</v>
      </c>
      <c r="M51" s="98">
        <f>SUM(M52:M78)</f>
        <v>148633936</v>
      </c>
    </row>
    <row r="52" spans="1:13" ht="48" customHeight="1">
      <c r="A52" s="28" t="s">
        <v>2066</v>
      </c>
      <c r="B52" s="28" t="s">
        <v>287</v>
      </c>
      <c r="C52" s="28" t="s">
        <v>295</v>
      </c>
      <c r="D52" s="28" t="s">
        <v>295</v>
      </c>
      <c r="E52" s="28" t="s">
        <v>2628</v>
      </c>
      <c r="F52" s="28" t="s">
        <v>289</v>
      </c>
      <c r="G52" s="30" t="s">
        <v>99</v>
      </c>
      <c r="H52" s="30" t="s">
        <v>298</v>
      </c>
      <c r="I52" s="31" t="s">
        <v>2491</v>
      </c>
      <c r="J52" s="96">
        <v>1800000</v>
      </c>
      <c r="K52" s="96"/>
      <c r="L52" s="512">
        <f t="shared" si="1"/>
        <v>1800000</v>
      </c>
      <c r="M52" s="96">
        <v>1714937</v>
      </c>
    </row>
    <row r="53" spans="1:13" ht="82.5" customHeight="1">
      <c r="A53" s="28" t="s">
        <v>2066</v>
      </c>
      <c r="B53" s="28" t="s">
        <v>2490</v>
      </c>
      <c r="C53" s="28" t="s">
        <v>295</v>
      </c>
      <c r="D53" s="28" t="s">
        <v>295</v>
      </c>
      <c r="E53" s="28" t="s">
        <v>2629</v>
      </c>
      <c r="F53" s="28" t="s">
        <v>289</v>
      </c>
      <c r="G53" s="30" t="s">
        <v>99</v>
      </c>
      <c r="H53" s="30" t="s">
        <v>298</v>
      </c>
      <c r="I53" s="31" t="s">
        <v>2492</v>
      </c>
      <c r="J53" s="96">
        <v>149000</v>
      </c>
      <c r="K53" s="96">
        <v>2272400</v>
      </c>
      <c r="L53" s="512">
        <f t="shared" si="1"/>
        <v>2421400</v>
      </c>
      <c r="M53" s="96">
        <v>2421400</v>
      </c>
    </row>
    <row r="54" spans="1:13" ht="64.150000000000006" customHeight="1">
      <c r="A54" s="28" t="s">
        <v>2066</v>
      </c>
      <c r="B54" s="28" t="s">
        <v>287</v>
      </c>
      <c r="C54" s="28" t="s">
        <v>295</v>
      </c>
      <c r="D54" s="28" t="s">
        <v>295</v>
      </c>
      <c r="E54" s="28" t="s">
        <v>3181</v>
      </c>
      <c r="F54" s="28" t="s">
        <v>289</v>
      </c>
      <c r="G54" s="30" t="s">
        <v>99</v>
      </c>
      <c r="H54" s="30" t="s">
        <v>298</v>
      </c>
      <c r="I54" s="662" t="s">
        <v>3182</v>
      </c>
      <c r="J54" s="96">
        <v>257349</v>
      </c>
      <c r="K54" s="96"/>
      <c r="L54" s="512">
        <f t="shared" si="1"/>
        <v>257349</v>
      </c>
      <c r="M54" s="96">
        <v>257349</v>
      </c>
    </row>
    <row r="55" spans="1:13" ht="36" customHeight="1">
      <c r="A55" s="28" t="s">
        <v>2062</v>
      </c>
      <c r="B55" s="28" t="s">
        <v>287</v>
      </c>
      <c r="C55" s="28" t="s">
        <v>295</v>
      </c>
      <c r="D55" s="28" t="s">
        <v>295</v>
      </c>
      <c r="E55" s="28" t="s">
        <v>2630</v>
      </c>
      <c r="F55" s="28" t="s">
        <v>289</v>
      </c>
      <c r="G55" s="30" t="s">
        <v>99</v>
      </c>
      <c r="H55" s="30" t="s">
        <v>298</v>
      </c>
      <c r="I55" s="2" t="s">
        <v>721</v>
      </c>
      <c r="J55" s="74">
        <v>20283000</v>
      </c>
      <c r="K55" s="74"/>
      <c r="L55" s="512">
        <f t="shared" si="1"/>
        <v>20283000</v>
      </c>
      <c r="M55" s="74">
        <v>18337959</v>
      </c>
    </row>
    <row r="56" spans="1:13" ht="68.25" customHeight="1">
      <c r="A56" s="28" t="s">
        <v>2066</v>
      </c>
      <c r="B56" s="28" t="s">
        <v>287</v>
      </c>
      <c r="C56" s="28" t="s">
        <v>295</v>
      </c>
      <c r="D56" s="28" t="s">
        <v>295</v>
      </c>
      <c r="E56" s="28" t="s">
        <v>3113</v>
      </c>
      <c r="F56" s="28" t="s">
        <v>289</v>
      </c>
      <c r="G56" s="30" t="s">
        <v>99</v>
      </c>
      <c r="H56" s="30" t="s">
        <v>298</v>
      </c>
      <c r="I56" s="2" t="s">
        <v>3114</v>
      </c>
      <c r="J56" s="74">
        <v>1511366</v>
      </c>
      <c r="K56" s="74"/>
      <c r="L56" s="512">
        <f t="shared" si="1"/>
        <v>1511366</v>
      </c>
      <c r="M56" s="74">
        <v>1511366</v>
      </c>
    </row>
    <row r="57" spans="1:13" ht="68.25" customHeight="1">
      <c r="A57" s="28" t="s">
        <v>2062</v>
      </c>
      <c r="B57" s="28" t="s">
        <v>287</v>
      </c>
      <c r="C57" s="28" t="s">
        <v>295</v>
      </c>
      <c r="D57" s="28" t="s">
        <v>295</v>
      </c>
      <c r="E57" s="28" t="s">
        <v>3130</v>
      </c>
      <c r="F57" s="28" t="s">
        <v>289</v>
      </c>
      <c r="G57" s="30" t="s">
        <v>99</v>
      </c>
      <c r="H57" s="30" t="s">
        <v>298</v>
      </c>
      <c r="I57" s="2" t="s">
        <v>3131</v>
      </c>
      <c r="J57" s="74">
        <v>15874326</v>
      </c>
      <c r="L57" s="512">
        <f t="shared" si="1"/>
        <v>15874326</v>
      </c>
      <c r="M57" s="688">
        <v>15874325</v>
      </c>
    </row>
    <row r="58" spans="1:13" ht="68.25" customHeight="1">
      <c r="A58" s="28" t="s">
        <v>2062</v>
      </c>
      <c r="B58" s="28" t="s">
        <v>287</v>
      </c>
      <c r="C58" s="28" t="s">
        <v>295</v>
      </c>
      <c r="D58" s="28" t="s">
        <v>295</v>
      </c>
      <c r="E58" s="28" t="s">
        <v>3130</v>
      </c>
      <c r="F58" s="28" t="s">
        <v>289</v>
      </c>
      <c r="G58" s="30" t="s">
        <v>99</v>
      </c>
      <c r="H58" s="30" t="s">
        <v>298</v>
      </c>
      <c r="I58" s="2" t="s">
        <v>3195</v>
      </c>
      <c r="J58" s="74">
        <v>2429944</v>
      </c>
      <c r="K58" s="74"/>
      <c r="L58" s="512">
        <f>SUM(J58:K58)</f>
        <v>2429944</v>
      </c>
      <c r="M58" s="74">
        <v>2429944</v>
      </c>
    </row>
    <row r="59" spans="1:13" ht="98.45" customHeight="1">
      <c r="A59" s="479" t="s">
        <v>2062</v>
      </c>
      <c r="B59" s="479" t="s">
        <v>287</v>
      </c>
      <c r="C59" s="479" t="s">
        <v>295</v>
      </c>
      <c r="D59" s="479" t="s">
        <v>295</v>
      </c>
      <c r="E59" s="479" t="s">
        <v>3035</v>
      </c>
      <c r="F59" s="479" t="s">
        <v>289</v>
      </c>
      <c r="G59" s="480" t="s">
        <v>99</v>
      </c>
      <c r="H59" s="480" t="s">
        <v>298</v>
      </c>
      <c r="I59" s="481" t="s">
        <v>3145</v>
      </c>
      <c r="J59" s="482">
        <v>13115001</v>
      </c>
      <c r="K59" s="482"/>
      <c r="L59" s="512">
        <f t="shared" si="1"/>
        <v>13115001</v>
      </c>
      <c r="M59" s="482">
        <v>10512315</v>
      </c>
    </row>
    <row r="60" spans="1:13" ht="98.25" customHeight="1">
      <c r="A60" s="479" t="s">
        <v>2066</v>
      </c>
      <c r="B60" s="479" t="s">
        <v>287</v>
      </c>
      <c r="C60" s="479" t="s">
        <v>295</v>
      </c>
      <c r="D60" s="479" t="s">
        <v>295</v>
      </c>
      <c r="E60" s="479" t="s">
        <v>3129</v>
      </c>
      <c r="F60" s="479" t="s">
        <v>289</v>
      </c>
      <c r="G60" s="480" t="s">
        <v>99</v>
      </c>
      <c r="H60" s="480" t="s">
        <v>298</v>
      </c>
      <c r="I60" s="481" t="s">
        <v>2968</v>
      </c>
      <c r="J60" s="482">
        <v>8994676</v>
      </c>
      <c r="K60" s="482"/>
      <c r="L60" s="512">
        <f t="shared" si="1"/>
        <v>8994676</v>
      </c>
      <c r="M60" s="482">
        <v>8994676</v>
      </c>
    </row>
    <row r="61" spans="1:13" ht="132.75" customHeight="1">
      <c r="A61" s="479" t="s">
        <v>2066</v>
      </c>
      <c r="B61" s="479" t="s">
        <v>287</v>
      </c>
      <c r="C61" s="479" t="s">
        <v>295</v>
      </c>
      <c r="D61" s="479" t="s">
        <v>295</v>
      </c>
      <c r="E61" s="479" t="s">
        <v>3029</v>
      </c>
      <c r="F61" s="479" t="s">
        <v>289</v>
      </c>
      <c r="G61" s="480" t="s">
        <v>3030</v>
      </c>
      <c r="H61" s="480" t="s">
        <v>298</v>
      </c>
      <c r="I61" s="481" t="s">
        <v>2493</v>
      </c>
      <c r="J61" s="482">
        <v>35697176.399999999</v>
      </c>
      <c r="K61" s="482">
        <v>20214184.600000001</v>
      </c>
      <c r="L61" s="512">
        <f t="shared" si="1"/>
        <v>55911361</v>
      </c>
      <c r="M61" s="482">
        <v>37309664</v>
      </c>
    </row>
    <row r="62" spans="1:13" ht="79.5" customHeight="1">
      <c r="A62" s="479" t="s">
        <v>2066</v>
      </c>
      <c r="B62" s="479" t="s">
        <v>287</v>
      </c>
      <c r="C62" s="479" t="s">
        <v>295</v>
      </c>
      <c r="D62" s="479" t="s">
        <v>295</v>
      </c>
      <c r="E62" s="479" t="s">
        <v>3031</v>
      </c>
      <c r="F62" s="479" t="s">
        <v>289</v>
      </c>
      <c r="G62" s="480" t="s">
        <v>3030</v>
      </c>
      <c r="H62" s="480" t="s">
        <v>298</v>
      </c>
      <c r="I62" s="481" t="s">
        <v>3032</v>
      </c>
      <c r="J62" s="482">
        <v>13169806.949999999</v>
      </c>
      <c r="K62" s="482">
        <v>-8741980.6500000004</v>
      </c>
      <c r="L62" s="512">
        <f t="shared" si="1"/>
        <v>4427826.2999999989</v>
      </c>
      <c r="M62" s="482">
        <v>4427827</v>
      </c>
    </row>
    <row r="63" spans="1:13" ht="80.45" customHeight="1">
      <c r="A63" s="479" t="s">
        <v>2067</v>
      </c>
      <c r="B63" s="479" t="s">
        <v>287</v>
      </c>
      <c r="C63" s="479" t="s">
        <v>295</v>
      </c>
      <c r="D63" s="479" t="s">
        <v>295</v>
      </c>
      <c r="E63" s="479" t="s">
        <v>3184</v>
      </c>
      <c r="F63" s="479" t="s">
        <v>289</v>
      </c>
      <c r="G63" s="480" t="s">
        <v>99</v>
      </c>
      <c r="H63" s="480" t="s">
        <v>298</v>
      </c>
      <c r="I63" s="663" t="s">
        <v>3185</v>
      </c>
      <c r="J63" s="482">
        <v>1100000</v>
      </c>
      <c r="K63" s="482"/>
      <c r="L63" s="512">
        <f t="shared" si="1"/>
        <v>1100000</v>
      </c>
      <c r="M63" s="482">
        <v>1095540</v>
      </c>
    </row>
    <row r="64" spans="1:13" ht="144" customHeight="1">
      <c r="A64" s="479" t="s">
        <v>2062</v>
      </c>
      <c r="B64" s="479" t="s">
        <v>287</v>
      </c>
      <c r="C64" s="479" t="s">
        <v>295</v>
      </c>
      <c r="D64" s="479" t="s">
        <v>295</v>
      </c>
      <c r="E64" s="479" t="s">
        <v>2643</v>
      </c>
      <c r="F64" s="479" t="s">
        <v>289</v>
      </c>
      <c r="G64" s="480" t="s">
        <v>99</v>
      </c>
      <c r="H64" s="480" t="s">
        <v>298</v>
      </c>
      <c r="I64" s="481" t="s">
        <v>3010</v>
      </c>
      <c r="J64" s="482">
        <v>22247000</v>
      </c>
      <c r="K64" s="482"/>
      <c r="L64" s="512">
        <f>SUM(J64:K64)</f>
        <v>22247000</v>
      </c>
      <c r="M64" s="482">
        <v>12204134</v>
      </c>
    </row>
    <row r="65" spans="1:13" ht="96.6" customHeight="1">
      <c r="A65" s="479" t="s">
        <v>2066</v>
      </c>
      <c r="B65" s="479" t="s">
        <v>287</v>
      </c>
      <c r="C65" s="479" t="s">
        <v>295</v>
      </c>
      <c r="D65" s="479" t="s">
        <v>295</v>
      </c>
      <c r="E65" s="479" t="s">
        <v>2631</v>
      </c>
      <c r="F65" s="479" t="s">
        <v>289</v>
      </c>
      <c r="G65" s="480" t="s">
        <v>3183</v>
      </c>
      <c r="H65" s="480" t="s">
        <v>298</v>
      </c>
      <c r="I65" s="663" t="s">
        <v>2365</v>
      </c>
      <c r="J65" s="482">
        <v>41322</v>
      </c>
      <c r="K65" s="482"/>
      <c r="L65" s="512">
        <f>SUM(J65:K65)</f>
        <v>41322</v>
      </c>
      <c r="M65" s="482">
        <v>21150</v>
      </c>
    </row>
    <row r="66" spans="1:13" ht="78.75" customHeight="1">
      <c r="A66" s="479" t="s">
        <v>2066</v>
      </c>
      <c r="B66" s="479" t="s">
        <v>287</v>
      </c>
      <c r="C66" s="479" t="s">
        <v>295</v>
      </c>
      <c r="D66" s="479" t="s">
        <v>295</v>
      </c>
      <c r="E66" s="479" t="s">
        <v>2631</v>
      </c>
      <c r="F66" s="479" t="s">
        <v>289</v>
      </c>
      <c r="G66" s="480" t="s">
        <v>3115</v>
      </c>
      <c r="H66" s="480" t="s">
        <v>298</v>
      </c>
      <c r="I66" s="481" t="s">
        <v>3116</v>
      </c>
      <c r="J66" s="482">
        <v>1215000</v>
      </c>
      <c r="K66" s="482"/>
      <c r="L66" s="512">
        <f t="shared" si="1"/>
        <v>1215000</v>
      </c>
      <c r="M66" s="482">
        <v>1004257</v>
      </c>
    </row>
    <row r="67" spans="1:13" ht="50.45" customHeight="1">
      <c r="A67" s="28" t="s">
        <v>2063</v>
      </c>
      <c r="B67" s="28" t="s">
        <v>287</v>
      </c>
      <c r="C67" s="28" t="s">
        <v>295</v>
      </c>
      <c r="D67" s="28" t="s">
        <v>295</v>
      </c>
      <c r="E67" s="28" t="s">
        <v>2631</v>
      </c>
      <c r="F67" s="28" t="s">
        <v>289</v>
      </c>
      <c r="G67" s="30" t="s">
        <v>2979</v>
      </c>
      <c r="H67" s="30" t="s">
        <v>298</v>
      </c>
      <c r="I67" s="170" t="s">
        <v>2206</v>
      </c>
      <c r="J67" s="96">
        <v>16878211</v>
      </c>
      <c r="K67" s="96"/>
      <c r="L67" s="512">
        <f t="shared" si="1"/>
        <v>16878211</v>
      </c>
      <c r="M67" s="96">
        <v>11216721</v>
      </c>
    </row>
    <row r="68" spans="1:13" ht="48" customHeight="1">
      <c r="A68" s="28" t="s">
        <v>2063</v>
      </c>
      <c r="B68" s="28" t="s">
        <v>287</v>
      </c>
      <c r="C68" s="28" t="s">
        <v>295</v>
      </c>
      <c r="D68" s="28" t="s">
        <v>295</v>
      </c>
      <c r="E68" s="28" t="s">
        <v>2631</v>
      </c>
      <c r="F68" s="28" t="s">
        <v>289</v>
      </c>
      <c r="G68" s="30" t="s">
        <v>2980</v>
      </c>
      <c r="H68" s="30" t="s">
        <v>298</v>
      </c>
      <c r="I68" s="31" t="s">
        <v>2203</v>
      </c>
      <c r="J68" s="96">
        <v>2166960</v>
      </c>
      <c r="K68" s="96"/>
      <c r="L68" s="512">
        <f t="shared" si="1"/>
        <v>2166960</v>
      </c>
      <c r="M68" s="96">
        <v>2166960</v>
      </c>
    </row>
    <row r="69" spans="1:13" ht="35.450000000000003" customHeight="1">
      <c r="A69" s="28" t="s">
        <v>2063</v>
      </c>
      <c r="B69" s="28" t="s">
        <v>287</v>
      </c>
      <c r="C69" s="28" t="s">
        <v>295</v>
      </c>
      <c r="D69" s="28" t="s">
        <v>295</v>
      </c>
      <c r="E69" s="28" t="s">
        <v>2631</v>
      </c>
      <c r="F69" s="28" t="s">
        <v>289</v>
      </c>
      <c r="G69" s="30" t="s">
        <v>3189</v>
      </c>
      <c r="H69" s="30" t="s">
        <v>298</v>
      </c>
      <c r="I69" s="663" t="s">
        <v>3190</v>
      </c>
      <c r="J69" s="96">
        <v>216475</v>
      </c>
      <c r="K69" s="96"/>
      <c r="L69" s="512">
        <f t="shared" si="1"/>
        <v>216475</v>
      </c>
      <c r="M69" s="96">
        <v>216475</v>
      </c>
    </row>
    <row r="70" spans="1:13" ht="48" customHeight="1">
      <c r="A70" s="28" t="s">
        <v>2062</v>
      </c>
      <c r="B70" s="28" t="s">
        <v>287</v>
      </c>
      <c r="C70" s="28" t="s">
        <v>295</v>
      </c>
      <c r="D70" s="28" t="s">
        <v>295</v>
      </c>
      <c r="E70" s="28" t="s">
        <v>2631</v>
      </c>
      <c r="F70" s="28" t="s">
        <v>289</v>
      </c>
      <c r="G70" s="30" t="s">
        <v>3036</v>
      </c>
      <c r="H70" s="30" t="s">
        <v>298</v>
      </c>
      <c r="I70" s="31" t="s">
        <v>3037</v>
      </c>
      <c r="J70" s="96">
        <v>14467878</v>
      </c>
      <c r="K70" s="96">
        <v>-117065</v>
      </c>
      <c r="L70" s="512">
        <f t="shared" si="1"/>
        <v>14350813</v>
      </c>
      <c r="M70" s="96">
        <v>8395266</v>
      </c>
    </row>
    <row r="71" spans="1:13" ht="66" customHeight="1">
      <c r="A71" s="28" t="s">
        <v>2065</v>
      </c>
      <c r="B71" s="28" t="s">
        <v>287</v>
      </c>
      <c r="C71" s="28" t="s">
        <v>295</v>
      </c>
      <c r="D71" s="28" t="s">
        <v>295</v>
      </c>
      <c r="E71" s="28" t="s">
        <v>2631</v>
      </c>
      <c r="F71" s="28" t="s">
        <v>289</v>
      </c>
      <c r="G71" s="30" t="s">
        <v>2981</v>
      </c>
      <c r="H71" s="30" t="s">
        <v>298</v>
      </c>
      <c r="I71" s="170" t="s">
        <v>2204</v>
      </c>
      <c r="J71" s="96">
        <v>843930</v>
      </c>
      <c r="K71" s="96"/>
      <c r="L71" s="512">
        <f t="shared" si="1"/>
        <v>843930</v>
      </c>
      <c r="M71" s="96">
        <v>843930</v>
      </c>
    </row>
    <row r="72" spans="1:13" ht="48" customHeight="1">
      <c r="A72" s="28" t="s">
        <v>2065</v>
      </c>
      <c r="B72" s="28" t="s">
        <v>287</v>
      </c>
      <c r="C72" s="28" t="s">
        <v>295</v>
      </c>
      <c r="D72" s="28" t="s">
        <v>295</v>
      </c>
      <c r="E72" s="28" t="s">
        <v>2631</v>
      </c>
      <c r="F72" s="28" t="s">
        <v>289</v>
      </c>
      <c r="G72" s="30" t="s">
        <v>3121</v>
      </c>
      <c r="H72" s="30" t="s">
        <v>298</v>
      </c>
      <c r="I72" s="2" t="s">
        <v>3122</v>
      </c>
      <c r="J72" s="96">
        <v>10747389</v>
      </c>
      <c r="K72" s="96">
        <v>-1626972</v>
      </c>
      <c r="L72" s="512">
        <f t="shared" si="1"/>
        <v>9120417</v>
      </c>
      <c r="M72" s="96">
        <v>2513095</v>
      </c>
    </row>
    <row r="73" spans="1:13" ht="82.9" customHeight="1">
      <c r="A73" s="28" t="s">
        <v>2065</v>
      </c>
      <c r="B73" s="28" t="s">
        <v>287</v>
      </c>
      <c r="C73" s="28" t="s">
        <v>295</v>
      </c>
      <c r="D73" s="28" t="s">
        <v>295</v>
      </c>
      <c r="E73" s="28" t="s">
        <v>2631</v>
      </c>
      <c r="F73" s="28" t="s">
        <v>289</v>
      </c>
      <c r="G73" s="30" t="s">
        <v>2982</v>
      </c>
      <c r="H73" s="30" t="s">
        <v>298</v>
      </c>
      <c r="I73" s="170" t="s">
        <v>2205</v>
      </c>
      <c r="J73" s="96">
        <v>120643</v>
      </c>
      <c r="K73" s="96"/>
      <c r="L73" s="512">
        <f t="shared" si="1"/>
        <v>120643</v>
      </c>
      <c r="M73" s="96">
        <v>120643</v>
      </c>
    </row>
    <row r="74" spans="1:13" ht="82.9" hidden="1" customHeight="1">
      <c r="A74" s="28" t="s">
        <v>2063</v>
      </c>
      <c r="B74" s="28" t="s">
        <v>287</v>
      </c>
      <c r="C74" s="28" t="s">
        <v>295</v>
      </c>
      <c r="D74" s="28" t="s">
        <v>295</v>
      </c>
      <c r="E74" s="28" t="s">
        <v>2631</v>
      </c>
      <c r="F74" s="28" t="s">
        <v>289</v>
      </c>
      <c r="G74" s="30" t="s">
        <v>3212</v>
      </c>
      <c r="H74" s="30" t="s">
        <v>298</v>
      </c>
      <c r="I74" s="170" t="s">
        <v>3213</v>
      </c>
      <c r="J74" s="96">
        <v>41363</v>
      </c>
      <c r="K74" s="96"/>
      <c r="L74" s="512">
        <f t="shared" si="1"/>
        <v>41363</v>
      </c>
      <c r="M74" s="96">
        <v>0</v>
      </c>
    </row>
    <row r="75" spans="1:13" ht="51.6" customHeight="1">
      <c r="A75" s="28" t="s">
        <v>1138</v>
      </c>
      <c r="B75" s="28" t="s">
        <v>287</v>
      </c>
      <c r="C75" s="28" t="s">
        <v>295</v>
      </c>
      <c r="D75" s="28" t="s">
        <v>295</v>
      </c>
      <c r="E75" s="28" t="s">
        <v>2631</v>
      </c>
      <c r="F75" s="28" t="s">
        <v>289</v>
      </c>
      <c r="G75" s="30" t="s">
        <v>3033</v>
      </c>
      <c r="H75" s="30" t="s">
        <v>298</v>
      </c>
      <c r="I75" s="170" t="s">
        <v>3034</v>
      </c>
      <c r="J75" s="96">
        <v>1696999.72</v>
      </c>
      <c r="K75" s="96"/>
      <c r="L75" s="512">
        <f t="shared" si="1"/>
        <v>1696999.72</v>
      </c>
      <c r="M75" s="96">
        <v>684000</v>
      </c>
    </row>
    <row r="76" spans="1:13" ht="39" customHeight="1">
      <c r="A76" s="28" t="s">
        <v>2062</v>
      </c>
      <c r="B76" s="28" t="s">
        <v>287</v>
      </c>
      <c r="C76" s="28" t="s">
        <v>295</v>
      </c>
      <c r="D76" s="28" t="s">
        <v>295</v>
      </c>
      <c r="E76" s="28" t="s">
        <v>2631</v>
      </c>
      <c r="F76" s="28" t="s">
        <v>289</v>
      </c>
      <c r="G76" s="30" t="s">
        <v>3132</v>
      </c>
      <c r="H76" s="30" t="s">
        <v>298</v>
      </c>
      <c r="I76" s="170" t="s">
        <v>3133</v>
      </c>
      <c r="J76" s="96">
        <v>16577900</v>
      </c>
      <c r="K76" s="96"/>
      <c r="L76" s="512">
        <f t="shared" si="1"/>
        <v>16577900</v>
      </c>
      <c r="M76" s="96">
        <v>4360003</v>
      </c>
    </row>
    <row r="77" spans="1:13" ht="51.6" hidden="1" customHeight="1">
      <c r="A77" s="28" t="s">
        <v>2062</v>
      </c>
      <c r="B77" s="28" t="s">
        <v>287</v>
      </c>
      <c r="C77" s="28" t="s">
        <v>295</v>
      </c>
      <c r="D77" s="28" t="s">
        <v>295</v>
      </c>
      <c r="E77" s="28" t="s">
        <v>2631</v>
      </c>
      <c r="F77" s="28" t="s">
        <v>289</v>
      </c>
      <c r="G77" s="30" t="s">
        <v>3194</v>
      </c>
      <c r="H77" s="30" t="s">
        <v>298</v>
      </c>
      <c r="I77" s="663" t="s">
        <v>3168</v>
      </c>
      <c r="J77" s="96">
        <v>8809000</v>
      </c>
      <c r="K77" s="96">
        <v>-385675</v>
      </c>
      <c r="L77" s="512">
        <f t="shared" si="1"/>
        <v>8423325</v>
      </c>
      <c r="M77" s="96">
        <v>0</v>
      </c>
    </row>
    <row r="78" spans="1:13" ht="66.75" hidden="1" customHeight="1">
      <c r="A78" s="28" t="s">
        <v>2065</v>
      </c>
      <c r="B78" s="28" t="s">
        <v>2490</v>
      </c>
      <c r="C78" s="28" t="s">
        <v>295</v>
      </c>
      <c r="D78" s="28" t="s">
        <v>295</v>
      </c>
      <c r="E78" s="28" t="s">
        <v>2631</v>
      </c>
      <c r="F78" s="28" t="s">
        <v>289</v>
      </c>
      <c r="G78" s="30" t="s">
        <v>3224</v>
      </c>
      <c r="H78" s="30" t="s">
        <v>298</v>
      </c>
      <c r="I78" s="663" t="s">
        <v>3225</v>
      </c>
      <c r="J78" s="96"/>
      <c r="K78" s="96">
        <v>1615000</v>
      </c>
      <c r="L78" s="512">
        <f t="shared" si="1"/>
        <v>1615000</v>
      </c>
      <c r="M78" s="96">
        <v>0</v>
      </c>
    </row>
    <row r="79" spans="1:13" s="3" customFormat="1" ht="47.25">
      <c r="A79" s="27" t="s">
        <v>96</v>
      </c>
      <c r="B79" s="27" t="s">
        <v>287</v>
      </c>
      <c r="C79" s="27" t="s">
        <v>295</v>
      </c>
      <c r="D79" s="27" t="s">
        <v>2217</v>
      </c>
      <c r="E79" s="27" t="s">
        <v>96</v>
      </c>
      <c r="F79" s="27" t="s">
        <v>98</v>
      </c>
      <c r="G79" s="29" t="s">
        <v>99</v>
      </c>
      <c r="H79" s="29" t="s">
        <v>298</v>
      </c>
      <c r="I79" s="49" t="s">
        <v>334</v>
      </c>
      <c r="J79" s="98">
        <v>887078175</v>
      </c>
      <c r="K79" s="98">
        <f>SUM(K80:K118)</f>
        <v>69661331</v>
      </c>
      <c r="L79" s="334">
        <f t="shared" si="1"/>
        <v>956739506</v>
      </c>
      <c r="M79" s="98">
        <f>SUM(M80:M118)</f>
        <v>942721286</v>
      </c>
    </row>
    <row r="80" spans="1:13" s="3" customFormat="1" ht="63">
      <c r="A80" s="28" t="s">
        <v>2067</v>
      </c>
      <c r="B80" s="28" t="s">
        <v>287</v>
      </c>
      <c r="C80" s="28" t="s">
        <v>295</v>
      </c>
      <c r="D80" s="28" t="s">
        <v>2217</v>
      </c>
      <c r="E80" s="28" t="s">
        <v>2626</v>
      </c>
      <c r="F80" s="28" t="s">
        <v>289</v>
      </c>
      <c r="G80" s="30" t="s">
        <v>99</v>
      </c>
      <c r="H80" s="30" t="s">
        <v>298</v>
      </c>
      <c r="I80" s="7" t="s">
        <v>2212</v>
      </c>
      <c r="J80" s="96">
        <v>35994000</v>
      </c>
      <c r="K80" s="96">
        <f>(-5767000+239000)</f>
        <v>-5528000</v>
      </c>
      <c r="L80" s="512">
        <f t="shared" si="1"/>
        <v>30466000</v>
      </c>
      <c r="M80" s="96">
        <v>30466000</v>
      </c>
    </row>
    <row r="81" spans="1:13" s="3" customFormat="1" ht="54.75" customHeight="1">
      <c r="A81" s="28" t="s">
        <v>2066</v>
      </c>
      <c r="B81" s="28" t="s">
        <v>287</v>
      </c>
      <c r="C81" s="28" t="s">
        <v>295</v>
      </c>
      <c r="D81" s="28" t="s">
        <v>2217</v>
      </c>
      <c r="E81" s="28" t="s">
        <v>2627</v>
      </c>
      <c r="F81" s="28" t="s">
        <v>289</v>
      </c>
      <c r="G81" s="30" t="s">
        <v>99</v>
      </c>
      <c r="H81" s="30" t="s">
        <v>298</v>
      </c>
      <c r="I81" s="7" t="s">
        <v>3007</v>
      </c>
      <c r="J81" s="96">
        <v>2364619</v>
      </c>
      <c r="K81" s="96"/>
      <c r="L81" s="512">
        <f t="shared" si="1"/>
        <v>2364619</v>
      </c>
      <c r="M81" s="96">
        <v>2364619</v>
      </c>
    </row>
    <row r="82" spans="1:13" s="3" customFormat="1" ht="99.75" customHeight="1">
      <c r="A82" s="28" t="s">
        <v>2067</v>
      </c>
      <c r="B82" s="28" t="s">
        <v>287</v>
      </c>
      <c r="C82" s="28" t="s">
        <v>295</v>
      </c>
      <c r="D82" s="28" t="s">
        <v>2217</v>
      </c>
      <c r="E82" s="28" t="s">
        <v>2632</v>
      </c>
      <c r="F82" s="28" t="s">
        <v>289</v>
      </c>
      <c r="G82" s="30" t="s">
        <v>99</v>
      </c>
      <c r="H82" s="30" t="s">
        <v>298</v>
      </c>
      <c r="I82" s="7" t="s">
        <v>3009</v>
      </c>
      <c r="J82" s="368">
        <v>5234796</v>
      </c>
      <c r="K82" s="368">
        <v>50401</v>
      </c>
      <c r="L82" s="512">
        <f t="shared" si="1"/>
        <v>5285197</v>
      </c>
      <c r="M82" s="368">
        <v>5285194</v>
      </c>
    </row>
    <row r="83" spans="1:13" s="3" customFormat="1" ht="82.15" customHeight="1">
      <c r="A83" s="28" t="s">
        <v>2066</v>
      </c>
      <c r="B83" s="28" t="s">
        <v>287</v>
      </c>
      <c r="C83" s="28" t="s">
        <v>295</v>
      </c>
      <c r="D83" s="28" t="s">
        <v>2217</v>
      </c>
      <c r="E83" s="28" t="s">
        <v>2633</v>
      </c>
      <c r="F83" s="28" t="s">
        <v>289</v>
      </c>
      <c r="G83" s="30" t="s">
        <v>99</v>
      </c>
      <c r="H83" s="30" t="s">
        <v>298</v>
      </c>
      <c r="I83" s="7" t="s">
        <v>3008</v>
      </c>
      <c r="J83" s="368">
        <v>32650</v>
      </c>
      <c r="K83" s="368"/>
      <c r="L83" s="512">
        <f t="shared" si="1"/>
        <v>32650</v>
      </c>
      <c r="M83" s="368">
        <v>32650</v>
      </c>
    </row>
    <row r="84" spans="1:13" s="3" customFormat="1" ht="47.25">
      <c r="A84" s="28" t="s">
        <v>1138</v>
      </c>
      <c r="B84" s="28" t="s">
        <v>287</v>
      </c>
      <c r="C84" s="28" t="s">
        <v>295</v>
      </c>
      <c r="D84" s="28" t="s">
        <v>2217</v>
      </c>
      <c r="E84" s="28" t="s">
        <v>2634</v>
      </c>
      <c r="F84" s="28" t="s">
        <v>289</v>
      </c>
      <c r="G84" s="30" t="s">
        <v>99</v>
      </c>
      <c r="H84" s="30" t="s">
        <v>298</v>
      </c>
      <c r="I84" s="7" t="s">
        <v>1041</v>
      </c>
      <c r="J84" s="368">
        <v>682902</v>
      </c>
      <c r="K84" s="368"/>
      <c r="L84" s="512">
        <f t="shared" si="1"/>
        <v>682902</v>
      </c>
      <c r="M84" s="368">
        <v>682902</v>
      </c>
    </row>
    <row r="85" spans="1:13" s="3" customFormat="1" ht="79.5" customHeight="1">
      <c r="A85" s="28" t="s">
        <v>2065</v>
      </c>
      <c r="B85" s="28" t="s">
        <v>287</v>
      </c>
      <c r="C85" s="28" t="s">
        <v>295</v>
      </c>
      <c r="D85" s="28" t="s">
        <v>2217</v>
      </c>
      <c r="E85" s="28" t="s">
        <v>2635</v>
      </c>
      <c r="F85" s="28" t="s">
        <v>289</v>
      </c>
      <c r="G85" s="30" t="s">
        <v>99</v>
      </c>
      <c r="H85" s="30" t="s">
        <v>298</v>
      </c>
      <c r="I85" s="7" t="s">
        <v>2207</v>
      </c>
      <c r="J85" s="96">
        <v>271626</v>
      </c>
      <c r="K85" s="96">
        <v>77565</v>
      </c>
      <c r="L85" s="512">
        <f t="shared" si="1"/>
        <v>349191</v>
      </c>
      <c r="M85" s="96">
        <v>349189</v>
      </c>
    </row>
    <row r="86" spans="1:13" s="3" customFormat="1" ht="47.25">
      <c r="A86" s="28" t="s">
        <v>2067</v>
      </c>
      <c r="B86" s="28" t="s">
        <v>287</v>
      </c>
      <c r="C86" s="28" t="s">
        <v>295</v>
      </c>
      <c r="D86" s="28" t="s">
        <v>2217</v>
      </c>
      <c r="E86" s="28" t="s">
        <v>2636</v>
      </c>
      <c r="F86" s="28" t="s">
        <v>289</v>
      </c>
      <c r="G86" s="30" t="s">
        <v>99</v>
      </c>
      <c r="H86" s="30" t="s">
        <v>298</v>
      </c>
      <c r="I86" s="7" t="s">
        <v>460</v>
      </c>
      <c r="J86" s="96">
        <v>18160000</v>
      </c>
      <c r="K86" s="96">
        <f>(2600000+450000)</f>
        <v>3050000</v>
      </c>
      <c r="L86" s="512">
        <f t="shared" si="1"/>
        <v>21210000</v>
      </c>
      <c r="M86" s="96">
        <v>21208872</v>
      </c>
    </row>
    <row r="87" spans="1:13" s="3" customFormat="1" ht="70.900000000000006" customHeight="1">
      <c r="A87" s="28" t="s">
        <v>2062</v>
      </c>
      <c r="B87" s="28" t="s">
        <v>287</v>
      </c>
      <c r="C87" s="28" t="s">
        <v>295</v>
      </c>
      <c r="D87" s="28" t="s">
        <v>2217</v>
      </c>
      <c r="E87" s="28" t="s">
        <v>2637</v>
      </c>
      <c r="F87" s="28" t="s">
        <v>289</v>
      </c>
      <c r="G87" s="30" t="s">
        <v>2985</v>
      </c>
      <c r="H87" s="30" t="s">
        <v>298</v>
      </c>
      <c r="I87" s="171" t="s">
        <v>521</v>
      </c>
      <c r="J87" s="96">
        <v>42478</v>
      </c>
      <c r="K87" s="96">
        <v>3790</v>
      </c>
      <c r="L87" s="512">
        <f t="shared" si="1"/>
        <v>46268</v>
      </c>
      <c r="M87" s="96">
        <v>17207</v>
      </c>
    </row>
    <row r="88" spans="1:13" s="3" customFormat="1" ht="69.75" customHeight="1">
      <c r="A88" s="28" t="s">
        <v>2062</v>
      </c>
      <c r="B88" s="28" t="s">
        <v>287</v>
      </c>
      <c r="C88" s="28" t="s">
        <v>295</v>
      </c>
      <c r="D88" s="28" t="s">
        <v>2217</v>
      </c>
      <c r="E88" s="28" t="s">
        <v>2637</v>
      </c>
      <c r="F88" s="28" t="s">
        <v>289</v>
      </c>
      <c r="G88" s="30" t="s">
        <v>2986</v>
      </c>
      <c r="H88" s="30" t="s">
        <v>298</v>
      </c>
      <c r="I88" s="172" t="s">
        <v>2613</v>
      </c>
      <c r="J88" s="96">
        <v>195464</v>
      </c>
      <c r="K88" s="96">
        <v>202637</v>
      </c>
      <c r="L88" s="512">
        <f t="shared" si="1"/>
        <v>398101</v>
      </c>
      <c r="M88" s="96">
        <v>340270</v>
      </c>
    </row>
    <row r="89" spans="1:13" s="3" customFormat="1" ht="83.45" customHeight="1">
      <c r="A89" s="28" t="s">
        <v>2067</v>
      </c>
      <c r="B89" s="28" t="s">
        <v>287</v>
      </c>
      <c r="C89" s="28" t="s">
        <v>295</v>
      </c>
      <c r="D89" s="28" t="s">
        <v>2217</v>
      </c>
      <c r="E89" s="28" t="s">
        <v>2637</v>
      </c>
      <c r="F89" s="28" t="s">
        <v>289</v>
      </c>
      <c r="G89" s="30" t="s">
        <v>2987</v>
      </c>
      <c r="H89" s="30" t="s">
        <v>298</v>
      </c>
      <c r="I89" s="7" t="s">
        <v>882</v>
      </c>
      <c r="J89" s="96">
        <v>57757000</v>
      </c>
      <c r="K89" s="96">
        <v>5114000</v>
      </c>
      <c r="L89" s="512">
        <f t="shared" si="1"/>
        <v>62871000</v>
      </c>
      <c r="M89" s="96">
        <v>62750697</v>
      </c>
    </row>
    <row r="90" spans="1:13" s="3" customFormat="1" ht="99.75" customHeight="1">
      <c r="A90" s="28" t="s">
        <v>2065</v>
      </c>
      <c r="B90" s="28" t="s">
        <v>287</v>
      </c>
      <c r="C90" s="28" t="s">
        <v>295</v>
      </c>
      <c r="D90" s="28" t="s">
        <v>2217</v>
      </c>
      <c r="E90" s="28" t="s">
        <v>2637</v>
      </c>
      <c r="F90" s="28" t="s">
        <v>289</v>
      </c>
      <c r="G90" s="30" t="s">
        <v>3003</v>
      </c>
      <c r="H90" s="30" t="s">
        <v>298</v>
      </c>
      <c r="I90" s="7" t="s">
        <v>2610</v>
      </c>
      <c r="J90" s="96">
        <v>4407000</v>
      </c>
      <c r="K90" s="96"/>
      <c r="L90" s="512">
        <f t="shared" ref="L90:L106" si="11">SUM(J90:K90)</f>
        <v>4407000</v>
      </c>
      <c r="M90" s="96">
        <v>4407000</v>
      </c>
    </row>
    <row r="91" spans="1:13" s="3" customFormat="1" ht="52.9" customHeight="1">
      <c r="A91" s="28" t="s">
        <v>2065</v>
      </c>
      <c r="B91" s="28" t="s">
        <v>287</v>
      </c>
      <c r="C91" s="28" t="s">
        <v>295</v>
      </c>
      <c r="D91" s="28" t="s">
        <v>2217</v>
      </c>
      <c r="E91" s="28" t="s">
        <v>2637</v>
      </c>
      <c r="F91" s="28" t="s">
        <v>289</v>
      </c>
      <c r="G91" s="30" t="s">
        <v>3001</v>
      </c>
      <c r="H91" s="30" t="s">
        <v>298</v>
      </c>
      <c r="I91" s="7" t="s">
        <v>2611</v>
      </c>
      <c r="J91" s="96">
        <v>980000</v>
      </c>
      <c r="K91" s="96">
        <v>-500000</v>
      </c>
      <c r="L91" s="512">
        <f t="shared" si="11"/>
        <v>480000</v>
      </c>
      <c r="M91" s="96">
        <v>337589</v>
      </c>
    </row>
    <row r="92" spans="1:13" s="3" customFormat="1" ht="83.25" customHeight="1">
      <c r="A92" s="28" t="s">
        <v>2065</v>
      </c>
      <c r="B92" s="28" t="s">
        <v>287</v>
      </c>
      <c r="C92" s="28" t="s">
        <v>295</v>
      </c>
      <c r="D92" s="28" t="s">
        <v>2217</v>
      </c>
      <c r="E92" s="28" t="s">
        <v>2637</v>
      </c>
      <c r="F92" s="28" t="s">
        <v>289</v>
      </c>
      <c r="G92" s="30" t="s">
        <v>2997</v>
      </c>
      <c r="H92" s="30" t="s">
        <v>298</v>
      </c>
      <c r="I92" s="7" t="s">
        <v>2444</v>
      </c>
      <c r="J92" s="96">
        <v>1902700</v>
      </c>
      <c r="K92" s="96">
        <v>-551750</v>
      </c>
      <c r="L92" s="512">
        <f t="shared" si="11"/>
        <v>1350950</v>
      </c>
      <c r="M92" s="96">
        <v>1320711</v>
      </c>
    </row>
    <row r="93" spans="1:13" s="3" customFormat="1" ht="97.5" customHeight="1">
      <c r="A93" s="28" t="s">
        <v>2065</v>
      </c>
      <c r="B93" s="28" t="s">
        <v>287</v>
      </c>
      <c r="C93" s="28" t="s">
        <v>295</v>
      </c>
      <c r="D93" s="28" t="s">
        <v>2217</v>
      </c>
      <c r="E93" s="28" t="s">
        <v>2637</v>
      </c>
      <c r="F93" s="28" t="s">
        <v>289</v>
      </c>
      <c r="G93" s="30" t="s">
        <v>2999</v>
      </c>
      <c r="H93" s="30" t="s">
        <v>298</v>
      </c>
      <c r="I93" s="7" t="s">
        <v>2448</v>
      </c>
      <c r="J93" s="96">
        <v>15202935</v>
      </c>
      <c r="K93" s="96">
        <v>2681258</v>
      </c>
      <c r="L93" s="512">
        <f t="shared" si="11"/>
        <v>17884193</v>
      </c>
      <c r="M93" s="96">
        <v>17095350</v>
      </c>
    </row>
    <row r="94" spans="1:13" s="3" customFormat="1" ht="36" customHeight="1">
      <c r="A94" s="28" t="s">
        <v>2065</v>
      </c>
      <c r="B94" s="28" t="s">
        <v>287</v>
      </c>
      <c r="C94" s="28" t="s">
        <v>295</v>
      </c>
      <c r="D94" s="28" t="s">
        <v>2217</v>
      </c>
      <c r="E94" s="28" t="s">
        <v>2637</v>
      </c>
      <c r="F94" s="28" t="s">
        <v>289</v>
      </c>
      <c r="G94" s="30" t="s">
        <v>2996</v>
      </c>
      <c r="H94" s="30" t="s">
        <v>298</v>
      </c>
      <c r="I94" s="7" t="s">
        <v>236</v>
      </c>
      <c r="J94" s="96">
        <v>2221836</v>
      </c>
      <c r="K94" s="96">
        <v>60000</v>
      </c>
      <c r="L94" s="512">
        <f t="shared" si="11"/>
        <v>2281836</v>
      </c>
      <c r="M94" s="96">
        <v>2276212</v>
      </c>
    </row>
    <row r="95" spans="1:13" s="3" customFormat="1" ht="51.75" customHeight="1">
      <c r="A95" s="28" t="s">
        <v>2065</v>
      </c>
      <c r="B95" s="28" t="s">
        <v>287</v>
      </c>
      <c r="C95" s="28" t="s">
        <v>295</v>
      </c>
      <c r="D95" s="28" t="s">
        <v>2217</v>
      </c>
      <c r="E95" s="28" t="s">
        <v>2637</v>
      </c>
      <c r="F95" s="28" t="s">
        <v>289</v>
      </c>
      <c r="G95" s="30" t="s">
        <v>2998</v>
      </c>
      <c r="H95" s="30" t="s">
        <v>298</v>
      </c>
      <c r="I95" s="7" t="s">
        <v>2445</v>
      </c>
      <c r="J95" s="96">
        <v>191977300</v>
      </c>
      <c r="K95" s="96">
        <f>(2868800+19767700-2868800)</f>
        <v>19767700</v>
      </c>
      <c r="L95" s="512">
        <f t="shared" si="11"/>
        <v>211745000</v>
      </c>
      <c r="M95" s="96">
        <v>207785600</v>
      </c>
    </row>
    <row r="96" spans="1:13" s="3" customFormat="1" ht="51.75" customHeight="1">
      <c r="A96" s="28" t="s">
        <v>2065</v>
      </c>
      <c r="B96" s="28" t="s">
        <v>287</v>
      </c>
      <c r="C96" s="28" t="s">
        <v>295</v>
      </c>
      <c r="D96" s="28" t="s">
        <v>2217</v>
      </c>
      <c r="E96" s="28" t="s">
        <v>2637</v>
      </c>
      <c r="F96" s="28" t="s">
        <v>289</v>
      </c>
      <c r="G96" s="30" t="s">
        <v>2983</v>
      </c>
      <c r="H96" s="30" t="s">
        <v>298</v>
      </c>
      <c r="I96" s="7" t="s">
        <v>2499</v>
      </c>
      <c r="J96" s="74">
        <v>284731500</v>
      </c>
      <c r="K96" s="74">
        <f>(4025100+31683200-3849900-175200)</f>
        <v>31683200</v>
      </c>
      <c r="L96" s="512">
        <f t="shared" si="11"/>
        <v>316414700</v>
      </c>
      <c r="M96" s="74">
        <v>309473500</v>
      </c>
    </row>
    <row r="97" spans="1:13" s="3" customFormat="1" ht="39" customHeight="1">
      <c r="A97" s="28" t="s">
        <v>2065</v>
      </c>
      <c r="B97" s="28" t="s">
        <v>287</v>
      </c>
      <c r="C97" s="28" t="s">
        <v>295</v>
      </c>
      <c r="D97" s="28" t="s">
        <v>2217</v>
      </c>
      <c r="E97" s="28" t="s">
        <v>2637</v>
      </c>
      <c r="F97" s="28" t="s">
        <v>289</v>
      </c>
      <c r="G97" s="30" t="s">
        <v>2984</v>
      </c>
      <c r="H97" s="30" t="s">
        <v>298</v>
      </c>
      <c r="I97" s="7" t="s">
        <v>2606</v>
      </c>
      <c r="J97" s="96">
        <v>22859800</v>
      </c>
      <c r="K97" s="96">
        <f>(472900+528100)</f>
        <v>1001000</v>
      </c>
      <c r="L97" s="512">
        <f t="shared" si="11"/>
        <v>23860800</v>
      </c>
      <c r="M97" s="96">
        <v>23550000</v>
      </c>
    </row>
    <row r="98" spans="1:13" s="3" customFormat="1" ht="63" customHeight="1">
      <c r="A98" s="28" t="s">
        <v>2065</v>
      </c>
      <c r="B98" s="28" t="s">
        <v>287</v>
      </c>
      <c r="C98" s="28" t="s">
        <v>295</v>
      </c>
      <c r="D98" s="28" t="s">
        <v>2217</v>
      </c>
      <c r="E98" s="28" t="s">
        <v>2637</v>
      </c>
      <c r="F98" s="28" t="s">
        <v>289</v>
      </c>
      <c r="G98" s="30" t="s">
        <v>3002</v>
      </c>
      <c r="H98" s="30" t="s">
        <v>298</v>
      </c>
      <c r="I98" s="7" t="s">
        <v>1623</v>
      </c>
      <c r="J98" s="96">
        <v>26440011</v>
      </c>
      <c r="K98" s="96">
        <v>-440000</v>
      </c>
      <c r="L98" s="512">
        <f t="shared" si="11"/>
        <v>26000011</v>
      </c>
      <c r="M98" s="96">
        <v>25935085</v>
      </c>
    </row>
    <row r="99" spans="1:13" s="3" customFormat="1" ht="23.25" customHeight="1">
      <c r="A99" s="28" t="s">
        <v>2067</v>
      </c>
      <c r="B99" s="28" t="s">
        <v>287</v>
      </c>
      <c r="C99" s="28" t="s">
        <v>295</v>
      </c>
      <c r="D99" s="28" t="s">
        <v>2217</v>
      </c>
      <c r="E99" s="28" t="s">
        <v>2637</v>
      </c>
      <c r="F99" s="28" t="s">
        <v>289</v>
      </c>
      <c r="G99" s="30" t="s">
        <v>2992</v>
      </c>
      <c r="H99" s="30" t="s">
        <v>298</v>
      </c>
      <c r="I99" s="7" t="s">
        <v>351</v>
      </c>
      <c r="J99" s="96">
        <v>18576000</v>
      </c>
      <c r="K99" s="96">
        <f>(585000+37000)</f>
        <v>622000</v>
      </c>
      <c r="L99" s="512">
        <f t="shared" si="11"/>
        <v>19198000</v>
      </c>
      <c r="M99" s="96">
        <v>19197946</v>
      </c>
    </row>
    <row r="100" spans="1:13" s="3" customFormat="1" ht="114.75" customHeight="1">
      <c r="A100" s="28" t="s">
        <v>2067</v>
      </c>
      <c r="B100" s="28" t="s">
        <v>287</v>
      </c>
      <c r="C100" s="28" t="s">
        <v>295</v>
      </c>
      <c r="D100" s="28" t="s">
        <v>2217</v>
      </c>
      <c r="E100" s="28" t="s">
        <v>2637</v>
      </c>
      <c r="F100" s="28" t="s">
        <v>289</v>
      </c>
      <c r="G100" s="30" t="s">
        <v>3000</v>
      </c>
      <c r="H100" s="30" t="s">
        <v>298</v>
      </c>
      <c r="I100" s="7" t="s">
        <v>2068</v>
      </c>
      <c r="J100" s="96">
        <v>44976965</v>
      </c>
      <c r="K100" s="96"/>
      <c r="L100" s="512">
        <f t="shared" si="11"/>
        <v>44976965</v>
      </c>
      <c r="M100" s="96">
        <v>44132863</v>
      </c>
    </row>
    <row r="101" spans="1:13" s="3" customFormat="1" ht="33" customHeight="1">
      <c r="A101" s="28" t="s">
        <v>2067</v>
      </c>
      <c r="B101" s="28" t="s">
        <v>287</v>
      </c>
      <c r="C101" s="28" t="s">
        <v>295</v>
      </c>
      <c r="D101" s="28" t="s">
        <v>2217</v>
      </c>
      <c r="E101" s="28" t="s">
        <v>2637</v>
      </c>
      <c r="F101" s="28" t="s">
        <v>289</v>
      </c>
      <c r="G101" s="30" t="s">
        <v>2993</v>
      </c>
      <c r="H101" s="30" t="s">
        <v>298</v>
      </c>
      <c r="I101" s="7" t="s">
        <v>305</v>
      </c>
      <c r="J101" s="96">
        <v>4953154</v>
      </c>
      <c r="K101" s="96">
        <f>(-240000+18851)</f>
        <v>-221149</v>
      </c>
      <c r="L101" s="512">
        <f t="shared" si="11"/>
        <v>4732005</v>
      </c>
      <c r="M101" s="96">
        <v>4731617</v>
      </c>
    </row>
    <row r="102" spans="1:13" s="3" customFormat="1" ht="48.75" customHeight="1">
      <c r="A102" s="28" t="s">
        <v>2067</v>
      </c>
      <c r="B102" s="28" t="s">
        <v>287</v>
      </c>
      <c r="C102" s="28" t="s">
        <v>295</v>
      </c>
      <c r="D102" s="28" t="s">
        <v>2217</v>
      </c>
      <c r="E102" s="28" t="s">
        <v>2637</v>
      </c>
      <c r="F102" s="28" t="s">
        <v>289</v>
      </c>
      <c r="G102" s="30" t="s">
        <v>2994</v>
      </c>
      <c r="H102" s="30" t="s">
        <v>298</v>
      </c>
      <c r="I102" s="7" t="s">
        <v>1099</v>
      </c>
      <c r="J102" s="96">
        <v>34508000</v>
      </c>
      <c r="K102" s="96">
        <v>708000</v>
      </c>
      <c r="L102" s="512">
        <f t="shared" si="11"/>
        <v>35216000</v>
      </c>
      <c r="M102" s="96">
        <v>35216000</v>
      </c>
    </row>
    <row r="103" spans="1:13" s="3" customFormat="1" ht="84" customHeight="1">
      <c r="A103" s="28" t="s">
        <v>2067</v>
      </c>
      <c r="B103" s="28" t="s">
        <v>287</v>
      </c>
      <c r="C103" s="28" t="s">
        <v>295</v>
      </c>
      <c r="D103" s="28" t="s">
        <v>2217</v>
      </c>
      <c r="E103" s="28" t="s">
        <v>2637</v>
      </c>
      <c r="F103" s="28" t="s">
        <v>289</v>
      </c>
      <c r="G103" s="30" t="s">
        <v>2995</v>
      </c>
      <c r="H103" s="30" t="s">
        <v>298</v>
      </c>
      <c r="I103" s="7" t="s">
        <v>2209</v>
      </c>
      <c r="J103" s="96">
        <v>37860000</v>
      </c>
      <c r="K103" s="96">
        <v>3336000</v>
      </c>
      <c r="L103" s="512">
        <f t="shared" si="11"/>
        <v>41196000</v>
      </c>
      <c r="M103" s="96">
        <v>41196000</v>
      </c>
    </row>
    <row r="104" spans="1:13" s="3" customFormat="1" ht="96.75" customHeight="1">
      <c r="A104" s="28" t="s">
        <v>2067</v>
      </c>
      <c r="B104" s="28" t="s">
        <v>287</v>
      </c>
      <c r="C104" s="28" t="s">
        <v>295</v>
      </c>
      <c r="D104" s="28" t="s">
        <v>2217</v>
      </c>
      <c r="E104" s="28" t="s">
        <v>2637</v>
      </c>
      <c r="F104" s="28" t="s">
        <v>289</v>
      </c>
      <c r="G104" s="30" t="s">
        <v>3006</v>
      </c>
      <c r="H104" s="30" t="s">
        <v>298</v>
      </c>
      <c r="I104" s="7" t="s">
        <v>2645</v>
      </c>
      <c r="J104" s="96">
        <v>21384000</v>
      </c>
      <c r="K104" s="96">
        <v>1870452</v>
      </c>
      <c r="L104" s="512">
        <f t="shared" si="11"/>
        <v>23254452</v>
      </c>
      <c r="M104" s="96">
        <v>23252835</v>
      </c>
    </row>
    <row r="105" spans="1:13" s="3" customFormat="1" ht="83.25" customHeight="1">
      <c r="A105" s="28" t="s">
        <v>2066</v>
      </c>
      <c r="B105" s="28" t="s">
        <v>287</v>
      </c>
      <c r="C105" s="28" t="s">
        <v>295</v>
      </c>
      <c r="D105" s="28" t="s">
        <v>2217</v>
      </c>
      <c r="E105" s="28" t="s">
        <v>2637</v>
      </c>
      <c r="F105" s="28" t="s">
        <v>289</v>
      </c>
      <c r="G105" s="30" t="s">
        <v>3005</v>
      </c>
      <c r="H105" s="30" t="s">
        <v>298</v>
      </c>
      <c r="I105" s="7" t="s">
        <v>2614</v>
      </c>
      <c r="J105" s="96">
        <v>5100</v>
      </c>
      <c r="K105" s="96"/>
      <c r="L105" s="512">
        <f t="shared" si="11"/>
        <v>5100</v>
      </c>
      <c r="M105" s="96">
        <v>5100</v>
      </c>
    </row>
    <row r="106" spans="1:13" s="3" customFormat="1" ht="35.25" customHeight="1">
      <c r="A106" s="28" t="s">
        <v>2062</v>
      </c>
      <c r="B106" s="28" t="s">
        <v>287</v>
      </c>
      <c r="C106" s="28" t="s">
        <v>295</v>
      </c>
      <c r="D106" s="28" t="s">
        <v>2217</v>
      </c>
      <c r="E106" s="28" t="s">
        <v>2637</v>
      </c>
      <c r="F106" s="28" t="s">
        <v>289</v>
      </c>
      <c r="G106" s="30" t="s">
        <v>3004</v>
      </c>
      <c r="H106" s="30" t="s">
        <v>298</v>
      </c>
      <c r="I106" s="7" t="s">
        <v>2615</v>
      </c>
      <c r="J106" s="96">
        <v>826050</v>
      </c>
      <c r="K106" s="96">
        <v>-275350</v>
      </c>
      <c r="L106" s="512">
        <f t="shared" si="11"/>
        <v>550700</v>
      </c>
      <c r="M106" s="96">
        <v>549708</v>
      </c>
    </row>
    <row r="107" spans="1:13" s="3" customFormat="1" ht="47.25">
      <c r="A107" s="168">
        <v>950</v>
      </c>
      <c r="B107" s="169" t="s">
        <v>287</v>
      </c>
      <c r="C107" s="169" t="s">
        <v>295</v>
      </c>
      <c r="D107" s="169" t="s">
        <v>2217</v>
      </c>
      <c r="E107" s="169" t="s">
        <v>2637</v>
      </c>
      <c r="F107" s="169" t="s">
        <v>289</v>
      </c>
      <c r="G107" s="169" t="s">
        <v>2988</v>
      </c>
      <c r="H107" s="169" t="s">
        <v>298</v>
      </c>
      <c r="I107" s="7" t="s">
        <v>723</v>
      </c>
      <c r="J107" s="96">
        <v>2272875</v>
      </c>
      <c r="K107" s="96">
        <v>57000</v>
      </c>
      <c r="L107" s="512">
        <f t="shared" si="1"/>
        <v>2329875</v>
      </c>
      <c r="M107" s="96">
        <v>2329875</v>
      </c>
    </row>
    <row r="108" spans="1:13" s="3" customFormat="1" ht="47.25">
      <c r="A108" s="28" t="s">
        <v>2067</v>
      </c>
      <c r="B108" s="28" t="s">
        <v>287</v>
      </c>
      <c r="C108" s="28" t="s">
        <v>295</v>
      </c>
      <c r="D108" s="28" t="s">
        <v>2217</v>
      </c>
      <c r="E108" s="28" t="s">
        <v>2637</v>
      </c>
      <c r="F108" s="28" t="s">
        <v>289</v>
      </c>
      <c r="G108" s="30" t="s">
        <v>2989</v>
      </c>
      <c r="H108" s="30" t="s">
        <v>298</v>
      </c>
      <c r="I108" s="7" t="s">
        <v>1622</v>
      </c>
      <c r="J108" s="96">
        <v>13399492</v>
      </c>
      <c r="K108" s="96">
        <v>693588</v>
      </c>
      <c r="L108" s="512">
        <f t="shared" ref="L108:L171" si="12">SUM(J108:K108)</f>
        <v>14093080</v>
      </c>
      <c r="M108" s="96">
        <v>13885080</v>
      </c>
    </row>
    <row r="109" spans="1:13" s="3" customFormat="1" ht="31.5">
      <c r="A109" s="28" t="s">
        <v>2065</v>
      </c>
      <c r="B109" s="28" t="s">
        <v>287</v>
      </c>
      <c r="C109" s="28" t="s">
        <v>295</v>
      </c>
      <c r="D109" s="28" t="s">
        <v>2217</v>
      </c>
      <c r="E109" s="28" t="s">
        <v>2637</v>
      </c>
      <c r="F109" s="28" t="s">
        <v>289</v>
      </c>
      <c r="G109" s="30" t="s">
        <v>2990</v>
      </c>
      <c r="H109" s="30" t="s">
        <v>298</v>
      </c>
      <c r="I109" s="7" t="s">
        <v>1098</v>
      </c>
      <c r="J109" s="96">
        <v>3686489</v>
      </c>
      <c r="K109" s="96"/>
      <c r="L109" s="512">
        <f t="shared" si="12"/>
        <v>3686489</v>
      </c>
      <c r="M109" s="96">
        <v>3686489</v>
      </c>
    </row>
    <row r="110" spans="1:13" s="3" customFormat="1" ht="48.6" customHeight="1">
      <c r="A110" s="28" t="s">
        <v>2066</v>
      </c>
      <c r="B110" s="28" t="s">
        <v>287</v>
      </c>
      <c r="C110" s="28" t="s">
        <v>295</v>
      </c>
      <c r="D110" s="28" t="s">
        <v>2217</v>
      </c>
      <c r="E110" s="28" t="s">
        <v>2637</v>
      </c>
      <c r="F110" s="28" t="s">
        <v>289</v>
      </c>
      <c r="G110" s="30" t="s">
        <v>2991</v>
      </c>
      <c r="H110" s="30" t="s">
        <v>298</v>
      </c>
      <c r="I110" s="7" t="s">
        <v>1485</v>
      </c>
      <c r="J110" s="96">
        <v>230714</v>
      </c>
      <c r="K110" s="96">
        <v>12671</v>
      </c>
      <c r="L110" s="512">
        <f t="shared" si="12"/>
        <v>243385</v>
      </c>
      <c r="M110" s="96">
        <v>243385</v>
      </c>
    </row>
    <row r="111" spans="1:13" s="3" customFormat="1" ht="149.25" customHeight="1">
      <c r="A111" s="28" t="s">
        <v>2067</v>
      </c>
      <c r="B111" s="28" t="s">
        <v>287</v>
      </c>
      <c r="C111" s="28" t="s">
        <v>295</v>
      </c>
      <c r="D111" s="28" t="s">
        <v>2217</v>
      </c>
      <c r="E111" s="28" t="s">
        <v>2637</v>
      </c>
      <c r="F111" s="28" t="s">
        <v>289</v>
      </c>
      <c r="G111" s="30" t="s">
        <v>3038</v>
      </c>
      <c r="H111" s="30" t="s">
        <v>298</v>
      </c>
      <c r="I111" s="7" t="s">
        <v>3039</v>
      </c>
      <c r="J111" s="96">
        <v>1050500</v>
      </c>
      <c r="K111" s="96"/>
      <c r="L111" s="512">
        <f t="shared" si="12"/>
        <v>1050500</v>
      </c>
      <c r="M111" s="96">
        <v>1050500</v>
      </c>
    </row>
    <row r="112" spans="1:13" s="3" customFormat="1" ht="111.6" customHeight="1">
      <c r="A112" s="28" t="s">
        <v>2067</v>
      </c>
      <c r="B112" s="28" t="s">
        <v>287</v>
      </c>
      <c r="C112" s="28" t="s">
        <v>295</v>
      </c>
      <c r="D112" s="28" t="s">
        <v>2217</v>
      </c>
      <c r="E112" s="28" t="s">
        <v>2638</v>
      </c>
      <c r="F112" s="28" t="s">
        <v>289</v>
      </c>
      <c r="G112" s="30" t="s">
        <v>99</v>
      </c>
      <c r="H112" s="30" t="s">
        <v>298</v>
      </c>
      <c r="I112" s="7" t="s">
        <v>2208</v>
      </c>
      <c r="J112" s="96">
        <v>511000</v>
      </c>
      <c r="K112" s="96">
        <v>-236946</v>
      </c>
      <c r="L112" s="512">
        <f t="shared" si="12"/>
        <v>274054</v>
      </c>
      <c r="M112" s="96">
        <v>273227</v>
      </c>
    </row>
    <row r="113" spans="1:13" s="3" customFormat="1" ht="99" customHeight="1">
      <c r="A113" s="28" t="s">
        <v>2067</v>
      </c>
      <c r="B113" s="28" t="s">
        <v>287</v>
      </c>
      <c r="C113" s="28" t="s">
        <v>295</v>
      </c>
      <c r="D113" s="28" t="s">
        <v>2217</v>
      </c>
      <c r="E113" s="28" t="s">
        <v>2639</v>
      </c>
      <c r="F113" s="28" t="s">
        <v>289</v>
      </c>
      <c r="G113" s="30" t="s">
        <v>99</v>
      </c>
      <c r="H113" s="30" t="s">
        <v>298</v>
      </c>
      <c r="I113" s="7" t="s">
        <v>2244</v>
      </c>
      <c r="J113" s="96">
        <v>10200000</v>
      </c>
      <c r="K113" s="96">
        <f>(2473660+1869065)</f>
        <v>4342725</v>
      </c>
      <c r="L113" s="512">
        <f t="shared" si="12"/>
        <v>14542725</v>
      </c>
      <c r="M113" s="96">
        <v>14542725</v>
      </c>
    </row>
    <row r="114" spans="1:13" s="3" customFormat="1" ht="49.15" customHeight="1">
      <c r="A114" s="479" t="s">
        <v>2066</v>
      </c>
      <c r="B114" s="479" t="s">
        <v>287</v>
      </c>
      <c r="C114" s="479" t="s">
        <v>295</v>
      </c>
      <c r="D114" s="479" t="s">
        <v>2217</v>
      </c>
      <c r="E114" s="479" t="s">
        <v>2640</v>
      </c>
      <c r="F114" s="479" t="s">
        <v>289</v>
      </c>
      <c r="G114" s="483" t="s">
        <v>99</v>
      </c>
      <c r="H114" s="483" t="s">
        <v>298</v>
      </c>
      <c r="I114" s="484" t="s">
        <v>2612</v>
      </c>
      <c r="J114" s="485">
        <v>1086219</v>
      </c>
      <c r="K114" s="485"/>
      <c r="L114" s="512">
        <f t="shared" si="12"/>
        <v>1086219</v>
      </c>
      <c r="M114" s="485">
        <v>575778</v>
      </c>
    </row>
    <row r="115" spans="1:13" s="3" customFormat="1" ht="113.45" customHeight="1">
      <c r="A115" s="28" t="s">
        <v>2067</v>
      </c>
      <c r="B115" s="28" t="s">
        <v>287</v>
      </c>
      <c r="C115" s="28" t="s">
        <v>295</v>
      </c>
      <c r="D115" s="28" t="s">
        <v>2217</v>
      </c>
      <c r="E115" s="28" t="s">
        <v>2641</v>
      </c>
      <c r="F115" s="28" t="s">
        <v>289</v>
      </c>
      <c r="G115" s="30" t="s">
        <v>99</v>
      </c>
      <c r="H115" s="30" t="s">
        <v>298</v>
      </c>
      <c r="I115" s="7" t="s">
        <v>2609</v>
      </c>
      <c r="J115" s="368">
        <v>16045000</v>
      </c>
      <c r="K115" s="368">
        <f>(228690+1650828)</f>
        <v>1879518</v>
      </c>
      <c r="L115" s="512">
        <f t="shared" si="12"/>
        <v>17924518</v>
      </c>
      <c r="M115" s="368">
        <v>17924518</v>
      </c>
    </row>
    <row r="116" spans="1:13" s="3" customFormat="1" ht="113.45" customHeight="1">
      <c r="A116" s="28" t="s">
        <v>2067</v>
      </c>
      <c r="B116" s="28" t="s">
        <v>287</v>
      </c>
      <c r="C116" s="28" t="s">
        <v>295</v>
      </c>
      <c r="D116" s="28" t="s">
        <v>2217</v>
      </c>
      <c r="E116" s="28" t="s">
        <v>2641</v>
      </c>
      <c r="F116" s="28" t="s">
        <v>289</v>
      </c>
      <c r="G116" s="30" t="s">
        <v>99</v>
      </c>
      <c r="H116" s="30" t="s">
        <v>298</v>
      </c>
      <c r="I116" s="7" t="s">
        <v>2608</v>
      </c>
      <c r="J116" s="96">
        <v>1825000</v>
      </c>
      <c r="K116" s="96">
        <f>(170624+232689)</f>
        <v>403313</v>
      </c>
      <c r="L116" s="512">
        <f t="shared" si="12"/>
        <v>2228313</v>
      </c>
      <c r="M116" s="96">
        <v>2228312</v>
      </c>
    </row>
    <row r="117" spans="1:13" s="3" customFormat="1" ht="95.45" customHeight="1">
      <c r="A117" s="28" t="s">
        <v>2067</v>
      </c>
      <c r="B117" s="28" t="s">
        <v>287</v>
      </c>
      <c r="C117" s="28" t="s">
        <v>295</v>
      </c>
      <c r="D117" s="28" t="s">
        <v>2217</v>
      </c>
      <c r="E117" s="28" t="s">
        <v>2642</v>
      </c>
      <c r="F117" s="28" t="s">
        <v>289</v>
      </c>
      <c r="G117" s="30" t="s">
        <v>99</v>
      </c>
      <c r="H117" s="30" t="s">
        <v>298</v>
      </c>
      <c r="I117" s="7" t="s">
        <v>2607</v>
      </c>
      <c r="J117" s="96">
        <v>1580000</v>
      </c>
      <c r="K117" s="96">
        <v>-202292</v>
      </c>
      <c r="L117" s="512">
        <f t="shared" si="12"/>
        <v>1377708</v>
      </c>
      <c r="M117" s="96">
        <v>1377708</v>
      </c>
    </row>
    <row r="118" spans="1:13" s="3" customFormat="1" ht="84" customHeight="1">
      <c r="A118" s="28" t="s">
        <v>2067</v>
      </c>
      <c r="B118" s="28" t="s">
        <v>287</v>
      </c>
      <c r="C118" s="28" t="s">
        <v>295</v>
      </c>
      <c r="D118" s="28" t="s">
        <v>2217</v>
      </c>
      <c r="E118" s="28" t="s">
        <v>3218</v>
      </c>
      <c r="F118" s="28" t="s">
        <v>289</v>
      </c>
      <c r="G118" s="30" t="s">
        <v>99</v>
      </c>
      <c r="H118" s="30" t="s">
        <v>298</v>
      </c>
      <c r="I118" s="7" t="s">
        <v>3217</v>
      </c>
      <c r="J118" s="96">
        <v>643000</v>
      </c>
      <c r="K118" s="96"/>
      <c r="L118" s="512">
        <f t="shared" si="12"/>
        <v>643000</v>
      </c>
      <c r="M118" s="96">
        <v>642973</v>
      </c>
    </row>
    <row r="119" spans="1:13" s="3" customFormat="1" ht="16.149999999999999" customHeight="1">
      <c r="A119" s="27" t="s">
        <v>96</v>
      </c>
      <c r="B119" s="27" t="s">
        <v>287</v>
      </c>
      <c r="C119" s="27" t="s">
        <v>295</v>
      </c>
      <c r="D119" s="27" t="s">
        <v>2616</v>
      </c>
      <c r="E119" s="27" t="s">
        <v>96</v>
      </c>
      <c r="F119" s="27" t="s">
        <v>98</v>
      </c>
      <c r="G119" s="29" t="s">
        <v>99</v>
      </c>
      <c r="H119" s="29" t="s">
        <v>298</v>
      </c>
      <c r="I119" s="49" t="s">
        <v>335</v>
      </c>
      <c r="J119" s="98">
        <v>238997140</v>
      </c>
      <c r="K119" s="98">
        <f>SUM(K120:K168)</f>
        <v>800082</v>
      </c>
      <c r="L119" s="334">
        <f t="shared" si="12"/>
        <v>239797222</v>
      </c>
      <c r="M119" s="98">
        <f>SUM(M120:M168)</f>
        <v>190910249</v>
      </c>
    </row>
    <row r="120" spans="1:13" s="3" customFormat="1" ht="100.9" customHeight="1">
      <c r="A120" s="28" t="s">
        <v>1138</v>
      </c>
      <c r="B120" s="28" t="s">
        <v>2490</v>
      </c>
      <c r="C120" s="28" t="s">
        <v>295</v>
      </c>
      <c r="D120" s="28" t="s">
        <v>2616</v>
      </c>
      <c r="E120" s="28" t="s">
        <v>2644</v>
      </c>
      <c r="F120" s="28" t="s">
        <v>289</v>
      </c>
      <c r="G120" s="30" t="s">
        <v>2513</v>
      </c>
      <c r="H120" s="30" t="s">
        <v>298</v>
      </c>
      <c r="I120" s="7" t="s">
        <v>2569</v>
      </c>
      <c r="J120" s="97">
        <v>18461947.280000001</v>
      </c>
      <c r="K120" s="97"/>
      <c r="L120" s="512">
        <f t="shared" si="12"/>
        <v>18461947.280000001</v>
      </c>
      <c r="M120" s="97">
        <v>18461947</v>
      </c>
    </row>
    <row r="121" spans="1:13" s="3" customFormat="1" ht="96.6" customHeight="1">
      <c r="A121" s="28" t="s">
        <v>384</v>
      </c>
      <c r="B121" s="28" t="s">
        <v>287</v>
      </c>
      <c r="C121" s="28" t="s">
        <v>295</v>
      </c>
      <c r="D121" s="28" t="s">
        <v>2616</v>
      </c>
      <c r="E121" s="28" t="s">
        <v>2644</v>
      </c>
      <c r="F121" s="28" t="s">
        <v>289</v>
      </c>
      <c r="G121" s="30" t="s">
        <v>2554</v>
      </c>
      <c r="H121" s="30" t="s">
        <v>298</v>
      </c>
      <c r="I121" s="7" t="s">
        <v>2570</v>
      </c>
      <c r="J121" s="97">
        <v>328000</v>
      </c>
      <c r="K121" s="97"/>
      <c r="L121" s="512">
        <f t="shared" si="12"/>
        <v>328000</v>
      </c>
      <c r="M121" s="97">
        <v>117400</v>
      </c>
    </row>
    <row r="122" spans="1:13" s="3" customFormat="1" ht="65.25" customHeight="1">
      <c r="A122" s="28" t="s">
        <v>2062</v>
      </c>
      <c r="B122" s="28" t="s">
        <v>287</v>
      </c>
      <c r="C122" s="28" t="s">
        <v>295</v>
      </c>
      <c r="D122" s="28" t="s">
        <v>2616</v>
      </c>
      <c r="E122" s="28" t="s">
        <v>2644</v>
      </c>
      <c r="F122" s="28" t="s">
        <v>289</v>
      </c>
      <c r="G122" s="30" t="s">
        <v>3063</v>
      </c>
      <c r="H122" s="30" t="s">
        <v>298</v>
      </c>
      <c r="I122" s="7" t="s">
        <v>3064</v>
      </c>
      <c r="J122" s="97">
        <v>1631745</v>
      </c>
      <c r="K122" s="97">
        <v>-96930</v>
      </c>
      <c r="L122" s="512">
        <f t="shared" si="12"/>
        <v>1534815</v>
      </c>
      <c r="M122" s="97">
        <v>1479057</v>
      </c>
    </row>
    <row r="123" spans="1:13" s="3" customFormat="1" ht="68.25" customHeight="1">
      <c r="A123" s="28" t="s">
        <v>2062</v>
      </c>
      <c r="B123" s="28" t="s">
        <v>287</v>
      </c>
      <c r="C123" s="28" t="s">
        <v>295</v>
      </c>
      <c r="D123" s="28" t="s">
        <v>2616</v>
      </c>
      <c r="E123" s="28" t="s">
        <v>2644</v>
      </c>
      <c r="F123" s="28" t="s">
        <v>289</v>
      </c>
      <c r="G123" s="30" t="s">
        <v>2555</v>
      </c>
      <c r="H123" s="30" t="s">
        <v>298</v>
      </c>
      <c r="I123" s="7" t="s">
        <v>2518</v>
      </c>
      <c r="J123" s="97">
        <v>2908080</v>
      </c>
      <c r="K123" s="97">
        <f>(-18620-346491)</f>
        <v>-365111</v>
      </c>
      <c r="L123" s="512">
        <f t="shared" si="12"/>
        <v>2542969</v>
      </c>
      <c r="M123" s="97">
        <v>692975</v>
      </c>
    </row>
    <row r="124" spans="1:13" s="3" customFormat="1" ht="64.5" customHeight="1">
      <c r="A124" s="28" t="s">
        <v>2062</v>
      </c>
      <c r="B124" s="28" t="s">
        <v>287</v>
      </c>
      <c r="C124" s="28" t="s">
        <v>295</v>
      </c>
      <c r="D124" s="28" t="s">
        <v>2616</v>
      </c>
      <c r="E124" s="28" t="s">
        <v>2644</v>
      </c>
      <c r="F124" s="28" t="s">
        <v>289</v>
      </c>
      <c r="G124" s="30" t="s">
        <v>2449</v>
      </c>
      <c r="H124" s="30" t="s">
        <v>298</v>
      </c>
      <c r="I124" s="7" t="s">
        <v>2519</v>
      </c>
      <c r="J124" s="97">
        <v>16815001</v>
      </c>
      <c r="K124" s="97"/>
      <c r="L124" s="512">
        <f t="shared" si="12"/>
        <v>16815001</v>
      </c>
      <c r="M124" s="97">
        <v>12713921</v>
      </c>
    </row>
    <row r="125" spans="1:13" s="3" customFormat="1" ht="67.150000000000006" customHeight="1">
      <c r="A125" s="28" t="s">
        <v>2062</v>
      </c>
      <c r="B125" s="28" t="s">
        <v>287</v>
      </c>
      <c r="C125" s="28" t="s">
        <v>295</v>
      </c>
      <c r="D125" s="28" t="s">
        <v>2616</v>
      </c>
      <c r="E125" s="28" t="s">
        <v>2644</v>
      </c>
      <c r="F125" s="28" t="s">
        <v>289</v>
      </c>
      <c r="G125" s="30" t="s">
        <v>2515</v>
      </c>
      <c r="H125" s="30" t="s">
        <v>298</v>
      </c>
      <c r="I125" s="7" t="s">
        <v>2566</v>
      </c>
      <c r="J125" s="97">
        <v>17801414</v>
      </c>
      <c r="K125" s="97">
        <v>118536</v>
      </c>
      <c r="L125" s="512">
        <f t="shared" si="12"/>
        <v>17919950</v>
      </c>
      <c r="M125" s="97">
        <v>16449948</v>
      </c>
    </row>
    <row r="126" spans="1:13" s="3" customFormat="1" ht="70.5" customHeight="1">
      <c r="A126" s="28" t="s">
        <v>2062</v>
      </c>
      <c r="B126" s="28" t="s">
        <v>287</v>
      </c>
      <c r="C126" s="28" t="s">
        <v>295</v>
      </c>
      <c r="D126" s="28" t="s">
        <v>2616</v>
      </c>
      <c r="E126" s="28" t="s">
        <v>2644</v>
      </c>
      <c r="F126" s="28" t="s">
        <v>289</v>
      </c>
      <c r="G126" s="30" t="s">
        <v>2567</v>
      </c>
      <c r="H126" s="30" t="s">
        <v>298</v>
      </c>
      <c r="I126" s="7" t="s">
        <v>2568</v>
      </c>
      <c r="J126" s="97">
        <v>35725419</v>
      </c>
      <c r="K126" s="97">
        <v>-569187</v>
      </c>
      <c r="L126" s="512">
        <f t="shared" si="12"/>
        <v>35156232</v>
      </c>
      <c r="M126" s="97">
        <v>30149621</v>
      </c>
    </row>
    <row r="127" spans="1:13" s="3" customFormat="1" ht="67.150000000000006" customHeight="1">
      <c r="A127" s="28" t="s">
        <v>2062</v>
      </c>
      <c r="B127" s="28" t="s">
        <v>287</v>
      </c>
      <c r="C127" s="28" t="s">
        <v>295</v>
      </c>
      <c r="D127" s="28" t="s">
        <v>2616</v>
      </c>
      <c r="E127" s="28" t="s">
        <v>2644</v>
      </c>
      <c r="F127" s="28" t="s">
        <v>289</v>
      </c>
      <c r="G127" s="30" t="s">
        <v>2556</v>
      </c>
      <c r="H127" s="30" t="s">
        <v>298</v>
      </c>
      <c r="I127" s="342" t="s">
        <v>2520</v>
      </c>
      <c r="J127" s="97">
        <v>1942855</v>
      </c>
      <c r="K127" s="97"/>
      <c r="L127" s="512">
        <f t="shared" si="12"/>
        <v>1942855</v>
      </c>
      <c r="M127" s="97">
        <v>1812625</v>
      </c>
    </row>
    <row r="128" spans="1:13" s="3" customFormat="1" ht="51.6" customHeight="1">
      <c r="A128" s="28" t="s">
        <v>2062</v>
      </c>
      <c r="B128" s="28" t="s">
        <v>287</v>
      </c>
      <c r="C128" s="28" t="s">
        <v>295</v>
      </c>
      <c r="D128" s="28" t="s">
        <v>2616</v>
      </c>
      <c r="E128" s="28" t="s">
        <v>2644</v>
      </c>
      <c r="F128" s="28" t="s">
        <v>289</v>
      </c>
      <c r="G128" s="30" t="s">
        <v>2447</v>
      </c>
      <c r="H128" s="30" t="s">
        <v>298</v>
      </c>
      <c r="I128" s="7" t="s">
        <v>3065</v>
      </c>
      <c r="J128" s="97">
        <v>1800000</v>
      </c>
      <c r="K128" s="97"/>
      <c r="L128" s="512">
        <f t="shared" si="12"/>
        <v>1800000</v>
      </c>
      <c r="M128" s="97">
        <v>1800000</v>
      </c>
    </row>
    <row r="129" spans="1:13" s="3" customFormat="1" ht="78.75" customHeight="1">
      <c r="A129" s="28" t="s">
        <v>2066</v>
      </c>
      <c r="B129" s="28" t="s">
        <v>287</v>
      </c>
      <c r="C129" s="28" t="s">
        <v>295</v>
      </c>
      <c r="D129" s="28" t="s">
        <v>2616</v>
      </c>
      <c r="E129" s="28" t="s">
        <v>2644</v>
      </c>
      <c r="F129" s="28" t="s">
        <v>289</v>
      </c>
      <c r="G129" s="30" t="s">
        <v>3040</v>
      </c>
      <c r="H129" s="30" t="s">
        <v>298</v>
      </c>
      <c r="I129" s="7" t="s">
        <v>3228</v>
      </c>
      <c r="J129" s="97">
        <v>4295456</v>
      </c>
      <c r="K129" s="97">
        <v>64490</v>
      </c>
      <c r="L129" s="512">
        <f t="shared" si="12"/>
        <v>4359946</v>
      </c>
      <c r="M129" s="97">
        <v>4359945</v>
      </c>
    </row>
    <row r="130" spans="1:13" s="3" customFormat="1" ht="67.150000000000006" customHeight="1">
      <c r="A130" s="28" t="s">
        <v>2066</v>
      </c>
      <c r="B130" s="28" t="s">
        <v>287</v>
      </c>
      <c r="C130" s="28" t="s">
        <v>295</v>
      </c>
      <c r="D130" s="28" t="s">
        <v>2616</v>
      </c>
      <c r="E130" s="28" t="s">
        <v>2644</v>
      </c>
      <c r="F130" s="28" t="s">
        <v>289</v>
      </c>
      <c r="G130" s="30" t="s">
        <v>3041</v>
      </c>
      <c r="H130" s="30" t="s">
        <v>298</v>
      </c>
      <c r="I130" s="7" t="s">
        <v>3042</v>
      </c>
      <c r="J130" s="97">
        <v>19290328.850000001</v>
      </c>
      <c r="K130" s="97">
        <f>(116029+482778)</f>
        <v>598807</v>
      </c>
      <c r="L130" s="512">
        <f t="shared" si="12"/>
        <v>19889135.850000001</v>
      </c>
      <c r="M130" s="97">
        <v>14375162</v>
      </c>
    </row>
    <row r="131" spans="1:13" s="3" customFormat="1" ht="51.6" customHeight="1">
      <c r="A131" s="28" t="s">
        <v>2066</v>
      </c>
      <c r="B131" s="28" t="s">
        <v>287</v>
      </c>
      <c r="C131" s="28" t="s">
        <v>295</v>
      </c>
      <c r="D131" s="28" t="s">
        <v>2616</v>
      </c>
      <c r="E131" s="28" t="s">
        <v>2644</v>
      </c>
      <c r="F131" s="28" t="s">
        <v>289</v>
      </c>
      <c r="G131" s="30" t="s">
        <v>2517</v>
      </c>
      <c r="H131" s="30" t="s">
        <v>298</v>
      </c>
      <c r="I131" s="7" t="s">
        <v>2516</v>
      </c>
      <c r="J131" s="97">
        <v>3194616</v>
      </c>
      <c r="K131" s="97"/>
      <c r="L131" s="512">
        <f t="shared" si="12"/>
        <v>3194616</v>
      </c>
      <c r="M131" s="97">
        <v>2823130</v>
      </c>
    </row>
    <row r="132" spans="1:13" s="3" customFormat="1" ht="66" customHeight="1">
      <c r="A132" s="28" t="s">
        <v>2062</v>
      </c>
      <c r="B132" s="28" t="s">
        <v>287</v>
      </c>
      <c r="C132" s="28" t="s">
        <v>295</v>
      </c>
      <c r="D132" s="28" t="s">
        <v>2616</v>
      </c>
      <c r="E132" s="28" t="s">
        <v>2644</v>
      </c>
      <c r="F132" s="28" t="s">
        <v>289</v>
      </c>
      <c r="G132" s="30" t="s">
        <v>2557</v>
      </c>
      <c r="H132" s="30" t="s">
        <v>298</v>
      </c>
      <c r="I132" s="7" t="s">
        <v>3066</v>
      </c>
      <c r="J132" s="97">
        <v>7173000</v>
      </c>
      <c r="K132" s="97"/>
      <c r="L132" s="512">
        <f t="shared" si="12"/>
        <v>7173000</v>
      </c>
      <c r="M132" s="97">
        <v>4781600</v>
      </c>
    </row>
    <row r="133" spans="1:13" s="3" customFormat="1" ht="67.150000000000006" customHeight="1">
      <c r="A133" s="28" t="s">
        <v>2062</v>
      </c>
      <c r="B133" s="28" t="s">
        <v>287</v>
      </c>
      <c r="C133" s="28" t="s">
        <v>295</v>
      </c>
      <c r="D133" s="28" t="s">
        <v>2616</v>
      </c>
      <c r="E133" s="28" t="s">
        <v>2644</v>
      </c>
      <c r="F133" s="28" t="s">
        <v>289</v>
      </c>
      <c r="G133" s="30" t="s">
        <v>2461</v>
      </c>
      <c r="H133" s="30" t="s">
        <v>298</v>
      </c>
      <c r="I133" s="7" t="s">
        <v>3067</v>
      </c>
      <c r="J133" s="97">
        <v>510000</v>
      </c>
      <c r="K133" s="97"/>
      <c r="L133" s="512">
        <f t="shared" si="12"/>
        <v>510000</v>
      </c>
      <c r="M133" s="97">
        <v>288950</v>
      </c>
    </row>
    <row r="134" spans="1:13" s="3" customFormat="1" ht="77.25" customHeight="1">
      <c r="A134" s="28" t="s">
        <v>2066</v>
      </c>
      <c r="B134" s="28" t="s">
        <v>287</v>
      </c>
      <c r="C134" s="28" t="s">
        <v>295</v>
      </c>
      <c r="D134" s="28" t="s">
        <v>2616</v>
      </c>
      <c r="E134" s="28" t="s">
        <v>2644</v>
      </c>
      <c r="F134" s="28" t="s">
        <v>289</v>
      </c>
      <c r="G134" s="30" t="s">
        <v>2558</v>
      </c>
      <c r="H134" s="30" t="s">
        <v>298</v>
      </c>
      <c r="I134" s="7" t="s">
        <v>2514</v>
      </c>
      <c r="J134" s="97">
        <v>60000</v>
      </c>
      <c r="K134" s="97"/>
      <c r="L134" s="512">
        <f t="shared" si="12"/>
        <v>60000</v>
      </c>
      <c r="M134" s="97">
        <v>12800</v>
      </c>
    </row>
    <row r="135" spans="1:13" s="3" customFormat="1" ht="50.25" customHeight="1">
      <c r="A135" s="28" t="s">
        <v>2062</v>
      </c>
      <c r="B135" s="28" t="s">
        <v>287</v>
      </c>
      <c r="C135" s="28" t="s">
        <v>295</v>
      </c>
      <c r="D135" s="28" t="s">
        <v>2616</v>
      </c>
      <c r="E135" s="28" t="s">
        <v>2644</v>
      </c>
      <c r="F135" s="28" t="s">
        <v>289</v>
      </c>
      <c r="G135" s="30" t="s">
        <v>2494</v>
      </c>
      <c r="H135" s="30" t="s">
        <v>298</v>
      </c>
      <c r="I135" s="7" t="s">
        <v>2524</v>
      </c>
      <c r="J135" s="97">
        <v>6900000</v>
      </c>
      <c r="K135" s="97"/>
      <c r="L135" s="512">
        <f t="shared" si="12"/>
        <v>6900000</v>
      </c>
      <c r="M135" s="97">
        <v>6400465</v>
      </c>
    </row>
    <row r="136" spans="1:13" s="3" customFormat="1" ht="50.25" customHeight="1">
      <c r="A136" s="28" t="s">
        <v>2063</v>
      </c>
      <c r="B136" s="28" t="s">
        <v>287</v>
      </c>
      <c r="C136" s="28" t="s">
        <v>295</v>
      </c>
      <c r="D136" s="28" t="s">
        <v>2616</v>
      </c>
      <c r="E136" s="28" t="s">
        <v>2644</v>
      </c>
      <c r="F136" s="28" t="s">
        <v>289</v>
      </c>
      <c r="G136" s="30" t="s">
        <v>3055</v>
      </c>
      <c r="H136" s="30" t="s">
        <v>298</v>
      </c>
      <c r="I136" s="7" t="s">
        <v>3056</v>
      </c>
      <c r="J136" s="97">
        <v>1400000</v>
      </c>
      <c r="K136" s="97"/>
      <c r="L136" s="512">
        <f t="shared" si="12"/>
        <v>1400000</v>
      </c>
      <c r="M136" s="97">
        <v>1400000</v>
      </c>
    </row>
    <row r="137" spans="1:13" s="3" customFormat="1" ht="50.25" customHeight="1">
      <c r="A137" s="28" t="s">
        <v>2065</v>
      </c>
      <c r="B137" s="28" t="s">
        <v>287</v>
      </c>
      <c r="C137" s="28" t="s">
        <v>295</v>
      </c>
      <c r="D137" s="28" t="s">
        <v>2616</v>
      </c>
      <c r="E137" s="28" t="s">
        <v>2644</v>
      </c>
      <c r="F137" s="28" t="s">
        <v>289</v>
      </c>
      <c r="G137" s="30" t="s">
        <v>3053</v>
      </c>
      <c r="H137" s="30" t="s">
        <v>298</v>
      </c>
      <c r="I137" s="7" t="s">
        <v>3054</v>
      </c>
      <c r="J137" s="97">
        <v>200000</v>
      </c>
      <c r="K137" s="97"/>
      <c r="L137" s="512">
        <f t="shared" si="12"/>
        <v>200000</v>
      </c>
      <c r="M137" s="97">
        <v>200000</v>
      </c>
    </row>
    <row r="138" spans="1:13" s="3" customFormat="1" ht="37.9" customHeight="1">
      <c r="A138" s="28" t="s">
        <v>2062</v>
      </c>
      <c r="B138" s="28" t="s">
        <v>287</v>
      </c>
      <c r="C138" s="28" t="s">
        <v>295</v>
      </c>
      <c r="D138" s="28" t="s">
        <v>2616</v>
      </c>
      <c r="E138" s="28" t="s">
        <v>2644</v>
      </c>
      <c r="F138" s="28" t="s">
        <v>289</v>
      </c>
      <c r="G138" s="30" t="s">
        <v>2559</v>
      </c>
      <c r="H138" s="30" t="s">
        <v>298</v>
      </c>
      <c r="I138" s="7" t="s">
        <v>2521</v>
      </c>
      <c r="J138" s="97">
        <v>8000000</v>
      </c>
      <c r="K138" s="97"/>
      <c r="L138" s="512">
        <f t="shared" si="12"/>
        <v>8000000</v>
      </c>
      <c r="M138" s="97">
        <v>7673160</v>
      </c>
    </row>
    <row r="139" spans="1:13" s="3" customFormat="1" ht="70.150000000000006" customHeight="1">
      <c r="A139" s="28" t="s">
        <v>2062</v>
      </c>
      <c r="B139" s="28" t="s">
        <v>287</v>
      </c>
      <c r="C139" s="28" t="s">
        <v>295</v>
      </c>
      <c r="D139" s="28" t="s">
        <v>2616</v>
      </c>
      <c r="E139" s="28" t="s">
        <v>2644</v>
      </c>
      <c r="F139" s="28" t="s">
        <v>289</v>
      </c>
      <c r="G139" s="30" t="s">
        <v>2560</v>
      </c>
      <c r="H139" s="30" t="s">
        <v>298</v>
      </c>
      <c r="I139" s="342" t="s">
        <v>2522</v>
      </c>
      <c r="J139" s="97">
        <v>2000000</v>
      </c>
      <c r="K139" s="97">
        <v>500000</v>
      </c>
      <c r="L139" s="512">
        <f t="shared" si="12"/>
        <v>2500000</v>
      </c>
      <c r="M139" s="97">
        <v>1912055</v>
      </c>
    </row>
    <row r="140" spans="1:13" s="3" customFormat="1" ht="51" customHeight="1">
      <c r="A140" s="28" t="s">
        <v>2062</v>
      </c>
      <c r="B140" s="28" t="s">
        <v>287</v>
      </c>
      <c r="C140" s="28" t="s">
        <v>295</v>
      </c>
      <c r="D140" s="28" t="s">
        <v>2616</v>
      </c>
      <c r="E140" s="28" t="s">
        <v>2644</v>
      </c>
      <c r="F140" s="28" t="s">
        <v>289</v>
      </c>
      <c r="G140" s="30" t="s">
        <v>2561</v>
      </c>
      <c r="H140" s="30" t="s">
        <v>298</v>
      </c>
      <c r="I140" s="7" t="s">
        <v>2523</v>
      </c>
      <c r="J140" s="97">
        <v>24704382.5</v>
      </c>
      <c r="K140" s="97">
        <f>(2322398-91530)</f>
        <v>2230868</v>
      </c>
      <c r="L140" s="512">
        <f t="shared" si="12"/>
        <v>26935250.5</v>
      </c>
      <c r="M140" s="97">
        <v>16169126</v>
      </c>
    </row>
    <row r="141" spans="1:13" s="3" customFormat="1" ht="83.45" customHeight="1">
      <c r="A141" s="28" t="s">
        <v>384</v>
      </c>
      <c r="B141" s="28" t="s">
        <v>287</v>
      </c>
      <c r="C141" s="28" t="s">
        <v>295</v>
      </c>
      <c r="D141" s="28" t="s">
        <v>2616</v>
      </c>
      <c r="E141" s="28" t="s">
        <v>2644</v>
      </c>
      <c r="F141" s="28" t="s">
        <v>289</v>
      </c>
      <c r="G141" s="30" t="s">
        <v>2562</v>
      </c>
      <c r="H141" s="30" t="s">
        <v>298</v>
      </c>
      <c r="I141" s="7" t="s">
        <v>2563</v>
      </c>
      <c r="J141" s="97">
        <v>250000</v>
      </c>
      <c r="K141" s="97"/>
      <c r="L141" s="512">
        <f t="shared" si="12"/>
        <v>250000</v>
      </c>
      <c r="M141" s="97">
        <v>248500</v>
      </c>
    </row>
    <row r="142" spans="1:13" s="3" customFormat="1" ht="68.25" hidden="1" customHeight="1">
      <c r="A142" s="28" t="s">
        <v>2066</v>
      </c>
      <c r="B142" s="28" t="s">
        <v>287</v>
      </c>
      <c r="C142" s="28" t="s">
        <v>295</v>
      </c>
      <c r="D142" s="28" t="s">
        <v>2616</v>
      </c>
      <c r="E142" s="28" t="s">
        <v>2644</v>
      </c>
      <c r="F142" s="28" t="s">
        <v>289</v>
      </c>
      <c r="G142" s="30" t="s">
        <v>3043</v>
      </c>
      <c r="H142" s="30" t="s">
        <v>298</v>
      </c>
      <c r="I142" s="7" t="s">
        <v>3044</v>
      </c>
      <c r="J142" s="97">
        <v>100000</v>
      </c>
      <c r="K142" s="97"/>
      <c r="L142" s="512">
        <f t="shared" si="12"/>
        <v>100000</v>
      </c>
      <c r="M142" s="97">
        <v>0</v>
      </c>
    </row>
    <row r="143" spans="1:13" s="3" customFormat="1" ht="54.75" customHeight="1">
      <c r="A143" s="28" t="s">
        <v>2062</v>
      </c>
      <c r="B143" s="28" t="s">
        <v>287</v>
      </c>
      <c r="C143" s="28" t="s">
        <v>295</v>
      </c>
      <c r="D143" s="28" t="s">
        <v>2616</v>
      </c>
      <c r="E143" s="28" t="s">
        <v>2644</v>
      </c>
      <c r="F143" s="28" t="s">
        <v>289</v>
      </c>
      <c r="G143" s="30" t="s">
        <v>2564</v>
      </c>
      <c r="H143" s="30" t="s">
        <v>298</v>
      </c>
      <c r="I143" s="7" t="s">
        <v>3068</v>
      </c>
      <c r="J143" s="97">
        <v>150000</v>
      </c>
      <c r="K143" s="97"/>
      <c r="L143" s="512">
        <f t="shared" si="12"/>
        <v>150000</v>
      </c>
      <c r="M143" s="97">
        <v>120483</v>
      </c>
    </row>
    <row r="144" spans="1:13" s="3" customFormat="1" ht="65.25" customHeight="1">
      <c r="A144" s="28" t="s">
        <v>2062</v>
      </c>
      <c r="B144" s="28" t="s">
        <v>2490</v>
      </c>
      <c r="C144" s="28" t="s">
        <v>295</v>
      </c>
      <c r="D144" s="28" t="s">
        <v>2616</v>
      </c>
      <c r="E144" s="28" t="s">
        <v>2644</v>
      </c>
      <c r="F144" s="28" t="s">
        <v>289</v>
      </c>
      <c r="G144" s="30" t="s">
        <v>2565</v>
      </c>
      <c r="H144" s="30" t="s">
        <v>298</v>
      </c>
      <c r="I144" s="7" t="s">
        <v>3069</v>
      </c>
      <c r="J144" s="97">
        <v>1100000</v>
      </c>
      <c r="K144" s="97"/>
      <c r="L144" s="512">
        <f t="shared" si="12"/>
        <v>1100000</v>
      </c>
      <c r="M144" s="97">
        <v>857717</v>
      </c>
    </row>
    <row r="145" spans="1:13" s="3" customFormat="1" ht="0.6" customHeight="1">
      <c r="A145" s="28" t="s">
        <v>2066</v>
      </c>
      <c r="B145" s="28" t="s">
        <v>287</v>
      </c>
      <c r="C145" s="28" t="s">
        <v>295</v>
      </c>
      <c r="D145" s="28" t="s">
        <v>2616</v>
      </c>
      <c r="E145" s="28" t="s">
        <v>2644</v>
      </c>
      <c r="F145" s="28" t="s">
        <v>289</v>
      </c>
      <c r="G145" s="30" t="s">
        <v>3045</v>
      </c>
      <c r="H145" s="30" t="s">
        <v>298</v>
      </c>
      <c r="I145" s="7" t="s">
        <v>3046</v>
      </c>
      <c r="J145" s="97">
        <v>0</v>
      </c>
      <c r="K145" s="97"/>
      <c r="L145" s="512">
        <f t="shared" si="12"/>
        <v>0</v>
      </c>
      <c r="M145" s="97"/>
    </row>
    <row r="146" spans="1:13" s="3" customFormat="1" ht="48.75" customHeight="1">
      <c r="A146" s="28" t="s">
        <v>2063</v>
      </c>
      <c r="B146" s="28" t="s">
        <v>287</v>
      </c>
      <c r="C146" s="28" t="s">
        <v>295</v>
      </c>
      <c r="D146" s="28" t="s">
        <v>2616</v>
      </c>
      <c r="E146" s="28" t="s">
        <v>2644</v>
      </c>
      <c r="F146" s="28" t="s">
        <v>289</v>
      </c>
      <c r="G146" s="30" t="s">
        <v>3057</v>
      </c>
      <c r="H146" s="30" t="s">
        <v>298</v>
      </c>
      <c r="I146" s="7" t="s">
        <v>3058</v>
      </c>
      <c r="J146" s="97">
        <v>900000</v>
      </c>
      <c r="K146" s="97"/>
      <c r="L146" s="512">
        <f t="shared" si="12"/>
        <v>900000</v>
      </c>
      <c r="M146" s="97">
        <v>900000</v>
      </c>
    </row>
    <row r="147" spans="1:13" s="3" customFormat="1" ht="66" customHeight="1">
      <c r="A147" s="28" t="s">
        <v>2062</v>
      </c>
      <c r="B147" s="28" t="s">
        <v>287</v>
      </c>
      <c r="C147" s="28" t="s">
        <v>295</v>
      </c>
      <c r="D147" s="28" t="s">
        <v>2616</v>
      </c>
      <c r="E147" s="28" t="s">
        <v>2644</v>
      </c>
      <c r="F147" s="28" t="s">
        <v>289</v>
      </c>
      <c r="G147" s="30" t="s">
        <v>3070</v>
      </c>
      <c r="H147" s="30" t="s">
        <v>298</v>
      </c>
      <c r="I147" s="7" t="s">
        <v>3071</v>
      </c>
      <c r="J147" s="97">
        <v>10051463</v>
      </c>
      <c r="K147" s="97">
        <v>-2876283</v>
      </c>
      <c r="L147" s="512">
        <f t="shared" si="12"/>
        <v>7175180</v>
      </c>
      <c r="M147" s="97">
        <v>4348404</v>
      </c>
    </row>
    <row r="148" spans="1:13" s="3" customFormat="1" ht="78" customHeight="1">
      <c r="A148" s="28" t="s">
        <v>2066</v>
      </c>
      <c r="B148" s="28" t="s">
        <v>287</v>
      </c>
      <c r="C148" s="28" t="s">
        <v>295</v>
      </c>
      <c r="D148" s="28" t="s">
        <v>2616</v>
      </c>
      <c r="E148" s="28" t="s">
        <v>2644</v>
      </c>
      <c r="F148" s="28" t="s">
        <v>289</v>
      </c>
      <c r="G148" s="30" t="s">
        <v>3047</v>
      </c>
      <c r="H148" s="30" t="s">
        <v>298</v>
      </c>
      <c r="I148" s="7" t="s">
        <v>3048</v>
      </c>
      <c r="J148" s="97">
        <v>10337676</v>
      </c>
      <c r="K148" s="97">
        <v>1126621</v>
      </c>
      <c r="L148" s="512">
        <f t="shared" si="12"/>
        <v>11464297</v>
      </c>
      <c r="M148" s="97">
        <v>11369096</v>
      </c>
    </row>
    <row r="149" spans="1:13" s="3" customFormat="1" ht="78" hidden="1" customHeight="1">
      <c r="A149" s="28" t="s">
        <v>2062</v>
      </c>
      <c r="B149" s="28" t="s">
        <v>287</v>
      </c>
      <c r="C149" s="28" t="s">
        <v>295</v>
      </c>
      <c r="D149" s="28" t="s">
        <v>2616</v>
      </c>
      <c r="E149" s="28" t="s">
        <v>2644</v>
      </c>
      <c r="F149" s="28" t="s">
        <v>289</v>
      </c>
      <c r="G149" s="30" t="s">
        <v>3214</v>
      </c>
      <c r="H149" s="30" t="s">
        <v>298</v>
      </c>
      <c r="I149" s="7" t="s">
        <v>3215</v>
      </c>
      <c r="J149" s="97">
        <v>51000</v>
      </c>
      <c r="K149" s="97"/>
      <c r="L149" s="512">
        <f t="shared" si="12"/>
        <v>51000</v>
      </c>
      <c r="M149" s="97">
        <v>0</v>
      </c>
    </row>
    <row r="150" spans="1:13" s="3" customFormat="1" ht="64.150000000000006" hidden="1" customHeight="1">
      <c r="A150" s="28" t="s">
        <v>2066</v>
      </c>
      <c r="B150" s="28" t="s">
        <v>287</v>
      </c>
      <c r="C150" s="28" t="s">
        <v>295</v>
      </c>
      <c r="D150" s="28" t="s">
        <v>2616</v>
      </c>
      <c r="E150" s="28" t="s">
        <v>2644</v>
      </c>
      <c r="F150" s="28" t="s">
        <v>289</v>
      </c>
      <c r="G150" s="30" t="s">
        <v>3049</v>
      </c>
      <c r="H150" s="30" t="s">
        <v>298</v>
      </c>
      <c r="I150" s="7" t="s">
        <v>3050</v>
      </c>
      <c r="J150" s="97">
        <v>40000</v>
      </c>
      <c r="K150" s="97"/>
      <c r="L150" s="512">
        <f t="shared" si="12"/>
        <v>40000</v>
      </c>
      <c r="M150" s="97">
        <v>0</v>
      </c>
    </row>
    <row r="151" spans="1:13" s="3" customFormat="1" ht="64.150000000000006" customHeight="1">
      <c r="A151" s="28" t="s">
        <v>2063</v>
      </c>
      <c r="B151" s="28" t="s">
        <v>287</v>
      </c>
      <c r="C151" s="28" t="s">
        <v>295</v>
      </c>
      <c r="D151" s="28" t="s">
        <v>2616</v>
      </c>
      <c r="E151" s="28" t="s">
        <v>2644</v>
      </c>
      <c r="F151" s="28" t="s">
        <v>289</v>
      </c>
      <c r="G151" s="30" t="s">
        <v>3072</v>
      </c>
      <c r="H151" s="30" t="s">
        <v>298</v>
      </c>
      <c r="I151" s="7" t="s">
        <v>3073</v>
      </c>
      <c r="J151" s="97">
        <v>1408470</v>
      </c>
      <c r="K151" s="97">
        <v>91530</v>
      </c>
      <c r="L151" s="512">
        <f t="shared" si="12"/>
        <v>1500000</v>
      </c>
      <c r="M151" s="97">
        <v>1500000</v>
      </c>
    </row>
    <row r="152" spans="1:13" s="3" customFormat="1" ht="48.75" customHeight="1">
      <c r="A152" s="28" t="s">
        <v>2063</v>
      </c>
      <c r="B152" s="28" t="s">
        <v>287</v>
      </c>
      <c r="C152" s="28" t="s">
        <v>295</v>
      </c>
      <c r="D152" s="28" t="s">
        <v>2616</v>
      </c>
      <c r="E152" s="28" t="s">
        <v>2644</v>
      </c>
      <c r="F152" s="28" t="s">
        <v>289</v>
      </c>
      <c r="G152" s="30" t="s">
        <v>3059</v>
      </c>
      <c r="H152" s="30" t="s">
        <v>298</v>
      </c>
      <c r="I152" s="7" t="s">
        <v>3060</v>
      </c>
      <c r="J152" s="97">
        <v>150000</v>
      </c>
      <c r="K152" s="97"/>
      <c r="L152" s="512">
        <f t="shared" si="12"/>
        <v>150000</v>
      </c>
      <c r="M152" s="97">
        <v>148515</v>
      </c>
    </row>
    <row r="153" spans="1:13" s="3" customFormat="1" ht="65.25" customHeight="1">
      <c r="A153" s="28" t="s">
        <v>2062</v>
      </c>
      <c r="B153" s="28" t="s">
        <v>287</v>
      </c>
      <c r="C153" s="28" t="s">
        <v>295</v>
      </c>
      <c r="D153" s="28" t="s">
        <v>2616</v>
      </c>
      <c r="E153" s="28" t="s">
        <v>2644</v>
      </c>
      <c r="F153" s="28" t="s">
        <v>289</v>
      </c>
      <c r="G153" s="30" t="s">
        <v>3074</v>
      </c>
      <c r="H153" s="30" t="s">
        <v>298</v>
      </c>
      <c r="I153" s="7" t="s">
        <v>3075</v>
      </c>
      <c r="J153" s="97">
        <v>23114352</v>
      </c>
      <c r="K153" s="97">
        <v>-752743</v>
      </c>
      <c r="L153" s="512">
        <f t="shared" si="12"/>
        <v>22361609</v>
      </c>
      <c r="M153" s="97">
        <v>11664679</v>
      </c>
    </row>
    <row r="154" spans="1:13" s="3" customFormat="1" ht="64.150000000000006" customHeight="1">
      <c r="A154" s="28" t="s">
        <v>2063</v>
      </c>
      <c r="B154" s="28" t="s">
        <v>287</v>
      </c>
      <c r="C154" s="28" t="s">
        <v>295</v>
      </c>
      <c r="D154" s="28" t="s">
        <v>2616</v>
      </c>
      <c r="E154" s="28" t="s">
        <v>2644</v>
      </c>
      <c r="F154" s="28" t="s">
        <v>289</v>
      </c>
      <c r="G154" s="30" t="s">
        <v>3061</v>
      </c>
      <c r="H154" s="30" t="s">
        <v>298</v>
      </c>
      <c r="I154" s="7" t="s">
        <v>3062</v>
      </c>
      <c r="J154" s="97">
        <v>600000</v>
      </c>
      <c r="K154" s="97"/>
      <c r="L154" s="512">
        <f t="shared" si="12"/>
        <v>600000</v>
      </c>
      <c r="M154" s="97">
        <v>287744</v>
      </c>
    </row>
    <row r="155" spans="1:13" s="3" customFormat="1" ht="51" customHeight="1">
      <c r="A155" s="28" t="s">
        <v>2066</v>
      </c>
      <c r="B155" s="28" t="s">
        <v>287</v>
      </c>
      <c r="C155" s="28" t="s">
        <v>295</v>
      </c>
      <c r="D155" s="28" t="s">
        <v>2616</v>
      </c>
      <c r="E155" s="28" t="s">
        <v>2644</v>
      </c>
      <c r="F155" s="28" t="s">
        <v>289</v>
      </c>
      <c r="G155" s="30" t="s">
        <v>3051</v>
      </c>
      <c r="H155" s="30" t="s">
        <v>298</v>
      </c>
      <c r="I155" s="7" t="s">
        <v>3052</v>
      </c>
      <c r="J155" s="97">
        <v>904600</v>
      </c>
      <c r="K155" s="97"/>
      <c r="L155" s="512">
        <f t="shared" si="12"/>
        <v>904600</v>
      </c>
      <c r="M155" s="97">
        <v>904600</v>
      </c>
    </row>
    <row r="156" spans="1:13" s="3" customFormat="1" ht="49.5" customHeight="1">
      <c r="A156" s="28" t="s">
        <v>2066</v>
      </c>
      <c r="B156" s="28" t="s">
        <v>287</v>
      </c>
      <c r="C156" s="28" t="s">
        <v>295</v>
      </c>
      <c r="D156" s="28" t="s">
        <v>2616</v>
      </c>
      <c r="E156" s="28" t="s">
        <v>2644</v>
      </c>
      <c r="F156" s="28" t="s">
        <v>289</v>
      </c>
      <c r="G156" s="30" t="s">
        <v>3117</v>
      </c>
      <c r="H156" s="30" t="s">
        <v>298</v>
      </c>
      <c r="I156" s="7" t="s">
        <v>3118</v>
      </c>
      <c r="J156" s="97">
        <v>47376</v>
      </c>
      <c r="K156" s="97"/>
      <c r="L156" s="512">
        <f t="shared" si="12"/>
        <v>47376</v>
      </c>
      <c r="M156" s="97">
        <v>47376</v>
      </c>
    </row>
    <row r="157" spans="1:13" s="3" customFormat="1" ht="49.5" customHeight="1">
      <c r="A157" s="28" t="s">
        <v>2062</v>
      </c>
      <c r="B157" s="28" t="s">
        <v>287</v>
      </c>
      <c r="C157" s="28" t="s">
        <v>295</v>
      </c>
      <c r="D157" s="28" t="s">
        <v>2616</v>
      </c>
      <c r="E157" s="28" t="s">
        <v>2644</v>
      </c>
      <c r="F157" s="28" t="s">
        <v>289</v>
      </c>
      <c r="G157" s="30" t="s">
        <v>3134</v>
      </c>
      <c r="H157" s="30" t="s">
        <v>298</v>
      </c>
      <c r="I157" s="7" t="s">
        <v>3135</v>
      </c>
      <c r="J157" s="97">
        <v>600000</v>
      </c>
      <c r="K157" s="97">
        <v>-319452</v>
      </c>
      <c r="L157" s="512">
        <f t="shared" si="12"/>
        <v>280548</v>
      </c>
      <c r="M157" s="97">
        <v>280548</v>
      </c>
    </row>
    <row r="158" spans="1:13" s="3" customFormat="1" ht="76.5" customHeight="1">
      <c r="A158" s="28" t="s">
        <v>2062</v>
      </c>
      <c r="B158" s="28" t="s">
        <v>287</v>
      </c>
      <c r="C158" s="28" t="s">
        <v>295</v>
      </c>
      <c r="D158" s="28" t="s">
        <v>2616</v>
      </c>
      <c r="E158" s="28" t="s">
        <v>2644</v>
      </c>
      <c r="F158" s="28" t="s">
        <v>289</v>
      </c>
      <c r="G158" s="30" t="s">
        <v>3136</v>
      </c>
      <c r="H158" s="30" t="s">
        <v>298</v>
      </c>
      <c r="I158" s="7" t="s">
        <v>3137</v>
      </c>
      <c r="J158" s="97">
        <v>2303078</v>
      </c>
      <c r="K158" s="97"/>
      <c r="L158" s="512">
        <f t="shared" si="12"/>
        <v>2303078</v>
      </c>
      <c r="M158" s="97">
        <v>2303077</v>
      </c>
    </row>
    <row r="159" spans="1:13" s="3" customFormat="1" ht="66.75" customHeight="1">
      <c r="A159" s="28" t="s">
        <v>384</v>
      </c>
      <c r="B159" s="28" t="s">
        <v>287</v>
      </c>
      <c r="C159" s="28" t="s">
        <v>295</v>
      </c>
      <c r="D159" s="28" t="s">
        <v>2616</v>
      </c>
      <c r="E159" s="28" t="s">
        <v>2644</v>
      </c>
      <c r="F159" s="28" t="s">
        <v>289</v>
      </c>
      <c r="G159" s="30" t="s">
        <v>3119</v>
      </c>
      <c r="H159" s="30" t="s">
        <v>298</v>
      </c>
      <c r="I159" s="7" t="s">
        <v>3120</v>
      </c>
      <c r="J159" s="97">
        <v>78880</v>
      </c>
      <c r="K159" s="97"/>
      <c r="L159" s="512">
        <f t="shared" si="12"/>
        <v>78880</v>
      </c>
      <c r="M159" s="97">
        <v>77014</v>
      </c>
    </row>
    <row r="160" spans="1:13" s="3" customFormat="1" ht="82.5" customHeight="1">
      <c r="A160" s="28" t="s">
        <v>2066</v>
      </c>
      <c r="B160" s="28" t="s">
        <v>287</v>
      </c>
      <c r="C160" s="28" t="s">
        <v>295</v>
      </c>
      <c r="D160" s="28" t="s">
        <v>2616</v>
      </c>
      <c r="E160" s="28" t="s">
        <v>2644</v>
      </c>
      <c r="F160" s="28" t="s">
        <v>289</v>
      </c>
      <c r="G160" s="30" t="s">
        <v>3222</v>
      </c>
      <c r="H160" s="30" t="s">
        <v>298</v>
      </c>
      <c r="I160" s="233" t="s">
        <v>3223</v>
      </c>
      <c r="J160" s="97"/>
      <c r="K160" s="97">
        <v>395973</v>
      </c>
      <c r="L160" s="512">
        <f t="shared" si="12"/>
        <v>395973</v>
      </c>
      <c r="M160" s="97">
        <v>395973</v>
      </c>
    </row>
    <row r="161" spans="1:13" s="3" customFormat="1" ht="82.5" customHeight="1">
      <c r="A161" s="28" t="s">
        <v>2063</v>
      </c>
      <c r="B161" s="28" t="s">
        <v>287</v>
      </c>
      <c r="C161" s="28" t="s">
        <v>295</v>
      </c>
      <c r="D161" s="28" t="s">
        <v>2616</v>
      </c>
      <c r="E161" s="28" t="s">
        <v>2644</v>
      </c>
      <c r="F161" s="28" t="s">
        <v>289</v>
      </c>
      <c r="G161" s="30" t="s">
        <v>3226</v>
      </c>
      <c r="H161" s="30" t="s">
        <v>298</v>
      </c>
      <c r="I161" s="233" t="s">
        <v>3227</v>
      </c>
      <c r="J161" s="97"/>
      <c r="K161" s="97">
        <v>98017</v>
      </c>
      <c r="L161" s="512">
        <f t="shared" si="12"/>
        <v>98017</v>
      </c>
      <c r="M161" s="97">
        <v>98017</v>
      </c>
    </row>
    <row r="162" spans="1:13" s="3" customFormat="1" ht="66.75" customHeight="1">
      <c r="A162" s="28" t="s">
        <v>2063</v>
      </c>
      <c r="B162" s="28" t="s">
        <v>287</v>
      </c>
      <c r="C162" s="28" t="s">
        <v>295</v>
      </c>
      <c r="D162" s="28" t="s">
        <v>2616</v>
      </c>
      <c r="E162" s="28" t="s">
        <v>2623</v>
      </c>
      <c r="F162" s="28" t="s">
        <v>289</v>
      </c>
      <c r="G162" s="30" t="s">
        <v>99</v>
      </c>
      <c r="H162" s="30" t="s">
        <v>298</v>
      </c>
      <c r="I162" s="663" t="s">
        <v>1490</v>
      </c>
      <c r="J162" s="97">
        <v>411993</v>
      </c>
      <c r="K162" s="97"/>
      <c r="L162" s="512">
        <f t="shared" si="12"/>
        <v>411993</v>
      </c>
      <c r="M162" s="97">
        <v>411993</v>
      </c>
    </row>
    <row r="163" spans="1:13" s="3" customFormat="1" ht="112.9" customHeight="1">
      <c r="A163" s="28" t="s">
        <v>2063</v>
      </c>
      <c r="B163" s="28" t="s">
        <v>287</v>
      </c>
      <c r="C163" s="28" t="s">
        <v>295</v>
      </c>
      <c r="D163" s="28" t="s">
        <v>2616</v>
      </c>
      <c r="E163" s="28" t="s">
        <v>2630</v>
      </c>
      <c r="F163" s="28" t="s">
        <v>289</v>
      </c>
      <c r="G163" s="30" t="s">
        <v>99</v>
      </c>
      <c r="H163" s="30" t="s">
        <v>298</v>
      </c>
      <c r="I163" s="663" t="s">
        <v>2246</v>
      </c>
      <c r="J163" s="97">
        <v>41045</v>
      </c>
      <c r="K163" s="97"/>
      <c r="L163" s="512">
        <f t="shared" si="12"/>
        <v>41045</v>
      </c>
      <c r="M163" s="97">
        <v>41045</v>
      </c>
    </row>
    <row r="164" spans="1:13" s="3" customFormat="1" ht="94.5" customHeight="1">
      <c r="A164" s="28" t="s">
        <v>2063</v>
      </c>
      <c r="B164" s="28" t="s">
        <v>287</v>
      </c>
      <c r="C164" s="28" t="s">
        <v>295</v>
      </c>
      <c r="D164" s="28" t="s">
        <v>2616</v>
      </c>
      <c r="E164" s="28" t="s">
        <v>3191</v>
      </c>
      <c r="F164" s="28" t="s">
        <v>289</v>
      </c>
      <c r="G164" s="30" t="s">
        <v>99</v>
      </c>
      <c r="H164" s="30" t="s">
        <v>298</v>
      </c>
      <c r="I164" s="663" t="s">
        <v>3192</v>
      </c>
      <c r="J164" s="97">
        <v>100000</v>
      </c>
      <c r="K164" s="97"/>
      <c r="L164" s="512">
        <f t="shared" si="12"/>
        <v>100000</v>
      </c>
      <c r="M164" s="97">
        <v>100000</v>
      </c>
    </row>
    <row r="165" spans="1:13" s="3" customFormat="1" ht="97.15" customHeight="1">
      <c r="A165" s="28" t="s">
        <v>2063</v>
      </c>
      <c r="B165" s="28" t="s">
        <v>287</v>
      </c>
      <c r="C165" s="28" t="s">
        <v>295</v>
      </c>
      <c r="D165" s="28" t="s">
        <v>2616</v>
      </c>
      <c r="E165" s="28" t="s">
        <v>2638</v>
      </c>
      <c r="F165" s="28" t="s">
        <v>289</v>
      </c>
      <c r="G165" s="30" t="s">
        <v>99</v>
      </c>
      <c r="H165" s="30" t="s">
        <v>298</v>
      </c>
      <c r="I165" s="663" t="s">
        <v>3193</v>
      </c>
      <c r="J165" s="97">
        <v>50000</v>
      </c>
      <c r="K165" s="97"/>
      <c r="L165" s="512">
        <f t="shared" si="12"/>
        <v>50000</v>
      </c>
      <c r="M165" s="97">
        <v>50000</v>
      </c>
    </row>
    <row r="166" spans="1:13" s="3" customFormat="1" ht="99" customHeight="1">
      <c r="A166" s="28" t="s">
        <v>2065</v>
      </c>
      <c r="B166" s="28" t="s">
        <v>287</v>
      </c>
      <c r="C166" s="28" t="s">
        <v>295</v>
      </c>
      <c r="D166" s="28" t="s">
        <v>2616</v>
      </c>
      <c r="E166" s="28" t="s">
        <v>3123</v>
      </c>
      <c r="F166" s="28" t="s">
        <v>289</v>
      </c>
      <c r="G166" s="30" t="s">
        <v>99</v>
      </c>
      <c r="H166" s="30" t="s">
        <v>298</v>
      </c>
      <c r="I166" s="7" t="s">
        <v>3124</v>
      </c>
      <c r="J166" s="97">
        <v>550000</v>
      </c>
      <c r="K166" s="97"/>
      <c r="L166" s="512">
        <f t="shared" si="12"/>
        <v>550000</v>
      </c>
      <c r="M166" s="97">
        <v>550000</v>
      </c>
    </row>
    <row r="167" spans="1:13" s="3" customFormat="1" ht="99" customHeight="1">
      <c r="A167" s="28" t="s">
        <v>1138</v>
      </c>
      <c r="B167" s="28" t="s">
        <v>287</v>
      </c>
      <c r="C167" s="28" t="s">
        <v>295</v>
      </c>
      <c r="D167" s="28" t="s">
        <v>2616</v>
      </c>
      <c r="E167" s="28" t="s">
        <v>3186</v>
      </c>
      <c r="F167" s="28" t="s">
        <v>289</v>
      </c>
      <c r="G167" s="30" t="s">
        <v>3187</v>
      </c>
      <c r="H167" s="30" t="s">
        <v>298</v>
      </c>
      <c r="I167" s="663" t="s">
        <v>3188</v>
      </c>
      <c r="J167" s="97">
        <v>6562985</v>
      </c>
      <c r="K167" s="97">
        <v>82350</v>
      </c>
      <c r="L167" s="512">
        <f t="shared" si="12"/>
        <v>6645335</v>
      </c>
      <c r="M167" s="97">
        <v>6735165</v>
      </c>
    </row>
    <row r="168" spans="1:13" s="3" customFormat="1" ht="62.25" customHeight="1">
      <c r="A168" s="28" t="s">
        <v>1138</v>
      </c>
      <c r="B168" s="28" t="s">
        <v>287</v>
      </c>
      <c r="C168" s="28" t="s">
        <v>295</v>
      </c>
      <c r="D168" s="28" t="s">
        <v>2616</v>
      </c>
      <c r="E168" s="28" t="s">
        <v>2631</v>
      </c>
      <c r="F168" s="28" t="s">
        <v>289</v>
      </c>
      <c r="G168" s="30" t="s">
        <v>3127</v>
      </c>
      <c r="H168" s="30" t="s">
        <v>298</v>
      </c>
      <c r="I168" s="7" t="s">
        <v>3128</v>
      </c>
      <c r="J168" s="668">
        <v>3064977</v>
      </c>
      <c r="K168" s="595">
        <f>(514504-41908)</f>
        <v>472596</v>
      </c>
      <c r="L168" s="512">
        <f t="shared" si="12"/>
        <v>3537573</v>
      </c>
      <c r="M168" s="595">
        <v>3396416</v>
      </c>
    </row>
    <row r="169" spans="1:13" s="3" customFormat="1" ht="118.5" customHeight="1">
      <c r="A169" s="28" t="s">
        <v>96</v>
      </c>
      <c r="B169" s="28" t="s">
        <v>287</v>
      </c>
      <c r="C169" s="28" t="s">
        <v>3241</v>
      </c>
      <c r="D169" s="28" t="s">
        <v>98</v>
      </c>
      <c r="E169" s="28" t="s">
        <v>96</v>
      </c>
      <c r="F169" s="28" t="s">
        <v>98</v>
      </c>
      <c r="G169" s="30" t="s">
        <v>99</v>
      </c>
      <c r="H169" s="30" t="s">
        <v>96</v>
      </c>
      <c r="I169" s="689" t="s">
        <v>3242</v>
      </c>
      <c r="J169" s="668"/>
      <c r="K169" s="595"/>
      <c r="L169" s="512"/>
      <c r="M169" s="595">
        <v>125544</v>
      </c>
    </row>
    <row r="170" spans="1:13" s="3" customFormat="1" ht="62.25" customHeight="1">
      <c r="A170" s="28" t="s">
        <v>96</v>
      </c>
      <c r="B170" s="28" t="s">
        <v>287</v>
      </c>
      <c r="C170" s="28" t="s">
        <v>3243</v>
      </c>
      <c r="D170" s="28" t="s">
        <v>98</v>
      </c>
      <c r="E170" s="28" t="s">
        <v>96</v>
      </c>
      <c r="F170" s="28" t="s">
        <v>98</v>
      </c>
      <c r="G170" s="30" t="s">
        <v>99</v>
      </c>
      <c r="H170" s="30" t="s">
        <v>96</v>
      </c>
      <c r="I170" s="689" t="s">
        <v>3244</v>
      </c>
      <c r="J170" s="668"/>
      <c r="K170" s="595"/>
      <c r="L170" s="512"/>
      <c r="M170" s="595">
        <v>-371111</v>
      </c>
    </row>
    <row r="171" spans="1:13" s="3" customFormat="1" ht="15.75">
      <c r="A171" s="28"/>
      <c r="B171" s="28"/>
      <c r="C171" s="28"/>
      <c r="D171" s="28"/>
      <c r="E171" s="28"/>
      <c r="F171" s="28"/>
      <c r="G171" s="30"/>
      <c r="H171" s="30"/>
      <c r="I171" s="24" t="s">
        <v>1137</v>
      </c>
      <c r="J171" s="73">
        <v>2010593464.0699999</v>
      </c>
      <c r="K171" s="73">
        <f>K11+K44</f>
        <v>77819930.950000003</v>
      </c>
      <c r="L171" s="334">
        <f t="shared" si="12"/>
        <v>2088413395.02</v>
      </c>
      <c r="M171" s="73">
        <f>M11+M44</f>
        <v>1914763371</v>
      </c>
    </row>
    <row r="172" spans="1:13">
      <c r="A172" s="28"/>
    </row>
  </sheetData>
  <sheetProtection selectLockedCells="1" selectUnlockedCells="1"/>
  <customSheetViews>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11">
    <mergeCell ref="M9:M10"/>
    <mergeCell ref="G1:M1"/>
    <mergeCell ref="G2:M2"/>
    <mergeCell ref="G3:M3"/>
    <mergeCell ref="G4:M4"/>
    <mergeCell ref="A6:M6"/>
    <mergeCell ref="K9:K10"/>
    <mergeCell ref="L9:L10"/>
    <mergeCell ref="J9:J10"/>
    <mergeCell ref="I9:I10"/>
    <mergeCell ref="A9:H9"/>
  </mergeCells>
  <phoneticPr fontId="0" type="noConversion"/>
  <pageMargins left="0.70866141732283472" right="0.70866141732283472" top="0.74803149606299213" bottom="0.74803149606299213" header="0.31496062992125984" footer="0.31496062992125984"/>
  <pageSetup paperSize="9" scale="93" fitToHeight="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19"/>
  <sheetViews>
    <sheetView showGridLines="0" view="pageBreakPreview" zoomScale="115" zoomScaleSheetLayoutView="115" workbookViewId="0">
      <selection activeCell="A4" sqref="A4:C4"/>
    </sheetView>
  </sheetViews>
  <sheetFormatPr defaultColWidth="9.140625" defaultRowHeight="12.75"/>
  <cols>
    <col min="1" max="1" width="9.140625" style="376"/>
    <col min="2" max="2" width="28.5703125" style="376" customWidth="1"/>
    <col min="3" max="3" width="47.5703125" style="376" customWidth="1"/>
    <col min="4" max="16384" width="9.140625" style="376"/>
  </cols>
  <sheetData>
    <row r="1" spans="1:3" ht="15.75">
      <c r="A1" s="737" t="s">
        <v>1631</v>
      </c>
      <c r="B1" s="737"/>
      <c r="C1" s="737"/>
    </row>
    <row r="2" spans="1:3" ht="15.75">
      <c r="A2" s="737" t="s">
        <v>1058</v>
      </c>
      <c r="B2" s="737"/>
      <c r="C2" s="737"/>
    </row>
    <row r="3" spans="1:3" ht="15.75">
      <c r="A3" s="737" t="s">
        <v>716</v>
      </c>
      <c r="B3" s="737"/>
      <c r="C3" s="737"/>
    </row>
    <row r="4" spans="1:3" ht="15.75">
      <c r="A4" s="737" t="s">
        <v>3013</v>
      </c>
      <c r="B4" s="737"/>
      <c r="C4" s="737"/>
    </row>
    <row r="5" spans="1:3" ht="15.75">
      <c r="A5" s="127"/>
      <c r="B5" s="1"/>
      <c r="C5" s="1"/>
    </row>
    <row r="6" spans="1:3" ht="48" customHeight="1">
      <c r="A6" s="792" t="s">
        <v>2071</v>
      </c>
      <c r="B6" s="792"/>
      <c r="C6" s="792"/>
    </row>
    <row r="7" spans="1:3" ht="18.75">
      <c r="A7" s="806"/>
      <c r="B7" s="806"/>
      <c r="C7" s="806"/>
    </row>
    <row r="8" spans="1:3" ht="15.75">
      <c r="A8" s="793" t="s">
        <v>1082</v>
      </c>
      <c r="B8" s="793"/>
      <c r="C8" s="793"/>
    </row>
    <row r="9" spans="1:3" ht="47.25">
      <c r="A9" s="129">
        <v>955</v>
      </c>
      <c r="B9" s="129" t="s">
        <v>1088</v>
      </c>
      <c r="C9" s="95" t="s">
        <v>1523</v>
      </c>
    </row>
    <row r="10" spans="1:3" ht="47.25">
      <c r="A10" s="129">
        <v>955</v>
      </c>
      <c r="B10" s="129" t="s">
        <v>1089</v>
      </c>
      <c r="C10" s="95" t="s">
        <v>1610</v>
      </c>
    </row>
    <row r="11" spans="1:3" ht="63">
      <c r="A11" s="129">
        <v>955</v>
      </c>
      <c r="B11" s="129" t="s">
        <v>2215</v>
      </c>
      <c r="C11" s="95" t="s">
        <v>1090</v>
      </c>
    </row>
    <row r="12" spans="1:3" ht="63">
      <c r="A12" s="129">
        <v>955</v>
      </c>
      <c r="B12" s="129" t="s">
        <v>2216</v>
      </c>
      <c r="C12" s="95" t="s">
        <v>1091</v>
      </c>
    </row>
    <row r="13" spans="1:3" ht="31.5">
      <c r="A13" s="129">
        <v>955</v>
      </c>
      <c r="B13" s="129" t="s">
        <v>1981</v>
      </c>
      <c r="C13" s="95" t="s">
        <v>1025</v>
      </c>
    </row>
    <row r="14" spans="1:3" ht="31.5">
      <c r="A14" s="129">
        <v>955</v>
      </c>
      <c r="B14" s="129" t="s">
        <v>1982</v>
      </c>
      <c r="C14" s="95" t="s">
        <v>378</v>
      </c>
    </row>
    <row r="15" spans="1:3" ht="141.75">
      <c r="A15" s="129">
        <v>955</v>
      </c>
      <c r="B15" s="129" t="s">
        <v>2146</v>
      </c>
      <c r="C15" s="95" t="s">
        <v>2147</v>
      </c>
    </row>
    <row r="16" spans="1:3" ht="63">
      <c r="A16" s="129">
        <v>955</v>
      </c>
      <c r="B16" s="129" t="s">
        <v>2148</v>
      </c>
      <c r="C16" s="95" t="s">
        <v>2149</v>
      </c>
    </row>
    <row r="17" spans="1:3" ht="78.75">
      <c r="A17" s="129">
        <v>955</v>
      </c>
      <c r="B17" s="129" t="s">
        <v>2150</v>
      </c>
      <c r="C17" s="95" t="s">
        <v>2151</v>
      </c>
    </row>
    <row r="18" spans="1:3" ht="63">
      <c r="A18" s="130">
        <v>955</v>
      </c>
      <c r="B18" s="130" t="s">
        <v>2152</v>
      </c>
      <c r="C18" s="45" t="s">
        <v>2153</v>
      </c>
    </row>
    <row r="19" spans="1:3" ht="63">
      <c r="A19" s="130">
        <v>955</v>
      </c>
      <c r="B19" s="130" t="s">
        <v>2154</v>
      </c>
      <c r="C19" s="45" t="s">
        <v>2155</v>
      </c>
    </row>
  </sheetData>
  <mergeCells count="7">
    <mergeCell ref="A8:C8"/>
    <mergeCell ref="A1:C1"/>
    <mergeCell ref="A2:C2"/>
    <mergeCell ref="A3:C3"/>
    <mergeCell ref="A4:C4"/>
    <mergeCell ref="A6:C6"/>
    <mergeCell ref="A7:C7"/>
  </mergeCells>
  <pageMargins left="0.70866141732283472" right="0.70866141732283472" top="0.74803149606299213" bottom="0.74803149606299213" header="0.31496062992125984" footer="0.31496062992125984"/>
  <pageSetup paperSize="9" fitToHeight="100" orientation="portrait" r:id="rId1"/>
</worksheet>
</file>

<file path=xl/worksheets/sheet11.xml><?xml version="1.0" encoding="utf-8"?>
<worksheet xmlns="http://schemas.openxmlformats.org/spreadsheetml/2006/main" xmlns:r="http://schemas.openxmlformats.org/officeDocument/2006/relationships">
  <dimension ref="A1:E48"/>
  <sheetViews>
    <sheetView view="pageBreakPreview" topLeftCell="A4" zoomScaleSheetLayoutView="100" workbookViewId="0">
      <selection activeCell="D44" sqref="D44"/>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8" customHeight="1">
      <c r="A1" s="737" t="s">
        <v>6</v>
      </c>
      <c r="B1" s="737"/>
      <c r="C1" s="737"/>
      <c r="D1" s="737"/>
      <c r="E1" s="737"/>
    </row>
    <row r="2" spans="1:5" ht="15" customHeight="1">
      <c r="A2" s="737" t="s">
        <v>1058</v>
      </c>
      <c r="B2" s="737"/>
      <c r="C2" s="737"/>
      <c r="D2" s="737"/>
      <c r="E2" s="737"/>
    </row>
    <row r="3" spans="1:5" ht="13.5" customHeight="1">
      <c r="A3" s="737" t="s">
        <v>716</v>
      </c>
      <c r="B3" s="737"/>
      <c r="C3" s="737"/>
      <c r="D3" s="737"/>
      <c r="E3" s="737"/>
    </row>
    <row r="4" spans="1:5" ht="12.75" customHeight="1">
      <c r="A4" s="737" t="s">
        <v>3095</v>
      </c>
      <c r="B4" s="737"/>
      <c r="C4" s="737"/>
      <c r="D4" s="737"/>
      <c r="E4" s="737"/>
    </row>
    <row r="5" spans="1:5" ht="12.75" customHeight="1">
      <c r="A5" s="757"/>
      <c r="B5" s="758"/>
      <c r="C5" s="758"/>
      <c r="D5" s="758"/>
      <c r="E5" s="758"/>
    </row>
    <row r="6" spans="1:5" ht="15.75" hidden="1">
      <c r="A6" s="785"/>
      <c r="B6" s="762"/>
      <c r="C6" s="762"/>
      <c r="D6" s="762"/>
      <c r="E6" s="762"/>
    </row>
    <row r="7" spans="1:5" ht="30" customHeight="1">
      <c r="A7" s="786" t="s">
        <v>3277</v>
      </c>
      <c r="B7" s="787"/>
      <c r="C7" s="787"/>
      <c r="D7" s="787"/>
      <c r="E7" s="787"/>
    </row>
    <row r="8" spans="1:5" ht="9" customHeight="1">
      <c r="A8" s="730"/>
      <c r="B8" s="1"/>
      <c r="C8" s="1"/>
      <c r="D8" s="1"/>
      <c r="E8" s="1"/>
    </row>
    <row r="9" spans="1:5" ht="15.75" hidden="1">
      <c r="A9" s="761"/>
      <c r="B9" s="762"/>
      <c r="C9" s="762"/>
      <c r="D9" s="762"/>
      <c r="E9" s="762"/>
    </row>
    <row r="10" spans="1:5" ht="33.75" customHeight="1" thickBot="1">
      <c r="A10" s="788" t="s">
        <v>2593</v>
      </c>
      <c r="B10" s="787"/>
      <c r="C10" s="787"/>
      <c r="D10" s="787"/>
      <c r="E10" s="787"/>
    </row>
    <row r="11" spans="1:5" ht="16.5" hidden="1" thickBot="1">
      <c r="A11" s="783" t="s">
        <v>23</v>
      </c>
      <c r="B11" s="784"/>
      <c r="C11" s="784"/>
      <c r="D11" s="784"/>
      <c r="E11" s="784"/>
    </row>
    <row r="12" spans="1:5" ht="16.5" customHeight="1" thickBot="1">
      <c r="A12" s="734" t="s">
        <v>24</v>
      </c>
      <c r="B12" s="766" t="s">
        <v>3271</v>
      </c>
      <c r="C12" s="772"/>
      <c r="D12" s="772"/>
      <c r="E12" s="773"/>
    </row>
    <row r="13" spans="1:5" ht="16.5" thickBot="1">
      <c r="A13" s="205">
        <v>1</v>
      </c>
      <c r="B13" s="766">
        <v>2</v>
      </c>
      <c r="C13" s="764"/>
      <c r="D13" s="764"/>
      <c r="E13" s="765"/>
    </row>
    <row r="14" spans="1:5" ht="32.25" thickBot="1">
      <c r="A14" s="206" t="s">
        <v>3274</v>
      </c>
      <c r="B14" s="748">
        <v>0</v>
      </c>
      <c r="C14" s="749"/>
      <c r="D14" s="749"/>
      <c r="E14" s="750"/>
    </row>
    <row r="15" spans="1:5" ht="12" customHeight="1" thickBot="1">
      <c r="A15" s="207" t="s">
        <v>25</v>
      </c>
      <c r="B15" s="753">
        <v>0</v>
      </c>
      <c r="C15" s="749"/>
      <c r="D15" s="749"/>
      <c r="E15" s="750"/>
    </row>
    <row r="16" spans="1:5" ht="15" customHeight="1" thickBot="1">
      <c r="A16" s="208" t="s">
        <v>26</v>
      </c>
      <c r="B16" s="752">
        <v>0</v>
      </c>
      <c r="C16" s="749"/>
      <c r="D16" s="749"/>
      <c r="E16" s="750"/>
    </row>
    <row r="17" spans="1:5" ht="16.5" thickBot="1">
      <c r="A17" s="206" t="s">
        <v>27</v>
      </c>
      <c r="B17" s="751">
        <f>B18-B19</f>
        <v>-5155566</v>
      </c>
      <c r="C17" s="749"/>
      <c r="D17" s="749"/>
      <c r="E17" s="750"/>
    </row>
    <row r="18" spans="1:5" ht="18" customHeight="1" thickBot="1">
      <c r="A18" s="209" t="s">
        <v>49</v>
      </c>
      <c r="B18" s="752">
        <v>5000000</v>
      </c>
      <c r="C18" s="749"/>
      <c r="D18" s="749"/>
      <c r="E18" s="750"/>
    </row>
    <row r="19" spans="1:5" ht="16.5" thickBot="1">
      <c r="A19" s="209" t="s">
        <v>26</v>
      </c>
      <c r="B19" s="752">
        <v>10155566</v>
      </c>
      <c r="C19" s="749"/>
      <c r="D19" s="749"/>
      <c r="E19" s="750"/>
    </row>
    <row r="20" spans="1:5" ht="16.5" thickBot="1">
      <c r="A20" s="210" t="s">
        <v>28</v>
      </c>
      <c r="B20" s="751">
        <f>B21-B22</f>
        <v>-5155566</v>
      </c>
      <c r="C20" s="749"/>
      <c r="D20" s="749"/>
      <c r="E20" s="750"/>
    </row>
    <row r="21" spans="1:5" ht="16.5" thickBot="1">
      <c r="A21" s="211" t="s">
        <v>3275</v>
      </c>
      <c r="B21" s="753">
        <v>5000000</v>
      </c>
      <c r="C21" s="749"/>
      <c r="D21" s="749"/>
      <c r="E21" s="750"/>
    </row>
    <row r="22" spans="1:5" ht="16.5" thickBot="1">
      <c r="A22" s="211" t="s">
        <v>29</v>
      </c>
      <c r="B22" s="752">
        <f>B19</f>
        <v>10155566</v>
      </c>
      <c r="C22" s="749"/>
      <c r="D22" s="749"/>
      <c r="E22" s="750"/>
    </row>
    <row r="23" spans="1:5" ht="63.75" thickBot="1">
      <c r="A23" s="212" t="s">
        <v>30</v>
      </c>
      <c r="B23" s="751">
        <v>0</v>
      </c>
      <c r="C23" s="749"/>
      <c r="D23" s="749"/>
      <c r="E23" s="750"/>
    </row>
    <row r="24" spans="1:5" ht="16.5" customHeight="1">
      <c r="A24" s="761" t="s">
        <v>3278</v>
      </c>
      <c r="B24" s="762"/>
      <c r="C24" s="762"/>
      <c r="D24" s="762"/>
      <c r="E24" s="762"/>
    </row>
    <row r="25" spans="1:5" ht="3.75" customHeight="1" thickBot="1">
      <c r="A25" s="757"/>
      <c r="B25" s="758"/>
      <c r="C25" s="758"/>
      <c r="D25" s="758"/>
      <c r="E25" s="758"/>
    </row>
    <row r="26" spans="1:5" ht="16.5" thickBot="1">
      <c r="A26" s="735" t="s">
        <v>32</v>
      </c>
      <c r="B26" s="763" t="s">
        <v>1092</v>
      </c>
      <c r="C26" s="764"/>
      <c r="D26" s="764"/>
      <c r="E26" s="765"/>
    </row>
    <row r="27" spans="1:5" ht="16.5" thickBot="1">
      <c r="A27" s="144">
        <v>1</v>
      </c>
      <c r="B27" s="766">
        <v>2</v>
      </c>
      <c r="C27" s="767"/>
      <c r="D27" s="767"/>
      <c r="E27" s="768"/>
    </row>
    <row r="28" spans="1:5" ht="48" thickBot="1">
      <c r="A28" s="146" t="s">
        <v>3279</v>
      </c>
      <c r="B28" s="777">
        <v>38729175</v>
      </c>
      <c r="C28" s="778"/>
      <c r="D28" s="778"/>
      <c r="E28" s="779"/>
    </row>
    <row r="29" spans="1:5" ht="51.75" hidden="1" customHeight="1">
      <c r="A29" s="221" t="s">
        <v>34</v>
      </c>
      <c r="B29" s="780">
        <v>0</v>
      </c>
      <c r="C29" s="781"/>
      <c r="D29" s="781"/>
      <c r="E29" s="782"/>
    </row>
    <row r="30" spans="1:5" ht="18.75" hidden="1" customHeight="1" thickBot="1">
      <c r="A30" s="319"/>
      <c r="B30" s="754" t="s">
        <v>2595</v>
      </c>
      <c r="C30" s="755"/>
      <c r="D30" s="755"/>
      <c r="E30" s="756"/>
    </row>
    <row r="31" spans="1:5" ht="32.25" hidden="1" thickBot="1">
      <c r="A31" s="320" t="s">
        <v>35</v>
      </c>
      <c r="B31" s="745">
        <v>73900000</v>
      </c>
      <c r="C31" s="746"/>
      <c r="D31" s="746"/>
      <c r="E31" s="746"/>
    </row>
    <row r="32" spans="1:5" ht="48" thickBot="1">
      <c r="A32" s="320" t="s">
        <v>3272</v>
      </c>
      <c r="B32" s="745">
        <v>1760327</v>
      </c>
      <c r="C32" s="746"/>
      <c r="D32" s="746"/>
      <c r="E32" s="746"/>
    </row>
    <row r="33" spans="1:5" ht="48" thickBot="1">
      <c r="A33" s="320" t="s">
        <v>3273</v>
      </c>
      <c r="B33" s="745">
        <v>5000000</v>
      </c>
      <c r="C33" s="746"/>
      <c r="D33" s="746"/>
      <c r="E33" s="746"/>
    </row>
    <row r="34" spans="1:5" ht="59.25" hidden="1" customHeight="1" thickBot="1">
      <c r="A34" s="146" t="s">
        <v>50</v>
      </c>
      <c r="B34" s="777">
        <v>0</v>
      </c>
      <c r="C34" s="778"/>
      <c r="D34" s="778"/>
      <c r="E34" s="779"/>
    </row>
    <row r="35" spans="1:5" ht="69" hidden="1" customHeight="1">
      <c r="A35" s="776" t="s">
        <v>2596</v>
      </c>
      <c r="B35" s="776"/>
      <c r="C35" s="776"/>
      <c r="D35" s="776"/>
      <c r="E35" s="776"/>
    </row>
    <row r="36" spans="1:5" ht="33.75" customHeight="1" thickBot="1">
      <c r="A36" s="747" t="s">
        <v>2187</v>
      </c>
      <c r="B36" s="747"/>
      <c r="C36" s="747"/>
      <c r="D36" s="747"/>
      <c r="E36" s="747"/>
    </row>
    <row r="37" spans="1:5" ht="16.5" thickBot="1">
      <c r="A37" s="769" t="s">
        <v>38</v>
      </c>
      <c r="B37" s="766" t="s">
        <v>39</v>
      </c>
      <c r="C37" s="772"/>
      <c r="D37" s="772"/>
      <c r="E37" s="773"/>
    </row>
    <row r="38" spans="1:5" ht="12.75" hidden="1" customHeight="1" thickBot="1">
      <c r="A38" s="770"/>
      <c r="B38" s="774" t="s">
        <v>3019</v>
      </c>
      <c r="C38" s="775"/>
      <c r="D38" s="774"/>
      <c r="E38" s="775"/>
    </row>
    <row r="39" spans="1:5" ht="16.5" thickBot="1">
      <c r="A39" s="770"/>
      <c r="B39" s="743"/>
      <c r="C39" s="744"/>
      <c r="D39" s="774" t="s">
        <v>2210</v>
      </c>
      <c r="E39" s="775"/>
    </row>
    <row r="40" spans="1:5" ht="16.5" thickBot="1">
      <c r="A40" s="771"/>
      <c r="B40" s="729" t="s">
        <v>41</v>
      </c>
      <c r="C40" s="732" t="s">
        <v>42</v>
      </c>
      <c r="D40" s="734" t="s">
        <v>41</v>
      </c>
      <c r="E40" s="733" t="s">
        <v>42</v>
      </c>
    </row>
    <row r="41" spans="1:5" ht="16.5" thickBot="1">
      <c r="A41" s="731">
        <v>1</v>
      </c>
      <c r="B41" s="729">
        <v>2</v>
      </c>
      <c r="C41" s="729">
        <v>3</v>
      </c>
      <c r="D41" s="729">
        <v>4</v>
      </c>
      <c r="E41" s="729">
        <v>5</v>
      </c>
    </row>
    <row r="42" spans="1:5" ht="32.25" thickBot="1">
      <c r="A42" s="216" t="s">
        <v>3276</v>
      </c>
      <c r="B42" s="222"/>
      <c r="C42" s="219">
        <v>0</v>
      </c>
      <c r="D42" s="224">
        <v>0</v>
      </c>
      <c r="E42" s="219">
        <v>0</v>
      </c>
    </row>
    <row r="43" spans="1:5" ht="16.5" thickBot="1">
      <c r="A43" s="217" t="s">
        <v>44</v>
      </c>
      <c r="B43" s="223">
        <v>43884741</v>
      </c>
      <c r="C43" s="219">
        <v>1</v>
      </c>
      <c r="D43" s="223">
        <v>38729175</v>
      </c>
      <c r="E43" s="219">
        <v>1</v>
      </c>
    </row>
    <row r="44" spans="1:5" ht="32.25" thickBot="1">
      <c r="A44" s="217" t="s">
        <v>45</v>
      </c>
      <c r="B44" s="223">
        <v>0</v>
      </c>
      <c r="C44" s="219">
        <v>0</v>
      </c>
      <c r="D44" s="223">
        <v>0</v>
      </c>
      <c r="E44" s="219">
        <v>0</v>
      </c>
    </row>
    <row r="45" spans="1:5" ht="32.25" thickBot="1">
      <c r="A45" s="216" t="s">
        <v>46</v>
      </c>
      <c r="B45" s="224">
        <v>43884741</v>
      </c>
      <c r="C45" s="219">
        <v>1</v>
      </c>
      <c r="D45" s="224">
        <f>D43</f>
        <v>38729175</v>
      </c>
      <c r="E45" s="219">
        <v>1</v>
      </c>
    </row>
    <row r="46" spans="1:5" ht="3.75" customHeight="1">
      <c r="A46" s="759"/>
      <c r="B46" s="760"/>
      <c r="C46" s="760"/>
      <c r="D46" s="760"/>
      <c r="E46" s="760"/>
    </row>
    <row r="47" spans="1:5">
      <c r="A47" s="142"/>
    </row>
    <row r="48" spans="1:5" ht="15.75">
      <c r="A48" s="730"/>
    </row>
  </sheetData>
  <mergeCells count="41">
    <mergeCell ref="A6:E6"/>
    <mergeCell ref="A1:E1"/>
    <mergeCell ref="A2:E2"/>
    <mergeCell ref="A3:E3"/>
    <mergeCell ref="A4:E4"/>
    <mergeCell ref="A5:E5"/>
    <mergeCell ref="B19:E19"/>
    <mergeCell ref="A7:E7"/>
    <mergeCell ref="A9:E9"/>
    <mergeCell ref="A10:E10"/>
    <mergeCell ref="A11:E11"/>
    <mergeCell ref="B12:E12"/>
    <mergeCell ref="B13:E13"/>
    <mergeCell ref="B14:E14"/>
    <mergeCell ref="B15:E15"/>
    <mergeCell ref="B16:E16"/>
    <mergeCell ref="B17:E17"/>
    <mergeCell ref="B18:E18"/>
    <mergeCell ref="B31:E31"/>
    <mergeCell ref="B20:E20"/>
    <mergeCell ref="B21:E21"/>
    <mergeCell ref="B22:E22"/>
    <mergeCell ref="B23:E23"/>
    <mergeCell ref="A24:E24"/>
    <mergeCell ref="A25:E25"/>
    <mergeCell ref="B26:E26"/>
    <mergeCell ref="B27:E27"/>
    <mergeCell ref="B28:E28"/>
    <mergeCell ref="B29:E29"/>
    <mergeCell ref="B30:E30"/>
    <mergeCell ref="A46:E46"/>
    <mergeCell ref="B32:E32"/>
    <mergeCell ref="B33:E33"/>
    <mergeCell ref="B34:E34"/>
    <mergeCell ref="A35:E35"/>
    <mergeCell ref="A36:E36"/>
    <mergeCell ref="A37:A40"/>
    <mergeCell ref="B37:E37"/>
    <mergeCell ref="B38:C39"/>
    <mergeCell ref="D38:E38"/>
    <mergeCell ref="D39:E39"/>
  </mergeCell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sheetPr codeName="Лист12">
    <outlinePr summaryBelow="0"/>
    <pageSetUpPr fitToPage="1"/>
  </sheetPr>
  <dimension ref="A1:J1112"/>
  <sheetViews>
    <sheetView showGridLines="0" view="pageBreakPreview" zoomScale="90" zoomScaleSheetLayoutView="90" workbookViewId="0">
      <selection activeCell="C62" sqref="C62"/>
    </sheetView>
  </sheetViews>
  <sheetFormatPr defaultColWidth="9.140625" defaultRowHeight="15.75"/>
  <cols>
    <col min="1" max="1" width="41" style="15" customWidth="1"/>
    <col min="2" max="2" width="9.5703125" style="16" customWidth="1"/>
    <col min="3" max="3" width="7.28515625" style="16" customWidth="1"/>
    <col min="4" max="4" width="10.140625" style="238" customWidth="1"/>
    <col min="5" max="5" width="10.28515625" style="242" customWidth="1"/>
    <col min="6" max="6" width="10.42578125" style="16" customWidth="1"/>
    <col min="7" max="7" width="14.42578125" style="14" hidden="1" customWidth="1"/>
    <col min="8" max="8" width="19.85546875" style="14" hidden="1" customWidth="1"/>
    <col min="9" max="9" width="14.28515625" style="14" hidden="1" customWidth="1"/>
    <col min="10" max="10" width="14.5703125" style="14" customWidth="1"/>
    <col min="11" max="16384" width="9.140625" style="14"/>
  </cols>
  <sheetData>
    <row r="1" spans="1:10">
      <c r="A1" s="826" t="s">
        <v>3105</v>
      </c>
      <c r="B1" s="826"/>
      <c r="C1" s="826"/>
      <c r="D1" s="826"/>
      <c r="E1" s="826"/>
      <c r="F1" s="826"/>
      <c r="G1" s="826"/>
      <c r="H1" s="826"/>
      <c r="I1" s="826"/>
      <c r="J1" s="826"/>
    </row>
    <row r="2" spans="1:10">
      <c r="A2" s="826" t="s">
        <v>1058</v>
      </c>
      <c r="B2" s="826"/>
      <c r="C2" s="826"/>
      <c r="D2" s="826"/>
      <c r="E2" s="826"/>
      <c r="F2" s="826"/>
      <c r="G2" s="826"/>
      <c r="H2" s="826"/>
      <c r="I2" s="826"/>
      <c r="J2" s="826"/>
    </row>
    <row r="3" spans="1:10">
      <c r="A3" s="826" t="s">
        <v>716</v>
      </c>
      <c r="B3" s="826"/>
      <c r="C3" s="826"/>
      <c r="D3" s="826"/>
      <c r="E3" s="826"/>
      <c r="F3" s="826"/>
      <c r="G3" s="826"/>
      <c r="H3" s="826"/>
      <c r="I3" s="826"/>
      <c r="J3" s="826"/>
    </row>
    <row r="4" spans="1:10">
      <c r="A4" s="826" t="s">
        <v>3095</v>
      </c>
      <c r="B4" s="826"/>
      <c r="C4" s="826"/>
      <c r="D4" s="826"/>
      <c r="E4" s="826"/>
      <c r="F4" s="826"/>
      <c r="G4" s="826"/>
      <c r="H4" s="826"/>
      <c r="I4" s="826"/>
      <c r="J4" s="826"/>
    </row>
    <row r="5" spans="1:10">
      <c r="A5" s="70"/>
      <c r="B5" s="71"/>
      <c r="C5" s="71"/>
      <c r="D5" s="237"/>
      <c r="E5" s="241"/>
      <c r="F5" s="71"/>
    </row>
    <row r="6" spans="1:10" ht="42.75" customHeight="1">
      <c r="A6" s="827" t="s">
        <v>3248</v>
      </c>
      <c r="B6" s="827"/>
      <c r="C6" s="827"/>
      <c r="D6" s="827"/>
      <c r="E6" s="827"/>
      <c r="F6" s="827"/>
      <c r="G6" s="827"/>
      <c r="H6" s="827"/>
      <c r="I6" s="827"/>
      <c r="J6" s="827"/>
    </row>
    <row r="7" spans="1:10" ht="18.75">
      <c r="A7" s="263"/>
      <c r="B7" s="263"/>
      <c r="C7" s="263"/>
      <c r="D7" s="263"/>
      <c r="E7" s="263"/>
      <c r="F7" s="263"/>
    </row>
    <row r="8" spans="1:10">
      <c r="A8" s="829" t="s">
        <v>964</v>
      </c>
      <c r="B8" s="830" t="s">
        <v>1381</v>
      </c>
      <c r="C8" s="830" t="s">
        <v>1510</v>
      </c>
      <c r="D8" s="831" t="s">
        <v>2384</v>
      </c>
      <c r="E8" s="831"/>
      <c r="F8" s="830" t="s">
        <v>1511</v>
      </c>
      <c r="G8" s="828" t="s">
        <v>3220</v>
      </c>
      <c r="H8" s="828" t="s">
        <v>1129</v>
      </c>
      <c r="I8" s="828" t="s">
        <v>1092</v>
      </c>
      <c r="J8" s="736" t="s">
        <v>3247</v>
      </c>
    </row>
    <row r="9" spans="1:10" s="17" customFormat="1">
      <c r="A9" s="829"/>
      <c r="B9" s="830"/>
      <c r="C9" s="830"/>
      <c r="D9" s="288" t="s">
        <v>2395</v>
      </c>
      <c r="E9" s="289" t="s">
        <v>2394</v>
      </c>
      <c r="F9" s="830"/>
      <c r="G9" s="828"/>
      <c r="H9" s="828"/>
      <c r="I9" s="828"/>
      <c r="J9" s="736"/>
    </row>
    <row r="10" spans="1:10" s="18" customFormat="1" ht="31.5">
      <c r="A10" s="264" t="str">
        <f>IF(B10&gt;0,VLOOKUP(B10,КВСР!A1:B1166,2),IF(C10&gt;0,VLOOKUP(C10,КФСР!A1:B1513,2),IF(D10&gt;0,VLOOKUP(D10,Программа!A$1:B$5063,2),IF(F10&gt;0,VLOOKUP(F10,КВР!A$1:B$5001,2),IF(E10&gt;0,VLOOKUP(E10,Направление!A$1:B$4755,2))))))</f>
        <v>Администрация Тутаевского муниципального района</v>
      </c>
      <c r="B10" s="79">
        <v>950</v>
      </c>
      <c r="C10" s="80"/>
      <c r="D10" s="69"/>
      <c r="E10" s="82"/>
      <c r="F10" s="81"/>
      <c r="G10" s="47">
        <v>165412517.90000001</v>
      </c>
      <c r="H10" s="47">
        <f>H11+H15+H32+H42+H46+H113+H131+H197+H193+H36+H100+H163+H229</f>
        <v>14409814.83</v>
      </c>
      <c r="I10" s="47">
        <f>I11+I15+I32+I42+I46+I113+I131+I197+I193+I36+I100+I163+I229</f>
        <v>179822332.73000002</v>
      </c>
      <c r="J10" s="47">
        <f>J11+J15+J32+J42+J46+J113+J131+J197+J193+J36+J100+J163+J229</f>
        <v>150211769</v>
      </c>
    </row>
    <row r="11" spans="1:10" s="18" customFormat="1" ht="63">
      <c r="A11" s="41" t="str">
        <f>IF(B11&gt;0,VLOOKUP(B11,КВСР!A2:B1167,2),IF(C11&gt;0,VLOOKUP(C11,КФСР!A2:B1514,2),IF(D11&gt;0,VLOOKUP(D11,Программа!A$1:B$5063,2),IF(F11&gt;0,VLOOKUP(F11,КВР!A$1:B$5001,2),IF(E11&gt;0,VLOOKUP(E11,Направление!A$1:B$4755,2))))))</f>
        <v>Функционирование высшего должностного лица субъекта Российской Федерации и муниципального образования</v>
      </c>
      <c r="B11" s="82"/>
      <c r="C11" s="80">
        <v>102</v>
      </c>
      <c r="D11" s="69"/>
      <c r="E11" s="82"/>
      <c r="F11" s="81"/>
      <c r="G11" s="42">
        <v>845506</v>
      </c>
      <c r="H11" s="42">
        <f t="shared" ref="H11:J11" si="0">H12</f>
        <v>-1</v>
      </c>
      <c r="I11" s="42">
        <f>SUM(G11:H11)</f>
        <v>845505</v>
      </c>
      <c r="J11" s="42">
        <f t="shared" si="0"/>
        <v>845505</v>
      </c>
    </row>
    <row r="12" spans="1:10" s="18" customFormat="1">
      <c r="A12" s="41" t="str">
        <f>IF(B12&gt;0,VLOOKUP(B12,КВСР!A3:B1168,2),IF(C12&gt;0,VLOOKUP(C12,КФСР!A3:B1515,2),IF(D12&gt;0,VLOOKUP(D12,Программа!A$1:B$5063,2),IF(F12&gt;0,VLOOKUP(F12,КВР!A$1:B$5001,2),IF(E12&gt;0,VLOOKUP(E12,Направление!A$1:B$4755,2))))))</f>
        <v>Непрограммные расходы бюджета</v>
      </c>
      <c r="B12" s="82"/>
      <c r="C12" s="80"/>
      <c r="D12" s="69" t="s">
        <v>2808</v>
      </c>
      <c r="E12" s="82"/>
      <c r="F12" s="81"/>
      <c r="G12" s="42">
        <v>845506</v>
      </c>
      <c r="H12" s="42">
        <f t="shared" ref="H12:J13" si="1">H13</f>
        <v>-1</v>
      </c>
      <c r="I12" s="42">
        <f t="shared" ref="I12:I120" si="2">SUM(G12:H12)</f>
        <v>845505</v>
      </c>
      <c r="J12" s="42">
        <f t="shared" si="1"/>
        <v>845505</v>
      </c>
    </row>
    <row r="13" spans="1:10" s="18" customFormat="1" ht="31.5">
      <c r="A13" s="41" t="str">
        <f>IF(B13&gt;0,VLOOKUP(B13,КВСР!A4:B1169,2),IF(C13&gt;0,VLOOKUP(C13,КФСР!A4:B1516,2),IF(D13&gt;0,VLOOKUP(D13,Программа!A$1:B$5063,2),IF(F13&gt;0,VLOOKUP(F13,КВР!A$1:B$5001,2),IF(E13&gt;0,VLOOKUP(E13,Направление!A$1:B$4755,2))))))</f>
        <v>Содержание главы муниципального образования</v>
      </c>
      <c r="B13" s="82"/>
      <c r="C13" s="80"/>
      <c r="D13" s="69"/>
      <c r="E13" s="82">
        <v>12020</v>
      </c>
      <c r="F13" s="81"/>
      <c r="G13" s="42">
        <v>845506</v>
      </c>
      <c r="H13" s="42">
        <f t="shared" si="1"/>
        <v>-1</v>
      </c>
      <c r="I13" s="42">
        <f t="shared" si="2"/>
        <v>845505</v>
      </c>
      <c r="J13" s="42">
        <f t="shared" si="1"/>
        <v>845505</v>
      </c>
    </row>
    <row r="14" spans="1:10" s="18" customFormat="1" ht="103.5" customHeight="1">
      <c r="A14" s="41" t="str">
        <f>IF(B14&gt;0,VLOOKUP(B14,КВСР!A5:B1170,2),IF(C14&gt;0,VLOOKUP(C14,КФСР!A5:B1517,2),IF(D14&gt;0,VLOOKUP(D14,Программа!A$1:B$5063,2),IF(F14&gt;0,VLOOKUP(F14,КВР!A$1:B$5001,2),IF(E14&gt;0,VLOOKUP(E14,Направление!A$1:B$4755,2))))))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82"/>
      <c r="C14" s="80"/>
      <c r="D14" s="81"/>
      <c r="E14" s="82"/>
      <c r="F14" s="81">
        <v>100</v>
      </c>
      <c r="G14" s="341">
        <v>845506</v>
      </c>
      <c r="H14" s="337">
        <v>-1</v>
      </c>
      <c r="I14" s="42">
        <f t="shared" si="2"/>
        <v>845505</v>
      </c>
      <c r="J14" s="337">
        <v>845505</v>
      </c>
    </row>
    <row r="15" spans="1:10" s="18" customFormat="1" ht="94.5">
      <c r="A15" s="41" t="str">
        <f>IF(B15&gt;0,VLOOKUP(B15,КВСР!A7:B1172,2),IF(C15&gt;0,VLOOKUP(C15,КФСР!A7:B1519,2),IF(D15&gt;0,VLOOKUP(D15,Программа!A$1:B$5063,2),IF(F15&gt;0,VLOOKUP(F15,КВР!A$1:B$5001,2),IF(E15&gt;0,VLOOKUP(E15,Направление!A$1:B$4755,2))))))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83"/>
      <c r="C15" s="76">
        <v>104</v>
      </c>
      <c r="D15" s="391"/>
      <c r="E15" s="83"/>
      <c r="F15" s="77"/>
      <c r="G15" s="43">
        <v>37640362</v>
      </c>
      <c r="H15" s="43">
        <f>H22+H16</f>
        <v>-610266</v>
      </c>
      <c r="I15" s="42">
        <f t="shared" si="2"/>
        <v>37030096</v>
      </c>
      <c r="J15" s="43">
        <f>J22+J16</f>
        <v>36948204</v>
      </c>
    </row>
    <row r="16" spans="1:10" s="18" customFormat="1" ht="63">
      <c r="A16" s="41" t="str">
        <f>IF(B16&gt;0,VLOOKUP(B16,КВСР!A8:B1173,2),IF(C16&gt;0,VLOOKUP(C16,КФСР!A8:B1520,2),IF(D16&gt;0,VLOOKUP(D16,Программа!A$1:B$5063,2),IF(F16&gt;0,VLOOKUP(F16,КВР!A$1:B$5001,2),IF(E16&gt;0,VLOOKUP(E16,Направление!A$1:B$4755,2))))))</f>
        <v>Муниципальная программа "Повышение эффективности управления муниципальными финансами"</v>
      </c>
      <c r="B16" s="83"/>
      <c r="C16" s="76"/>
      <c r="D16" s="391" t="s">
        <v>2795</v>
      </c>
      <c r="E16" s="83"/>
      <c r="F16" s="77"/>
      <c r="G16" s="43">
        <v>110000</v>
      </c>
      <c r="H16" s="43">
        <f t="shared" ref="H16:J17" si="3">H17</f>
        <v>0</v>
      </c>
      <c r="I16" s="43">
        <f t="shared" si="3"/>
        <v>110000</v>
      </c>
      <c r="J16" s="43">
        <f t="shared" si="3"/>
        <v>110000</v>
      </c>
    </row>
    <row r="17" spans="1:10" s="18" customFormat="1" ht="63">
      <c r="A17" s="41" t="str">
        <f>IF(B17&gt;0,VLOOKUP(B17,КВСР!A9:B1174,2),IF(C17&gt;0,VLOOKUP(C17,КФСР!A9:B1521,2),IF(D17&gt;0,VLOOKUP(D17,Программа!A$1:B$5063,2),IF(F17&gt;0,VLOOKUP(F17,КВР!A$1:B$5001,2),IF(E17&gt;0,VLOOKUP(E17,Направление!A$1:B$4755,2))))))</f>
        <v>Муниципальная целевая программа "Развитие системы муниципальных закупок в Тутаевском муниципальном районе"</v>
      </c>
      <c r="B17" s="83"/>
      <c r="C17" s="76"/>
      <c r="D17" s="391" t="s">
        <v>2801</v>
      </c>
      <c r="E17" s="83"/>
      <c r="F17" s="77"/>
      <c r="G17" s="43">
        <v>110000</v>
      </c>
      <c r="H17" s="43">
        <f t="shared" si="3"/>
        <v>0</v>
      </c>
      <c r="I17" s="43">
        <f t="shared" si="3"/>
        <v>110000</v>
      </c>
      <c r="J17" s="43">
        <f t="shared" si="3"/>
        <v>110000</v>
      </c>
    </row>
    <row r="18" spans="1:10" s="18" customFormat="1" ht="63">
      <c r="A18" s="41" t="str">
        <f>IF(B18&gt;0,VLOOKUP(B18,КВСР!A10:B1175,2),IF(C18&gt;0,VLOOKUP(C18,КФСР!A10:B1522,2),IF(D18&gt;0,VLOOKUP(D18,Программа!A$1:B$5063,2),IF(F18&gt;0,VLOOKUP(F18,КВР!A$1:B$5001,2),IF(E18&gt;0,VLOOKUP(E18,Направление!A$1:B$4755,2))))))</f>
        <v xml:space="preserve">Организация системы подготовки, планирования, сопровождения и осуществления муниципальных закупок </v>
      </c>
      <c r="B18" s="83"/>
      <c r="C18" s="76"/>
      <c r="D18" s="391" t="s">
        <v>2830</v>
      </c>
      <c r="E18" s="83"/>
      <c r="F18" s="77"/>
      <c r="G18" s="43">
        <v>110000</v>
      </c>
      <c r="H18" s="43">
        <f t="shared" ref="H18:J18" si="4">H19</f>
        <v>0</v>
      </c>
      <c r="I18" s="43">
        <f t="shared" si="4"/>
        <v>110000</v>
      </c>
      <c r="J18" s="43">
        <f t="shared" si="4"/>
        <v>110000</v>
      </c>
    </row>
    <row r="19" spans="1:10" s="18" customFormat="1" ht="47.25">
      <c r="A19" s="41" t="str">
        <f>IF(B19&gt;0,VLOOKUP(B19,КВСР!A11:B1176,2),IF(C19&gt;0,VLOOKUP(C19,КФСР!A11:B1523,2),IF(D19&gt;0,VLOOKUP(D19,Программа!A$1:B$5063,2),IF(F19&gt;0,VLOOKUP(F19,КВР!A$1:B$5001,2),IF(E19&gt;0,VLOOKUP(E19,Направление!A$1:B$4755,2))))))</f>
        <v>Содержание органов местного самоуправления за счет средств поселений</v>
      </c>
      <c r="B19" s="83"/>
      <c r="C19" s="76"/>
      <c r="D19" s="391"/>
      <c r="E19" s="83">
        <v>29016</v>
      </c>
      <c r="F19" s="77"/>
      <c r="G19" s="43">
        <v>110000</v>
      </c>
      <c r="H19" s="43">
        <f>H21+H20</f>
        <v>0</v>
      </c>
      <c r="I19" s="43">
        <f>I21+I20</f>
        <v>110000</v>
      </c>
      <c r="J19" s="43">
        <f>J21+J20</f>
        <v>110000</v>
      </c>
    </row>
    <row r="20" spans="1:10" s="18" customFormat="1" ht="96.75" customHeight="1">
      <c r="A20" s="41" t="str">
        <f>IF(B20&gt;0,VLOOKUP(B20,КВСР!A12:B1177,2),IF(C20&gt;0,VLOOKUP(C20,КФСР!A12:B1524,2),IF(D20&gt;0,VLOOKUP(D20,Программа!A$1:B$5063,2),IF(F20&gt;0,VLOOKUP(F20,КВР!A$1:B$5001,2),IF(E20&gt;0,VLOOKUP(E20,Направление!A$1:B$4755,2))))))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 s="83"/>
      <c r="C20" s="76"/>
      <c r="D20" s="391"/>
      <c r="E20" s="83"/>
      <c r="F20" s="77">
        <v>100</v>
      </c>
      <c r="G20" s="43">
        <v>13660</v>
      </c>
      <c r="H20" s="43"/>
      <c r="I20" s="43">
        <f>G20+H20</f>
        <v>13660</v>
      </c>
      <c r="J20" s="43">
        <v>13660</v>
      </c>
    </row>
    <row r="21" spans="1:10" s="18" customFormat="1" ht="31.5">
      <c r="A21" s="41" t="str">
        <f>IF(B21&gt;0,VLOOKUP(B21,КВСР!A10:B1175,2),IF(C21&gt;0,VLOOKUP(C21,КФСР!A10:B1522,2),IF(D21&gt;0,VLOOKUP(D21,Программа!A$1:B$5063,2),IF(F21&gt;0,VLOOKUP(F21,КВР!A$1:B$5001,2),IF(E21&gt;0,VLOOKUP(E21,Направление!A$1:B$4755,2))))))</f>
        <v>Закупка товаров, работ и услуг для государственных нужд</v>
      </c>
      <c r="B21" s="83"/>
      <c r="C21" s="76"/>
      <c r="D21" s="391"/>
      <c r="E21" s="83"/>
      <c r="F21" s="77">
        <v>200</v>
      </c>
      <c r="G21" s="43">
        <v>96340</v>
      </c>
      <c r="H21" s="344"/>
      <c r="I21" s="42">
        <f>G21+H21</f>
        <v>96340</v>
      </c>
      <c r="J21" s="344">
        <v>96340</v>
      </c>
    </row>
    <row r="22" spans="1:10" s="18" customFormat="1">
      <c r="A22" s="41" t="str">
        <f>IF(B22&gt;0,VLOOKUP(B22,КВСР!A8:B1173,2),IF(C22&gt;0,VLOOKUP(C22,КФСР!A8:B1520,2),IF(D22&gt;0,VLOOKUP(D22,Программа!A$1:B$5063,2),IF(F22&gt;0,VLOOKUP(F22,КВР!A$1:B$5001,2),IF(E22&gt;0,VLOOKUP(E22,Направление!A$1:B$4755,2))))))</f>
        <v>Непрограммные расходы бюджета</v>
      </c>
      <c r="B22" s="83"/>
      <c r="C22" s="76"/>
      <c r="D22" s="391" t="s">
        <v>2808</v>
      </c>
      <c r="E22" s="83"/>
      <c r="F22" s="77"/>
      <c r="G22" s="75">
        <v>37530362</v>
      </c>
      <c r="H22" s="75">
        <f>H23+H29+H27</f>
        <v>-610266</v>
      </c>
      <c r="I22" s="42">
        <f t="shared" si="2"/>
        <v>36920096</v>
      </c>
      <c r="J22" s="75">
        <f>J23+J29+J27</f>
        <v>36838204</v>
      </c>
    </row>
    <row r="23" spans="1:10" s="18" customFormat="1">
      <c r="A23" s="41" t="str">
        <f>IF(B23&gt;0,VLOOKUP(B23,КВСР!A9:B1174,2),IF(C23&gt;0,VLOOKUP(C23,КФСР!A9:B1521,2),IF(D23&gt;0,VLOOKUP(D23,Программа!A$1:B$5063,2),IF(F23&gt;0,VLOOKUP(F23,КВР!A$1:B$5001,2),IF(E23&gt;0,VLOOKUP(E23,Направление!A$1:B$4755,2))))))</f>
        <v>Содержание центрального аппарата</v>
      </c>
      <c r="B23" s="83"/>
      <c r="C23" s="76"/>
      <c r="D23" s="69"/>
      <c r="E23" s="82">
        <v>12010</v>
      </c>
      <c r="F23" s="77"/>
      <c r="G23" s="75">
        <v>29887607</v>
      </c>
      <c r="H23" s="75">
        <f t="shared" ref="H23:J23" si="5">H24+H25+H26</f>
        <v>-503705</v>
      </c>
      <c r="I23" s="42">
        <f t="shared" si="2"/>
        <v>29383902</v>
      </c>
      <c r="J23" s="75">
        <f t="shared" si="5"/>
        <v>29302010</v>
      </c>
    </row>
    <row r="24" spans="1:10" s="18" customFormat="1" ht="110.25">
      <c r="A24" s="41" t="str">
        <f>IF(B24&gt;0,VLOOKUP(B24,КВСР!A10:B1175,2),IF(C24&gt;0,VLOOKUP(C24,КФСР!A10:B1522,2),IF(D24&gt;0,VLOOKUP(D24,Программа!A$1:B$5063,2),IF(F24&gt;0,VLOOKUP(F24,КВР!A$1:B$5001,2),IF(E24&gt;0,VLOOKUP(E24,Направление!A$1:B$4755,2))))))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83"/>
      <c r="C24" s="76"/>
      <c r="D24" s="77"/>
      <c r="E24" s="83"/>
      <c r="F24" s="77">
        <v>100</v>
      </c>
      <c r="G24" s="341">
        <v>25506386</v>
      </c>
      <c r="H24" s="337">
        <f>-280000+14661</f>
        <v>-265339</v>
      </c>
      <c r="I24" s="42">
        <f t="shared" si="2"/>
        <v>25241047</v>
      </c>
      <c r="J24" s="337">
        <v>25206190</v>
      </c>
    </row>
    <row r="25" spans="1:10" s="18" customFormat="1" ht="31.5">
      <c r="A25" s="41" t="str">
        <f>IF(B25&gt;0,VLOOKUP(B25,КВСР!A11:B1176,2),IF(C25&gt;0,VLOOKUP(C25,КФСР!A11:B1523,2),IF(D25&gt;0,VLOOKUP(D25,Программа!A$1:B$5063,2),IF(F25&gt;0,VLOOKUP(F25,КВР!A$1:B$5001,2),IF(E25&gt;0,VLOOKUP(E25,Направление!A$1:B$4755,2))))))</f>
        <v>Закупка товаров, работ и услуг для государственных нужд</v>
      </c>
      <c r="B25" s="83"/>
      <c r="C25" s="76"/>
      <c r="D25" s="77"/>
      <c r="E25" s="83"/>
      <c r="F25" s="77">
        <v>200</v>
      </c>
      <c r="G25" s="341">
        <v>3880365</v>
      </c>
      <c r="H25" s="337">
        <f>-120000-18132</f>
        <v>-138132</v>
      </c>
      <c r="I25" s="42">
        <f t="shared" si="2"/>
        <v>3742233</v>
      </c>
      <c r="J25" s="337">
        <v>3695799</v>
      </c>
    </row>
    <row r="26" spans="1:10" s="18" customFormat="1">
      <c r="A26" s="41" t="str">
        <f>IF(B26&gt;0,VLOOKUP(B26,КВСР!A12:B1177,2),IF(C26&gt;0,VLOOKUP(C26,КФСР!A12:B1524,2),IF(D26&gt;0,VLOOKUP(D26,Программа!A$1:B$5063,2),IF(F26&gt;0,VLOOKUP(F26,КВР!A$1:B$5001,2),IF(E26&gt;0,VLOOKUP(E26,Направление!A$1:B$4755,2))))))</f>
        <v>Иные бюджетные ассигнования</v>
      </c>
      <c r="B26" s="83"/>
      <c r="C26" s="76"/>
      <c r="D26" s="77"/>
      <c r="E26" s="83"/>
      <c r="F26" s="77">
        <v>800</v>
      </c>
      <c r="G26" s="341">
        <v>500856</v>
      </c>
      <c r="H26" s="337">
        <f>-75573-24661</f>
        <v>-100234</v>
      </c>
      <c r="I26" s="42">
        <f t="shared" si="2"/>
        <v>400622</v>
      </c>
      <c r="J26" s="337">
        <v>400021</v>
      </c>
    </row>
    <row r="27" spans="1:10" s="18" customFormat="1" ht="31.5">
      <c r="A27" s="41" t="str">
        <f>IF(B27&gt;0,VLOOKUP(B27,КВСР!A13:B1178,2),IF(C27&gt;0,VLOOKUP(C27,КФСР!A13:B1525,2),IF(D27&gt;0,VLOOKUP(D27,Программа!A$1:B$5063,2),IF(F27&gt;0,VLOOKUP(F27,КВР!A$1:B$5001,2),IF(E27&gt;0,VLOOKUP(E27,Направление!A$1:B$4755,2))))))</f>
        <v>Содержание главы местной администрации</v>
      </c>
      <c r="B27" s="83"/>
      <c r="C27" s="76"/>
      <c r="D27" s="77"/>
      <c r="E27" s="83">
        <v>12040</v>
      </c>
      <c r="F27" s="77"/>
      <c r="G27" s="341">
        <v>1023487</v>
      </c>
      <c r="H27" s="341">
        <f t="shared" ref="H27:J27" si="6">H28</f>
        <v>-106561</v>
      </c>
      <c r="I27" s="341">
        <f t="shared" si="6"/>
        <v>916926</v>
      </c>
      <c r="J27" s="341">
        <f t="shared" si="6"/>
        <v>916926</v>
      </c>
    </row>
    <row r="28" spans="1:10" s="18" customFormat="1" ht="99.75" customHeight="1">
      <c r="A28" s="41" t="str">
        <f>IF(B28&gt;0,VLOOKUP(B28,КВСР!A14:B1179,2),IF(C28&gt;0,VLOOKUP(C28,КФСР!A14:B1526,2),IF(D28&gt;0,VLOOKUP(D28,Программа!A$1:B$5063,2),IF(F28&gt;0,VLOOKUP(F28,КВР!A$1:B$5001,2),IF(E28&gt;0,VLOOKUP(E28,Направление!A$1:B$4755,2))))))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 s="83"/>
      <c r="C28" s="76"/>
      <c r="D28" s="77"/>
      <c r="E28" s="83"/>
      <c r="F28" s="77">
        <v>100</v>
      </c>
      <c r="G28" s="341">
        <v>1023487</v>
      </c>
      <c r="H28" s="337">
        <v>-106561</v>
      </c>
      <c r="I28" s="42">
        <f>G28+H28</f>
        <v>916926</v>
      </c>
      <c r="J28" s="337">
        <v>916926</v>
      </c>
    </row>
    <row r="29" spans="1:10" s="18" customFormat="1" ht="47.25">
      <c r="A29" s="41" t="str">
        <f>IF(B29&gt;0,VLOOKUP(B29,КВСР!A13:B1178,2),IF(C29&gt;0,VLOOKUP(C29,КФСР!A13:B1525,2),IF(D29&gt;0,VLOOKUP(D29,Программа!A$1:B$5063,2),IF(F29&gt;0,VLOOKUP(F29,КВР!A$1:B$5001,2),IF(E29&gt;0,VLOOKUP(E29,Направление!A$1:B$4755,2))))))</f>
        <v>Содержание органов местного самоуправления за счет средств поселений</v>
      </c>
      <c r="B29" s="83"/>
      <c r="C29" s="76"/>
      <c r="D29" s="391"/>
      <c r="E29" s="83">
        <v>29016</v>
      </c>
      <c r="F29" s="77"/>
      <c r="G29" s="42">
        <v>6619268</v>
      </c>
      <c r="H29" s="42">
        <f t="shared" ref="H29:J29" si="7">H30+H31</f>
        <v>0</v>
      </c>
      <c r="I29" s="42">
        <f t="shared" si="2"/>
        <v>6619268</v>
      </c>
      <c r="J29" s="42">
        <f t="shared" si="7"/>
        <v>6619268</v>
      </c>
    </row>
    <row r="30" spans="1:10" s="18" customFormat="1" ht="110.25">
      <c r="A30" s="41" t="str">
        <f>IF(B30&gt;0,VLOOKUP(B30,КВСР!A14:B1179,2),IF(C30&gt;0,VLOOKUP(C30,КФСР!A14:B1526,2),IF(D30&gt;0,VLOOKUP(D30,Программа!A$1:B$5063,2),IF(F30&gt;0,VLOOKUP(F30,КВР!A$1:B$5001,2),IF(E30&gt;0,VLOOKUP(E30,Направление!A$1:B$4755,2))))))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 s="83"/>
      <c r="C30" s="76"/>
      <c r="D30" s="77"/>
      <c r="E30" s="83"/>
      <c r="F30" s="77">
        <v>100</v>
      </c>
      <c r="G30" s="341">
        <v>5964348</v>
      </c>
      <c r="H30" s="337"/>
      <c r="I30" s="42">
        <f t="shared" si="2"/>
        <v>5964348</v>
      </c>
      <c r="J30" s="337">
        <v>5964348</v>
      </c>
    </row>
    <row r="31" spans="1:10" s="18" customFormat="1" ht="31.5">
      <c r="A31" s="41" t="str">
        <f>IF(B31&gt;0,VLOOKUP(B31,КВСР!A15:B1180,2),IF(C31&gt;0,VLOOKUP(C31,КФСР!A15:B1527,2),IF(D31&gt;0,VLOOKUP(D31,Программа!A$1:B$5063,2),IF(F31&gt;0,VLOOKUP(F31,КВР!A$1:B$5001,2),IF(E31&gt;0,VLOOKUP(E31,Направление!A$1:B$4755,2))))))</f>
        <v>Закупка товаров, работ и услуг для государственных нужд</v>
      </c>
      <c r="B31" s="83"/>
      <c r="C31" s="76"/>
      <c r="D31" s="77"/>
      <c r="E31" s="83"/>
      <c r="F31" s="77">
        <v>200</v>
      </c>
      <c r="G31" s="341">
        <v>654920</v>
      </c>
      <c r="H31" s="337"/>
      <c r="I31" s="42">
        <f t="shared" si="2"/>
        <v>654920</v>
      </c>
      <c r="J31" s="337">
        <v>654920</v>
      </c>
    </row>
    <row r="32" spans="1:10" s="18" customFormat="1">
      <c r="A32" s="41" t="str">
        <f>IF(B32&gt;0,VLOOKUP(B32,КВСР!A16:B1181,2),IF(C32&gt;0,VLOOKUP(C32,КФСР!A16:B1528,2),IF(D32&gt;0,VLOOKUP(D32,Программа!A$1:B$5063,2),IF(F32&gt;0,VLOOKUP(F32,КВР!A$1:B$5001,2),IF(E32&gt;0,VLOOKUP(E32,Направление!A$1:B$4755,2))))))</f>
        <v>Судебная система</v>
      </c>
      <c r="B32" s="83"/>
      <c r="C32" s="76">
        <v>105</v>
      </c>
      <c r="D32" s="77"/>
      <c r="E32" s="83"/>
      <c r="F32" s="77"/>
      <c r="G32" s="42">
        <v>32650</v>
      </c>
      <c r="H32" s="42">
        <f t="shared" ref="H32:J34" si="8">H33</f>
        <v>0</v>
      </c>
      <c r="I32" s="42">
        <f t="shared" si="2"/>
        <v>32650</v>
      </c>
      <c r="J32" s="42">
        <f t="shared" si="8"/>
        <v>32650</v>
      </c>
    </row>
    <row r="33" spans="1:10" s="18" customFormat="1">
      <c r="A33" s="41" t="str">
        <f>IF(B33&gt;0,VLOOKUP(B33,КВСР!A17:B1182,2),IF(C33&gt;0,VLOOKUP(C33,КФСР!A17:B1529,2),IF(D33&gt;0,VLOOKUP(D33,Программа!A$1:B$5063,2),IF(F33&gt;0,VLOOKUP(F33,КВР!A$1:B$5001,2),IF(E33&gt;0,VLOOKUP(E33,Направление!A$1:B$4755,2))))))</f>
        <v>Непрограммные расходы бюджета</v>
      </c>
      <c r="B33" s="83"/>
      <c r="C33" s="76"/>
      <c r="D33" s="77" t="s">
        <v>2808</v>
      </c>
      <c r="E33" s="83"/>
      <c r="F33" s="77"/>
      <c r="G33" s="42">
        <v>32650</v>
      </c>
      <c r="H33" s="42">
        <f t="shared" si="8"/>
        <v>0</v>
      </c>
      <c r="I33" s="42">
        <f t="shared" si="2"/>
        <v>32650</v>
      </c>
      <c r="J33" s="42">
        <f t="shared" si="8"/>
        <v>32650</v>
      </c>
    </row>
    <row r="34" spans="1:10" s="18" customFormat="1" ht="94.5">
      <c r="A34" s="41" t="str">
        <f>IF(B34&gt;0,VLOOKUP(B34,КВСР!A18:B1183,2),IF(C34&gt;0,VLOOKUP(C34,КФСР!A18:B1530,2),IF(D34&gt;0,VLOOKUP(D34,Программа!A$1:B$5063,2),IF(F34&gt;0,VLOOKUP(F34,КВР!A$1:B$5001,2),IF(E34&gt;0,VLOOKUP(E34,Направление!A$1:B$4755,2))))))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4" s="83"/>
      <c r="C34" s="76"/>
      <c r="D34" s="77"/>
      <c r="E34" s="83">
        <v>51200</v>
      </c>
      <c r="F34" s="77"/>
      <c r="G34" s="42">
        <v>32650</v>
      </c>
      <c r="H34" s="42">
        <f t="shared" si="8"/>
        <v>0</v>
      </c>
      <c r="I34" s="42">
        <f t="shared" si="2"/>
        <v>32650</v>
      </c>
      <c r="J34" s="42">
        <f t="shared" si="8"/>
        <v>32650</v>
      </c>
    </row>
    <row r="35" spans="1:10" s="18" customFormat="1" ht="31.5">
      <c r="A35" s="41" t="str">
        <f>IF(B35&gt;0,VLOOKUP(B35,КВСР!A19:B1184,2),IF(C35&gt;0,VLOOKUP(C35,КФСР!A19:B1531,2),IF(D35&gt;0,VLOOKUP(D35,Программа!A$1:B$5063,2),IF(F35&gt;0,VLOOKUP(F35,КВР!A$1:B$5001,2),IF(E35&gt;0,VLOOKUP(E35,Направление!A$1:B$4755,2))))))</f>
        <v>Закупка товаров, работ и услуг для государственных нужд</v>
      </c>
      <c r="B35" s="83"/>
      <c r="C35" s="76"/>
      <c r="D35" s="77"/>
      <c r="E35" s="83"/>
      <c r="F35" s="77">
        <v>200</v>
      </c>
      <c r="G35" s="341">
        <v>32650</v>
      </c>
      <c r="H35" s="337"/>
      <c r="I35" s="42">
        <f t="shared" si="2"/>
        <v>32650</v>
      </c>
      <c r="J35" s="337">
        <v>32650</v>
      </c>
    </row>
    <row r="36" spans="1:10" s="18" customFormat="1" ht="31.5">
      <c r="A36" s="41" t="str">
        <f>IF(B36&gt;0,VLOOKUP(B36,КВСР!A20:B1185,2),IF(C36&gt;0,VLOOKUP(C36,КФСР!A20:B1532,2),IF(D36&gt;0,VLOOKUP(D36,Программа!A$1:B$5063,2),IF(F36&gt;0,VLOOKUP(F36,КВР!A$1:B$5001,2),IF(E36&gt;0,VLOOKUP(E36,Направление!A$1:B$4755,2))))))</f>
        <v>Обеспечение проведения выборов и референдумов</v>
      </c>
      <c r="B36" s="83"/>
      <c r="C36" s="76">
        <v>107</v>
      </c>
      <c r="D36" s="77"/>
      <c r="E36" s="83"/>
      <c r="F36" s="77"/>
      <c r="G36" s="341">
        <v>434662</v>
      </c>
      <c r="H36" s="341">
        <f t="shared" ref="H36:J37" si="9">H37</f>
        <v>0</v>
      </c>
      <c r="I36" s="341">
        <f t="shared" si="9"/>
        <v>434662</v>
      </c>
      <c r="J36" s="341">
        <f t="shared" si="9"/>
        <v>434662</v>
      </c>
    </row>
    <row r="37" spans="1:10" s="18" customFormat="1">
      <c r="A37" s="41" t="str">
        <f>IF(B37&gt;0,VLOOKUP(B37,КВСР!A21:B1186,2),IF(C37&gt;0,VLOOKUP(C37,КФСР!A21:B1533,2),IF(D37&gt;0,VLOOKUP(D37,Программа!A$1:B$5063,2),IF(F37&gt;0,VLOOKUP(F37,КВР!A$1:B$5001,2),IF(E37&gt;0,VLOOKUP(E37,Направление!A$1:B$4755,2))))))</f>
        <v>Непрограммные расходы бюджета</v>
      </c>
      <c r="B37" s="83"/>
      <c r="C37" s="76"/>
      <c r="D37" s="77" t="s">
        <v>2808</v>
      </c>
      <c r="E37" s="83"/>
      <c r="F37" s="77"/>
      <c r="G37" s="341">
        <v>434662</v>
      </c>
      <c r="H37" s="341">
        <f t="shared" si="9"/>
        <v>0</v>
      </c>
      <c r="I37" s="341">
        <f t="shared" si="9"/>
        <v>434662</v>
      </c>
      <c r="J37" s="341">
        <f t="shared" si="9"/>
        <v>434662</v>
      </c>
    </row>
    <row r="38" spans="1:10" s="18" customFormat="1" ht="47.25">
      <c r="A38" s="41" t="str">
        <f>IF(B38&gt;0,VLOOKUP(B38,КВСР!A22:B1187,2),IF(C38&gt;0,VLOOKUP(C38,КФСР!A22:B1534,2),IF(D38&gt;0,VLOOKUP(D38,Программа!A$1:B$5063,2),IF(F38&gt;0,VLOOKUP(F38,КВР!A$1:B$5001,2),IF(E38&gt;0,VLOOKUP(E38,Направление!A$1:B$4755,2))))))</f>
        <v>Проведение выборов в представительные органы муниципального образования</v>
      </c>
      <c r="B38" s="83"/>
      <c r="C38" s="76"/>
      <c r="D38" s="77"/>
      <c r="E38" s="83">
        <v>12310</v>
      </c>
      <c r="F38" s="77"/>
      <c r="G38" s="341">
        <v>434662</v>
      </c>
      <c r="H38" s="341">
        <f>H40+H39+H41</f>
        <v>0</v>
      </c>
      <c r="I38" s="341">
        <f>I40+I39+I41</f>
        <v>434662</v>
      </c>
      <c r="J38" s="341">
        <f>J40+J39+J41</f>
        <v>434662</v>
      </c>
    </row>
    <row r="39" spans="1:10" s="18" customFormat="1" ht="110.25" hidden="1">
      <c r="A39" s="41" t="str">
        <f>IF(B39&gt;0,VLOOKUP(B39,КВСР!A23:B1188,2),IF(C39&gt;0,VLOOKUP(C39,КФСР!A23:B1535,2),IF(D39&gt;0,VLOOKUP(D39,Программа!A$1:B$5063,2),IF(F39&gt;0,VLOOKUP(F39,КВР!A$1:B$5001,2),IF(E39&gt;0,VLOOKUP(E39,Направление!A$1:B$4755,2))))))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 s="83"/>
      <c r="C39" s="76"/>
      <c r="D39" s="77"/>
      <c r="E39" s="83"/>
      <c r="F39" s="77">
        <v>100</v>
      </c>
      <c r="G39" s="341">
        <v>0</v>
      </c>
      <c r="H39" s="345"/>
      <c r="I39" s="341">
        <f>G39+H39</f>
        <v>0</v>
      </c>
      <c r="J39" s="345"/>
    </row>
    <row r="40" spans="1:10" s="18" customFormat="1" ht="31.5" hidden="1">
      <c r="A40" s="41" t="str">
        <f>IF(B40&gt;0,VLOOKUP(B40,КВСР!A23:B1188,2),IF(C40&gt;0,VLOOKUP(C40,КФСР!A23:B1535,2),IF(D40&gt;0,VLOOKUP(D40,Программа!A$1:B$5063,2),IF(F40&gt;0,VLOOKUP(F40,КВР!A$1:B$5001,2),IF(E40&gt;0,VLOOKUP(E40,Направление!A$1:B$4755,2))))))</f>
        <v>Закупка товаров, работ и услуг для государственных нужд</v>
      </c>
      <c r="B40" s="83"/>
      <c r="C40" s="76"/>
      <c r="D40" s="77"/>
      <c r="E40" s="83"/>
      <c r="F40" s="77">
        <v>200</v>
      </c>
      <c r="G40" s="341">
        <v>0</v>
      </c>
      <c r="H40" s="337"/>
      <c r="I40" s="42">
        <f>G40+H40</f>
        <v>0</v>
      </c>
      <c r="J40" s="337"/>
    </row>
    <row r="41" spans="1:10" s="18" customFormat="1">
      <c r="A41" s="41" t="str">
        <f>IF(B41&gt;0,VLOOKUP(B41,КВСР!A24:B1189,2),IF(C41&gt;0,VLOOKUP(C41,КФСР!A24:B1536,2),IF(D41&gt;0,VLOOKUP(D41,Программа!A$1:B$5063,2),IF(F41&gt;0,VLOOKUP(F41,КВР!A$1:B$5001,2),IF(E41&gt;0,VLOOKUP(E41,Направление!A$1:B$4755,2))))))</f>
        <v>Иные бюджетные ассигнования</v>
      </c>
      <c r="B41" s="83"/>
      <c r="C41" s="76"/>
      <c r="D41" s="77"/>
      <c r="E41" s="83"/>
      <c r="F41" s="77">
        <v>800</v>
      </c>
      <c r="G41" s="341">
        <v>434662</v>
      </c>
      <c r="H41" s="337"/>
      <c r="I41" s="42">
        <f>G41+H41</f>
        <v>434662</v>
      </c>
      <c r="J41" s="337">
        <v>434662</v>
      </c>
    </row>
    <row r="42" spans="1:10" s="18" customFormat="1" hidden="1">
      <c r="A42" s="41" t="str">
        <f>IF(B42&gt;0,VLOOKUP(B42,КВСР!A21:B1186,2),IF(C42&gt;0,VLOOKUP(C42,КФСР!A21:B1533,2),IF(D42&gt;0,VLOOKUP(D42,Программа!A$1:B$5063,2),IF(F42&gt;0,VLOOKUP(F42,КВР!A$1:B$5001,2),IF(E42&gt;0,VLOOKUP(E42,Направление!A$1:B$4755,2))))))</f>
        <v>Резервные фонды</v>
      </c>
      <c r="B42" s="83"/>
      <c r="C42" s="76">
        <v>111</v>
      </c>
      <c r="D42" s="391"/>
      <c r="E42" s="83"/>
      <c r="F42" s="77"/>
      <c r="G42" s="43">
        <v>802120</v>
      </c>
      <c r="H42" s="43">
        <f t="shared" ref="H42:J44" si="10">H43</f>
        <v>-802120</v>
      </c>
      <c r="I42" s="42">
        <f t="shared" si="2"/>
        <v>0</v>
      </c>
      <c r="J42" s="43">
        <f t="shared" si="10"/>
        <v>0</v>
      </c>
    </row>
    <row r="43" spans="1:10" s="18" customFormat="1" hidden="1">
      <c r="A43" s="41" t="str">
        <f>IF(B43&gt;0,VLOOKUP(B43,КВСР!A22:B1187,2),IF(C43&gt;0,VLOOKUP(C43,КФСР!A22:B1534,2),IF(D43&gt;0,VLOOKUP(D43,Программа!A$1:B$5063,2),IF(F43&gt;0,VLOOKUP(F43,КВР!A$1:B$5001,2),IF(E43&gt;0,VLOOKUP(E43,Направление!A$1:B$4755,2))))))</f>
        <v>Непрограммные расходы бюджета</v>
      </c>
      <c r="B43" s="83"/>
      <c r="C43" s="76"/>
      <c r="D43" s="391" t="s">
        <v>2808</v>
      </c>
      <c r="E43" s="83"/>
      <c r="F43" s="77"/>
      <c r="G43" s="43">
        <v>802120</v>
      </c>
      <c r="H43" s="43">
        <f t="shared" si="10"/>
        <v>-802120</v>
      </c>
      <c r="I43" s="42">
        <f t="shared" si="2"/>
        <v>0</v>
      </c>
      <c r="J43" s="43">
        <f t="shared" si="10"/>
        <v>0</v>
      </c>
    </row>
    <row r="44" spans="1:10" s="18" customFormat="1" ht="31.5" hidden="1">
      <c r="A44" s="41" t="str">
        <f>IF(B44&gt;0,VLOOKUP(B44,КВСР!A23:B1188,2),IF(C44&gt;0,VLOOKUP(C44,КФСР!A23:B1535,2),IF(D44&gt;0,VLOOKUP(D44,Программа!A$1:B$5063,2),IF(F44&gt;0,VLOOKUP(F44,КВР!A$1:B$5001,2),IF(E44&gt;0,VLOOKUP(E44,Направление!A$1:B$4755,2))))))</f>
        <v>Резервные фонды местных администраций</v>
      </c>
      <c r="B44" s="83"/>
      <c r="C44" s="76"/>
      <c r="D44" s="391"/>
      <c r="E44" s="83">
        <v>12900</v>
      </c>
      <c r="F44" s="77"/>
      <c r="G44" s="43">
        <v>802120</v>
      </c>
      <c r="H44" s="43">
        <f t="shared" si="10"/>
        <v>-802120</v>
      </c>
      <c r="I44" s="42">
        <f t="shared" si="2"/>
        <v>0</v>
      </c>
      <c r="J44" s="43">
        <f t="shared" si="10"/>
        <v>0</v>
      </c>
    </row>
    <row r="45" spans="1:10" s="18" customFormat="1" hidden="1">
      <c r="A45" s="41" t="str">
        <f>IF(B45&gt;0,VLOOKUP(B45,КВСР!A24:B1189,2),IF(C45&gt;0,VLOOKUP(C45,КФСР!A24:B1536,2),IF(D45&gt;0,VLOOKUP(D45,Программа!A$1:B$5063,2),IF(F45&gt;0,VLOOKUP(F45,КВР!A$1:B$5001,2),IF(E45&gt;0,VLOOKUP(E45,Направление!A$1:B$4755,2))))))</f>
        <v>Иные бюджетные ассигнования</v>
      </c>
      <c r="B45" s="83"/>
      <c r="C45" s="76"/>
      <c r="D45" s="77"/>
      <c r="E45" s="83"/>
      <c r="F45" s="77">
        <v>800</v>
      </c>
      <c r="G45" s="341">
        <v>802120</v>
      </c>
      <c r="H45" s="337">
        <f>-1138000+351046-15000-166</f>
        <v>-802120</v>
      </c>
      <c r="I45" s="42">
        <f t="shared" si="2"/>
        <v>0</v>
      </c>
      <c r="J45" s="337"/>
    </row>
    <row r="46" spans="1:10" s="18" customFormat="1" ht="31.5">
      <c r="A46" s="41" t="str">
        <f>IF(B46&gt;0,VLOOKUP(B46,КВСР!A25:B1190,2),IF(C46&gt;0,VLOOKUP(C46,КФСР!A25:B1537,2),IF(D46&gt;0,VLOOKUP(D46,Программа!A$1:B$5063,2),IF(F46&gt;0,VLOOKUP(F46,КВР!A$1:B$5001,2),IF(E46&gt;0,VLOOKUP(E46,Направление!A$1:B$4755,2))))))</f>
        <v>Другие общегосударственные вопросы</v>
      </c>
      <c r="B46" s="83"/>
      <c r="C46" s="76">
        <v>113</v>
      </c>
      <c r="D46" s="391"/>
      <c r="E46" s="83"/>
      <c r="F46" s="77"/>
      <c r="G46" s="93">
        <v>19228005</v>
      </c>
      <c r="H46" s="93">
        <f>H47+H53+H57+H73+H77+H64</f>
        <v>-94216</v>
      </c>
      <c r="I46" s="42">
        <f t="shared" si="2"/>
        <v>19133789</v>
      </c>
      <c r="J46" s="93">
        <f>J47+J53+J57+J73+J77+J64</f>
        <v>18407262</v>
      </c>
    </row>
    <row r="47" spans="1:10" s="18" customFormat="1" ht="63">
      <c r="A47" s="41" t="str">
        <f>IF(B47&gt;0,VLOOKUP(B47,КВСР!A26:B1191,2),IF(C47&gt;0,VLOOKUP(C47,КФСР!A26:B1538,2),IF(D47&gt;0,VLOOKUP(D47,Программа!A$1:B$5063,2),IF(F47&gt;0,VLOOKUP(F47,КВР!A$1:B$5001,2),IF(E47&gt;0,VLOOKUP(E47,Направление!A$1:B$4755,2))))))</f>
        <v>Муниципальная программа "Повышение эффективности управления муниципальными финансами"</v>
      </c>
      <c r="B47" s="83"/>
      <c r="C47" s="76"/>
      <c r="D47" s="391" t="s">
        <v>2795</v>
      </c>
      <c r="E47" s="83"/>
      <c r="F47" s="77"/>
      <c r="G47" s="93">
        <v>130000</v>
      </c>
      <c r="H47" s="93">
        <f t="shared" ref="H47:J47" si="11">H48</f>
        <v>0</v>
      </c>
      <c r="I47" s="42">
        <f t="shared" si="2"/>
        <v>130000</v>
      </c>
      <c r="J47" s="93">
        <f t="shared" si="11"/>
        <v>130000</v>
      </c>
    </row>
    <row r="48" spans="1:10" s="18" customFormat="1" ht="63">
      <c r="A48" s="41" t="str">
        <f>IF(B48&gt;0,VLOOKUP(B48,КВСР!A27:B1192,2),IF(C48&gt;0,VLOOKUP(C48,КФСР!A27:B1539,2),IF(D48&gt;0,VLOOKUP(D48,Программа!A$1:B$5063,2),IF(F48&gt;0,VLOOKUP(F48,КВР!A$1:B$5001,2),IF(E48&gt;0,VLOOKUP(E48,Направление!A$1:B$4755,2))))))</f>
        <v>Муниципальная целевая программа "Развитие системы муниципальных закупок в Тутаевском муниципальном районе"</v>
      </c>
      <c r="B48" s="83"/>
      <c r="C48" s="76"/>
      <c r="D48" s="391" t="s">
        <v>2801</v>
      </c>
      <c r="E48" s="83"/>
      <c r="F48" s="77"/>
      <c r="G48" s="93">
        <v>130000</v>
      </c>
      <c r="H48" s="93">
        <f t="shared" ref="H48:J48" si="12">H50</f>
        <v>0</v>
      </c>
      <c r="I48" s="42">
        <f t="shared" si="2"/>
        <v>130000</v>
      </c>
      <c r="J48" s="93">
        <f t="shared" si="12"/>
        <v>130000</v>
      </c>
    </row>
    <row r="49" spans="1:10" s="18" customFormat="1" ht="63">
      <c r="A49" s="41" t="str">
        <f>IF(B49&gt;0,VLOOKUP(B49,КВСР!A28:B1193,2),IF(C49&gt;0,VLOOKUP(C49,КФСР!A28:B1540,2),IF(D49&gt;0,VLOOKUP(D49,Программа!A$1:B$5063,2),IF(F49&gt;0,VLOOKUP(F49,КВР!A$1:B$5001,2),IF(E49&gt;0,VLOOKUP(E49,Направление!A$1:B$4755,2))))))</f>
        <v xml:space="preserve">Организация системы подготовки, планирования, сопровождения и осуществления муниципальных закупок </v>
      </c>
      <c r="B49" s="83"/>
      <c r="C49" s="76"/>
      <c r="D49" s="391" t="s">
        <v>2830</v>
      </c>
      <c r="E49" s="83"/>
      <c r="F49" s="77"/>
      <c r="G49" s="93">
        <v>130000</v>
      </c>
      <c r="H49" s="93">
        <f t="shared" ref="H49:J49" si="13">H48</f>
        <v>0</v>
      </c>
      <c r="I49" s="42">
        <f t="shared" si="2"/>
        <v>130000</v>
      </c>
      <c r="J49" s="93">
        <f t="shared" si="13"/>
        <v>130000</v>
      </c>
    </row>
    <row r="50" spans="1:10" s="18" customFormat="1" ht="31.5">
      <c r="A50" s="41" t="str">
        <f>IF(B50&gt;0,VLOOKUP(B50,КВСР!A28:B1193,2),IF(C50&gt;0,VLOOKUP(C50,КФСР!A28:B1540,2),IF(D50&gt;0,VLOOKUP(D50,Программа!A$1:B$5063,2),IF(F50&gt;0,VLOOKUP(F50,КВР!A$1:B$5001,2),IF(E50&gt;0,VLOOKUP(E50,Направление!A$1:B$4755,2))))))</f>
        <v>Расходы на развитие системы муниципального заказа</v>
      </c>
      <c r="B50" s="83"/>
      <c r="C50" s="76"/>
      <c r="D50" s="391"/>
      <c r="E50" s="83">
        <v>12220</v>
      </c>
      <c r="F50" s="77"/>
      <c r="G50" s="93">
        <v>130000</v>
      </c>
      <c r="H50" s="93">
        <f>H52+H51</f>
        <v>0</v>
      </c>
      <c r="I50" s="42">
        <f t="shared" si="2"/>
        <v>130000</v>
      </c>
      <c r="J50" s="93">
        <f>J52+J51</f>
        <v>130000</v>
      </c>
    </row>
    <row r="51" spans="1:10" s="18" customFormat="1" ht="103.5" customHeight="1">
      <c r="A51" s="41" t="str">
        <f>IF(B51&gt;0,VLOOKUP(B51,КВСР!A29:B1194,2),IF(C51&gt;0,VLOOKUP(C51,КФСР!A29:B1541,2),IF(D51&gt;0,VLOOKUP(D51,Программа!A$1:B$5063,2),IF(F51&gt;0,VLOOKUP(F51,КВР!A$1:B$5001,2),IF(E51&gt;0,VLOOKUP(E51,Направление!A$1:B$4755,2))))))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1" s="83"/>
      <c r="C51" s="76"/>
      <c r="D51" s="391"/>
      <c r="E51" s="83"/>
      <c r="F51" s="77">
        <v>100</v>
      </c>
      <c r="G51" s="93">
        <v>8500</v>
      </c>
      <c r="H51" s="93"/>
      <c r="I51" s="42">
        <f>G51+H51</f>
        <v>8500</v>
      </c>
      <c r="J51" s="93">
        <v>8500</v>
      </c>
    </row>
    <row r="52" spans="1:10" s="18" customFormat="1" ht="31.5">
      <c r="A52" s="41" t="str">
        <f>IF(B52&gt;0,VLOOKUP(B52,КВСР!A29:B1194,2),IF(C52&gt;0,VLOOKUP(C52,КФСР!A29:B1541,2),IF(D52&gt;0,VLOOKUP(D52,Программа!A$1:B$5063,2),IF(F52&gt;0,VLOOKUP(F52,КВР!A$1:B$5001,2),IF(E52&gt;0,VLOOKUP(E52,Направление!A$1:B$4755,2))))))</f>
        <v>Закупка товаров, работ и услуг для государственных нужд</v>
      </c>
      <c r="B52" s="83"/>
      <c r="C52" s="76"/>
      <c r="D52" s="77"/>
      <c r="E52" s="83"/>
      <c r="F52" s="77">
        <v>200</v>
      </c>
      <c r="G52" s="494">
        <v>121500</v>
      </c>
      <c r="H52" s="339"/>
      <c r="I52" s="42">
        <f t="shared" si="2"/>
        <v>121500</v>
      </c>
      <c r="J52" s="339">
        <v>121500</v>
      </c>
    </row>
    <row r="53" spans="1:10" s="18" customFormat="1" ht="47.25">
      <c r="A53" s="41" t="str">
        <f>IF(B53&gt;0,VLOOKUP(B53,КВСР!A26:B1191,2),IF(C53&gt;0,VLOOKUP(C53,КФСР!A26:B1538,2),IF(D53&gt;0,VLOOKUP(D53,Программа!A$1:B$5063,2),IF(F53&gt;0,VLOOKUP(F53,КВР!A$1:B$5001,2),IF(E53&gt;0,VLOOKUP(E53,Направление!A$1:B$4755,2))))))</f>
        <v>Программа развития муниципальной службы в Тутаевском муниципальном районе</v>
      </c>
      <c r="B53" s="83"/>
      <c r="C53" s="76"/>
      <c r="D53" s="391" t="s">
        <v>2836</v>
      </c>
      <c r="E53" s="83"/>
      <c r="F53" s="77"/>
      <c r="G53" s="93">
        <v>50000</v>
      </c>
      <c r="H53" s="93">
        <f t="shared" ref="H53:J55" si="14">H54</f>
        <v>-13050</v>
      </c>
      <c r="I53" s="42">
        <f t="shared" si="2"/>
        <v>36950</v>
      </c>
      <c r="J53" s="93">
        <f t="shared" si="14"/>
        <v>36950</v>
      </c>
    </row>
    <row r="54" spans="1:10" s="18" customFormat="1" ht="47.25">
      <c r="A54" s="41" t="str">
        <f>IF(B54&gt;0,VLOOKUP(B54,КВСР!A27:B1192,2),IF(C54&gt;0,VLOOKUP(C54,КФСР!A27:B1539,2),IF(D54&gt;0,VLOOKUP(D54,Программа!A$1:B$5063,2),IF(F54&gt;0,VLOOKUP(F54,КВР!A$1:B$5001,2),IF(E54&gt;0,VLOOKUP(E54,Направление!A$1:B$4755,2))))))</f>
        <v>Мероприятия по повышению квалификации  муниципальных служащих</v>
      </c>
      <c r="B54" s="83"/>
      <c r="C54" s="76"/>
      <c r="D54" s="391" t="s">
        <v>2837</v>
      </c>
      <c r="E54" s="83"/>
      <c r="F54" s="77"/>
      <c r="G54" s="93">
        <v>50000</v>
      </c>
      <c r="H54" s="93">
        <f t="shared" si="14"/>
        <v>-13050</v>
      </c>
      <c r="I54" s="42">
        <f t="shared" si="2"/>
        <v>36950</v>
      </c>
      <c r="J54" s="93">
        <f t="shared" si="14"/>
        <v>36950</v>
      </c>
    </row>
    <row r="55" spans="1:10" s="18" customFormat="1" ht="31.5">
      <c r="A55" s="41" t="str">
        <f>IF(B55&gt;0,VLOOKUP(B55,КВСР!A28:B1193,2),IF(C55&gt;0,VLOOKUP(C55,КФСР!A28:B1540,2),IF(D55&gt;0,VLOOKUP(D55,Программа!A$1:B$5063,2),IF(F55&gt;0,VLOOKUP(F55,КВР!A$1:B$5001,2),IF(E55&gt;0,VLOOKUP(E55,Направление!A$1:B$4755,2))))))</f>
        <v>Расходы на развитие муниципальной службы</v>
      </c>
      <c r="B55" s="83"/>
      <c r="C55" s="76"/>
      <c r="D55" s="391"/>
      <c r="E55" s="83">
        <v>12200</v>
      </c>
      <c r="F55" s="77"/>
      <c r="G55" s="93">
        <v>50000</v>
      </c>
      <c r="H55" s="93">
        <f t="shared" si="14"/>
        <v>-13050</v>
      </c>
      <c r="I55" s="42">
        <f t="shared" si="2"/>
        <v>36950</v>
      </c>
      <c r="J55" s="93">
        <f t="shared" si="14"/>
        <v>36950</v>
      </c>
    </row>
    <row r="56" spans="1:10" s="18" customFormat="1" ht="31.5">
      <c r="A56" s="41" t="str">
        <f>IF(B56&gt;0,VLOOKUP(B56,КВСР!A29:B1194,2),IF(C56&gt;0,VLOOKUP(C56,КФСР!A29:B1541,2),IF(D56&gt;0,VLOOKUP(D56,Программа!A$1:B$5063,2),IF(F56&gt;0,VLOOKUP(F56,КВР!A$1:B$5001,2),IF(E56&gt;0,VLOOKUP(E56,Направление!A$1:B$4755,2))))))</f>
        <v>Закупка товаров, работ и услуг для государственных нужд</v>
      </c>
      <c r="B56" s="83"/>
      <c r="C56" s="76"/>
      <c r="D56" s="77"/>
      <c r="E56" s="83"/>
      <c r="F56" s="77">
        <v>200</v>
      </c>
      <c r="G56" s="494">
        <v>50000</v>
      </c>
      <c r="H56" s="339">
        <v>-13050</v>
      </c>
      <c r="I56" s="42">
        <f t="shared" si="2"/>
        <v>36950</v>
      </c>
      <c r="J56" s="339">
        <v>36950</v>
      </c>
    </row>
    <row r="57" spans="1:10" s="18" customFormat="1" ht="78.75">
      <c r="A57" s="41" t="str">
        <f>IF(B57&gt;0,VLOOKUP(B57,КВСР!A30:B1195,2),IF(C57&gt;0,VLOOKUP(C57,КФСР!A30:B1542,2),IF(D57&gt;0,VLOOKUP(D57,Программа!A$1:B$5063,2),IF(F57&gt;0,VLOOKUP(F57,КВР!A$1:B$5001,2),IF(E57&gt;0,VLOOKUP(E57,Направление!A$1:B$4755,2))))))</f>
        <v>Муниципальная программа "Информатизация управленческой деятельности Администрации Тутаевского муниципального района"</v>
      </c>
      <c r="B57" s="83"/>
      <c r="C57" s="76"/>
      <c r="D57" s="77" t="s">
        <v>2838</v>
      </c>
      <c r="E57" s="83"/>
      <c r="F57" s="77"/>
      <c r="G57" s="93">
        <v>754030</v>
      </c>
      <c r="H57" s="93">
        <f>H61+H58</f>
        <v>-39778</v>
      </c>
      <c r="I57" s="93">
        <f>I61+I58</f>
        <v>714252</v>
      </c>
      <c r="J57" s="93">
        <f>J61+J58</f>
        <v>714252</v>
      </c>
    </row>
    <row r="58" spans="1:10" s="18" customFormat="1" ht="47.25">
      <c r="A58" s="41" t="str">
        <f>IF(B58&gt;0,VLOOKUP(B58,КВСР!A31:B1196,2),IF(C58&gt;0,VLOOKUP(C58,КФСР!A31:B1543,2),IF(D58&gt;0,VLOOKUP(D58,Программа!A$1:B$5063,2),IF(F58&gt;0,VLOOKUP(F58,КВР!A$1:B$5001,2),IF(E58&gt;0,VLOOKUP(E58,Направление!A$1:B$4755,2))))))</f>
        <v>Обеспечение бесперебойного функционирования  программного обеспечения</v>
      </c>
      <c r="B58" s="83"/>
      <c r="C58" s="76"/>
      <c r="D58" s="77" t="s">
        <v>2839</v>
      </c>
      <c r="E58" s="83"/>
      <c r="F58" s="77"/>
      <c r="G58" s="93">
        <v>86563</v>
      </c>
      <c r="H58" s="93">
        <f t="shared" ref="H58:J58" si="15">H59</f>
        <v>-18030</v>
      </c>
      <c r="I58" s="93">
        <f t="shared" si="15"/>
        <v>68533</v>
      </c>
      <c r="J58" s="93">
        <f t="shared" si="15"/>
        <v>68533</v>
      </c>
    </row>
    <row r="59" spans="1:10" s="18" customFormat="1" ht="31.5">
      <c r="A59" s="41" t="str">
        <f>IF(B59&gt;0,VLOOKUP(B59,КВСР!A32:B1197,2),IF(C59&gt;0,VLOOKUP(C59,КФСР!A32:B1544,2),IF(D59&gt;0,VLOOKUP(D59,Программа!A$1:B$5063,2),IF(F59&gt;0,VLOOKUP(F59,КВР!A$1:B$5001,2),IF(E59&gt;0,VLOOKUP(E59,Направление!A$1:B$4755,2))))))</f>
        <v>Расходы на проведение мероприятий по информатизации</v>
      </c>
      <c r="B59" s="83"/>
      <c r="C59" s="76"/>
      <c r="D59" s="77"/>
      <c r="E59" s="83">
        <v>12210</v>
      </c>
      <c r="F59" s="77"/>
      <c r="G59" s="93">
        <v>86563</v>
      </c>
      <c r="H59" s="93">
        <f t="shared" ref="H59:J59" si="16">H60</f>
        <v>-18030</v>
      </c>
      <c r="I59" s="93">
        <f t="shared" si="16"/>
        <v>68533</v>
      </c>
      <c r="J59" s="93">
        <f t="shared" si="16"/>
        <v>68533</v>
      </c>
    </row>
    <row r="60" spans="1:10" s="18" customFormat="1" ht="31.5">
      <c r="A60" s="41" t="str">
        <f>IF(B60&gt;0,VLOOKUP(B60,КВСР!A33:B1198,2),IF(C60&gt;0,VLOOKUP(C60,КФСР!A33:B1545,2),IF(D60&gt;0,VLOOKUP(D60,Программа!A$1:B$5063,2),IF(F60&gt;0,VLOOKUP(F60,КВР!A$1:B$5001,2),IF(E60&gt;0,VLOOKUP(E60,Направление!A$1:B$4755,2))))))</f>
        <v>Закупка товаров, работ и услуг для государственных нужд</v>
      </c>
      <c r="B60" s="83"/>
      <c r="C60" s="76"/>
      <c r="D60" s="77"/>
      <c r="E60" s="83"/>
      <c r="F60" s="77">
        <v>200</v>
      </c>
      <c r="G60" s="93">
        <v>86563</v>
      </c>
      <c r="H60" s="477">
        <v>-18030</v>
      </c>
      <c r="I60" s="42">
        <f>G60+H60</f>
        <v>68533</v>
      </c>
      <c r="J60" s="477">
        <v>68533</v>
      </c>
    </row>
    <row r="61" spans="1:10" s="18" customFormat="1" ht="78.75">
      <c r="A61" s="41" t="str">
        <f>IF(B61&gt;0,VLOOKUP(B61,КВСР!A31:B1196,2),IF(C61&gt;0,VLOOKUP(C61,КФСР!A31:B1543,2),IF(D61&gt;0,VLOOKUP(D61,Программа!A$1:B$5063,2),IF(F61&gt;0,VLOOKUP(F61,КВР!A$1:B$5001,2),IF(E61&gt;0,VLOOKUP(E61,Направление!A$1:B$4755,2))))))</f>
        <v>Закупка компьютерного оборудования  и оргтехники для бесперебойного обеспечения деятельности органов местного самоуправления</v>
      </c>
      <c r="B61" s="83"/>
      <c r="C61" s="76"/>
      <c r="D61" s="77" t="s">
        <v>2847</v>
      </c>
      <c r="E61" s="83"/>
      <c r="F61" s="77"/>
      <c r="G61" s="93">
        <v>667467</v>
      </c>
      <c r="H61" s="93">
        <f t="shared" ref="H61:J62" si="17">H62</f>
        <v>-21748</v>
      </c>
      <c r="I61" s="42">
        <f t="shared" si="2"/>
        <v>645719</v>
      </c>
      <c r="J61" s="93">
        <f t="shared" si="17"/>
        <v>645719</v>
      </c>
    </row>
    <row r="62" spans="1:10" s="18" customFormat="1" ht="31.5">
      <c r="A62" s="41" t="str">
        <f>IF(B62&gt;0,VLOOKUP(B62,КВСР!A32:B1197,2),IF(C62&gt;0,VLOOKUP(C62,КФСР!A32:B1544,2),IF(D62&gt;0,VLOOKUP(D62,Программа!A$1:B$5063,2),IF(F62&gt;0,VLOOKUP(F62,КВР!A$1:B$5001,2),IF(E62&gt;0,VLOOKUP(E62,Направление!A$1:B$4755,2))))))</f>
        <v>Расходы на проведение мероприятий по информатизации</v>
      </c>
      <c r="B62" s="83"/>
      <c r="C62" s="76"/>
      <c r="D62" s="77"/>
      <c r="E62" s="83">
        <v>12210</v>
      </c>
      <c r="F62" s="77"/>
      <c r="G62" s="93">
        <v>667467</v>
      </c>
      <c r="H62" s="93">
        <f t="shared" si="17"/>
        <v>-21748</v>
      </c>
      <c r="I62" s="42">
        <f t="shared" si="2"/>
        <v>645719</v>
      </c>
      <c r="J62" s="93">
        <f t="shared" si="17"/>
        <v>645719</v>
      </c>
    </row>
    <row r="63" spans="1:10" s="18" customFormat="1" ht="31.5">
      <c r="A63" s="41" t="str">
        <f>IF(B63&gt;0,VLOOKUP(B63,КВСР!A33:B1198,2),IF(C63&gt;0,VLOOKUP(C63,КФСР!A33:B1545,2),IF(D63&gt;0,VLOOKUP(D63,Программа!A$1:B$5063,2),IF(F63&gt;0,VLOOKUP(F63,КВР!A$1:B$5001,2),IF(E63&gt;0,VLOOKUP(E63,Направление!A$1:B$4755,2))))))</f>
        <v>Закупка товаров, работ и услуг для государственных нужд</v>
      </c>
      <c r="B63" s="83"/>
      <c r="C63" s="76"/>
      <c r="D63" s="77"/>
      <c r="E63" s="83"/>
      <c r="F63" s="77">
        <v>200</v>
      </c>
      <c r="G63" s="494">
        <v>667467</v>
      </c>
      <c r="H63" s="339">
        <v>-21748</v>
      </c>
      <c r="I63" s="42">
        <f t="shared" si="2"/>
        <v>645719</v>
      </c>
      <c r="J63" s="339">
        <v>645719</v>
      </c>
    </row>
    <row r="64" spans="1:10" s="18" customFormat="1" ht="97.5" customHeight="1">
      <c r="A64" s="41" t="str">
        <f>IF(B64&gt;0,VLOOKUP(B64,КВСР!A38:B1203,2),IF(C64&gt;0,VLOOKUP(C64,КФСР!A38:B1550,2),IF(D64&gt;0,VLOOKUP(D64,Программа!A$1:B$5063,2),IF(F64&gt;0,VLOOKUP(F64,КВР!A$1:B$5001,2),IF(E64&gt;0,VLOOKUP(E64,Направление!A$1:B$4755,2))))))</f>
        <v>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v>
      </c>
      <c r="B64" s="83"/>
      <c r="C64" s="76"/>
      <c r="D64" s="391" t="s">
        <v>2840</v>
      </c>
      <c r="E64" s="83"/>
      <c r="F64" s="77"/>
      <c r="G64" s="93">
        <v>1191949</v>
      </c>
      <c r="H64" s="93">
        <f t="shared" ref="H64:J64" si="18">H65</f>
        <v>0</v>
      </c>
      <c r="I64" s="42">
        <f t="shared" si="2"/>
        <v>1191949</v>
      </c>
      <c r="J64" s="93">
        <f t="shared" si="18"/>
        <v>1191949</v>
      </c>
    </row>
    <row r="65" spans="1:10" s="18" customFormat="1" ht="78.75">
      <c r="A65" s="41" t="str">
        <f>IF(B65&gt;0,VLOOKUP(B65,КВСР!A31:B1196,2),IF(C65&gt;0,VLOOKUP(C65,КФСР!A31:B1543,2),IF(D65&gt;0,VLOOKUP(D65,Программа!A$1:B$5063,2),IF(F65&gt;0,VLOOKUP(F65,КВР!A$1:B$5001,2),IF(E65&gt;0,VLOOKUP(E65,Направление!A$1:B$4755,2))))))</f>
        <v>Размещение форм поддержки деятельности социально ориентированных некоммерческих организаций в средствах массовой информации</v>
      </c>
      <c r="B65" s="83"/>
      <c r="C65" s="76"/>
      <c r="D65" s="391" t="s">
        <v>2841</v>
      </c>
      <c r="E65" s="83"/>
      <c r="F65" s="77"/>
      <c r="G65" s="93">
        <v>1191949</v>
      </c>
      <c r="H65" s="93">
        <f>H66+H69+H71</f>
        <v>0</v>
      </c>
      <c r="I65" s="93">
        <f>I66+I69+I71</f>
        <v>1191949</v>
      </c>
      <c r="J65" s="93">
        <f>J66+J69+J71</f>
        <v>1191949</v>
      </c>
    </row>
    <row r="66" spans="1:10" s="18" customFormat="1" ht="63">
      <c r="A66" s="41" t="str">
        <f>IF(B66&gt;0,VLOOKUP(B66,КВСР!A32:B1197,2),IF(C66&gt;0,VLOOKUP(C66,КФСР!A32:B1544,2),IF(D66&gt;0,VLOOKUP(D66,Программа!A$1:B$5063,2),IF(F66&gt;0,VLOOKUP(F66,КВР!A$1:B$5001,2),IF(E66&gt;0,VLOOKUP(E66,Направление!A$1:B$4755,2))))))</f>
        <v>Расходы на поддержку территориального общественного самоуправления и некоммерческих организаций</v>
      </c>
      <c r="B66" s="83"/>
      <c r="C66" s="76"/>
      <c r="D66" s="391"/>
      <c r="E66" s="83">
        <v>12240</v>
      </c>
      <c r="F66" s="77"/>
      <c r="G66" s="93">
        <v>30000</v>
      </c>
      <c r="H66" s="93">
        <f>H67+H68</f>
        <v>0</v>
      </c>
      <c r="I66" s="93">
        <f>I67+I68</f>
        <v>30000</v>
      </c>
      <c r="J66" s="93">
        <f>J67+J68</f>
        <v>30000</v>
      </c>
    </row>
    <row r="67" spans="1:10" s="18" customFormat="1" ht="31.5">
      <c r="A67" s="41" t="str">
        <f>IF(B67&gt;0,VLOOKUP(B67,КВСР!A33:B1198,2),IF(C67&gt;0,VLOOKUP(C67,КФСР!A33:B1545,2),IF(D67&gt;0,VLOOKUP(D67,Программа!A$1:B$5063,2),IF(F67&gt;0,VLOOKUP(F67,КВР!A$1:B$5001,2),IF(E67&gt;0,VLOOKUP(E67,Направление!A$1:B$4755,2))))))</f>
        <v>Закупка товаров, работ и услуг для государственных нужд</v>
      </c>
      <c r="B67" s="83"/>
      <c r="C67" s="76"/>
      <c r="D67" s="77"/>
      <c r="E67" s="83"/>
      <c r="F67" s="77">
        <v>200</v>
      </c>
      <c r="G67" s="494">
        <v>30000</v>
      </c>
      <c r="H67" s="339">
        <v>-22045</v>
      </c>
      <c r="I67" s="42">
        <f t="shared" si="2"/>
        <v>7955</v>
      </c>
      <c r="J67" s="339">
        <v>7955</v>
      </c>
    </row>
    <row r="68" spans="1:10" s="18" customFormat="1" ht="63">
      <c r="A68" s="41" t="str">
        <f>IF(B68&gt;0,VLOOKUP(B68,КВСР!A34:B1199,2),IF(C68&gt;0,VLOOKUP(C68,КФСР!A34:B1546,2),IF(D68&gt;0,VLOOKUP(D68,Программа!A$1:B$5063,2),IF(F68&gt;0,VLOOKUP(F68,КВР!A$1:B$5001,2),IF(E68&gt;0,VLOOKUP(E68,Направление!A$1:B$4755,2))))))</f>
        <v>Предоставление субсидий бюджетным, автономным учреждениям и иным некоммерческим организациям</v>
      </c>
      <c r="B68" s="83"/>
      <c r="C68" s="76"/>
      <c r="D68" s="77"/>
      <c r="E68" s="83"/>
      <c r="F68" s="77">
        <v>600</v>
      </c>
      <c r="G68" s="494"/>
      <c r="H68" s="339">
        <v>22045</v>
      </c>
      <c r="I68" s="42">
        <f>G68+H68</f>
        <v>22045</v>
      </c>
      <c r="J68" s="339">
        <v>22045</v>
      </c>
    </row>
    <row r="69" spans="1:10" s="18" customFormat="1" ht="47.25">
      <c r="A69" s="41" t="str">
        <f>IF(B69&gt;0,VLOOKUP(B69,КВСР!A34:B1199,2),IF(C69&gt;0,VLOOKUP(C69,КФСР!A34:B1546,2),IF(D69&gt;0,VLOOKUP(D69,Программа!A$1:B$5063,2),IF(F69&gt;0,VLOOKUP(F69,КВР!A$1:B$5001,2),IF(E69&gt;0,VLOOKUP(E69,Направление!A$1:B$4755,2))))))</f>
        <v>Поддержка деятельности социально-ориентированных некоммерческих организаций</v>
      </c>
      <c r="B69" s="83"/>
      <c r="C69" s="76"/>
      <c r="D69" s="77"/>
      <c r="E69" s="83">
        <v>29516</v>
      </c>
      <c r="F69" s="77"/>
      <c r="G69" s="494">
        <v>904600</v>
      </c>
      <c r="H69" s="494">
        <f t="shared" ref="H69:J69" si="19">H70</f>
        <v>0</v>
      </c>
      <c r="I69" s="494">
        <f t="shared" si="19"/>
        <v>904600</v>
      </c>
      <c r="J69" s="494">
        <f t="shared" si="19"/>
        <v>904600</v>
      </c>
    </row>
    <row r="70" spans="1:10" s="18" customFormat="1" ht="63">
      <c r="A70" s="41" t="str">
        <f>IF(B70&gt;0,VLOOKUP(B70,КВСР!A35:B1200,2),IF(C70&gt;0,VLOOKUP(C70,КФСР!A35:B1547,2),IF(D70&gt;0,VLOOKUP(D70,Программа!A$1:B$5063,2),IF(F70&gt;0,VLOOKUP(F70,КВР!A$1:B$5001,2),IF(E70&gt;0,VLOOKUP(E70,Направление!A$1:B$4755,2))))))</f>
        <v>Предоставление субсидий бюджетным, автономным учреждениям и иным некоммерческим организациям</v>
      </c>
      <c r="B70" s="83"/>
      <c r="C70" s="76"/>
      <c r="D70" s="77"/>
      <c r="E70" s="83"/>
      <c r="F70" s="77">
        <v>600</v>
      </c>
      <c r="G70" s="494">
        <v>904600</v>
      </c>
      <c r="H70" s="339"/>
      <c r="I70" s="42">
        <f>G70+H70</f>
        <v>904600</v>
      </c>
      <c r="J70" s="339">
        <v>904600</v>
      </c>
    </row>
    <row r="71" spans="1:10" s="18" customFormat="1" ht="63">
      <c r="A71" s="41" t="str">
        <f>IF(B71&gt;0,VLOOKUP(B71,КВСР!A36:B1201,2),IF(C71&gt;0,VLOOKUP(C71,КФСР!A36:B1548,2),IF(D71&gt;0,VLOOKUP(D71,Программа!A$1:B$5063,2),IF(F71&gt;0,VLOOKUP(F71,КВР!A$1:B$5001,2),IF(E71&gt;0,VLOOKUP(E71,Направление!A$1:B$4755,2))))))</f>
        <v>Предоставление субсидий социально ориентированным некомерческим организациям на конкурсной основе</v>
      </c>
      <c r="B71" s="83"/>
      <c r="C71" s="76"/>
      <c r="D71" s="77"/>
      <c r="E71" s="83">
        <v>73140</v>
      </c>
      <c r="F71" s="77"/>
      <c r="G71" s="494">
        <v>257349</v>
      </c>
      <c r="H71" s="494">
        <f t="shared" ref="H71:J71" si="20">H72</f>
        <v>0</v>
      </c>
      <c r="I71" s="494">
        <f t="shared" si="20"/>
        <v>257349</v>
      </c>
      <c r="J71" s="494">
        <f t="shared" si="20"/>
        <v>257349</v>
      </c>
    </row>
    <row r="72" spans="1:10" s="18" customFormat="1" ht="63">
      <c r="A72" s="41" t="str">
        <f>IF(B72&gt;0,VLOOKUP(B72,КВСР!A37:B1202,2),IF(C72&gt;0,VLOOKUP(C72,КФСР!A37:B1549,2),IF(D72&gt;0,VLOOKUP(D72,Программа!A$1:B$5063,2),IF(F72&gt;0,VLOOKUP(F72,КВР!A$1:B$5001,2),IF(E72&gt;0,VLOOKUP(E72,Направление!A$1:B$4755,2))))))</f>
        <v>Предоставление субсидий бюджетным, автономным учреждениям и иным некоммерческим организациям</v>
      </c>
      <c r="B72" s="83"/>
      <c r="C72" s="76"/>
      <c r="D72" s="77"/>
      <c r="E72" s="83"/>
      <c r="F72" s="77">
        <v>600</v>
      </c>
      <c r="G72" s="494">
        <v>257349</v>
      </c>
      <c r="H72" s="339"/>
      <c r="I72" s="42">
        <f>G72+H72</f>
        <v>257349</v>
      </c>
      <c r="J72" s="339">
        <v>257349</v>
      </c>
    </row>
    <row r="73" spans="1:10" s="18" customFormat="1" ht="63">
      <c r="A73" s="41" t="str">
        <f>IF(B73&gt;0,VLOOKUP(B73,КВСР!A36:B1201,2),IF(C73&gt;0,VLOOKUP(C73,КФСР!A36:B1548,2),IF(D73&gt;0,VLOOKUP(D73,Программа!A$1:B$5063,2),IF(F73&gt;0,VLOOKUP(F73,КВР!A$1:B$5001,2),IF(E73&gt;0,VLOOKUP(E73,Направление!A$1:B$4755,2))))))</f>
        <v>Муниципальная программа "Профилактика правонарушений и усиление борьбы с преступностью в Тутаевском муниципальном районе"</v>
      </c>
      <c r="B73" s="83"/>
      <c r="C73" s="76"/>
      <c r="D73" s="77" t="s">
        <v>2833</v>
      </c>
      <c r="E73" s="83"/>
      <c r="F73" s="77"/>
      <c r="G73" s="494">
        <v>65000</v>
      </c>
      <c r="H73" s="494">
        <f t="shared" ref="H73:J73" si="21">H74</f>
        <v>0</v>
      </c>
      <c r="I73" s="494">
        <f t="shared" si="21"/>
        <v>65000</v>
      </c>
      <c r="J73" s="494">
        <f t="shared" si="21"/>
        <v>65000</v>
      </c>
    </row>
    <row r="74" spans="1:10" s="18" customFormat="1" ht="31.5">
      <c r="A74" s="41" t="str">
        <f>IF(B74&gt;0,VLOOKUP(B74,КВСР!A37:B1202,2),IF(C74&gt;0,VLOOKUP(C74,КФСР!A37:B1549,2),IF(D74&gt;0,VLOOKUP(D74,Программа!A$1:B$5063,2),IF(F74&gt;0,VLOOKUP(F74,КВР!A$1:B$5001,2),IF(E74&gt;0,VLOOKUP(E74,Направление!A$1:B$4755,2))))))</f>
        <v>Реализация мероприятий по профилактике правонарушений</v>
      </c>
      <c r="B74" s="83"/>
      <c r="C74" s="76"/>
      <c r="D74" s="77" t="s">
        <v>2835</v>
      </c>
      <c r="E74" s="83"/>
      <c r="F74" s="77"/>
      <c r="G74" s="494">
        <v>65000</v>
      </c>
      <c r="H74" s="494">
        <f t="shared" ref="H74:J74" si="22">H75</f>
        <v>0</v>
      </c>
      <c r="I74" s="494">
        <f t="shared" si="22"/>
        <v>65000</v>
      </c>
      <c r="J74" s="494">
        <f t="shared" si="22"/>
        <v>65000</v>
      </c>
    </row>
    <row r="75" spans="1:10" s="18" customFormat="1" ht="47.25">
      <c r="A75" s="41" t="str">
        <f>IF(B75&gt;0,VLOOKUP(B75,КВСР!A38:B1203,2),IF(C75&gt;0,VLOOKUP(C75,КФСР!A38:B1550,2),IF(D75&gt;0,VLOOKUP(D75,Программа!A$1:B$5063,2),IF(F75&gt;0,VLOOKUP(F75,КВР!A$1:B$5001,2),IF(E75&gt;0,VLOOKUP(E75,Направление!A$1:B$4755,2))))))</f>
        <v>Расходы на профилактику правонарушений и усиления борьбы с преступностью</v>
      </c>
      <c r="B75" s="83"/>
      <c r="C75" s="76"/>
      <c r="D75" s="77"/>
      <c r="E75" s="83">
        <v>12250</v>
      </c>
      <c r="F75" s="77"/>
      <c r="G75" s="494">
        <v>65000</v>
      </c>
      <c r="H75" s="494">
        <f t="shared" ref="H75:J75" si="23">H76</f>
        <v>0</v>
      </c>
      <c r="I75" s="494">
        <f t="shared" si="23"/>
        <v>65000</v>
      </c>
      <c r="J75" s="494">
        <f t="shared" si="23"/>
        <v>65000</v>
      </c>
    </row>
    <row r="76" spans="1:10" s="18" customFormat="1" ht="31.5">
      <c r="A76" s="41" t="str">
        <f>IF(B76&gt;0,VLOOKUP(B76,КВСР!A39:B1204,2),IF(C76&gt;0,VLOOKUP(C76,КФСР!A39:B1551,2),IF(D76&gt;0,VLOOKUP(D76,Программа!A$1:B$5063,2),IF(F76&gt;0,VLOOKUP(F76,КВР!A$1:B$5001,2),IF(E76&gt;0,VLOOKUP(E76,Направление!A$1:B$4755,2))))))</f>
        <v>Закупка товаров, работ и услуг для государственных нужд</v>
      </c>
      <c r="B76" s="83"/>
      <c r="C76" s="76"/>
      <c r="D76" s="77"/>
      <c r="E76" s="83"/>
      <c r="F76" s="77">
        <v>200</v>
      </c>
      <c r="G76" s="494">
        <v>65000</v>
      </c>
      <c r="H76" s="339"/>
      <c r="I76" s="42">
        <f>G76+H76</f>
        <v>65000</v>
      </c>
      <c r="J76" s="339">
        <v>65000</v>
      </c>
    </row>
    <row r="77" spans="1:10" s="18" customFormat="1">
      <c r="A77" s="41" t="str">
        <f>IF(B77&gt;0,VLOOKUP(B77,КВСР!A26:B1191,2),IF(C77&gt;0,VLOOKUP(C77,КФСР!A26:B1538,2),IF(D77&gt;0,VLOOKUP(D77,Программа!A$1:B$5063,2),IF(F77&gt;0,VLOOKUP(F77,КВР!A$1:B$5001,2),IF(E77&gt;0,VLOOKUP(E77,Направление!A$1:B$4755,2))))))</f>
        <v>Непрограммные расходы бюджета</v>
      </c>
      <c r="B77" s="83"/>
      <c r="C77" s="76"/>
      <c r="D77" s="391" t="s">
        <v>2808</v>
      </c>
      <c r="E77" s="83"/>
      <c r="F77" s="77"/>
      <c r="G77" s="93">
        <v>17037026</v>
      </c>
      <c r="H77" s="93">
        <f>H94+H97+H91+H78+H80+H86+H84</f>
        <v>-41388</v>
      </c>
      <c r="I77" s="42">
        <f t="shared" si="2"/>
        <v>16995638</v>
      </c>
      <c r="J77" s="93">
        <f>J94+J97+J91+J78+J80+J86+J84</f>
        <v>16269111</v>
      </c>
    </row>
    <row r="78" spans="1:10" s="18" customFormat="1" ht="45" customHeight="1">
      <c r="A78" s="41" t="str">
        <f>IF(B78&gt;0,VLOOKUP(B78,КВСР!A27:B1192,2),IF(C78&gt;0,VLOOKUP(C78,КФСР!A27:B1539,2),IF(D78&gt;0,VLOOKUP(D78,Программа!A$1:B$5063,2),IF(F78&gt;0,VLOOKUP(F78,КВР!A$1:B$5001,2),IF(E78&gt;0,VLOOKUP(E78,Направление!A$1:B$4755,2))))))</f>
        <v>Выполнение других обязательств органов местного самоуправления</v>
      </c>
      <c r="B78" s="83"/>
      <c r="C78" s="76"/>
      <c r="D78" s="391"/>
      <c r="E78" s="83">
        <v>12080</v>
      </c>
      <c r="F78" s="77"/>
      <c r="G78" s="93">
        <v>2708930</v>
      </c>
      <c r="H78" s="93">
        <f t="shared" ref="H78:J78" si="24">H79</f>
        <v>-139191</v>
      </c>
      <c r="I78" s="42">
        <f t="shared" si="2"/>
        <v>2569739</v>
      </c>
      <c r="J78" s="93">
        <f t="shared" si="24"/>
        <v>2380370</v>
      </c>
    </row>
    <row r="79" spans="1:10" s="18" customFormat="1" ht="31.5">
      <c r="A79" s="41" t="str">
        <f>IF(B79&gt;0,VLOOKUP(B79,КВСР!A28:B1193,2),IF(C79&gt;0,VLOOKUP(C79,КФСР!A28:B1540,2),IF(D79&gt;0,VLOOKUP(D79,Программа!A$1:B$5063,2),IF(F79&gt;0,VLOOKUP(F79,КВР!A$1:B$5001,2),IF(E79&gt;0,VLOOKUP(E79,Направление!A$1:B$4755,2))))))</f>
        <v>Закупка товаров, работ и услуг для государственных нужд</v>
      </c>
      <c r="B79" s="83"/>
      <c r="C79" s="76"/>
      <c r="D79" s="391"/>
      <c r="E79" s="83"/>
      <c r="F79" s="77">
        <v>200</v>
      </c>
      <c r="G79" s="494">
        <v>2708930</v>
      </c>
      <c r="H79" s="477">
        <v>-139191</v>
      </c>
      <c r="I79" s="42">
        <f t="shared" si="2"/>
        <v>2569739</v>
      </c>
      <c r="J79" s="477">
        <v>2380370</v>
      </c>
    </row>
    <row r="80" spans="1:10" s="18" customFormat="1" ht="47.25">
      <c r="A80" s="41" t="str">
        <f>IF(B80&gt;0,VLOOKUP(B80,КВСР!A29:B1194,2),IF(C80&gt;0,VLOOKUP(C80,КФСР!A29:B1541,2),IF(D80&gt;0,VLOOKUP(D80,Программа!A$1:B$5063,2),IF(F80&gt;0,VLOOKUP(F80,КВР!A$1:B$5001,2),IF(E80&gt;0,VLOOKUP(E80,Направление!A$1:B$4755,2))))))</f>
        <v>Обеспечение деятельности подведомственных учреждений органов местного самоуправления</v>
      </c>
      <c r="B80" s="83"/>
      <c r="C80" s="76"/>
      <c r="D80" s="391"/>
      <c r="E80" s="83">
        <v>12100</v>
      </c>
      <c r="F80" s="77"/>
      <c r="G80" s="93">
        <v>7543672</v>
      </c>
      <c r="H80" s="93">
        <f>H81+H82+H83</f>
        <v>0</v>
      </c>
      <c r="I80" s="42">
        <f t="shared" si="2"/>
        <v>7543672</v>
      </c>
      <c r="J80" s="93">
        <f>J81+J82+J83</f>
        <v>7516954</v>
      </c>
    </row>
    <row r="81" spans="1:10" s="18" customFormat="1" ht="98.25" customHeight="1">
      <c r="A81" s="41" t="str">
        <f>IF(B81&gt;0,VLOOKUP(B81,КВСР!A28:B1193,2),IF(C81&gt;0,VLOOKUP(C81,КФСР!A28:B1540,2),IF(D81&gt;0,VLOOKUP(D81,Программа!A$1:B$5063,2),IF(F81&gt;0,VLOOKUP(F81,КВР!A$1:B$5001,2),IF(E81&gt;0,VLOOKUP(E81,Направление!A$1:B$4755,2))))))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1" s="83"/>
      <c r="C81" s="76"/>
      <c r="D81" s="391"/>
      <c r="E81" s="83"/>
      <c r="F81" s="77">
        <v>100</v>
      </c>
      <c r="G81" s="494">
        <v>5704033</v>
      </c>
      <c r="H81" s="476">
        <v>-69373</v>
      </c>
      <c r="I81" s="42">
        <f t="shared" si="2"/>
        <v>5634660</v>
      </c>
      <c r="J81" s="476">
        <v>5634660</v>
      </c>
    </row>
    <row r="82" spans="1:10" s="18" customFormat="1" ht="31.5">
      <c r="A82" s="41" t="str">
        <f>IF(B82&gt;0,VLOOKUP(B82,КВСР!A29:B1194,2),IF(C82&gt;0,VLOOKUP(C82,КФСР!A29:B1541,2),IF(D82&gt;0,VLOOKUP(D82,Программа!A$1:B$5063,2),IF(F82&gt;0,VLOOKUP(F82,КВР!A$1:B$5001,2),IF(E82&gt;0,VLOOKUP(E82,Направление!A$1:B$4755,2))))))</f>
        <v>Закупка товаров, работ и услуг для государственных нужд</v>
      </c>
      <c r="B82" s="83"/>
      <c r="C82" s="76"/>
      <c r="D82" s="391"/>
      <c r="E82" s="83"/>
      <c r="F82" s="77">
        <v>200</v>
      </c>
      <c r="G82" s="494">
        <v>1806489</v>
      </c>
      <c r="H82" s="476">
        <v>75088</v>
      </c>
      <c r="I82" s="42">
        <f t="shared" si="2"/>
        <v>1881577</v>
      </c>
      <c r="J82" s="476">
        <v>1854859</v>
      </c>
    </row>
    <row r="83" spans="1:10" s="18" customFormat="1">
      <c r="A83" s="41" t="str">
        <f>IF(B83&gt;0,VLOOKUP(B83,КВСР!A30:B1195,2),IF(C83&gt;0,VLOOKUP(C83,КФСР!A30:B1542,2),IF(D83&gt;0,VLOOKUP(D83,Программа!A$1:B$5063,2),IF(F83&gt;0,VLOOKUP(F83,КВР!A$1:B$5001,2),IF(E83&gt;0,VLOOKUP(E83,Направление!A$1:B$4755,2))))))</f>
        <v>Иные бюджетные ассигнования</v>
      </c>
      <c r="B83" s="83"/>
      <c r="C83" s="76"/>
      <c r="D83" s="391"/>
      <c r="E83" s="83"/>
      <c r="F83" s="77">
        <v>800</v>
      </c>
      <c r="G83" s="494">
        <v>33150</v>
      </c>
      <c r="H83" s="476">
        <v>-5715</v>
      </c>
      <c r="I83" s="42">
        <f>G83+H83</f>
        <v>27435</v>
      </c>
      <c r="J83" s="476">
        <v>27435</v>
      </c>
    </row>
    <row r="84" spans="1:10" s="18" customFormat="1" ht="46.5" customHeight="1">
      <c r="A84" s="41" t="str">
        <f>IF(B84&gt;0,VLOOKUP(B84,КВСР!A31:B1196,2),IF(C84&gt;0,VLOOKUP(C84,КФСР!A31:B1543,2),IF(D84&gt;0,VLOOKUP(D84,Программа!A$1:B$5063,2),IF(F84&gt;0,VLOOKUP(F84,КВР!A$1:B$5001,2),IF(E84&gt;0,VLOOKUP(E84,Направление!A$1:B$4755,2))))))</f>
        <v>Исполнение судебных актов, актов других органов и должностных лиц, иных документов</v>
      </c>
      <c r="B84" s="83"/>
      <c r="C84" s="76"/>
      <c r="D84" s="391"/>
      <c r="E84" s="642">
        <v>12130</v>
      </c>
      <c r="F84" s="77"/>
      <c r="G84" s="494">
        <v>829997</v>
      </c>
      <c r="H84" s="494">
        <f t="shared" ref="H84:J84" si="25">H85</f>
        <v>28132</v>
      </c>
      <c r="I84" s="494">
        <f t="shared" si="25"/>
        <v>858129</v>
      </c>
      <c r="J84" s="494">
        <f t="shared" si="25"/>
        <v>858130</v>
      </c>
    </row>
    <row r="85" spans="1:10" s="18" customFormat="1">
      <c r="A85" s="41" t="str">
        <f>IF(B85&gt;0,VLOOKUP(B85,КВСР!A32:B1197,2),IF(C85&gt;0,VLOOKUP(C85,КФСР!A32:B1544,2),IF(D85&gt;0,VLOOKUP(D85,Программа!A$1:B$5063,2),IF(F85&gt;0,VLOOKUP(F85,КВР!A$1:B$5001,2),IF(E85&gt;0,VLOOKUP(E85,Направление!A$1:B$4755,2))))))</f>
        <v>Иные бюджетные ассигнования</v>
      </c>
      <c r="B85" s="83"/>
      <c r="C85" s="76"/>
      <c r="D85" s="391"/>
      <c r="E85" s="83"/>
      <c r="F85" s="77">
        <v>800</v>
      </c>
      <c r="G85" s="494">
        <v>829997</v>
      </c>
      <c r="H85" s="476">
        <v>28132</v>
      </c>
      <c r="I85" s="42">
        <f>G85+H85</f>
        <v>858129</v>
      </c>
      <c r="J85" s="476">
        <v>858130</v>
      </c>
    </row>
    <row r="86" spans="1:10" s="18" customFormat="1" ht="63">
      <c r="A86" s="41" t="str">
        <f>IF(B86&gt;0,VLOOKUP(B86,КВСР!A30:B1195,2),IF(C86&gt;0,VLOOKUP(C86,КФСР!A30:B1542,2),IF(D86&gt;0,VLOOKUP(D86,Программа!A$1:B$5063,2),IF(F86&gt;0,VLOOKUP(F86,КВР!A$1:B$5001,2),IF(E86&gt;0,VLOOKUP(E86,Направление!A$1:B$4755,2))))))</f>
        <v>Субвенция на подготовку и проведение Всероссийской сельскохозяйственной переписи 2016 года</v>
      </c>
      <c r="B86" s="83"/>
      <c r="C86" s="76"/>
      <c r="D86" s="391"/>
      <c r="E86" s="83">
        <v>53910</v>
      </c>
      <c r="F86" s="77"/>
      <c r="G86" s="494">
        <v>1086219</v>
      </c>
      <c r="H86" s="494">
        <f>SUM(H89:H90)</f>
        <v>0</v>
      </c>
      <c r="I86" s="42">
        <f t="shared" si="2"/>
        <v>1086219</v>
      </c>
      <c r="J86" s="494">
        <f>SUM(J89:J90)</f>
        <v>575778</v>
      </c>
    </row>
    <row r="87" spans="1:10" s="18" customFormat="1" ht="110.25" hidden="1">
      <c r="A87" s="41" t="str">
        <f>IF(B87&gt;0,VLOOKUP(B87,КВСР!A31:B1196,2),IF(C87&gt;0,VLOOKUP(C87,КФСР!A31:B1543,2),IF(D87&gt;0,VLOOKUP(D87,Программа!A$1:B$5063,2),IF(F87&gt;0,VLOOKUP(F87,КВР!A$1:B$5001,2),IF(E87&gt;0,VLOOKUP(E87,Направление!A$1:B$4755,2))))))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7" s="83"/>
      <c r="C87" s="76"/>
      <c r="D87" s="391"/>
      <c r="E87" s="83"/>
      <c r="F87" s="77">
        <v>100</v>
      </c>
      <c r="G87" s="494">
        <v>0</v>
      </c>
      <c r="H87" s="495"/>
      <c r="I87" s="42">
        <f t="shared" si="2"/>
        <v>0</v>
      </c>
      <c r="J87" s="495"/>
    </row>
    <row r="88" spans="1:10" s="18" customFormat="1" ht="31.5" hidden="1">
      <c r="A88" s="41" t="str">
        <f>IF(B88&gt;0,VLOOKUP(B88,КВСР!A32:B1197,2),IF(C88&gt;0,VLOOKUP(C88,КФСР!A32:B1544,2),IF(D88&gt;0,VLOOKUP(D88,Программа!A$1:B$5063,2),IF(F88&gt;0,VLOOKUP(F88,КВР!A$1:B$5001,2),IF(E88&gt;0,VLOOKUP(E88,Направление!A$1:B$4755,2))))))</f>
        <v>Закупка товаров, работ и услуг для государственных нужд</v>
      </c>
      <c r="B88" s="83"/>
      <c r="C88" s="76"/>
      <c r="D88" s="391"/>
      <c r="E88" s="83"/>
      <c r="F88" s="77">
        <v>200</v>
      </c>
      <c r="G88" s="494">
        <v>0</v>
      </c>
      <c r="H88" s="476"/>
      <c r="I88" s="42">
        <f t="shared" si="2"/>
        <v>0</v>
      </c>
      <c r="J88" s="476"/>
    </row>
    <row r="89" spans="1:10" s="18" customFormat="1" ht="34.5" customHeight="1">
      <c r="A89" s="41" t="str">
        <f>IF(B89&gt;0,VLOOKUP(B89,КВСР!A28:B1193,2),IF(C89&gt;0,VLOOKUP(C89,КФСР!A28:B1540,2),IF(D89&gt;0,VLOOKUP(D89,Программа!A$1:B$5063,2),IF(F89&gt;0,VLOOKUP(F89,КВР!A$1:B$5001,2),IF(E89&gt;0,VLOOKUP(E89,Направление!A$1:B$4755,2))))))</f>
        <v>Закупка товаров, работ и услуг для государственных нужд</v>
      </c>
      <c r="B89" s="83"/>
      <c r="C89" s="76"/>
      <c r="D89" s="391"/>
      <c r="E89" s="83"/>
      <c r="F89" s="77">
        <v>200</v>
      </c>
      <c r="G89" s="494">
        <v>1086219</v>
      </c>
      <c r="H89" s="476"/>
      <c r="I89" s="42">
        <f t="shared" si="2"/>
        <v>1086219</v>
      </c>
      <c r="J89" s="476">
        <v>575778</v>
      </c>
    </row>
    <row r="90" spans="1:10" s="18" customFormat="1" hidden="1">
      <c r="A90" s="41" t="str">
        <f>IF(B90&gt;0,VLOOKUP(B90,КВСР!A29:B1194,2),IF(C90&gt;0,VLOOKUP(C90,КФСР!A29:B1541,2),IF(D90&gt;0,VLOOKUP(D90,Программа!A$1:B$5063,2),IF(F90&gt;0,VLOOKUP(F90,КВР!A$1:B$5001,2),IF(E90&gt;0,VLOOKUP(E90,Направление!A$1:B$4755,2))))))</f>
        <v>Иные бюджетные ассигнования</v>
      </c>
      <c r="B90" s="83"/>
      <c r="C90" s="76"/>
      <c r="D90" s="391"/>
      <c r="E90" s="83"/>
      <c r="F90" s="77">
        <v>800</v>
      </c>
      <c r="G90" s="494">
        <v>0</v>
      </c>
      <c r="H90" s="476"/>
      <c r="I90" s="42">
        <f t="shared" si="2"/>
        <v>0</v>
      </c>
      <c r="J90" s="476"/>
    </row>
    <row r="91" spans="1:10" s="18" customFormat="1" ht="63">
      <c r="A91" s="41" t="str">
        <f>IF(B91&gt;0,VLOOKUP(B91,КВСР!A30:B1195,2),IF(C91&gt;0,VLOOKUP(C91,КФСР!A30:B1542,2),IF(D91&gt;0,VLOOKUP(D91,Программа!A$1:B$5063,2),IF(F91&gt;0,VLOOKUP(F91,КВР!A$1:B$5001,2),IF(E91&gt;0,VLOOKUP(E91,Направление!A$1:B$4755,2))))))</f>
        <v>Расходы на осуществление полномочий на государственную регистрацию актов гражданского состояния</v>
      </c>
      <c r="B91" s="83"/>
      <c r="C91" s="76"/>
      <c r="D91" s="391"/>
      <c r="E91" s="83">
        <v>59300</v>
      </c>
      <c r="F91" s="77"/>
      <c r="G91" s="93">
        <v>2364619</v>
      </c>
      <c r="H91" s="93">
        <f t="shared" ref="H91:J91" si="26">H92+H93</f>
        <v>0</v>
      </c>
      <c r="I91" s="42">
        <f t="shared" si="2"/>
        <v>2364619</v>
      </c>
      <c r="J91" s="93">
        <f t="shared" si="26"/>
        <v>2364619</v>
      </c>
    </row>
    <row r="92" spans="1:10" s="18" customFormat="1" ht="96" customHeight="1">
      <c r="A92" s="41" t="str">
        <f>IF(B92&gt;0,VLOOKUP(B92,КВСР!A30:B1195,2),IF(C92&gt;0,VLOOKUP(C92,КФСР!A30:B1542,2),IF(D92&gt;0,VLOOKUP(D92,Программа!A$1:B$5063,2),IF(F92&gt;0,VLOOKUP(F92,КВР!A$1:B$5001,2),IF(E92&gt;0,VLOOKUP(E92,Направление!A$1:B$4755,2))))))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2" s="83"/>
      <c r="C92" s="76"/>
      <c r="D92" s="77"/>
      <c r="E92" s="83"/>
      <c r="F92" s="77">
        <v>100</v>
      </c>
      <c r="G92" s="494">
        <v>1902585</v>
      </c>
      <c r="H92" s="343">
        <v>33825</v>
      </c>
      <c r="I92" s="42">
        <f t="shared" si="2"/>
        <v>1936410</v>
      </c>
      <c r="J92" s="343">
        <v>1936410</v>
      </c>
    </row>
    <row r="93" spans="1:10" s="18" customFormat="1" ht="31.5">
      <c r="A93" s="41" t="str">
        <f>IF(B93&gt;0,VLOOKUP(B93,КВСР!A31:B1196,2),IF(C93&gt;0,VLOOKUP(C93,КФСР!A31:B1543,2),IF(D93&gt;0,VLOOKUP(D93,Программа!A$1:B$5063,2),IF(F93&gt;0,VLOOKUP(F93,КВР!A$1:B$5001,2),IF(E93&gt;0,VLOOKUP(E93,Направление!A$1:B$4755,2))))))</f>
        <v>Закупка товаров, работ и услуг для государственных нужд</v>
      </c>
      <c r="B93" s="83"/>
      <c r="C93" s="76"/>
      <c r="D93" s="77"/>
      <c r="E93" s="83"/>
      <c r="F93" s="77">
        <v>200</v>
      </c>
      <c r="G93" s="494">
        <v>462034</v>
      </c>
      <c r="H93" s="343">
        <v>-33825</v>
      </c>
      <c r="I93" s="42">
        <f t="shared" si="2"/>
        <v>428209</v>
      </c>
      <c r="J93" s="343">
        <v>428209</v>
      </c>
    </row>
    <row r="94" spans="1:10" s="18" customFormat="1" ht="94.5">
      <c r="A94" s="41" t="str">
        <f>IF(B94&gt;0,VLOOKUP(B94,КВСР!A27:B1192,2),IF(C94&gt;0,VLOOKUP(C94,КФСР!A27:B1539,2),IF(D94&gt;0,VLOOKUP(D94,Программа!A$1:B$5063,2),IF(F94&gt;0,VLOOKUP(F94,КВР!A$1:B$5001,2),IF(E94&gt;0,VLOOKUP(E94,Направление!A$1:B$4755,2))))))</f>
        <v>Расходы на обеспечение профилактики безнадзорности, правонарушений несовершеннолетних и защиты их прав за счет средств областного бюджета</v>
      </c>
      <c r="B94" s="83"/>
      <c r="C94" s="76"/>
      <c r="D94" s="391"/>
      <c r="E94" s="83">
        <v>80190</v>
      </c>
      <c r="F94" s="77"/>
      <c r="G94" s="93">
        <v>2272875</v>
      </c>
      <c r="H94" s="93">
        <f t="shared" ref="H94:J94" si="27">H95+H96</f>
        <v>57000</v>
      </c>
      <c r="I94" s="42">
        <f t="shared" si="2"/>
        <v>2329875</v>
      </c>
      <c r="J94" s="93">
        <f t="shared" si="27"/>
        <v>2329875</v>
      </c>
    </row>
    <row r="95" spans="1:10" s="18" customFormat="1" ht="110.25">
      <c r="A95" s="41" t="str">
        <f>IF(B95&gt;0,VLOOKUP(B95,КВСР!A28:B1193,2),IF(C95&gt;0,VLOOKUP(C95,КФСР!A28:B1540,2),IF(D95&gt;0,VLOOKUP(D95,Программа!A$1:B$5063,2),IF(F95&gt;0,VLOOKUP(F95,КВР!A$1:B$5001,2),IF(E95&gt;0,VLOOKUP(E95,Направление!A$1:B$4755,2))))))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5" s="83"/>
      <c r="C95" s="76"/>
      <c r="D95" s="77"/>
      <c r="E95" s="83"/>
      <c r="F95" s="77">
        <v>100</v>
      </c>
      <c r="G95" s="341">
        <v>2242859</v>
      </c>
      <c r="H95" s="337">
        <v>8812</v>
      </c>
      <c r="I95" s="42">
        <f t="shared" si="2"/>
        <v>2251671</v>
      </c>
      <c r="J95" s="337">
        <v>2251671</v>
      </c>
    </row>
    <row r="96" spans="1:10" s="18" customFormat="1" ht="31.5">
      <c r="A96" s="41" t="str">
        <f>IF(B96&gt;0,VLOOKUP(B96,КВСР!A29:B1194,2),IF(C96&gt;0,VLOOKUP(C96,КФСР!A29:B1541,2),IF(D96&gt;0,VLOOKUP(D96,Программа!A$1:B$5063,2),IF(F96&gt;0,VLOOKUP(F96,КВР!A$1:B$5001,2),IF(E96&gt;0,VLOOKUP(E96,Направление!A$1:B$4755,2))))))</f>
        <v>Закупка товаров, работ и услуг для государственных нужд</v>
      </c>
      <c r="B96" s="83"/>
      <c r="C96" s="76"/>
      <c r="D96" s="77"/>
      <c r="E96" s="83"/>
      <c r="F96" s="77">
        <v>200</v>
      </c>
      <c r="G96" s="341">
        <v>30016</v>
      </c>
      <c r="H96" s="337">
        <v>48188</v>
      </c>
      <c r="I96" s="42">
        <f t="shared" si="2"/>
        <v>78204</v>
      </c>
      <c r="J96" s="337">
        <v>78204</v>
      </c>
    </row>
    <row r="97" spans="1:10" s="18" customFormat="1" ht="94.5">
      <c r="A97" s="41" t="str">
        <f>IF(B97&gt;0,VLOOKUP(B97,КВСР!A30:B1195,2),IF(C97&gt;0,VLOOKUP(C97,КФСР!A30:B1542,2),IF(D97&gt;0,VLOOKUP(D97,Программа!A$1:B$5063,2),IF(F97&gt;0,VLOOKUP(F97,КВР!A$1:B$5001,2),IF(E97&gt;0,VLOOKUP(E97,Направление!A$1:B$4755,2))))))</f>
        <v>Расходы на реализацию отдельных полномочий в сфере законодательства об административных правонарушениях за счет средств областного бюджета</v>
      </c>
      <c r="B97" s="83"/>
      <c r="C97" s="76"/>
      <c r="D97" s="391"/>
      <c r="E97" s="83">
        <v>80200</v>
      </c>
      <c r="F97" s="77"/>
      <c r="G97" s="42">
        <v>230714</v>
      </c>
      <c r="H97" s="42">
        <f t="shared" ref="H97:J97" si="28">H98+H99</f>
        <v>12671</v>
      </c>
      <c r="I97" s="42">
        <f t="shared" si="2"/>
        <v>243385</v>
      </c>
      <c r="J97" s="42">
        <f t="shared" si="28"/>
        <v>243385</v>
      </c>
    </row>
    <row r="98" spans="1:10" s="18" customFormat="1" ht="110.25">
      <c r="A98" s="41" t="str">
        <f>IF(B98&gt;0,VLOOKUP(B98,КВСР!A31:B1196,2),IF(C98&gt;0,VLOOKUP(C98,КФСР!A31:B1543,2),IF(D98&gt;0,VLOOKUP(D98,Программа!A$1:B$5063,2),IF(F98&gt;0,VLOOKUP(F98,КВР!A$1:B$5001,2),IF(E98&gt;0,VLOOKUP(E98,Направление!A$1:B$4755,2))))))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8" s="83"/>
      <c r="C98" s="76"/>
      <c r="D98" s="77"/>
      <c r="E98" s="83"/>
      <c r="F98" s="77">
        <v>100</v>
      </c>
      <c r="G98" s="341">
        <v>182214</v>
      </c>
      <c r="H98" s="337">
        <v>27940</v>
      </c>
      <c r="I98" s="42">
        <f t="shared" si="2"/>
        <v>210154</v>
      </c>
      <c r="J98" s="337">
        <v>210154</v>
      </c>
    </row>
    <row r="99" spans="1:10" s="18" customFormat="1" ht="31.5">
      <c r="A99" s="41" t="str">
        <f>IF(B99&gt;0,VLOOKUP(B99,КВСР!A32:B1197,2),IF(C99&gt;0,VLOOKUP(C99,КФСР!A32:B1544,2),IF(D99&gt;0,VLOOKUP(D99,Программа!A$1:B$5063,2),IF(F99&gt;0,VLOOKUP(F99,КВР!A$1:B$5001,2),IF(E99&gt;0,VLOOKUP(E99,Направление!A$1:B$4755,2))))))</f>
        <v>Закупка товаров, работ и услуг для государственных нужд</v>
      </c>
      <c r="B99" s="83"/>
      <c r="C99" s="76"/>
      <c r="D99" s="77"/>
      <c r="E99" s="83"/>
      <c r="F99" s="77">
        <v>200</v>
      </c>
      <c r="G99" s="494">
        <v>48500</v>
      </c>
      <c r="H99" s="339">
        <v>-15269</v>
      </c>
      <c r="I99" s="42">
        <f t="shared" si="2"/>
        <v>33231</v>
      </c>
      <c r="J99" s="339">
        <v>33231</v>
      </c>
    </row>
    <row r="100" spans="1:10" s="18" customFormat="1" ht="78.75">
      <c r="A100" s="41" t="str">
        <f>IF(B100&gt;0,VLOOKUP(B100,КВСР!A33:B1198,2),IF(C100&gt;0,VLOOKUP(C100,КФСР!A33:B1545,2),IF(D100&gt;0,VLOOKUP(D100,Программа!A$1:B$5063,2),IF(F100&gt;0,VLOOKUP(F100,КВР!A$1:B$5001,2),IF(E100&gt;0,VLOOKUP(E100,Направление!A$1:B$4755,2))))))</f>
        <v>Защита населения и территории от последствий чрезвычайных ситуаций природного и техногенного характера, гражданская оборона</v>
      </c>
      <c r="B100" s="83"/>
      <c r="C100" s="76">
        <v>309</v>
      </c>
      <c r="D100" s="77"/>
      <c r="E100" s="83"/>
      <c r="F100" s="77"/>
      <c r="G100" s="494">
        <v>173300</v>
      </c>
      <c r="H100" s="494">
        <f t="shared" ref="H100:J100" si="29">H101</f>
        <v>390973</v>
      </c>
      <c r="I100" s="42">
        <f t="shared" si="2"/>
        <v>564273</v>
      </c>
      <c r="J100" s="494">
        <f t="shared" si="29"/>
        <v>477073</v>
      </c>
    </row>
    <row r="101" spans="1:10" s="18" customFormat="1">
      <c r="A101" s="41" t="str">
        <f>IF(B101&gt;0,VLOOKUP(B101,КВСР!A34:B1199,2),IF(C101&gt;0,VLOOKUP(C101,КФСР!A34:B1546,2),IF(D101&gt;0,VLOOKUP(D101,Программа!A$1:B$5063,2),IF(F101&gt;0,VLOOKUP(F101,КВР!A$1:B$5001,2),IF(E101&gt;0,VLOOKUP(E101,Направление!A$1:B$4755,2))))))</f>
        <v>Непрограммные расходы бюджета</v>
      </c>
      <c r="B101" s="83"/>
      <c r="C101" s="76"/>
      <c r="D101" s="77" t="s">
        <v>2808</v>
      </c>
      <c r="E101" s="83"/>
      <c r="F101" s="77"/>
      <c r="G101" s="494">
        <v>173300</v>
      </c>
      <c r="H101" s="494">
        <f>H104+H106+H102+H108</f>
        <v>390973</v>
      </c>
      <c r="I101" s="494">
        <f>I104+I106+I102+I108</f>
        <v>564273</v>
      </c>
      <c r="J101" s="494">
        <f>J104+J106+J102+J108+J111</f>
        <v>477073</v>
      </c>
    </row>
    <row r="102" spans="1:10" s="18" customFormat="1" ht="31.5">
      <c r="A102" s="41" t="str">
        <f>IF(B102&gt;0,VLOOKUP(B102,КВСР!A35:B1200,2),IF(C102&gt;0,VLOOKUP(C102,КФСР!A35:B1547,2),IF(D102&gt;0,VLOOKUP(D102,Программа!A$1:B$5063,2),IF(F102&gt;0,VLOOKUP(F102,КВР!A$1:B$5001,2),IF(E102&gt;0,VLOOKUP(E102,Направление!A$1:B$4755,2))))))</f>
        <v>Резервные фонды местных администраций</v>
      </c>
      <c r="B102" s="83"/>
      <c r="C102" s="76"/>
      <c r="D102" s="77"/>
      <c r="E102" s="83">
        <v>12900</v>
      </c>
      <c r="F102" s="77"/>
      <c r="G102" s="494">
        <v>73300</v>
      </c>
      <c r="H102" s="494">
        <f>H103</f>
        <v>-5000</v>
      </c>
      <c r="I102" s="42">
        <f t="shared" si="2"/>
        <v>68300</v>
      </c>
      <c r="J102" s="494">
        <f>J103</f>
        <v>58300</v>
      </c>
    </row>
    <row r="103" spans="1:10" s="18" customFormat="1" ht="31.5">
      <c r="A103" s="41" t="str">
        <f>IF(B103&gt;0,VLOOKUP(B103,КВСР!A36:B1201,2),IF(C103&gt;0,VLOOKUP(C103,КФСР!A36:B1548,2),IF(D103&gt;0,VLOOKUP(D103,Программа!A$1:B$5063,2),IF(F103&gt;0,VLOOKUP(F103,КВР!A$1:B$5001,2),IF(E103&gt;0,VLOOKUP(E103,Направление!A$1:B$4755,2))))))</f>
        <v>Закупка товаров, работ и услуг для государственных нужд</v>
      </c>
      <c r="B103" s="83"/>
      <c r="C103" s="76"/>
      <c r="D103" s="77"/>
      <c r="E103" s="83"/>
      <c r="F103" s="77">
        <v>200</v>
      </c>
      <c r="G103" s="494">
        <v>73300</v>
      </c>
      <c r="H103" s="494">
        <v>-5000</v>
      </c>
      <c r="I103" s="42">
        <f t="shared" si="2"/>
        <v>68300</v>
      </c>
      <c r="J103" s="494">
        <v>58300</v>
      </c>
    </row>
    <row r="104" spans="1:10" s="18" customFormat="1" ht="63">
      <c r="A104" s="41" t="str">
        <f>IF(B104&gt;0,VLOOKUP(B104,КВСР!A35:B1200,2),IF(C104&gt;0,VLOOKUP(C104,КФСР!A35:B1547,2),IF(D104&gt;0,VLOOKUP(D104,Программа!A$1:B$5063,2),IF(F104&gt;0,VLOOKUP(F104,КВР!A$1:B$5001,2),IF(E104&gt;0,VLOOKUP(E104,Направление!A$1:B$4755,2))))))</f>
        <v>Обеспечение мероприятий по  предупреждению и ликвидации последствий чрезвычайных ситуаций в границах поселения</v>
      </c>
      <c r="B104" s="83"/>
      <c r="C104" s="76"/>
      <c r="D104" s="77"/>
      <c r="E104" s="83">
        <v>29186</v>
      </c>
      <c r="F104" s="77"/>
      <c r="G104" s="494">
        <v>60000</v>
      </c>
      <c r="H104" s="494">
        <f>H105</f>
        <v>0</v>
      </c>
      <c r="I104" s="42">
        <f t="shared" si="2"/>
        <v>60000</v>
      </c>
      <c r="J104" s="494">
        <f>J105</f>
        <v>12800</v>
      </c>
    </row>
    <row r="105" spans="1:10" s="18" customFormat="1" ht="31.5">
      <c r="A105" s="41" t="str">
        <f>IF(B105&gt;0,VLOOKUP(B105,КВСР!A36:B1201,2),IF(C105&gt;0,VLOOKUP(C105,КФСР!A36:B1548,2),IF(D105&gt;0,VLOOKUP(D105,Программа!A$1:B$5063,2),IF(F105&gt;0,VLOOKUP(F105,КВР!A$1:B$5001,2),IF(E105&gt;0,VLOOKUP(E105,Направление!A$1:B$4755,2))))))</f>
        <v>Закупка товаров, работ и услуг для государственных нужд</v>
      </c>
      <c r="B105" s="83"/>
      <c r="C105" s="76"/>
      <c r="D105" s="77"/>
      <c r="E105" s="83"/>
      <c r="F105" s="77">
        <v>200</v>
      </c>
      <c r="G105" s="494">
        <v>60000</v>
      </c>
      <c r="H105" s="339"/>
      <c r="I105" s="42">
        <f t="shared" si="2"/>
        <v>60000</v>
      </c>
      <c r="J105" s="339">
        <v>12800</v>
      </c>
    </row>
    <row r="106" spans="1:10" s="18" customFormat="1" ht="52.5" hidden="1" customHeight="1">
      <c r="A106" s="41" t="str">
        <f>IF(B106&gt;0,VLOOKUP(B106,КВСР!A35:B1200,2),IF(C106&gt;0,VLOOKUP(C106,КФСР!A35:B1547,2),IF(D106&gt;0,VLOOKUP(D106,Программа!A$1:B$5063,2),IF(F106&gt;0,VLOOKUP(F106,КВР!A$1:B$5001,2),IF(E106&gt;0,VLOOKUP(E106,Направление!A$1:B$4755,2))))))</f>
        <v>Обеспечение мероприятий по защите от чрезвычайных ситуаций природного и техногенного характера</v>
      </c>
      <c r="B106" s="83"/>
      <c r="C106" s="76"/>
      <c r="D106" s="77"/>
      <c r="E106" s="83">
        <v>29466</v>
      </c>
      <c r="F106" s="77"/>
      <c r="G106" s="494">
        <v>40000</v>
      </c>
      <c r="H106" s="494">
        <f>H107</f>
        <v>0</v>
      </c>
      <c r="I106" s="42">
        <f t="shared" si="2"/>
        <v>40000</v>
      </c>
      <c r="J106" s="494">
        <f>J107</f>
        <v>0</v>
      </c>
    </row>
    <row r="107" spans="1:10" s="18" customFormat="1" ht="31.5" hidden="1">
      <c r="A107" s="41" t="str">
        <f>IF(B107&gt;0,VLOOKUP(B107,КВСР!A36:B1201,2),IF(C107&gt;0,VLOOKUP(C107,КФСР!A36:B1548,2),IF(D107&gt;0,VLOOKUP(D107,Программа!A$1:B$5063,2),IF(F107&gt;0,VLOOKUP(F107,КВР!A$1:B$5001,2),IF(E107&gt;0,VLOOKUP(E107,Направление!A$1:B$4755,2))))))</f>
        <v>Закупка товаров, работ и услуг для государственных нужд</v>
      </c>
      <c r="B107" s="83"/>
      <c r="C107" s="76"/>
      <c r="D107" s="77"/>
      <c r="E107" s="83"/>
      <c r="F107" s="77">
        <v>200</v>
      </c>
      <c r="G107" s="494">
        <v>40000</v>
      </c>
      <c r="H107" s="339"/>
      <c r="I107" s="42">
        <f t="shared" si="2"/>
        <v>40000</v>
      </c>
      <c r="J107" s="339"/>
    </row>
    <row r="108" spans="1:10" s="18" customFormat="1" ht="47.25">
      <c r="A108" s="41" t="str">
        <f>IF(B108&gt;0,VLOOKUP(B108,КВСР!A37:B1202,2),IF(C108&gt;0,VLOOKUP(C108,КФСР!A37:B1549,2),IF(D108&gt;0,VLOOKUP(D108,Программа!A$1:B$5063,2),IF(F108&gt;0,VLOOKUP(F108,КВР!A$1:B$5001,2),IF(E108&gt;0,VLOOKUP(E108,Направление!A$1:B$4755,2))))))</f>
        <v>Содержание и организация деятельности аварийно-спасательных служб</v>
      </c>
      <c r="B108" s="83"/>
      <c r="C108" s="76"/>
      <c r="D108" s="77"/>
      <c r="E108" s="83">
        <v>29566</v>
      </c>
      <c r="F108" s="77"/>
      <c r="G108" s="494">
        <f>G109+G110</f>
        <v>0</v>
      </c>
      <c r="H108" s="494">
        <f t="shared" ref="H108:I108" si="30">H109+H110</f>
        <v>395973</v>
      </c>
      <c r="I108" s="494">
        <f t="shared" si="30"/>
        <v>395973</v>
      </c>
      <c r="J108" s="494">
        <f t="shared" ref="J108" si="31">J109+J110</f>
        <v>395973</v>
      </c>
    </row>
    <row r="109" spans="1:10" s="18" customFormat="1" ht="110.25">
      <c r="A109" s="41" t="str">
        <f>IF(B109&gt;0,VLOOKUP(B109,КВСР!A38:B1203,2),IF(C109&gt;0,VLOOKUP(C109,КФСР!A38:B1550,2),IF(D109&gt;0,VLOOKUP(D109,Программа!A$1:B$5063,2),IF(F109&gt;0,VLOOKUP(F109,КВР!A$1:B$5001,2),IF(E109&gt;0,VLOOKUP(E109,Направление!A$1:B$4755,2))))))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9" s="83"/>
      <c r="C109" s="76"/>
      <c r="D109" s="77"/>
      <c r="E109" s="83"/>
      <c r="F109" s="77">
        <v>100</v>
      </c>
      <c r="G109" s="494"/>
      <c r="H109" s="339">
        <v>285231</v>
      </c>
      <c r="I109" s="42">
        <f>G109+H109</f>
        <v>285231</v>
      </c>
      <c r="J109" s="339">
        <v>285231</v>
      </c>
    </row>
    <row r="110" spans="1:10" s="18" customFormat="1" ht="31.5">
      <c r="A110" s="41" t="str">
        <f>IF(B110&gt;0,VLOOKUP(B110,КВСР!A39:B1204,2),IF(C110&gt;0,VLOOKUP(C110,КФСР!A39:B1551,2),IF(D110&gt;0,VLOOKUP(D110,Программа!A$1:B$5063,2),IF(F110&gt;0,VLOOKUP(F110,КВР!A$1:B$5001,2),IF(E110&gt;0,VLOOKUP(E110,Направление!A$1:B$4755,2))))))</f>
        <v>Закупка товаров, работ и услуг для государственных нужд</v>
      </c>
      <c r="B110" s="83"/>
      <c r="C110" s="76"/>
      <c r="D110" s="77"/>
      <c r="E110" s="83"/>
      <c r="F110" s="77">
        <v>200</v>
      </c>
      <c r="G110" s="494"/>
      <c r="H110" s="339">
        <v>110742</v>
      </c>
      <c r="I110" s="42">
        <f>G110+H110</f>
        <v>110742</v>
      </c>
      <c r="J110" s="339">
        <v>110742</v>
      </c>
    </row>
    <row r="111" spans="1:10" s="18" customFormat="1" ht="47.25">
      <c r="A111" s="41" t="str">
        <f>IF(B111&gt;0,VLOOKUP(B111,КВСР!A40:B1205,2),IF(C111&gt;0,VLOOKUP(C111,КФСР!A40:B1552,2),IF(D111&gt;0,VLOOKUP(D111,Программа!A$1:B$5063,2),IF(F111&gt;0,VLOOKUP(F111,КВР!A$1:B$5001,2),IF(E111&gt;0,VLOOKUP(E111,Направление!A$1:B$4755,2))))))</f>
        <v>Резервные фонды исполнительных органов государственной власти субъектов Российской Федерации</v>
      </c>
      <c r="B111" s="83"/>
      <c r="C111" s="76"/>
      <c r="D111" s="77"/>
      <c r="E111" s="83">
        <v>80120</v>
      </c>
      <c r="F111" s="77"/>
      <c r="G111" s="494"/>
      <c r="H111" s="339"/>
      <c r="I111" s="42"/>
      <c r="J111" s="494">
        <f>J112</f>
        <v>10000</v>
      </c>
    </row>
    <row r="112" spans="1:10" s="18" customFormat="1" ht="31.5">
      <c r="A112" s="41" t="str">
        <f>IF(B112&gt;0,VLOOKUP(B112,КВСР!A41:B1206,2),IF(C112&gt;0,VLOOKUP(C112,КФСР!A41:B1553,2),IF(D112&gt;0,VLOOKUP(D112,Программа!A$1:B$5063,2),IF(F112&gt;0,VLOOKUP(F112,КВР!A$1:B$5001,2),IF(E112&gt;0,VLOOKUP(E112,Направление!A$1:B$4755,2))))))</f>
        <v>Закупка товаров, работ и услуг для государственных нужд</v>
      </c>
      <c r="B112" s="83"/>
      <c r="C112" s="76"/>
      <c r="D112" s="77"/>
      <c r="E112" s="83"/>
      <c r="F112" s="77">
        <v>200</v>
      </c>
      <c r="G112" s="494"/>
      <c r="H112" s="339"/>
      <c r="I112" s="42"/>
      <c r="J112" s="339">
        <v>10000</v>
      </c>
    </row>
    <row r="113" spans="1:10" s="18" customFormat="1">
      <c r="A113" s="41" t="str">
        <f>IF(B113&gt;0,VLOOKUP(B113,КВСР!A37:B1202,2),IF(C113&gt;0,VLOOKUP(C113,КФСР!A37:B1549,2),IF(D113&gt;0,VLOOKUP(D113,Программа!A$1:B$5063,2),IF(F113&gt;0,VLOOKUP(F113,КВР!A$1:B$5001,2),IF(E113&gt;0,VLOOKUP(E113,Направление!A$1:B$4755,2))))))</f>
        <v>Сельское хозяйство и рыболовство</v>
      </c>
      <c r="B113" s="83"/>
      <c r="C113" s="76">
        <v>405</v>
      </c>
      <c r="D113" s="391"/>
      <c r="E113" s="83"/>
      <c r="F113" s="77"/>
      <c r="G113" s="42">
        <v>1418100</v>
      </c>
      <c r="H113" s="42">
        <f t="shared" ref="H113:J114" si="32">H114</f>
        <v>0</v>
      </c>
      <c r="I113" s="42">
        <f t="shared" si="2"/>
        <v>1418100</v>
      </c>
      <c r="J113" s="42">
        <f t="shared" si="32"/>
        <v>1418100</v>
      </c>
    </row>
    <row r="114" spans="1:10" s="18" customFormat="1" ht="94.5">
      <c r="A114" s="41" t="str">
        <f>IF(B114&gt;0,VLOOKUP(B114,КВСР!A49:B1214,2),IF(C114&gt;0,VLOOKUP(C114,КФСР!A49:B1561,2),IF(D114&gt;0,VLOOKUP(D114,Программа!A$1:B$5063,2),IF(F114&gt;0,VLOOKUP(F114,КВР!A$1:B$5001,2),IF(E114&gt;0,VLOOKUP(E114,Направление!A$1:B$4755,2))))))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14" s="83"/>
      <c r="C114" s="76"/>
      <c r="D114" s="391" t="s">
        <v>2769</v>
      </c>
      <c r="E114" s="83"/>
      <c r="F114" s="77"/>
      <c r="G114" s="42">
        <v>1418100</v>
      </c>
      <c r="H114" s="42">
        <f t="shared" si="32"/>
        <v>0</v>
      </c>
      <c r="I114" s="42">
        <f t="shared" si="2"/>
        <v>1418100</v>
      </c>
      <c r="J114" s="42">
        <f t="shared" si="32"/>
        <v>1418100</v>
      </c>
    </row>
    <row r="115" spans="1:10" s="18" customFormat="1" ht="78.75">
      <c r="A115" s="41" t="str">
        <f>IF(B115&gt;0,VLOOKUP(B115,КВСР!A50:B1215,2),IF(C115&gt;0,VLOOKUP(C115,КФСР!A50:B1562,2),IF(D115&gt;0,VLOOKUP(D115,Программа!A$1:B$5063,2),IF(F115&gt;0,VLOOKUP(F115,КВР!A$1:B$5001,2),IF(E115&gt;0,VLOOKUP(E115,Направление!A$1:B$4755,2))))))</f>
        <v>Муниципальная целевая программа "Развитие агропромышленного комплекса и сельских территорий Тутаевского муниципального района"</v>
      </c>
      <c r="B115" s="83"/>
      <c r="C115" s="76"/>
      <c r="D115" s="391" t="s">
        <v>2773</v>
      </c>
      <c r="E115" s="83"/>
      <c r="F115" s="77"/>
      <c r="G115" s="42">
        <v>1418100</v>
      </c>
      <c r="H115" s="42">
        <f>H116+H121+H124+H128</f>
        <v>0</v>
      </c>
      <c r="I115" s="42">
        <f>SUM(G115:H115)</f>
        <v>1418100</v>
      </c>
      <c r="J115" s="42">
        <f>J116+J121+J124+J128</f>
        <v>1418100</v>
      </c>
    </row>
    <row r="116" spans="1:10" s="18" customFormat="1" ht="78.75">
      <c r="A116" s="41" t="str">
        <f>IF(B116&gt;0,VLOOKUP(B116,КВСР!A51:B1216,2),IF(C116&gt;0,VLOOKUP(C116,КФСР!A51:B1563,2),IF(D116&gt;0,VLOOKUP(D116,Программа!A$1:B$5063,2),IF(F116&gt;0,VLOOKUP(F116,КВР!A$1:B$5001,2),IF(E116&gt;0,VLOOKUP(E116,Направление!A$1:B$4755,2))))))</f>
        <v>Поддержка сельскохозяйственного производства в рамках субсидирования  (молоко, овцеводство) сельскохозяйственных товаропроизводителей</v>
      </c>
      <c r="B116" s="83"/>
      <c r="C116" s="76"/>
      <c r="D116" s="391" t="s">
        <v>2774</v>
      </c>
      <c r="E116" s="83"/>
      <c r="F116" s="77"/>
      <c r="G116" s="42">
        <v>1080100</v>
      </c>
      <c r="H116" s="42">
        <f t="shared" ref="H116:J116" si="33">H117+H119</f>
        <v>0</v>
      </c>
      <c r="I116" s="42">
        <f t="shared" si="2"/>
        <v>1080100</v>
      </c>
      <c r="J116" s="42">
        <f t="shared" si="33"/>
        <v>1080100</v>
      </c>
    </row>
    <row r="117" spans="1:10" s="18" customFormat="1" ht="47.25">
      <c r="A117" s="41" t="str">
        <f>IF(B117&gt;0,VLOOKUP(B117,КВСР!A52:B1217,2),IF(C117&gt;0,VLOOKUP(C117,КФСР!A52:B1564,2),IF(D117&gt;0,VLOOKUP(D117,Программа!A$1:B$5063,2),IF(F117&gt;0,VLOOKUP(F117,КВР!A$1:B$5001,2),IF(E117&gt;0,VLOOKUP(E117,Направление!A$1:B$4755,2))))))</f>
        <v>Мероприятия  направленные на развитие агропромышленного комплекса</v>
      </c>
      <c r="B117" s="83"/>
      <c r="C117" s="76"/>
      <c r="D117" s="391"/>
      <c r="E117" s="83">
        <v>10700</v>
      </c>
      <c r="F117" s="77"/>
      <c r="G117" s="42">
        <v>1075000</v>
      </c>
      <c r="H117" s="42">
        <f t="shared" ref="H117:J117" si="34">H118</f>
        <v>0</v>
      </c>
      <c r="I117" s="42">
        <f t="shared" si="2"/>
        <v>1075000</v>
      </c>
      <c r="J117" s="42">
        <f t="shared" si="34"/>
        <v>1075000</v>
      </c>
    </row>
    <row r="118" spans="1:10" s="18" customFormat="1">
      <c r="A118" s="41" t="str">
        <f>IF(B118&gt;0,VLOOKUP(B118,КВСР!A53:B1218,2),IF(C118&gt;0,VLOOKUP(C118,КФСР!A53:B1565,2),IF(D118&gt;0,VLOOKUP(D118,Программа!A$1:B$5063,2),IF(F118&gt;0,VLOOKUP(F118,КВР!A$1:B$5001,2),IF(E118&gt;0,VLOOKUP(E118,Направление!A$1:B$4755,2))))))</f>
        <v>Иные бюджетные ассигнования</v>
      </c>
      <c r="B118" s="83"/>
      <c r="C118" s="76"/>
      <c r="D118" s="77"/>
      <c r="E118" s="83"/>
      <c r="F118" s="77">
        <v>800</v>
      </c>
      <c r="G118" s="341">
        <v>1075000</v>
      </c>
      <c r="H118" s="337"/>
      <c r="I118" s="42">
        <f t="shared" si="2"/>
        <v>1075000</v>
      </c>
      <c r="J118" s="337">
        <v>1075000</v>
      </c>
    </row>
    <row r="119" spans="1:10" s="18" customFormat="1" ht="110.25">
      <c r="A119" s="41" t="str">
        <f>IF(B119&gt;0,VLOOKUP(B119,КВСР!A54:B1219,2),IF(C119&gt;0,VLOOKUP(C119,КФСР!A54:B1566,2),IF(D119&gt;0,VLOOKUP(D119,Программа!A$1:B$5063,2),IF(F119&gt;0,VLOOKUP(F119,КВР!A$1:B$5001,2),IF(E119&gt;0,VLOOKUP(E119,Направление!A$1:B$4755,2))))))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19" s="83"/>
      <c r="C119" s="76"/>
      <c r="D119" s="77"/>
      <c r="E119" s="83">
        <v>74450</v>
      </c>
      <c r="F119" s="77"/>
      <c r="G119" s="341">
        <v>5100</v>
      </c>
      <c r="H119" s="341">
        <f t="shared" ref="H119:J119" si="35">H120</f>
        <v>0</v>
      </c>
      <c r="I119" s="42">
        <f t="shared" si="2"/>
        <v>5100</v>
      </c>
      <c r="J119" s="341">
        <f t="shared" si="35"/>
        <v>5100</v>
      </c>
    </row>
    <row r="120" spans="1:10" s="18" customFormat="1" ht="31.5">
      <c r="A120" s="41" t="str">
        <f>IF(B120&gt;0,VLOOKUP(B120,КВСР!A55:B1220,2),IF(C120&gt;0,VLOOKUP(C120,КФСР!A55:B1567,2),IF(D120&gt;0,VLOOKUP(D120,Программа!A$1:B$5063,2),IF(F120&gt;0,VLOOKUP(F120,КВР!A$1:B$5001,2),IF(E120&gt;0,VLOOKUP(E120,Направление!A$1:B$4755,2))))))</f>
        <v>Закупка товаров, работ и услуг для государственных нужд</v>
      </c>
      <c r="B120" s="83"/>
      <c r="C120" s="76"/>
      <c r="D120" s="77"/>
      <c r="E120" s="83"/>
      <c r="F120" s="77">
        <v>200</v>
      </c>
      <c r="G120" s="341">
        <v>5100</v>
      </c>
      <c r="H120" s="337"/>
      <c r="I120" s="42">
        <f t="shared" si="2"/>
        <v>5100</v>
      </c>
      <c r="J120" s="337">
        <v>5100</v>
      </c>
    </row>
    <row r="121" spans="1:10" s="18" customFormat="1" ht="31.5" hidden="1">
      <c r="A121" s="41" t="str">
        <f>IF(B121&gt;0,VLOOKUP(B121,КВСР!A56:B1221,2),IF(C121&gt;0,VLOOKUP(C121,КФСР!A56:B1568,2),IF(D121&gt;0,VLOOKUP(D121,Программа!A$1:B$5063,2),IF(F121&gt;0,VLOOKUP(F121,КВР!A$1:B$5001,2),IF(E121&gt;0,VLOOKUP(E121,Направление!A$1:B$4755,2))))))</f>
        <v xml:space="preserve">Кадровое обеспечение агропромышленного комплекса </v>
      </c>
      <c r="B121" s="83"/>
      <c r="C121" s="76"/>
      <c r="D121" s="391" t="s">
        <v>2803</v>
      </c>
      <c r="E121" s="83"/>
      <c r="F121" s="77"/>
      <c r="G121" s="341">
        <v>0</v>
      </c>
      <c r="H121" s="341">
        <f t="shared" ref="H121:J122" si="36">H122</f>
        <v>0</v>
      </c>
      <c r="I121" s="42">
        <f t="shared" ref="I121:I274" si="37">SUM(G121:H121)</f>
        <v>0</v>
      </c>
      <c r="J121" s="341">
        <f t="shared" si="36"/>
        <v>0</v>
      </c>
    </row>
    <row r="122" spans="1:10" s="18" customFormat="1" ht="47.25" hidden="1">
      <c r="A122" s="41" t="str">
        <f>IF(B122&gt;0,VLOOKUP(B122,КВСР!A57:B1222,2),IF(C122&gt;0,VLOOKUP(C122,КФСР!A57:B1569,2),IF(D122&gt;0,VLOOKUP(D122,Программа!A$1:B$5063,2),IF(F122&gt;0,VLOOKUP(F122,КВР!A$1:B$5001,2),IF(E122&gt;0,VLOOKUP(E122,Направление!A$1:B$4755,2))))))</f>
        <v>Мероприятия  направленные на развитие агропромышленного комплекса</v>
      </c>
      <c r="B122" s="83"/>
      <c r="C122" s="76"/>
      <c r="D122" s="391"/>
      <c r="E122" s="83">
        <v>10700</v>
      </c>
      <c r="F122" s="77"/>
      <c r="G122" s="341">
        <v>0</v>
      </c>
      <c r="H122" s="341">
        <f t="shared" si="36"/>
        <v>0</v>
      </c>
      <c r="I122" s="42">
        <f t="shared" si="37"/>
        <v>0</v>
      </c>
      <c r="J122" s="341">
        <f t="shared" si="36"/>
        <v>0</v>
      </c>
    </row>
    <row r="123" spans="1:10" s="18" customFormat="1" ht="31.5" hidden="1">
      <c r="A123" s="41" t="str">
        <f>IF(B123&gt;0,VLOOKUP(B123,КВСР!A58:B1223,2),IF(C123&gt;0,VLOOKUP(C123,КФСР!A58:B1570,2),IF(D123&gt;0,VLOOKUP(D123,Программа!A$1:B$5063,2),IF(F123&gt;0,VLOOKUP(F123,КВР!A$1:B$5001,2),IF(E123&gt;0,VLOOKUP(E123,Направление!A$1:B$4755,2))))))</f>
        <v>Социальное обеспечение и иные выплаты населению</v>
      </c>
      <c r="B123" s="83"/>
      <c r="C123" s="76"/>
      <c r="D123" s="391"/>
      <c r="E123" s="83"/>
      <c r="F123" s="77">
        <v>300</v>
      </c>
      <c r="G123" s="341">
        <v>0</v>
      </c>
      <c r="H123" s="337"/>
      <c r="I123" s="42">
        <f t="shared" si="37"/>
        <v>0</v>
      </c>
      <c r="J123" s="337"/>
    </row>
    <row r="124" spans="1:10" s="18" customFormat="1" ht="102" customHeight="1">
      <c r="A124" s="41" t="str">
        <f>IF(B124&gt;0,VLOOKUP(B124,КВСР!A59:B1224,2),IF(C124&gt;0,VLOOKUP(C124,КФСР!A59:B1571,2),IF(D124&gt;0,VLOOKUP(D124,Программа!A$1:B$5063,2),IF(F124&gt;0,VLOOKUP(F124,КВР!A$1:B$5001,2),IF(E124&gt;0,VLOOKUP(E124,Направление!A$1:B$4755,2))))))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24" s="83"/>
      <c r="C124" s="76"/>
      <c r="D124" s="391" t="s">
        <v>2805</v>
      </c>
      <c r="E124" s="83"/>
      <c r="F124" s="77"/>
      <c r="G124" s="341">
        <v>248000</v>
      </c>
      <c r="H124" s="341">
        <f t="shared" ref="H124:J124" si="38">H125</f>
        <v>0</v>
      </c>
      <c r="I124" s="42">
        <f t="shared" si="37"/>
        <v>248000</v>
      </c>
      <c r="J124" s="341">
        <f t="shared" si="38"/>
        <v>248000</v>
      </c>
    </row>
    <row r="125" spans="1:10" s="18" customFormat="1" ht="47.25">
      <c r="A125" s="41" t="str">
        <f>IF(B125&gt;0,VLOOKUP(B125,КВСР!A60:B1225,2),IF(C125&gt;0,VLOOKUP(C125,КФСР!A60:B1572,2),IF(D125&gt;0,VLOOKUP(D125,Программа!A$1:B$5063,2),IF(F125&gt;0,VLOOKUP(F125,КВР!A$1:B$5001,2),IF(E125&gt;0,VLOOKUP(E125,Направление!A$1:B$4755,2))))))</f>
        <v>Мероприятия  направленные на развитие агропромышленного комплекса</v>
      </c>
      <c r="B125" s="83"/>
      <c r="C125" s="76"/>
      <c r="D125" s="391"/>
      <c r="E125" s="83">
        <v>10700</v>
      </c>
      <c r="F125" s="77"/>
      <c r="G125" s="341">
        <v>248000</v>
      </c>
      <c r="H125" s="341">
        <f>H126+H127</f>
        <v>0</v>
      </c>
      <c r="I125" s="42">
        <f>SUM(G125:H125)</f>
        <v>248000</v>
      </c>
      <c r="J125" s="341">
        <f>J126+J127</f>
        <v>248000</v>
      </c>
    </row>
    <row r="126" spans="1:10" s="18" customFormat="1" ht="31.5">
      <c r="A126" s="41" t="str">
        <f>IF(B126&gt;0,VLOOKUP(B126,КВСР!A61:B1226,2),IF(C126&gt;0,VLOOKUP(C126,КФСР!A61:B1573,2),IF(D126&gt;0,VLOOKUP(D126,Программа!A$1:B$5063,2),IF(F126&gt;0,VLOOKUP(F126,КВР!A$1:B$5001,2),IF(E126&gt;0,VLOOKUP(E126,Направление!A$1:B$4755,2))))))</f>
        <v>Закупка товаров, работ и услуг для государственных нужд</v>
      </c>
      <c r="B126" s="83"/>
      <c r="C126" s="76"/>
      <c r="D126" s="391"/>
      <c r="E126" s="83"/>
      <c r="F126" s="77">
        <v>200</v>
      </c>
      <c r="G126" s="341">
        <v>248000</v>
      </c>
      <c r="H126" s="337">
        <v>-161121.20000000001</v>
      </c>
      <c r="I126" s="42">
        <f>SUM(G126:H126)</f>
        <v>86878.799999999988</v>
      </c>
      <c r="J126" s="337">
        <v>86879</v>
      </c>
    </row>
    <row r="127" spans="1:10" s="18" customFormat="1" ht="37.5" customHeight="1">
      <c r="A127" s="41" t="str">
        <f>IF(B127&gt;0,VLOOKUP(B127,КВСР!A62:B1227,2),IF(C127&gt;0,VLOOKUP(C127,КФСР!A62:B1574,2),IF(D127&gt;0,VLOOKUP(D127,Программа!A$1:B$5063,2),IF(F127&gt;0,VLOOKUP(F127,КВР!A$1:B$5001,2),IF(E127&gt;0,VLOOKUP(E127,Направление!A$1:B$4755,2))))))</f>
        <v>Социальное обеспечение и иные выплаты населению</v>
      </c>
      <c r="B127" s="83"/>
      <c r="C127" s="76"/>
      <c r="D127" s="391"/>
      <c r="E127" s="83"/>
      <c r="F127" s="77">
        <v>300</v>
      </c>
      <c r="G127" s="341"/>
      <c r="H127" s="337">
        <v>161121.20000000001</v>
      </c>
      <c r="I127" s="42">
        <f>SUM(G127:H127)</f>
        <v>161121.20000000001</v>
      </c>
      <c r="J127" s="337">
        <v>161121</v>
      </c>
    </row>
    <row r="128" spans="1:10" s="18" customFormat="1" ht="82.15" customHeight="1">
      <c r="A128" s="41" t="str">
        <f>IF(B128&gt;0,VLOOKUP(B128,КВСР!A62:B1227,2),IF(C128&gt;0,VLOOKUP(C128,КФСР!A62:B1574,2),IF(D128&gt;0,VLOOKUP(D128,Программа!A$1:B$5063,2),IF(F128&gt;0,VLOOKUP(F128,КВР!A$1:B$5001,2),IF(E128&gt;0,VLOOKUP(E128,Направление!A$1:B$4755,2))))))</f>
        <v>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v>
      </c>
      <c r="B128" s="83"/>
      <c r="C128" s="76"/>
      <c r="D128" s="391" t="s">
        <v>3103</v>
      </c>
      <c r="E128" s="83"/>
      <c r="F128" s="77"/>
      <c r="G128" s="341">
        <v>90000</v>
      </c>
      <c r="H128" s="341">
        <f t="shared" ref="H128:J129" si="39">H129</f>
        <v>0</v>
      </c>
      <c r="I128" s="341">
        <f t="shared" si="39"/>
        <v>90000</v>
      </c>
      <c r="J128" s="341">
        <f t="shared" si="39"/>
        <v>90000</v>
      </c>
    </row>
    <row r="129" spans="1:10" s="18" customFormat="1" ht="47.25">
      <c r="A129" s="41" t="str">
        <f>IF(B129&gt;0,VLOOKUP(B129,КВСР!A63:B1228,2),IF(C129&gt;0,VLOOKUP(C129,КФСР!A63:B1575,2),IF(D129&gt;0,VLOOKUP(D129,Программа!A$1:B$5063,2),IF(F129&gt;0,VLOOKUP(F129,КВР!A$1:B$5001,2),IF(E129&gt;0,VLOOKUP(E129,Направление!A$1:B$4755,2))))))</f>
        <v>Мероприятия  направленные на развитие агропромышленного комплекса</v>
      </c>
      <c r="B129" s="83"/>
      <c r="C129" s="76"/>
      <c r="D129" s="391"/>
      <c r="E129" s="83">
        <v>10700</v>
      </c>
      <c r="F129" s="77"/>
      <c r="G129" s="341">
        <v>90000</v>
      </c>
      <c r="H129" s="341">
        <f t="shared" si="39"/>
        <v>0</v>
      </c>
      <c r="I129" s="341">
        <f t="shared" si="39"/>
        <v>90000</v>
      </c>
      <c r="J129" s="341">
        <f t="shared" si="39"/>
        <v>90000</v>
      </c>
    </row>
    <row r="130" spans="1:10" s="18" customFormat="1" ht="31.5">
      <c r="A130" s="41" t="str">
        <f>IF(B130&gt;0,VLOOKUP(B130,КВСР!A64:B1229,2),IF(C130&gt;0,VLOOKUP(C130,КФСР!A64:B1576,2),IF(D130&gt;0,VLOOKUP(D130,Программа!A$1:B$5063,2),IF(F130&gt;0,VLOOKUP(F130,КВР!A$1:B$5001,2),IF(E130&gt;0,VLOOKUP(E130,Направление!A$1:B$4755,2))))))</f>
        <v>Закупка товаров, работ и услуг для государственных нужд</v>
      </c>
      <c r="B130" s="83"/>
      <c r="C130" s="76"/>
      <c r="D130" s="391"/>
      <c r="E130" s="83"/>
      <c r="F130" s="77">
        <v>200</v>
      </c>
      <c r="G130" s="341">
        <v>90000</v>
      </c>
      <c r="H130" s="337"/>
      <c r="I130" s="42">
        <f>SUM(G130:H130)</f>
        <v>90000</v>
      </c>
      <c r="J130" s="337">
        <v>90000</v>
      </c>
    </row>
    <row r="131" spans="1:10" s="18" customFormat="1" ht="31.5">
      <c r="A131" s="41" t="str">
        <f>IF(B131&gt;0,VLOOKUP(B131,КВСР!A65:B1230,2),IF(C131&gt;0,VLOOKUP(C131,КФСР!A65:B1577,2),IF(D131&gt;0,VLOOKUP(D131,Программа!A$1:B$5063,2),IF(F131&gt;0,VLOOKUP(F131,КВР!A$1:B$5001,2),IF(E131&gt;0,VLOOKUP(E131,Направление!A$1:B$4755,2))))))</f>
        <v>Другие вопросы в области национальной экономики</v>
      </c>
      <c r="B131" s="83"/>
      <c r="C131" s="76">
        <v>412</v>
      </c>
      <c r="D131" s="391"/>
      <c r="E131" s="83"/>
      <c r="F131" s="77"/>
      <c r="G131" s="42">
        <v>1160421</v>
      </c>
      <c r="H131" s="42">
        <f>H132+H158</f>
        <v>2270200</v>
      </c>
      <c r="I131" s="42">
        <f t="shared" si="37"/>
        <v>3430621</v>
      </c>
      <c r="J131" s="42">
        <f>J132+J158</f>
        <v>3310449</v>
      </c>
    </row>
    <row r="132" spans="1:10" s="18" customFormat="1" ht="94.5">
      <c r="A132" s="41" t="str">
        <f>IF(B132&gt;0,VLOOKUP(B132,КВСР!A66:B1231,2),IF(C132&gt;0,VLOOKUP(C132,КФСР!A66:B1578,2),IF(D132&gt;0,VLOOKUP(D132,Программа!A$1:B$5063,2),IF(F132&gt;0,VLOOKUP(F132,КВР!A$1:B$5001,2),IF(E132&gt;0,VLOOKUP(E132,Направление!A$1:B$4755,2))))))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32" s="83"/>
      <c r="C132" s="76"/>
      <c r="D132" s="391" t="s">
        <v>2769</v>
      </c>
      <c r="E132" s="83"/>
      <c r="F132" s="77"/>
      <c r="G132" s="42">
        <v>1060421</v>
      </c>
      <c r="H132" s="42">
        <f t="shared" ref="H132:J132" si="40">H148+H133</f>
        <v>2270200</v>
      </c>
      <c r="I132" s="42">
        <f t="shared" si="37"/>
        <v>3330621</v>
      </c>
      <c r="J132" s="42">
        <f t="shared" si="40"/>
        <v>3310449</v>
      </c>
    </row>
    <row r="133" spans="1:10" s="18" customFormat="1" ht="69.75" customHeight="1">
      <c r="A133" s="41" t="str">
        <f>IF(B133&gt;0,VLOOKUP(B133,КВСР!A67:B1232,2),IF(C133&gt;0,VLOOKUP(C133,КФСР!A67:B1579,2),IF(D133&gt;0,VLOOKUP(D133,Программа!A$1:B$5063,2),IF(F133&gt;0,VLOOKUP(F133,КВР!A$1:B$5001,2),IF(E133&gt;0,VLOOKUP(E133,Направление!A$1:B$4755,2))))))</f>
        <v>Муниципальная целевая программа «Развитие субъектов малого и среднего предпринимательства Тутаевского муниципального района»</v>
      </c>
      <c r="B133" s="83"/>
      <c r="C133" s="76"/>
      <c r="D133" s="391" t="s">
        <v>2786</v>
      </c>
      <c r="E133" s="83"/>
      <c r="F133" s="77"/>
      <c r="G133" s="42">
        <v>888000</v>
      </c>
      <c r="H133" s="42">
        <f>H134+H137</f>
        <v>2270200</v>
      </c>
      <c r="I133" s="42">
        <f t="shared" si="37"/>
        <v>3158200</v>
      </c>
      <c r="J133" s="42">
        <f>J134+J137</f>
        <v>3158200</v>
      </c>
    </row>
    <row r="134" spans="1:10" s="18" customFormat="1" ht="102" customHeight="1">
      <c r="A134" s="41" t="str">
        <f>IF(B134&gt;0,VLOOKUP(B134,КВСР!A68:B1233,2),IF(C134&gt;0,VLOOKUP(C134,КФСР!A68:B1580,2),IF(D134&gt;0,VLOOKUP(D134,Программа!A$1:B$5063,2),IF(F134&gt;0,VLOOKUP(F134,КВР!A$1:B$5001,2),IF(E134&gt;0,VLOOKUP(E134,Направление!A$1:B$4755,2))))))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134" s="83"/>
      <c r="C134" s="76"/>
      <c r="D134" s="391" t="s">
        <v>2787</v>
      </c>
      <c r="E134" s="83"/>
      <c r="F134" s="77"/>
      <c r="G134" s="42">
        <v>70000</v>
      </c>
      <c r="H134" s="42">
        <f t="shared" ref="H134:J135" si="41">H135</f>
        <v>-2200</v>
      </c>
      <c r="I134" s="42">
        <f t="shared" si="37"/>
        <v>67800</v>
      </c>
      <c r="J134" s="42">
        <f t="shared" si="41"/>
        <v>67800</v>
      </c>
    </row>
    <row r="135" spans="1:10" s="18" customFormat="1" ht="47.25">
      <c r="A135" s="41" t="str">
        <f>IF(B135&gt;0,VLOOKUP(B135,КВСР!A69:B1234,2),IF(C135&gt;0,VLOOKUP(C135,КФСР!A69:B1581,2),IF(D135&gt;0,VLOOKUP(D135,Программа!A$1:B$5063,2),IF(F135&gt;0,VLOOKUP(F135,КВР!A$1:B$5001,2),IF(E135&gt;0,VLOOKUP(E135,Направление!A$1:B$4755,2))))))</f>
        <v>Расходы на содействие развитию малого и среднего предпринимательства</v>
      </c>
      <c r="B135" s="83"/>
      <c r="C135" s="76"/>
      <c r="D135" s="391"/>
      <c r="E135" s="83">
        <v>10300</v>
      </c>
      <c r="F135" s="77"/>
      <c r="G135" s="42">
        <v>70000</v>
      </c>
      <c r="H135" s="42">
        <f t="shared" si="41"/>
        <v>-2200</v>
      </c>
      <c r="I135" s="42">
        <f t="shared" si="37"/>
        <v>67800</v>
      </c>
      <c r="J135" s="42">
        <f t="shared" si="41"/>
        <v>67800</v>
      </c>
    </row>
    <row r="136" spans="1:10" s="18" customFormat="1" ht="31.5">
      <c r="A136" s="41" t="str">
        <f>IF(B136&gt;0,VLOOKUP(B136,КВСР!A70:B1235,2),IF(C136&gt;0,VLOOKUP(C136,КФСР!A70:B1582,2),IF(D136&gt;0,VLOOKUP(D136,Программа!A$1:B$5063,2),IF(F136&gt;0,VLOOKUP(F136,КВР!A$1:B$5001,2),IF(E136&gt;0,VLOOKUP(E136,Направление!A$1:B$4755,2))))))</f>
        <v>Закупка товаров, работ и услуг для государственных нужд</v>
      </c>
      <c r="B136" s="83"/>
      <c r="C136" s="76"/>
      <c r="D136" s="391"/>
      <c r="E136" s="83"/>
      <c r="F136" s="77">
        <v>200</v>
      </c>
      <c r="G136" s="341">
        <v>70000</v>
      </c>
      <c r="H136" s="496">
        <v>-2200</v>
      </c>
      <c r="I136" s="42">
        <f t="shared" si="37"/>
        <v>67800</v>
      </c>
      <c r="J136" s="496">
        <v>67800</v>
      </c>
    </row>
    <row r="137" spans="1:10" s="18" customFormat="1" ht="47.25">
      <c r="A137" s="41" t="str">
        <f>IF(B137&gt;0,VLOOKUP(B137,КВСР!A71:B1236,2),IF(C137&gt;0,VLOOKUP(C137,КФСР!A71:B1583,2),IF(D137&gt;0,VLOOKUP(D137,Программа!A$1:B$5063,2),IF(F137&gt;0,VLOOKUP(F137,КВР!A$1:B$5001,2),IF(E137&gt;0,VLOOKUP(E137,Направление!A$1:B$4755,2))))))</f>
        <v>Развитие системы финансовой поддержки субъектов малого и среднего предпринимательства</v>
      </c>
      <c r="B137" s="83"/>
      <c r="C137" s="76"/>
      <c r="D137" s="391" t="s">
        <v>2789</v>
      </c>
      <c r="E137" s="83"/>
      <c r="F137" s="77"/>
      <c r="G137" s="341">
        <v>818000</v>
      </c>
      <c r="H137" s="341">
        <f>H138+H142+H146+H140+H144</f>
        <v>2272400</v>
      </c>
      <c r="I137" s="42">
        <f>SUM(G137:H137)</f>
        <v>3090400</v>
      </c>
      <c r="J137" s="341">
        <f>J138+J142+J146+J140+J144</f>
        <v>3090400</v>
      </c>
    </row>
    <row r="138" spans="1:10" s="18" customFormat="1" ht="47.25" hidden="1">
      <c r="A138" s="41" t="str">
        <f>IF(B138&gt;0,VLOOKUP(B138,КВСР!A72:B1237,2),IF(C138&gt;0,VLOOKUP(C138,КФСР!A72:B1584,2),IF(D138&gt;0,VLOOKUP(D138,Программа!A$1:B$5063,2),IF(F138&gt;0,VLOOKUP(F138,КВР!A$1:B$5001,2),IF(E138&gt;0,VLOOKUP(E138,Направление!A$1:B$4755,2))))))</f>
        <v>Расходы на содействие развитию малого и среднего предпринимательства</v>
      </c>
      <c r="B138" s="83"/>
      <c r="C138" s="76"/>
      <c r="D138" s="391"/>
      <c r="E138" s="83">
        <v>10300</v>
      </c>
      <c r="F138" s="77"/>
      <c r="G138" s="341">
        <v>569000</v>
      </c>
      <c r="H138" s="341">
        <f t="shared" ref="H138:J138" si="42">H139</f>
        <v>-569000</v>
      </c>
      <c r="I138" s="42">
        <f t="shared" si="37"/>
        <v>0</v>
      </c>
      <c r="J138" s="341">
        <f t="shared" si="42"/>
        <v>0</v>
      </c>
    </row>
    <row r="139" spans="1:10" s="18" customFormat="1" hidden="1">
      <c r="A139" s="41" t="str">
        <f>IF(B139&gt;0,VLOOKUP(B139,КВСР!A73:B1238,2),IF(C139&gt;0,VLOOKUP(C139,КФСР!A73:B1585,2),IF(D139&gt;0,VLOOKUP(D139,Программа!A$1:B$5063,2),IF(F139&gt;0,VLOOKUP(F139,КВР!A$1:B$5001,2),IF(E139&gt;0,VLOOKUP(E139,Направление!A$1:B$4755,2))))))</f>
        <v>Иные бюджетные ассигнования</v>
      </c>
      <c r="B139" s="83"/>
      <c r="C139" s="76"/>
      <c r="D139" s="391"/>
      <c r="E139" s="83"/>
      <c r="F139" s="77">
        <v>800</v>
      </c>
      <c r="G139" s="341">
        <v>569000</v>
      </c>
      <c r="H139" s="496">
        <v>-569000</v>
      </c>
      <c r="I139" s="42">
        <f t="shared" si="37"/>
        <v>0</v>
      </c>
      <c r="J139" s="496"/>
    </row>
    <row r="140" spans="1:10" s="18" customFormat="1" ht="116.25" customHeight="1">
      <c r="A140" s="41" t="str">
        <f>IF(B140&gt;0,VLOOKUP(B140,КВСР!A74:B1239,2),IF(C140&gt;0,VLOOKUP(C140,КФСР!A74:B1586,2),IF(D140&gt;0,VLOOKUP(D140,Программа!A$1:B$5063,2),IF(F140&gt;0,VLOOKUP(F140,КВР!A$1:B$5001,2),IF(E140&gt;0,VLOOKUP(E140,Направление!A$1:B$4755,2))))))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 за счет средств федерального бюджета</v>
      </c>
      <c r="B140" s="83"/>
      <c r="C140" s="76"/>
      <c r="D140" s="391"/>
      <c r="E140" s="83">
        <v>50640</v>
      </c>
      <c r="F140" s="77"/>
      <c r="G140" s="341"/>
      <c r="H140" s="341">
        <f>H141</f>
        <v>2272400</v>
      </c>
      <c r="I140" s="341">
        <f>I141</f>
        <v>2272400</v>
      </c>
      <c r="J140" s="341">
        <f>J141</f>
        <v>2272400</v>
      </c>
    </row>
    <row r="141" spans="1:10" s="18" customFormat="1" ht="25.5" customHeight="1">
      <c r="A141" s="41" t="str">
        <f>IF(B141&gt;0,VLOOKUP(B141,КВСР!A75:B1240,2),IF(C141&gt;0,VLOOKUP(C141,КФСР!A75:B1587,2),IF(D141&gt;0,VLOOKUP(D141,Программа!A$1:B$5063,2),IF(F141&gt;0,VLOOKUP(F141,КВР!A$1:B$5001,2),IF(E141&gt;0,VLOOKUP(E141,Направление!A$1:B$4755,2))))))</f>
        <v>Иные бюджетные ассигнования</v>
      </c>
      <c r="B141" s="83"/>
      <c r="C141" s="76"/>
      <c r="D141" s="391"/>
      <c r="E141" s="83"/>
      <c r="F141" s="77">
        <v>800</v>
      </c>
      <c r="G141" s="341"/>
      <c r="H141" s="496">
        <v>2272400</v>
      </c>
      <c r="I141" s="42">
        <f>SUM(G141:H141)</f>
        <v>2272400</v>
      </c>
      <c r="J141" s="496">
        <v>2272400</v>
      </c>
    </row>
    <row r="142" spans="1:10" s="18" customFormat="1" ht="78.75">
      <c r="A142" s="41" t="str">
        <f>IF(B142&gt;0,VLOOKUP(B142,КВСР!A72:B1237,2),IF(C142&gt;0,VLOOKUP(C142,КФСР!A72:B1584,2),IF(D142&gt;0,VLOOKUP(D142,Программа!A$1:B$5063,2),IF(F142&gt;0,VLOOKUP(F142,КВР!A$1:B$5001,2),IF(E142&gt;0,VLOOKUP(E142,Направление!A$1:B$4755,2))))))</f>
        <v>Субсидия на реализацию муниципальных программ развития малого и среднего предпринимательства  за счет средств областного бюджета</v>
      </c>
      <c r="B142" s="83"/>
      <c r="C142" s="76"/>
      <c r="D142" s="391"/>
      <c r="E142" s="83">
        <v>72150</v>
      </c>
      <c r="F142" s="77"/>
      <c r="G142" s="341">
        <v>149000</v>
      </c>
      <c r="H142" s="341">
        <f>H143</f>
        <v>0</v>
      </c>
      <c r="I142" s="42">
        <f t="shared" si="37"/>
        <v>149000</v>
      </c>
      <c r="J142" s="341">
        <f>J143</f>
        <v>149000</v>
      </c>
    </row>
    <row r="143" spans="1:10" s="18" customFormat="1">
      <c r="A143" s="41" t="str">
        <f>IF(B143&gt;0,VLOOKUP(B143,КВСР!A73:B1238,2),IF(C143&gt;0,VLOOKUP(C143,КФСР!A73:B1585,2),IF(D143&gt;0,VLOOKUP(D143,Программа!A$1:B$5063,2),IF(F143&gt;0,VLOOKUP(F143,КВР!A$1:B$5001,2),IF(E143&gt;0,VLOOKUP(E143,Направление!A$1:B$4755,2))))))</f>
        <v>Иные бюджетные ассигнования</v>
      </c>
      <c r="B143" s="83"/>
      <c r="C143" s="76"/>
      <c r="D143" s="391"/>
      <c r="E143" s="83"/>
      <c r="F143" s="77">
        <v>800</v>
      </c>
      <c r="G143" s="341">
        <v>149000</v>
      </c>
      <c r="H143" s="496"/>
      <c r="I143" s="42">
        <f t="shared" si="37"/>
        <v>149000</v>
      </c>
      <c r="J143" s="496">
        <v>149000</v>
      </c>
    </row>
    <row r="144" spans="1:10" s="18" customFormat="1" ht="46.5" customHeight="1">
      <c r="A144" s="41" t="str">
        <f>IF(B144&gt;0,VLOOKUP(B144,КВСР!A74:B1239,2),IF(C144&gt;0,VLOOKUP(C144,КФСР!A74:B1586,2),IF(D144&gt;0,VLOOKUP(D144,Программа!A$1:B$5063,2),IF(F144&gt;0,VLOOKUP(F144,КВР!A$1:B$5001,2),IF(E144&gt;0,VLOOKUP(E144,Направление!A$1:B$4755,2))))))</f>
        <v>Расходы на содействие развитию малого и среднего предпринимательства</v>
      </c>
      <c r="B144" s="83"/>
      <c r="C144" s="76"/>
      <c r="D144" s="391"/>
      <c r="E144" s="83" t="s">
        <v>3230</v>
      </c>
      <c r="F144" s="77"/>
      <c r="G144" s="341"/>
      <c r="H144" s="341">
        <f>H145</f>
        <v>569000</v>
      </c>
      <c r="I144" s="42">
        <f>SUM(G144:H144)</f>
        <v>569000</v>
      </c>
      <c r="J144" s="341">
        <f>J145</f>
        <v>569000</v>
      </c>
    </row>
    <row r="145" spans="1:10" s="18" customFormat="1" ht="22.5" customHeight="1">
      <c r="A145" s="41" t="str">
        <f>IF(B145&gt;0,VLOOKUP(B145,КВСР!A75:B1240,2),IF(C145&gt;0,VLOOKUP(C145,КФСР!A75:B1587,2),IF(D145&gt;0,VLOOKUP(D145,Программа!A$1:B$5063,2),IF(F145&gt;0,VLOOKUP(F145,КВР!A$1:B$5001,2),IF(E145&gt;0,VLOOKUP(E145,Направление!A$1:B$4755,2))))))</f>
        <v>Иные бюджетные ассигнования</v>
      </c>
      <c r="B145" s="83"/>
      <c r="C145" s="76"/>
      <c r="D145" s="391"/>
      <c r="E145" s="83"/>
      <c r="F145" s="77">
        <v>800</v>
      </c>
      <c r="G145" s="341"/>
      <c r="H145" s="496">
        <v>569000</v>
      </c>
      <c r="I145" s="42">
        <f>SUM(G145:H145)</f>
        <v>569000</v>
      </c>
      <c r="J145" s="496">
        <v>569000</v>
      </c>
    </row>
    <row r="146" spans="1:10" s="18" customFormat="1" ht="50.45" customHeight="1">
      <c r="A146" s="41" t="str">
        <f>IF(B146&gt;0,VLOOKUP(B146,КВСР!A72:B1237,2),IF(C146&gt;0,VLOOKUP(C146,КФСР!A72:B1584,2),IF(D146&gt;0,VLOOKUP(D146,Программа!A$1:B$5063,2),IF(F146&gt;0,VLOOKUP(F146,КВР!A$1:B$5001,2),IF(E146&gt;0,VLOOKUP(E146,Направление!A$1:B$4755,2))))))</f>
        <v>Расходы на содействие развитию малого и среднего предпринимательства</v>
      </c>
      <c r="B146" s="83"/>
      <c r="C146" s="76"/>
      <c r="D146" s="391"/>
      <c r="E146" s="83" t="s">
        <v>3211</v>
      </c>
      <c r="F146" s="77"/>
      <c r="G146" s="341">
        <v>100000</v>
      </c>
      <c r="H146" s="341">
        <f>H147</f>
        <v>0</v>
      </c>
      <c r="I146" s="42">
        <f t="shared" si="37"/>
        <v>100000</v>
      </c>
      <c r="J146" s="341">
        <f>J147</f>
        <v>100000</v>
      </c>
    </row>
    <row r="147" spans="1:10" s="18" customFormat="1">
      <c r="A147" s="41" t="str">
        <f>IF(B147&gt;0,VLOOKUP(B147,КВСР!A73:B1238,2),IF(C147&gt;0,VLOOKUP(C147,КФСР!A73:B1585,2),IF(D147&gt;0,VLOOKUP(D147,Программа!A$1:B$5063,2),IF(F147&gt;0,VLOOKUP(F147,КВР!A$1:B$5001,2),IF(E147&gt;0,VLOOKUP(E147,Направление!A$1:B$4755,2))))))</f>
        <v>Иные бюджетные ассигнования</v>
      </c>
      <c r="B147" s="83"/>
      <c r="C147" s="76"/>
      <c r="D147" s="391"/>
      <c r="E147" s="83"/>
      <c r="F147" s="77">
        <v>800</v>
      </c>
      <c r="G147" s="341">
        <v>100000</v>
      </c>
      <c r="H147" s="496"/>
      <c r="I147" s="42">
        <f t="shared" si="37"/>
        <v>100000</v>
      </c>
      <c r="J147" s="496">
        <v>100000</v>
      </c>
    </row>
    <row r="148" spans="1:10" s="18" customFormat="1" ht="63">
      <c r="A148" s="41" t="str">
        <f>IF(B148&gt;0,VLOOKUP(B148,КВСР!A74:B1239,2),IF(C148&gt;0,VLOOKUP(C148,КФСР!A74:B1586,2),IF(D148&gt;0,VLOOKUP(D148,Программа!A$1:B$5063,2),IF(F148&gt;0,VLOOKUP(F148,КВР!A$1:B$5001,2),IF(E148&gt;0,VLOOKUP(E148,Направление!A$1:B$4755,2))))))</f>
        <v>Муниципальная целевая программа "Развитие потребительского рынка Тутаевского муниципального района "</v>
      </c>
      <c r="B148" s="83"/>
      <c r="C148" s="76"/>
      <c r="D148" s="391" t="s">
        <v>2770</v>
      </c>
      <c r="E148" s="83"/>
      <c r="F148" s="77"/>
      <c r="G148" s="42">
        <v>172421</v>
      </c>
      <c r="H148" s="42">
        <f t="shared" ref="H148:J148" si="43">H149</f>
        <v>0</v>
      </c>
      <c r="I148" s="42">
        <f t="shared" si="37"/>
        <v>172421</v>
      </c>
      <c r="J148" s="42">
        <f t="shared" si="43"/>
        <v>152249</v>
      </c>
    </row>
    <row r="149" spans="1:10" s="18" customFormat="1" ht="63">
      <c r="A149" s="41" t="str">
        <f>IF(B149&gt;0,VLOOKUP(B149,КВСР!A75:B1240,2),IF(C149&gt;0,VLOOKUP(C149,КФСР!A75:B1587,2),IF(D149&gt;0,VLOOKUP(D149,Программа!A$1:B$5063,2),IF(F149&gt;0,VLOOKUP(F149,КВР!A$1:B$5001,2),IF(E149&gt;0,VLOOKUP(E149,Направление!A$1:B$4755,2))))))</f>
        <v>Обеспечение доступности товаров для сельского населения путем оказания государственной поддержки</v>
      </c>
      <c r="B149" s="83"/>
      <c r="C149" s="76"/>
      <c r="D149" s="391" t="s">
        <v>2771</v>
      </c>
      <c r="E149" s="83"/>
      <c r="F149" s="77"/>
      <c r="G149" s="42">
        <v>172421</v>
      </c>
      <c r="H149" s="42">
        <f>H156+H150+H152+H154</f>
        <v>0</v>
      </c>
      <c r="I149" s="42">
        <f t="shared" si="37"/>
        <v>172421</v>
      </c>
      <c r="J149" s="42">
        <f>J156+J150+J152+J154</f>
        <v>152249</v>
      </c>
    </row>
    <row r="150" spans="1:10" s="18" customFormat="1" ht="63" hidden="1">
      <c r="A150" s="41" t="str">
        <f>IF(B150&gt;0,VLOOKUP(B150,КВСР!A76:B1241,2),IF(C150&gt;0,VLOOKUP(C150,КФСР!A76:B1588,2),IF(D150&gt;0,VLOOKUP(D150,Программа!A$1:B$5063,2),IF(F150&gt;0,VLOOKUP(F150,КВР!A$1:B$5001,2),IF(E150&gt;0,VLOOKUP(E150,Направление!A$1:B$4755,2))))))</f>
        <v>Мероприятия направленные на возмещение части затрат за доставку товаров в отдаленные сельские населенные  пункты</v>
      </c>
      <c r="B150" s="83"/>
      <c r="C150" s="76"/>
      <c r="D150" s="391"/>
      <c r="E150" s="83">
        <v>10710</v>
      </c>
      <c r="F150" s="77"/>
      <c r="G150" s="42">
        <v>0</v>
      </c>
      <c r="H150" s="42">
        <f>H151</f>
        <v>0</v>
      </c>
      <c r="I150" s="42">
        <f t="shared" si="37"/>
        <v>0</v>
      </c>
      <c r="J150" s="42">
        <f>J151</f>
        <v>0</v>
      </c>
    </row>
    <row r="151" spans="1:10" s="18" customFormat="1" hidden="1">
      <c r="A151" s="41" t="str">
        <f>IF(B151&gt;0,VLOOKUP(B151,КВСР!A77:B1242,2),IF(C151&gt;0,VLOOKUP(C151,КФСР!A77:B1589,2),IF(D151&gt;0,VLOOKUP(D151,Программа!A$1:B$5063,2),IF(F151&gt;0,VLOOKUP(F151,КВР!A$1:B$5001,2),IF(E151&gt;0,VLOOKUP(E151,Направление!A$1:B$4755,2))))))</f>
        <v>Иные бюджетные ассигнования</v>
      </c>
      <c r="B151" s="83"/>
      <c r="C151" s="76"/>
      <c r="D151" s="391"/>
      <c r="E151" s="83"/>
      <c r="F151" s="77">
        <v>800</v>
      </c>
      <c r="G151" s="42">
        <v>0</v>
      </c>
      <c r="H151" s="504"/>
      <c r="I151" s="42">
        <f t="shared" si="37"/>
        <v>0</v>
      </c>
      <c r="J151" s="504"/>
    </row>
    <row r="152" spans="1:10" s="18" customFormat="1" ht="47.25">
      <c r="A152" s="41" t="str">
        <f>IF(B152&gt;0,VLOOKUP(B152,КВСР!A78:B1243,2),IF(C152&gt;0,VLOOKUP(C152,КФСР!A78:B1590,2),IF(D152&gt;0,VLOOKUP(D152,Программа!A$1:B$5063,2),IF(F152&gt;0,VLOOKUP(F152,КВР!A$1:B$5001,2),IF(E152&gt;0,VLOOKUP(E152,Направление!A$1:B$4755,2))))))</f>
        <v xml:space="preserve">Обеспечение мероприятий по организации населению услуг торговли </v>
      </c>
      <c r="B152" s="83"/>
      <c r="C152" s="76"/>
      <c r="D152" s="391"/>
      <c r="E152" s="83">
        <v>29526</v>
      </c>
      <c r="F152" s="77"/>
      <c r="G152" s="42">
        <v>47376</v>
      </c>
      <c r="H152" s="341">
        <f>H153</f>
        <v>0</v>
      </c>
      <c r="I152" s="42">
        <f t="shared" si="37"/>
        <v>47376</v>
      </c>
      <c r="J152" s="341">
        <f>J153</f>
        <v>47376</v>
      </c>
    </row>
    <row r="153" spans="1:10" s="18" customFormat="1">
      <c r="A153" s="41" t="str">
        <f>IF(B153&gt;0,VLOOKUP(B153,КВСР!A79:B1244,2),IF(C153&gt;0,VLOOKUP(C153,КФСР!A79:B1591,2),IF(D153&gt;0,VLOOKUP(D153,Программа!A$1:B$5063,2),IF(F153&gt;0,VLOOKUP(F153,КВР!A$1:B$5001,2),IF(E153&gt;0,VLOOKUP(E153,Направление!A$1:B$4755,2))))))</f>
        <v>Иные бюджетные ассигнования</v>
      </c>
      <c r="B153" s="83"/>
      <c r="C153" s="76"/>
      <c r="D153" s="391"/>
      <c r="E153" s="83"/>
      <c r="F153" s="77">
        <v>800</v>
      </c>
      <c r="G153" s="42">
        <v>47376</v>
      </c>
      <c r="H153" s="504"/>
      <c r="I153" s="42">
        <f t="shared" si="37"/>
        <v>47376</v>
      </c>
      <c r="J153" s="504">
        <v>47376</v>
      </c>
    </row>
    <row r="154" spans="1:10" s="18" customFormat="1" ht="111.75" customHeight="1">
      <c r="A154" s="41" t="str">
        <f>IF(B154&gt;0,VLOOKUP(B154,КВСР!A80:B1245,2),IF(C154&gt;0,VLOOKUP(C154,КФСР!A80:B1592,2),IF(D154&gt;0,VLOOKUP(D154,Программа!A$1:B$5063,2),IF(F154&gt;0,VLOOKUP(F154,КВР!A$1:B$5001,2),IF(E154&gt;0,VLOOKUP(E154,Направление!A$1:B$4755,2))))))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54" s="83"/>
      <c r="C154" s="76"/>
      <c r="D154" s="391"/>
      <c r="E154" s="83">
        <v>72880</v>
      </c>
      <c r="F154" s="77"/>
      <c r="G154" s="42">
        <v>41322</v>
      </c>
      <c r="H154" s="341">
        <f>H155</f>
        <v>0</v>
      </c>
      <c r="I154" s="341">
        <f>I155</f>
        <v>41322</v>
      </c>
      <c r="J154" s="341">
        <f>J155</f>
        <v>21150</v>
      </c>
    </row>
    <row r="155" spans="1:10" s="18" customFormat="1" ht="33" customHeight="1">
      <c r="A155" s="41" t="str">
        <f>IF(B155&gt;0,VLOOKUP(B155,КВСР!A81:B1246,2),IF(C155&gt;0,VLOOKUP(C155,КФСР!A81:B1593,2),IF(D155&gt;0,VLOOKUP(D155,Программа!A$1:B$5063,2),IF(F155&gt;0,VLOOKUP(F155,КВР!A$1:B$5001,2),IF(E155&gt;0,VLOOKUP(E155,Направление!A$1:B$4755,2))))))</f>
        <v>Иные бюджетные ассигнования</v>
      </c>
      <c r="B155" s="83"/>
      <c r="C155" s="76"/>
      <c r="D155" s="391"/>
      <c r="E155" s="83"/>
      <c r="F155" s="77">
        <v>800</v>
      </c>
      <c r="G155" s="42">
        <v>41322</v>
      </c>
      <c r="H155" s="504"/>
      <c r="I155" s="42">
        <f>SUM(G155:H155)</f>
        <v>41322</v>
      </c>
      <c r="J155" s="504">
        <v>21150</v>
      </c>
    </row>
    <row r="156" spans="1:10" s="18" customFormat="1" ht="110.25">
      <c r="A156" s="41" t="str">
        <f>IF(B156&gt;0,VLOOKUP(B156,КВСР!A80:B1245,2),IF(C156&gt;0,VLOOKUP(C156,КФСР!A80:B1592,2),IF(D156&gt;0,VLOOKUP(D156,Программа!A$1:B$5063,2),IF(F156&gt;0,VLOOKUP(F156,КВР!A$1:B$5001,2),IF(E156&gt;0,VLOOKUP(E156,Направление!A$1:B$4755,2))))))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56" s="83"/>
      <c r="C156" s="76"/>
      <c r="D156" s="391"/>
      <c r="E156" s="83" t="s">
        <v>2959</v>
      </c>
      <c r="F156" s="77"/>
      <c r="G156" s="42">
        <v>83723</v>
      </c>
      <c r="H156" s="42">
        <f t="shared" ref="H156:J156" si="44">H157</f>
        <v>0</v>
      </c>
      <c r="I156" s="42">
        <f t="shared" si="37"/>
        <v>83723</v>
      </c>
      <c r="J156" s="42">
        <f t="shared" si="44"/>
        <v>83723</v>
      </c>
    </row>
    <row r="157" spans="1:10" s="18" customFormat="1">
      <c r="A157" s="41" t="str">
        <f>IF(B157&gt;0,VLOOKUP(B157,КВСР!A81:B1246,2),IF(C157&gt;0,VLOOKUP(C157,КФСР!A81:B1593,2),IF(D157&gt;0,VLOOKUP(D157,Программа!A$1:B$5063,2),IF(F157&gt;0,VLOOKUP(F157,КВР!A$1:B$5001,2),IF(E157&gt;0,VLOOKUP(E157,Направление!A$1:B$4755,2))))))</f>
        <v>Иные бюджетные ассигнования</v>
      </c>
      <c r="B157" s="83"/>
      <c r="C157" s="76"/>
      <c r="D157" s="77"/>
      <c r="E157" s="83"/>
      <c r="F157" s="77">
        <v>800</v>
      </c>
      <c r="G157" s="341">
        <v>83723</v>
      </c>
      <c r="H157" s="337"/>
      <c r="I157" s="42">
        <f t="shared" si="37"/>
        <v>83723</v>
      </c>
      <c r="J157" s="337">
        <v>83723</v>
      </c>
    </row>
    <row r="158" spans="1:10" s="18" customFormat="1" hidden="1">
      <c r="A158" s="41" t="str">
        <f>IF(B158&gt;0,VLOOKUP(B158,КВСР!A82:B1247,2),IF(C158&gt;0,VLOOKUP(C158,КФСР!A82:B1594,2),IF(D158&gt;0,VLOOKUP(D158,Программа!A$1:B$5063,2),IF(F158&gt;0,VLOOKUP(F158,КВР!A$1:B$5001,2),IF(E158&gt;0,VLOOKUP(E158,Направление!A$1:B$4755,2))))))</f>
        <v>Непрограммные расходы бюджета</v>
      </c>
      <c r="B158" s="83"/>
      <c r="C158" s="76"/>
      <c r="D158" s="77" t="s">
        <v>2808</v>
      </c>
      <c r="E158" s="83"/>
      <c r="F158" s="77"/>
      <c r="G158" s="341">
        <v>100000</v>
      </c>
      <c r="H158" s="341">
        <f>H161+H160</f>
        <v>0</v>
      </c>
      <c r="I158" s="42">
        <f>SUM(G158:H158)</f>
        <v>100000</v>
      </c>
      <c r="J158" s="341">
        <f>J161+J160</f>
        <v>0</v>
      </c>
    </row>
    <row r="159" spans="1:10" s="18" customFormat="1" ht="33.6" hidden="1" customHeight="1">
      <c r="A159" s="41" t="str">
        <f>IF(B159&gt;0,VLOOKUP(B159,КВСР!A83:B1248,2),IF(C159&gt;0,VLOOKUP(C159,КФСР!A83:B1595,2),IF(D159&gt;0,VLOOKUP(D159,Программа!A$1:B$5063,2),IF(F159&gt;0,VLOOKUP(F159,КВР!A$1:B$5001,2),IF(E159&gt;0,VLOOKUP(E159,Направление!A$1:B$4755,2))))))</f>
        <v>Мероприятия в области градостроительства</v>
      </c>
      <c r="B159" s="83"/>
      <c r="C159" s="76"/>
      <c r="D159" s="77"/>
      <c r="E159" s="83">
        <v>10500</v>
      </c>
      <c r="F159" s="77"/>
      <c r="G159" s="341">
        <v>0</v>
      </c>
      <c r="H159" s="341">
        <f>H160</f>
        <v>0</v>
      </c>
      <c r="I159" s="341">
        <f>I160</f>
        <v>0</v>
      </c>
      <c r="J159" s="341">
        <f>J160</f>
        <v>0</v>
      </c>
    </row>
    <row r="160" spans="1:10" s="18" customFormat="1" ht="22.9" hidden="1" customHeight="1">
      <c r="A160" s="41" t="str">
        <f>IF(B160&gt;0,VLOOKUP(B160,КВСР!A84:B1249,2),IF(C160&gt;0,VLOOKUP(C160,КФСР!A84:B1596,2),IF(D160&gt;0,VLOOKUP(D160,Программа!A$1:B$5063,2),IF(F160&gt;0,VLOOKUP(F160,КВР!A$1:B$5001,2),IF(E160&gt;0,VLOOKUP(E160,Направление!A$1:B$4755,2))))))</f>
        <v>Закупка товаров, работ и услуг для государственных нужд</v>
      </c>
      <c r="B160" s="83"/>
      <c r="C160" s="76"/>
      <c r="D160" s="77"/>
      <c r="E160" s="83"/>
      <c r="F160" s="77">
        <v>200</v>
      </c>
      <c r="G160" s="341">
        <v>0</v>
      </c>
      <c r="H160" s="341">
        <f>200000-200000</f>
        <v>0</v>
      </c>
      <c r="I160" s="42">
        <f>SUM(G160:H160)</f>
        <v>0</v>
      </c>
      <c r="J160" s="341">
        <f>200000-200000</f>
        <v>0</v>
      </c>
    </row>
    <row r="161" spans="1:10" s="18" customFormat="1" ht="47.25" hidden="1">
      <c r="A161" s="41" t="str">
        <f>IF(B161&gt;0,VLOOKUP(B161,КВСР!A85:B1250,2),IF(C161&gt;0,VLOOKUP(C161,КФСР!A85:B1597,2),IF(D161&gt;0,VLOOKUP(D161,Программа!A$1:B$5063,2),IF(F161&gt;0,VLOOKUP(F161,КВР!A$1:B$5001,2),IF(E161&gt;0,VLOOKUP(E161,Направление!A$1:B$4755,2))))))</f>
        <v>Обеспечение мероприятий по внесению изменений в документы территориального планирования</v>
      </c>
      <c r="B161" s="83"/>
      <c r="C161" s="76"/>
      <c r="D161" s="77"/>
      <c r="E161" s="83">
        <v>29286</v>
      </c>
      <c r="F161" s="77"/>
      <c r="G161" s="341">
        <v>100000</v>
      </c>
      <c r="H161" s="341">
        <f>H162</f>
        <v>0</v>
      </c>
      <c r="I161" s="42">
        <f t="shared" si="37"/>
        <v>100000</v>
      </c>
      <c r="J161" s="341">
        <f>J162</f>
        <v>0</v>
      </c>
    </row>
    <row r="162" spans="1:10" s="18" customFormat="1" ht="31.5" hidden="1">
      <c r="A162" s="41" t="str">
        <f>IF(B162&gt;0,VLOOKUP(B162,КВСР!A86:B1251,2),IF(C162&gt;0,VLOOKUP(C162,КФСР!A86:B1598,2),IF(D162&gt;0,VLOOKUP(D162,Программа!A$1:B$5063,2),IF(F162&gt;0,VLOOKUP(F162,КВР!A$1:B$5001,2),IF(E162&gt;0,VLOOKUP(E162,Направление!A$1:B$4755,2))))))</f>
        <v>Закупка товаров, работ и услуг для государственных нужд</v>
      </c>
      <c r="B162" s="83"/>
      <c r="C162" s="76"/>
      <c r="D162" s="77"/>
      <c r="E162" s="83"/>
      <c r="F162" s="77">
        <v>200</v>
      </c>
      <c r="G162" s="341">
        <v>100000</v>
      </c>
      <c r="H162" s="337"/>
      <c r="I162" s="42">
        <f t="shared" si="37"/>
        <v>100000</v>
      </c>
      <c r="J162" s="337">
        <v>0</v>
      </c>
    </row>
    <row r="163" spans="1:10" s="18" customFormat="1">
      <c r="A163" s="41" t="str">
        <f>IF(B163&gt;0,VLOOKUP(B163,КВСР!A87:B1252,2),IF(C163&gt;0,VLOOKUP(C163,КФСР!A87:B1599,2),IF(D163&gt;0,VLOOKUP(D163,Программа!A$1:B$5063,2),IF(F163&gt;0,VLOOKUP(F163,КВР!A$1:B$5001,2),IF(E163&gt;0,VLOOKUP(E163,Направление!A$1:B$4755,2))))))</f>
        <v>Жилищное хозяйство</v>
      </c>
      <c r="B163" s="83"/>
      <c r="C163" s="76">
        <v>501</v>
      </c>
      <c r="D163" s="77"/>
      <c r="E163" s="83"/>
      <c r="F163" s="77"/>
      <c r="G163" s="341">
        <v>89594338.370000005</v>
      </c>
      <c r="H163" s="341">
        <f>H164+H186+H183</f>
        <v>13197631.66</v>
      </c>
      <c r="I163" s="341">
        <f>I164+I186+I183</f>
        <v>102791970.03</v>
      </c>
      <c r="J163" s="341">
        <f>J164+J186+J183</f>
        <v>74964491</v>
      </c>
    </row>
    <row r="164" spans="1:10" s="18" customFormat="1" ht="78.75">
      <c r="A164" s="41" t="str">
        <f>IF(B164&gt;0,VLOOKUP(B164,КВСР!A88:B1253,2),IF(C164&gt;0,VLOOKUP(C164,КФСР!A88:B1600,2),IF(D164&gt;0,VLOOKUP(D164,Программа!A$1:B$5063,2),IF(F164&gt;0,VLOOKUP(F164,КВР!A$1:B$5001,2),IF(E164&gt;0,VLOOKUP(E164,Направление!A$1:B$4755,2))))))</f>
        <v>Муниципальная программа "Стимулирование развития жилищного строительства в Тутаевском муниципальном  районе Ярославской области"</v>
      </c>
      <c r="B164" s="83"/>
      <c r="C164" s="76"/>
      <c r="D164" s="391" t="s">
        <v>2736</v>
      </c>
      <c r="E164" s="83"/>
      <c r="F164" s="77"/>
      <c r="G164" s="341">
        <v>31633678.600000001</v>
      </c>
      <c r="H164" s="341">
        <f>H165+H175</f>
        <v>1725427.71</v>
      </c>
      <c r="I164" s="42">
        <f>SUM(G164:H164)</f>
        <v>33359106.310000002</v>
      </c>
      <c r="J164" s="341">
        <f>J165+J175</f>
        <v>27749932</v>
      </c>
    </row>
    <row r="165" spans="1:10" s="18" customFormat="1" ht="63">
      <c r="A165" s="41" t="str">
        <f>IF(B165&gt;0,VLOOKUP(B165,КВСР!A89:B1254,2),IF(C165&gt;0,VLOOKUP(C165,КФСР!A89:B1601,2),IF(D165&gt;0,VLOOKUP(D165,Программа!A$1:B$5063,2),IF(F165&gt;0,VLOOKUP(F165,КВР!A$1:B$5001,2),IF(E165&gt;0,VLOOKUP(E165,Направление!A$1:B$4755,2))))))</f>
        <v>Муниципальная целевая программа "Переселение граждан из аварийного жилищного фонда в Тутаевском муниципальном районе"</v>
      </c>
      <c r="B165" s="83"/>
      <c r="C165" s="76"/>
      <c r="D165" s="391" t="s">
        <v>2739</v>
      </c>
      <c r="E165" s="83"/>
      <c r="F165" s="77"/>
      <c r="G165" s="341">
        <v>20349602.599999998</v>
      </c>
      <c r="H165" s="341">
        <f>H166</f>
        <v>598806.71</v>
      </c>
      <c r="I165" s="42">
        <f>SUM(G165:H165)</f>
        <v>20948409.309999999</v>
      </c>
      <c r="J165" s="341">
        <f>J166</f>
        <v>15434435</v>
      </c>
    </row>
    <row r="166" spans="1:10" s="18" customFormat="1" ht="78.75">
      <c r="A166" s="41" t="str">
        <f>IF(B166&gt;0,VLOOKUP(B166,КВСР!A90:B1255,2),IF(C166&gt;0,VLOOKUP(C166,КФСР!A90:B1602,2),IF(D166&gt;0,VLOOKUP(D166,Программа!A$1:B$5063,2),IF(F166&gt;0,VLOOKUP(F166,КВР!A$1:B$5001,2),IF(E166&gt;0,VLOOKUP(E166,Направление!A$1:B$4755,2))))))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B166" s="83"/>
      <c r="C166" s="76"/>
      <c r="D166" s="391" t="s">
        <v>2740</v>
      </c>
      <c r="E166" s="83"/>
      <c r="F166" s="77"/>
      <c r="G166" s="341">
        <v>20349602.599999998</v>
      </c>
      <c r="H166" s="341">
        <f>H167+H169+H171+H173</f>
        <v>598806.71</v>
      </c>
      <c r="I166" s="42">
        <f>SUM(G166:H166)</f>
        <v>20948409.309999999</v>
      </c>
      <c r="J166" s="341">
        <f>J167+J169+J171+J173</f>
        <v>15434435</v>
      </c>
    </row>
    <row r="167" spans="1:10" s="18" customFormat="1" ht="173.25">
      <c r="A167" s="41" t="str">
        <f>IF(B167&gt;0,VLOOKUP(B167,КВСР!A91:B1256,2),IF(C167&gt;0,VLOOKUP(C167,КФСР!A91:B1603,2),IF(D167&gt;0,VLOOKUP(D167,Программа!A$1:B$5063,2),IF(F167&gt;0,VLOOKUP(F167,КВР!A$1:B$5001,2),IF(E167&gt;0,VLOOKUP(E167,Направление!A$1:B$4755,2))))))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v>
      </c>
      <c r="B167" s="83"/>
      <c r="C167" s="76"/>
      <c r="D167" s="391"/>
      <c r="E167" s="641">
        <v>9502</v>
      </c>
      <c r="F167" s="77"/>
      <c r="G167" s="341">
        <v>9874287.1199999992</v>
      </c>
      <c r="H167" s="341">
        <f>H168</f>
        <v>3102445</v>
      </c>
      <c r="I167" s="42">
        <f>I168</f>
        <v>12976732.119999999</v>
      </c>
      <c r="J167" s="341">
        <f>J168</f>
        <v>9874287</v>
      </c>
    </row>
    <row r="168" spans="1:10" s="18" customFormat="1">
      <c r="A168" s="41" t="str">
        <f>IF(B168&gt;0,VLOOKUP(B168,КВСР!A92:B1257,2),IF(C168&gt;0,VLOOKUP(C168,КФСР!A92:B1604,2),IF(D168&gt;0,VLOOKUP(D168,Программа!A$1:B$5063,2),IF(F168&gt;0,VLOOKUP(F168,КВР!A$1:B$5001,2),IF(E168&gt;0,VLOOKUP(E168,Направление!A$1:B$4755,2))))))</f>
        <v>Бюджетные инвестиции</v>
      </c>
      <c r="B168" s="83"/>
      <c r="C168" s="76"/>
      <c r="D168" s="391"/>
      <c r="E168" s="83"/>
      <c r="F168" s="77">
        <v>400</v>
      </c>
      <c r="G168" s="341">
        <v>9874287.1199999992</v>
      </c>
      <c r="H168" s="337">
        <v>3102445</v>
      </c>
      <c r="I168" s="42">
        <f>SUM(G168:H168)</f>
        <v>12976732.119999999</v>
      </c>
      <c r="J168" s="337">
        <v>9874287</v>
      </c>
    </row>
    <row r="169" spans="1:10" s="18" customFormat="1" ht="144.75" customHeight="1">
      <c r="A169" s="41" t="str">
        <f>IF(B169&gt;0,VLOOKUP(B169,КВСР!A93:B1258,2),IF(C169&gt;0,VLOOKUP(C169,КФСР!A93:B1605,2),IF(D169&gt;0,VLOOKUP(D169,Программа!A$1:B$5063,2),IF(F169&gt;0,VLOOKUP(F169,КВР!A$1:B$5001,2),IF(E169&gt;0,VLOOKUP(E169,Направление!A$1:B$4755,2))))))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v>
      </c>
      <c r="B169" s="83"/>
      <c r="C169" s="76"/>
      <c r="D169" s="391"/>
      <c r="E169" s="641">
        <v>9602</v>
      </c>
      <c r="F169" s="77"/>
      <c r="G169" s="341">
        <v>5068606.9799999995</v>
      </c>
      <c r="H169" s="341">
        <f>H170</f>
        <v>-2619667.29</v>
      </c>
      <c r="I169" s="42">
        <f>I170</f>
        <v>2448939.6899999995</v>
      </c>
      <c r="J169" s="341">
        <f>J170</f>
        <v>1999329</v>
      </c>
    </row>
    <row r="170" spans="1:10" s="18" customFormat="1">
      <c r="A170" s="41" t="str">
        <f>IF(B170&gt;0,VLOOKUP(B170,КВСР!A94:B1259,2),IF(C170&gt;0,VLOOKUP(C170,КФСР!A94:B1606,2),IF(D170&gt;0,VLOOKUP(D170,Программа!A$1:B$5063,2),IF(F170&gt;0,VLOOKUP(F170,КВР!A$1:B$5001,2),IF(E170&gt;0,VLOOKUP(E170,Направление!A$1:B$4755,2))))))</f>
        <v>Бюджетные инвестиции</v>
      </c>
      <c r="B170" s="83"/>
      <c r="C170" s="76"/>
      <c r="D170" s="391"/>
      <c r="E170" s="83"/>
      <c r="F170" s="77">
        <v>400</v>
      </c>
      <c r="G170" s="341">
        <v>5068606.9799999995</v>
      </c>
      <c r="H170" s="337">
        <v>-2619667.29</v>
      </c>
      <c r="I170" s="42">
        <f>SUM(G170:H170)</f>
        <v>2448939.6899999995</v>
      </c>
      <c r="J170" s="337">
        <v>1999329</v>
      </c>
    </row>
    <row r="171" spans="1:10" s="18" customFormat="1" ht="70.5" customHeight="1">
      <c r="A171" s="41" t="str">
        <f>IF(B171&gt;0,VLOOKUP(B171,КВСР!A95:B1260,2),IF(C171&gt;0,VLOOKUP(C171,КФСР!A95:B1607,2),IF(D171&gt;0,VLOOKUP(D171,Программа!A$1:B$5063,2),IF(F171&gt;0,VLOOKUP(F171,КВР!A$1:B$5001,2),IF(E171&gt;0,VLOOKUP(E171,Направление!A$1:B$4755,2))))))</f>
        <v>Обеспечение мероприятий по переселению граждан из аварийного жилищного фонда за счет средств бюджета поселения (доп.пл)</v>
      </c>
      <c r="B171" s="83"/>
      <c r="C171" s="76"/>
      <c r="D171" s="391"/>
      <c r="E171" s="83">
        <v>29146</v>
      </c>
      <c r="F171" s="77"/>
      <c r="G171" s="341">
        <v>3861935</v>
      </c>
      <c r="H171" s="341">
        <f>H172</f>
        <v>116029</v>
      </c>
      <c r="I171" s="42">
        <f>I172</f>
        <v>3977964</v>
      </c>
      <c r="J171" s="341">
        <f>J172</f>
        <v>2708163</v>
      </c>
    </row>
    <row r="172" spans="1:10" s="18" customFormat="1">
      <c r="A172" s="41" t="str">
        <f>IF(B172&gt;0,VLOOKUP(B172,КВСР!A96:B1261,2),IF(C172&gt;0,VLOOKUP(C172,КФСР!A96:B1608,2),IF(D172&gt;0,VLOOKUP(D172,Программа!A$1:B$5063,2),IF(F172&gt;0,VLOOKUP(F172,КВР!A$1:B$5001,2),IF(E172&gt;0,VLOOKUP(E172,Направление!A$1:B$4755,2))))))</f>
        <v>Бюджетные инвестиции</v>
      </c>
      <c r="B172" s="83"/>
      <c r="C172" s="76"/>
      <c r="D172" s="391"/>
      <c r="E172" s="83"/>
      <c r="F172" s="77">
        <v>400</v>
      </c>
      <c r="G172" s="341">
        <v>3861935</v>
      </c>
      <c r="H172" s="337">
        <v>116029</v>
      </c>
      <c r="I172" s="42">
        <f>SUM(G172:H172)</f>
        <v>3977964</v>
      </c>
      <c r="J172" s="337">
        <v>2708163</v>
      </c>
    </row>
    <row r="173" spans="1:10" s="18" customFormat="1" ht="141.75">
      <c r="A173" s="41" t="str">
        <f>IF(B173&gt;0,VLOOKUP(B173,КВСР!A97:B1262,2),IF(C173&gt;0,VLOOKUP(C173,КФСР!A97:B1609,2),IF(D173&gt;0,VLOOKUP(D173,Программа!A$1:B$5063,2),IF(F173&gt;0,VLOOKUP(F173,КВР!A$1:B$5001,2),IF(E173&gt;0,VLOOKUP(E173,Направление!A$1:B$4755,2))))))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v>
      </c>
      <c r="B173" s="83"/>
      <c r="C173" s="76"/>
      <c r="D173" s="391"/>
      <c r="E173" s="83" t="s">
        <v>3012</v>
      </c>
      <c r="F173" s="77"/>
      <c r="G173" s="341">
        <v>1544773.5</v>
      </c>
      <c r="H173" s="341">
        <f>H174</f>
        <v>0</v>
      </c>
      <c r="I173" s="42">
        <f>I174</f>
        <v>1544773.5</v>
      </c>
      <c r="J173" s="341">
        <f>J174</f>
        <v>852656</v>
      </c>
    </row>
    <row r="174" spans="1:10" s="18" customFormat="1">
      <c r="A174" s="41" t="str">
        <f>IF(B174&gt;0,VLOOKUP(B174,КВСР!A98:B1263,2),IF(C174&gt;0,VLOOKUP(C174,КФСР!A98:B1610,2),IF(D174&gt;0,VLOOKUP(D174,Программа!A$1:B$5063,2),IF(F174&gt;0,VLOOKUP(F174,КВР!A$1:B$5001,2),IF(E174&gt;0,VLOOKUP(E174,Направление!A$1:B$4755,2))))))</f>
        <v>Бюджетные инвестиции</v>
      </c>
      <c r="B174" s="83"/>
      <c r="C174" s="76"/>
      <c r="D174" s="391"/>
      <c r="E174" s="83"/>
      <c r="F174" s="77">
        <v>400</v>
      </c>
      <c r="G174" s="341">
        <v>1544773.5</v>
      </c>
      <c r="H174" s="337"/>
      <c r="I174" s="42">
        <f>SUM(G174:H174)</f>
        <v>1544773.5</v>
      </c>
      <c r="J174" s="337">
        <v>852656</v>
      </c>
    </row>
    <row r="175" spans="1:10" s="18" customFormat="1" ht="126">
      <c r="A175" s="41" t="str">
        <f>IF(B175&gt;0,VLOOKUP(B175,КВСР!A99:B1264,2),IF(C175&gt;0,VLOOKUP(C175,КФСР!A99:B1611,2),IF(D175&gt;0,VLOOKUP(D175,Программа!A$1:B$5063,2),IF(F175&gt;0,VLOOKUP(F175,КВР!A$1:B$5001,2),IF(E175&gt;0,VLOOKUP(E175,Направление!A$1:B$4755,2))))))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B175" s="83"/>
      <c r="C175" s="76"/>
      <c r="D175" s="391" t="s">
        <v>2741</v>
      </c>
      <c r="E175" s="83"/>
      <c r="F175" s="77"/>
      <c r="G175" s="341">
        <v>11284076</v>
      </c>
      <c r="H175" s="341">
        <f>H176</f>
        <v>1126621</v>
      </c>
      <c r="I175" s="42">
        <f>SUM(G175:H175)</f>
        <v>12410697</v>
      </c>
      <c r="J175" s="341">
        <f>J176</f>
        <v>12315497</v>
      </c>
    </row>
    <row r="176" spans="1:10" s="18" customFormat="1" ht="78.75">
      <c r="A176" s="41" t="str">
        <f>IF(B176&gt;0,VLOOKUP(B176,КВСР!A100:B1265,2),IF(C176&gt;0,VLOOKUP(C176,КФСР!A100:B1612,2),IF(D176&gt;0,VLOOKUP(D176,Программа!A$1:B$5063,2),IF(F176&gt;0,VLOOKUP(F176,КВР!A$1:B$5001,2),IF(E176&gt;0,VLOOKUP(E176,Направление!A$1:B$4755,2))))))</f>
        <v>Финансовое и организационное обеспечение переселения граждан из непригодного для проживания жилищного фонда с высоким уровнем износа</v>
      </c>
      <c r="B176" s="83"/>
      <c r="C176" s="76"/>
      <c r="D176" s="391" t="s">
        <v>2742</v>
      </c>
      <c r="E176" s="83"/>
      <c r="F176" s="77"/>
      <c r="G176" s="341">
        <v>11284076</v>
      </c>
      <c r="H176" s="341">
        <f>H179+H181+H177</f>
        <v>1126621</v>
      </c>
      <c r="I176" s="42">
        <f>SUM(G176:H176)</f>
        <v>12410697</v>
      </c>
      <c r="J176" s="341">
        <f>J179+J181+J177</f>
        <v>12315497</v>
      </c>
    </row>
    <row r="177" spans="1:10" s="18" customFormat="1" ht="99.75" customHeight="1">
      <c r="A177" s="41" t="str">
        <f>IF(B177&gt;0,VLOOKUP(B177,КВСР!A101:B1266,2),IF(C177&gt;0,VLOOKUP(C177,КФСР!A101:B1613,2),IF(D177&gt;0,VLOOKUP(D177,Программа!A$1:B$5063,2),IF(F177&gt;0,VLOOKUP(F177,КВР!A$1:B$5001,2),IF(E177&gt;0,VLOOKUP(E177,Направление!A$1:B$4755,2))))))</f>
        <v>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v>
      </c>
      <c r="B177" s="83"/>
      <c r="C177" s="76"/>
      <c r="D177" s="391"/>
      <c r="E177" s="83">
        <v>29406</v>
      </c>
      <c r="F177" s="77"/>
      <c r="G177" s="341"/>
      <c r="H177" s="341">
        <f>H178</f>
        <v>952000</v>
      </c>
      <c r="I177" s="42">
        <f>SUM(G177:H177)</f>
        <v>952000</v>
      </c>
      <c r="J177" s="341">
        <f>J178</f>
        <v>856800</v>
      </c>
    </row>
    <row r="178" spans="1:10" s="18" customFormat="1" ht="30" customHeight="1">
      <c r="A178" s="41" t="str">
        <f>IF(B178&gt;0,VLOOKUP(B178,КВСР!A102:B1267,2),IF(C178&gt;0,VLOOKUP(C178,КФСР!A102:B1614,2),IF(D178&gt;0,VLOOKUP(D178,Программа!A$1:B$5063,2),IF(F178&gt;0,VLOOKUP(F178,КВР!A$1:B$5001,2),IF(E178&gt;0,VLOOKUP(E178,Направление!A$1:B$4755,2))))))</f>
        <v>Бюджетные инвестиции</v>
      </c>
      <c r="B178" s="83"/>
      <c r="C178" s="76"/>
      <c r="D178" s="391"/>
      <c r="E178" s="83"/>
      <c r="F178" s="77">
        <v>400</v>
      </c>
      <c r="G178" s="341"/>
      <c r="H178" s="337">
        <v>952000</v>
      </c>
      <c r="I178" s="42">
        <f>SUM(G178:H178)</f>
        <v>952000</v>
      </c>
      <c r="J178" s="337">
        <v>856800</v>
      </c>
    </row>
    <row r="179" spans="1:10" s="18" customFormat="1" ht="92.25" customHeight="1">
      <c r="A179" s="41" t="str">
        <f>IF(B179&gt;0,VLOOKUP(B179,КВСР!A101:B1266,2),IF(C179&gt;0,VLOOKUP(C179,КФСР!A101:B1613,2),IF(D179&gt;0,VLOOKUP(D179,Программа!A$1:B$5063,2),IF(F179&gt;0,VLOOKUP(F179,КВР!A$1:B$5001,2),IF(E179&gt;0,VLOOKUP(E179,Направление!A$1:B$4755,2))))))</f>
        <v>Субсидия на переселение граждан из жилищного фонда, признанного непригодным для проживания, и (или) жилищного фонда с высоким уровнем износа, переданные полномочия</v>
      </c>
      <c r="B179" s="83"/>
      <c r="C179" s="76"/>
      <c r="D179" s="391"/>
      <c r="E179" s="83">
        <v>71216</v>
      </c>
      <c r="F179" s="77"/>
      <c r="G179" s="341">
        <v>9707518</v>
      </c>
      <c r="H179" s="341">
        <f>H180</f>
        <v>1280837.71</v>
      </c>
      <c r="I179" s="42">
        <f>I180</f>
        <v>10988355.710000001</v>
      </c>
      <c r="J179" s="341">
        <f>J180</f>
        <v>10988356</v>
      </c>
    </row>
    <row r="180" spans="1:10" s="18" customFormat="1">
      <c r="A180" s="41" t="str">
        <f>IF(B180&gt;0,VLOOKUP(B180,КВСР!A102:B1267,2),IF(C180&gt;0,VLOOKUP(C180,КФСР!A102:B1614,2),IF(D180&gt;0,VLOOKUP(D180,Программа!A$1:B$5063,2),IF(F180&gt;0,VLOOKUP(F180,КВР!A$1:B$5001,2),IF(E180&gt;0,VLOOKUP(E180,Направление!A$1:B$4755,2))))))</f>
        <v>Бюджетные инвестиции</v>
      </c>
      <c r="B180" s="83"/>
      <c r="C180" s="76"/>
      <c r="D180" s="391"/>
      <c r="E180" s="83"/>
      <c r="F180" s="77">
        <v>400</v>
      </c>
      <c r="G180" s="341">
        <v>9707518</v>
      </c>
      <c r="H180" s="337">
        <v>1280837.71</v>
      </c>
      <c r="I180" s="42">
        <f>SUM(G180:H180)</f>
        <v>10988355.710000001</v>
      </c>
      <c r="J180" s="337">
        <v>10988356</v>
      </c>
    </row>
    <row r="181" spans="1:10" s="18" customFormat="1" ht="82.5" customHeight="1">
      <c r="A181" s="41" t="str">
        <f>IF(B181&gt;0,VLOOKUP(B181,КВСР!A103:B1268,2),IF(C181&gt;0,VLOOKUP(C181,КФСР!A103:B1615,2),IF(D181&gt;0,VLOOKUP(D181,Программа!A$1:B$5063,2),IF(F181&gt;0,VLOOKUP(F181,КВР!A$1:B$5001,2),IF(E181&gt;0,VLOOKUP(E181,Направление!A$1:B$4755,2))))))</f>
        <v>Субсидия на переселение граждан из жилищного фонда, признанного непригодным для проживания, и (или) жилищного фонда с высоким уровнем износа из бюджета поселения</v>
      </c>
      <c r="B181" s="83"/>
      <c r="C181" s="76"/>
      <c r="D181" s="391"/>
      <c r="E181" s="83" t="s">
        <v>3106</v>
      </c>
      <c r="F181" s="77"/>
      <c r="G181" s="341">
        <v>1576558</v>
      </c>
      <c r="H181" s="341">
        <f>H182</f>
        <v>-1106216.71</v>
      </c>
      <c r="I181" s="42">
        <f>I182</f>
        <v>470341.29000000004</v>
      </c>
      <c r="J181" s="341">
        <f>J182</f>
        <v>470341</v>
      </c>
    </row>
    <row r="182" spans="1:10" s="18" customFormat="1" ht="21.75" customHeight="1">
      <c r="A182" s="41" t="str">
        <f>IF(B182&gt;0,VLOOKUP(B182,КВСР!A104:B1269,2),IF(C182&gt;0,VLOOKUP(C182,КФСР!A104:B1616,2),IF(D182&gt;0,VLOOKUP(D182,Программа!A$1:B$5063,2),IF(F182&gt;0,VLOOKUP(F182,КВР!A$1:B$5001,2),IF(E182&gt;0,VLOOKUP(E182,Направление!A$1:B$4755,2))))))</f>
        <v>Бюджетные инвестиции</v>
      </c>
      <c r="B182" s="83"/>
      <c r="C182" s="76"/>
      <c r="D182" s="391"/>
      <c r="E182" s="83"/>
      <c r="F182" s="77">
        <v>400</v>
      </c>
      <c r="G182" s="341">
        <v>1576558</v>
      </c>
      <c r="H182" s="337">
        <f>236782.29-1342999</f>
        <v>-1106216.71</v>
      </c>
      <c r="I182" s="42">
        <f>SUM(G182:H182)</f>
        <v>470341.29000000004</v>
      </c>
      <c r="J182" s="337">
        <v>470341</v>
      </c>
    </row>
    <row r="183" spans="1:10" s="18" customFormat="1" ht="27.75" customHeight="1">
      <c r="A183" s="41" t="str">
        <f>IF(B183&gt;0,VLOOKUP(B183,КВСР!A107:B1272,2),IF(C183&gt;0,VLOOKUP(C183,КФСР!A107:B1619,2),IF(D183&gt;0,VLOOKUP(D183,Программа!A$1:B$5063,2),IF(F183&gt;0,VLOOKUP(F183,КВР!A$1:B$5001,2),IF(E183&gt;0,VLOOKUP(E183,Направление!A$1:B$4755,2))))))</f>
        <v>Непрограммные расходы бюджета</v>
      </c>
      <c r="B183" s="83"/>
      <c r="C183" s="76"/>
      <c r="D183" s="391" t="s">
        <v>2808</v>
      </c>
      <c r="E183" s="83"/>
      <c r="F183" s="77"/>
      <c r="G183" s="341">
        <v>99000</v>
      </c>
      <c r="H183" s="341">
        <f>H184</f>
        <v>0</v>
      </c>
      <c r="I183" s="42">
        <f>SUM(G184:H184)</f>
        <v>99000</v>
      </c>
      <c r="J183" s="341">
        <f>J184</f>
        <v>34448</v>
      </c>
    </row>
    <row r="184" spans="1:10" s="18" customFormat="1" ht="66" customHeight="1">
      <c r="A184" s="41" t="str">
        <f>IF(B184&gt;0,VLOOKUP(B184,КВСР!A108:B1273,2),IF(C184&gt;0,VLOOKUP(C184,КФСР!A108:B1620,2),IF(D184&gt;0,VLOOKUP(D184,Программа!A$1:B$5063,2),IF(F184&gt;0,VLOOKUP(F184,КВР!A$1:B$5001,2),IF(E184&gt;0,VLOOKUP(E184,Направление!A$1:B$4755,2))))))</f>
        <v>Обеспечение мероприятий по содержанию,  реконструкции и капитальному ремонту муниципального жилищного фонда</v>
      </c>
      <c r="B184" s="83"/>
      <c r="C184" s="76"/>
      <c r="D184" s="391"/>
      <c r="E184" s="83">
        <v>29376</v>
      </c>
      <c r="F184" s="77"/>
      <c r="G184" s="341">
        <v>99000</v>
      </c>
      <c r="H184" s="341">
        <f>H185</f>
        <v>0</v>
      </c>
      <c r="I184" s="42">
        <f>SUM(G184:H184)</f>
        <v>99000</v>
      </c>
      <c r="J184" s="341">
        <f>J185</f>
        <v>34448</v>
      </c>
    </row>
    <row r="185" spans="1:10" s="18" customFormat="1" ht="36.75" customHeight="1">
      <c r="A185" s="41" t="str">
        <f>IF(B185&gt;0,VLOOKUP(B185,КВСР!A109:B1274,2),IF(C185&gt;0,VLOOKUP(C185,КФСР!A109:B1621,2),IF(D185&gt;0,VLOOKUP(D185,Программа!A$1:B$5063,2),IF(F185&gt;0,VLOOKUP(F185,КВР!A$1:B$5001,2),IF(E185&gt;0,VLOOKUP(E185,Направление!A$1:B$4755,2))))))</f>
        <v>Закупка товаров, работ и услуг для государственных нужд</v>
      </c>
      <c r="B185" s="83"/>
      <c r="C185" s="76"/>
      <c r="D185" s="391"/>
      <c r="E185" s="83"/>
      <c r="F185" s="77">
        <v>200</v>
      </c>
      <c r="G185" s="341">
        <v>99000</v>
      </c>
      <c r="H185" s="337"/>
      <c r="I185" s="42">
        <f>SUM(G185:H185)</f>
        <v>99000</v>
      </c>
      <c r="J185" s="337">
        <v>34448</v>
      </c>
    </row>
    <row r="186" spans="1:10" s="18" customFormat="1" ht="31.5">
      <c r="A186" s="41" t="str">
        <f>IF(B186&gt;0,VLOOKUP(B186,КВСР!A107:B1272,2),IF(C186&gt;0,VLOOKUP(C186,КФСР!A107:B1619,2),IF(D186&gt;0,VLOOKUP(D186,Программа!A$1:B$5063,2),IF(F186&gt;0,VLOOKUP(F186,КВР!A$1:B$5001,2),IF(E186&gt;0,VLOOKUP(E186,Направление!A$1:B$4755,2))))))</f>
        <v>Межбюджетные трансферты  поселениям района</v>
      </c>
      <c r="B186" s="83"/>
      <c r="C186" s="76"/>
      <c r="D186" s="391" t="s">
        <v>2809</v>
      </c>
      <c r="E186" s="83"/>
      <c r="F186" s="77"/>
      <c r="G186" s="341">
        <v>57861659.769999996</v>
      </c>
      <c r="H186" s="337">
        <f>H187+H189+H192</f>
        <v>11472203.950000001</v>
      </c>
      <c r="I186" s="42">
        <f>SUM(G186:H186)</f>
        <v>69333863.719999999</v>
      </c>
      <c r="J186" s="337">
        <f>J187+J189+J192</f>
        <v>47180111</v>
      </c>
    </row>
    <row r="187" spans="1:10" s="18" customFormat="1" ht="173.25">
      <c r="A187" s="41" t="str">
        <f>IF(B187&gt;0,VLOOKUP(B187,КВСР!A108:B1273,2),IF(C187&gt;0,VLOOKUP(C187,КФСР!A108:B1620,2),IF(D187&gt;0,VLOOKUP(D187,Программа!A$1:B$5063,2),IF(F187&gt;0,VLOOKUP(F187,КВР!A$1:B$5001,2),IF(E187&gt;0,VLOOKUP(E187,Направление!A$1:B$4755,2))))))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v>
      </c>
      <c r="B187" s="83"/>
      <c r="C187" s="76"/>
      <c r="D187" s="391"/>
      <c r="E187" s="641">
        <v>9502</v>
      </c>
      <c r="F187" s="391"/>
      <c r="G187" s="341">
        <v>35697176.399999999</v>
      </c>
      <c r="H187" s="341">
        <f>H188</f>
        <v>20214184.600000001</v>
      </c>
      <c r="I187" s="42">
        <f>I188</f>
        <v>55911361</v>
      </c>
      <c r="J187" s="341">
        <f>J188</f>
        <v>34207219</v>
      </c>
    </row>
    <row r="188" spans="1:10" s="18" customFormat="1">
      <c r="A188" s="41" t="str">
        <f>IF(B188&gt;0,VLOOKUP(B188,КВСР!A109:B1274,2),IF(C188&gt;0,VLOOKUP(C188,КФСР!A109:B1621,2),IF(D188&gt;0,VLOOKUP(D188,Программа!A$1:B$5063,2),IF(F188&gt;0,VLOOKUP(F188,КВР!A$1:B$5001,2),IF(E188&gt;0,VLOOKUP(E188,Направление!A$1:B$4755,2))))))</f>
        <v xml:space="preserve"> Межбюджетные трансферты</v>
      </c>
      <c r="B188" s="83"/>
      <c r="C188" s="76"/>
      <c r="D188" s="391"/>
      <c r="E188" s="83"/>
      <c r="F188" s="77">
        <v>500</v>
      </c>
      <c r="G188" s="341">
        <v>35697176.399999999</v>
      </c>
      <c r="H188" s="337">
        <v>20214184.600000001</v>
      </c>
      <c r="I188" s="42">
        <f>SUM(G188:H188)</f>
        <v>55911361</v>
      </c>
      <c r="J188" s="337">
        <v>34207219</v>
      </c>
    </row>
    <row r="189" spans="1:10" s="18" customFormat="1" ht="173.25">
      <c r="A189" s="41" t="str">
        <f>IF(B189&gt;0,VLOOKUP(B189,КВСР!A110:B1275,2),IF(C189&gt;0,VLOOKUP(C189,КФСР!A110:B1622,2),IF(D189&gt;0,VLOOKUP(D189,Программа!A$1:B$5063,2),IF(F189&gt;0,VLOOKUP(F189,КВР!A$1:B$5001,2),IF(E189&gt;0,VLOOKUP(E189,Направление!A$1:B$4755,2))))))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v>
      </c>
      <c r="B189" s="83"/>
      <c r="C189" s="76"/>
      <c r="D189" s="391"/>
      <c r="E189" s="641">
        <v>9602</v>
      </c>
      <c r="F189" s="77"/>
      <c r="G189" s="341">
        <v>13169807.370000001</v>
      </c>
      <c r="H189" s="341">
        <f>H190</f>
        <v>-8741980.6500000004</v>
      </c>
      <c r="I189" s="42">
        <f>I190</f>
        <v>4427826.7200000007</v>
      </c>
      <c r="J189" s="341">
        <f>J190</f>
        <v>3978216</v>
      </c>
    </row>
    <row r="190" spans="1:10" s="18" customFormat="1">
      <c r="A190" s="41" t="str">
        <f>IF(B190&gt;0,VLOOKUP(B190,КВСР!A111:B1276,2),IF(C190&gt;0,VLOOKUP(C190,КФСР!A111:B1623,2),IF(D190&gt;0,VLOOKUP(D190,Программа!A$1:B$5063,2),IF(F190&gt;0,VLOOKUP(F190,КВР!A$1:B$5001,2),IF(E190&gt;0,VLOOKUP(E190,Направление!A$1:B$4755,2))))))</f>
        <v xml:space="preserve"> Межбюджетные трансферты</v>
      </c>
      <c r="B190" s="83"/>
      <c r="C190" s="76"/>
      <c r="D190" s="391"/>
      <c r="E190" s="83"/>
      <c r="F190" s="77">
        <v>500</v>
      </c>
      <c r="G190" s="341">
        <v>13169807.370000001</v>
      </c>
      <c r="H190" s="337">
        <v>-8741980.6500000004</v>
      </c>
      <c r="I190" s="42">
        <f>SUM(G190:H190)</f>
        <v>4427826.7200000007</v>
      </c>
      <c r="J190" s="337">
        <v>3978216</v>
      </c>
    </row>
    <row r="191" spans="1:10" s="18" customFormat="1" ht="78.75">
      <c r="A191" s="41" t="str">
        <f>IF(B191&gt;0,VLOOKUP(B191,КВСР!A112:B1277,2),IF(C191&gt;0,VLOOKUP(C191,КФСР!A112:B1624,2),IF(D191&gt;0,VLOOKUP(D191,Программа!A$1:B$5063,2),IF(F191&gt;0,VLOOKUP(F191,КВР!A$1:B$5001,2),IF(E191&gt;0,VLOOKUP(E191,Направление!A$1:B$4755,2))))))</f>
        <v>Субсидия на переселение граждан из жилищного фонда, признанного непригодным для проживания, и (или) жилищного фонда с высоким уровнем износа</v>
      </c>
      <c r="B191" s="83"/>
      <c r="C191" s="76"/>
      <c r="D191" s="391"/>
      <c r="E191" s="83">
        <v>71210</v>
      </c>
      <c r="F191" s="77"/>
      <c r="G191" s="341">
        <v>8994676</v>
      </c>
      <c r="H191" s="341">
        <f>H192</f>
        <v>0</v>
      </c>
      <c r="I191" s="341">
        <f>I192</f>
        <v>8994676</v>
      </c>
      <c r="J191" s="341">
        <f>J192</f>
        <v>8994676</v>
      </c>
    </row>
    <row r="192" spans="1:10" s="18" customFormat="1" ht="21" customHeight="1">
      <c r="A192" s="41" t="str">
        <f>IF(B192&gt;0,VLOOKUP(B192,КВСР!A113:B1278,2),IF(C192&gt;0,VLOOKUP(C192,КФСР!A113:B1625,2),IF(D192&gt;0,VLOOKUP(D192,Программа!A$1:B$5063,2),IF(F192&gt;0,VLOOKUP(F192,КВР!A$1:B$5001,2),IF(E192&gt;0,VLOOKUP(E192,Направление!A$1:B$4755,2))))))</f>
        <v xml:space="preserve"> Межбюджетные трансферты</v>
      </c>
      <c r="B192" s="83"/>
      <c r="C192" s="76"/>
      <c r="D192" s="391"/>
      <c r="E192" s="83"/>
      <c r="F192" s="77">
        <v>500</v>
      </c>
      <c r="G192" s="341">
        <v>8994676</v>
      </c>
      <c r="H192" s="337"/>
      <c r="I192" s="42">
        <f>SUM(G192:H192)</f>
        <v>8994676</v>
      </c>
      <c r="J192" s="337">
        <v>8994676</v>
      </c>
    </row>
    <row r="193" spans="1:10" s="18" customFormat="1" ht="31.5">
      <c r="A193" s="41" t="str">
        <f>IF(B193&gt;0,VLOOKUP(B193,КВСР!A114:B1279,2),IF(C193&gt;0,VLOOKUP(C193,КФСР!A114:B1626,2),IF(D193&gt;0,VLOOKUP(D193,Программа!A$1:B$5063,2),IF(F193&gt;0,VLOOKUP(F193,КВР!A$1:B$5001,2),IF(E193&gt;0,VLOOKUP(E193,Направление!A$1:B$4755,2))))))</f>
        <v>Другие вопросы в области охраны окружающей среды</v>
      </c>
      <c r="B193" s="83"/>
      <c r="C193" s="76">
        <v>605</v>
      </c>
      <c r="D193" s="77"/>
      <c r="E193" s="83"/>
      <c r="F193" s="77"/>
      <c r="G193" s="341">
        <v>16000</v>
      </c>
      <c r="H193" s="341">
        <f t="shared" ref="H193:J195" si="45">H194</f>
        <v>-6876.83</v>
      </c>
      <c r="I193" s="42">
        <f t="shared" si="37"/>
        <v>9123.17</v>
      </c>
      <c r="J193" s="341">
        <f t="shared" si="45"/>
        <v>9123</v>
      </c>
    </row>
    <row r="194" spans="1:10" s="18" customFormat="1">
      <c r="A194" s="41" t="str">
        <f>IF(B194&gt;0,VLOOKUP(B194,КВСР!A115:B1280,2),IF(C194&gt;0,VLOOKUP(C194,КФСР!A115:B1627,2),IF(D194&gt;0,VLOOKUP(D194,Программа!A$1:B$5063,2),IF(F194&gt;0,VLOOKUP(F194,КВР!A$1:B$5001,2),IF(E194&gt;0,VLOOKUP(E194,Направление!A$1:B$4755,2))))))</f>
        <v>Непрограммные расходы бюджета</v>
      </c>
      <c r="B194" s="83"/>
      <c r="C194" s="76"/>
      <c r="D194" s="77" t="s">
        <v>2808</v>
      </c>
      <c r="E194" s="83"/>
      <c r="F194" s="77"/>
      <c r="G194" s="341">
        <v>16000</v>
      </c>
      <c r="H194" s="341">
        <f t="shared" si="45"/>
        <v>-6876.83</v>
      </c>
      <c r="I194" s="42">
        <f t="shared" si="37"/>
        <v>9123.17</v>
      </c>
      <c r="J194" s="341">
        <f t="shared" si="45"/>
        <v>9123</v>
      </c>
    </row>
    <row r="195" spans="1:10" s="18" customFormat="1" ht="47.25">
      <c r="A195" s="41" t="str">
        <f>IF(B195&gt;0,VLOOKUP(B195,КВСР!A116:B1281,2),IF(C195&gt;0,VLOOKUP(C195,КФСР!A116:B1628,2),IF(D195&gt;0,VLOOKUP(D195,Программа!A$1:B$5063,2),IF(F195&gt;0,VLOOKUP(F195,КВР!A$1:B$5001,2),IF(E195&gt;0,VLOOKUP(E195,Направление!A$1:B$4755,2))))))</f>
        <v>Мероприятия  направленные  по охрану окружающей среды и природопользования</v>
      </c>
      <c r="B195" s="83"/>
      <c r="C195" s="76"/>
      <c r="D195" s="77"/>
      <c r="E195" s="83">
        <v>10600</v>
      </c>
      <c r="F195" s="77"/>
      <c r="G195" s="341">
        <v>16000</v>
      </c>
      <c r="H195" s="341">
        <f t="shared" si="45"/>
        <v>-6876.83</v>
      </c>
      <c r="I195" s="42">
        <f t="shared" si="37"/>
        <v>9123.17</v>
      </c>
      <c r="J195" s="341">
        <f t="shared" si="45"/>
        <v>9123</v>
      </c>
    </row>
    <row r="196" spans="1:10" s="18" customFormat="1" ht="31.5">
      <c r="A196" s="41" t="str">
        <f>IF(B196&gt;0,VLOOKUP(B196,КВСР!A117:B1282,2),IF(C196&gt;0,VLOOKUP(C196,КФСР!A117:B1629,2),IF(D196&gt;0,VLOOKUP(D196,Программа!A$1:B$5063,2),IF(F196&gt;0,VLOOKUP(F196,КВР!A$1:B$5001,2),IF(E196&gt;0,VLOOKUP(E196,Направление!A$1:B$4755,2))))))</f>
        <v>Закупка товаров, работ и услуг для государственных нужд</v>
      </c>
      <c r="B196" s="83"/>
      <c r="C196" s="76"/>
      <c r="D196" s="77"/>
      <c r="E196" s="83"/>
      <c r="F196" s="77">
        <v>200</v>
      </c>
      <c r="G196" s="341">
        <v>16000</v>
      </c>
      <c r="H196" s="337">
        <v>-6876.83</v>
      </c>
      <c r="I196" s="42">
        <f t="shared" si="37"/>
        <v>9123.17</v>
      </c>
      <c r="J196" s="337">
        <v>9123</v>
      </c>
    </row>
    <row r="197" spans="1:10" s="18" customFormat="1">
      <c r="A197" s="41" t="str">
        <f>IF(B197&gt;0,VLOOKUP(B197,КВСР!A118:B1283,2),IF(C197&gt;0,VLOOKUP(C197,КФСР!A118:B1630,2),IF(D197&gt;0,VLOOKUP(D197,Программа!A$1:B$5063,2),IF(F197&gt;0,VLOOKUP(F197,КВР!A$1:B$5001,2),IF(E197&gt;0,VLOOKUP(E197,Направление!A$1:B$4755,2))))))</f>
        <v>Социальное обеспечение населения</v>
      </c>
      <c r="B197" s="83"/>
      <c r="C197" s="76">
        <v>1003</v>
      </c>
      <c r="D197" s="391"/>
      <c r="E197" s="83"/>
      <c r="F197" s="77"/>
      <c r="G197" s="42">
        <v>14067053.530000001</v>
      </c>
      <c r="H197" s="42">
        <f>H219+H198+H222</f>
        <v>64490</v>
      </c>
      <c r="I197" s="42">
        <f>SUM(G197:H197)</f>
        <v>14131543.530000001</v>
      </c>
      <c r="J197" s="42">
        <f>J219+J198+J222</f>
        <v>13364250</v>
      </c>
    </row>
    <row r="198" spans="1:10" s="18" customFormat="1" ht="78.75">
      <c r="A198" s="41" t="str">
        <f>IF(B198&gt;0,VLOOKUP(B198,КВСР!A119:B1284,2),IF(C198&gt;0,VLOOKUP(C198,КФСР!A119:B1631,2),IF(D198&gt;0,VLOOKUP(D198,Программа!A$1:B$5063,2),IF(F198&gt;0,VLOOKUP(F198,КВР!A$1:B$5001,2),IF(E198&gt;0,VLOOKUP(E198,Направление!A$1:B$4755,2))))))</f>
        <v>Муниципальная программа "Стимулирование развития жилищного строительства в Тутаевском муниципальном  районе Ярославской области"</v>
      </c>
      <c r="B198" s="83"/>
      <c r="C198" s="76"/>
      <c r="D198" s="391" t="s">
        <v>2736</v>
      </c>
      <c r="E198" s="83"/>
      <c r="F198" s="77"/>
      <c r="G198" s="42">
        <v>7490072.0800000001</v>
      </c>
      <c r="H198" s="42">
        <f>H199+H209</f>
        <v>64490</v>
      </c>
      <c r="I198" s="42">
        <f t="shared" si="37"/>
        <v>7554562.0800000001</v>
      </c>
      <c r="J198" s="42">
        <f>J199+J209</f>
        <v>7183074</v>
      </c>
    </row>
    <row r="199" spans="1:10" s="18" customFormat="1" ht="98.25" customHeight="1">
      <c r="A199" s="41" t="str">
        <f>IF(B199&gt;0,VLOOKUP(B199,КВСР!A120:B1285,2),IF(C199&gt;0,VLOOKUP(C199,КФСР!A120:B1632,2),IF(D199&gt;0,VLOOKUP(D199,Программа!A$1:B$5063,2),IF(F199&gt;0,VLOOKUP(F199,КВР!A$1:B$5001,2),IF(E199&gt;0,VLOOKUP(E199,Направление!A$1:B$4755,2))))))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199" s="83"/>
      <c r="C199" s="76"/>
      <c r="D199" s="391" t="s">
        <v>2737</v>
      </c>
      <c r="E199" s="83"/>
      <c r="F199" s="77"/>
      <c r="G199" s="42">
        <v>3194615.88</v>
      </c>
      <c r="H199" s="42">
        <f t="shared" ref="H199:J199" si="46">H200</f>
        <v>0</v>
      </c>
      <c r="I199" s="42">
        <f t="shared" si="37"/>
        <v>3194615.88</v>
      </c>
      <c r="J199" s="42">
        <f t="shared" si="46"/>
        <v>2823130</v>
      </c>
    </row>
    <row r="200" spans="1:10" s="18" customFormat="1" ht="129.75" customHeight="1">
      <c r="A200" s="41" t="str">
        <f>IF(B200&gt;0,VLOOKUP(B200,КВСР!A121:B1286,2),IF(C200&gt;0,VLOOKUP(C200,КФСР!A121:B1633,2),IF(D200&gt;0,VLOOKUP(D200,Программа!A$1:B$5063,2),IF(F200&gt;0,VLOOKUP(F200,КВР!A$1:B$5001,2),IF(E200&gt;0,VLOOKUP(E200,Направление!A$1:B$4755,2))))))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200" s="83"/>
      <c r="C200" s="76"/>
      <c r="D200" s="391" t="s">
        <v>2738</v>
      </c>
      <c r="E200" s="83"/>
      <c r="F200" s="77"/>
      <c r="G200" s="42">
        <v>3194615.88</v>
      </c>
      <c r="H200" s="42">
        <f>H203+H205+H207+H201</f>
        <v>0</v>
      </c>
      <c r="I200" s="42">
        <f t="shared" si="37"/>
        <v>3194615.88</v>
      </c>
      <c r="J200" s="42">
        <f>J203+J205+J207+J201</f>
        <v>2823130</v>
      </c>
    </row>
    <row r="201" spans="1:10" s="18" customFormat="1" ht="37.5" customHeight="1">
      <c r="A201" s="41" t="str">
        <f>IF(B201&gt;0,VLOOKUP(B201,КВСР!A122:B1287,2),IF(C201&gt;0,VLOOKUP(C201,КФСР!A122:B1634,2),IF(D201&gt;0,VLOOKUP(D201,Программа!A$1:B$5063,2),IF(F201&gt;0,VLOOKUP(F201,КВР!A$1:B$5001,2),IF(E201&gt;0,VLOOKUP(E201,Направление!A$1:B$4755,2))))))</f>
        <v>Обеспечение мероприятий в сфере ипотечного жилищного кредитования</v>
      </c>
      <c r="B201" s="83"/>
      <c r="C201" s="76"/>
      <c r="D201" s="391"/>
      <c r="E201" s="83" t="s">
        <v>3153</v>
      </c>
      <c r="F201" s="77"/>
      <c r="G201" s="42">
        <v>1065000</v>
      </c>
      <c r="H201" s="42">
        <f>H202</f>
        <v>0</v>
      </c>
      <c r="I201" s="42">
        <f t="shared" si="37"/>
        <v>1065000</v>
      </c>
      <c r="J201" s="42">
        <f>J202</f>
        <v>1004257</v>
      </c>
    </row>
    <row r="202" spans="1:10" s="18" customFormat="1" ht="31.5">
      <c r="A202" s="41" t="str">
        <f>IF(B202&gt;0,VLOOKUP(B202,КВСР!A123:B1288,2),IF(C202&gt;0,VLOOKUP(C202,КФСР!A123:B1635,2),IF(D202&gt;0,VLOOKUP(D202,Программа!A$1:B$5063,2),IF(F202&gt;0,VLOOKUP(F202,КВР!A$1:B$5001,2),IF(E202&gt;0,VLOOKUP(E202,Направление!A$1:B$4755,2))))))</f>
        <v>Социальное обеспечение и иные выплаты населению</v>
      </c>
      <c r="B202" s="83"/>
      <c r="C202" s="76"/>
      <c r="D202" s="391"/>
      <c r="E202" s="83"/>
      <c r="F202" s="77">
        <v>300</v>
      </c>
      <c r="G202" s="42">
        <v>1065000</v>
      </c>
      <c r="H202" s="515"/>
      <c r="I202" s="42">
        <f t="shared" si="37"/>
        <v>1065000</v>
      </c>
      <c r="J202" s="515">
        <v>1004257</v>
      </c>
    </row>
    <row r="203" spans="1:10" s="18" customFormat="1" ht="47.25" hidden="1">
      <c r="A203" s="41" t="str">
        <f>IF(B203&gt;0,VLOOKUP(B203,КВСР!A124:B1289,2),IF(C203&gt;0,VLOOKUP(C203,КФСР!A124:B1636,2),IF(D203&gt;0,VLOOKUP(D203,Программа!A$1:B$5063,2),IF(F203&gt;0,VLOOKUP(F203,КВР!A$1:B$5001,2),IF(E203&gt;0,VLOOKUP(E203,Направление!A$1:B$4755,2))))))</f>
        <v>Обеспечение мероприятий в сфере ипотечного жилищного кредитования</v>
      </c>
      <c r="B203" s="83"/>
      <c r="C203" s="76"/>
      <c r="D203" s="391"/>
      <c r="E203" s="83">
        <v>29156</v>
      </c>
      <c r="F203" s="77"/>
      <c r="G203" s="42">
        <v>0</v>
      </c>
      <c r="H203" s="42">
        <f>H204</f>
        <v>0</v>
      </c>
      <c r="I203" s="42">
        <f t="shared" si="37"/>
        <v>0</v>
      </c>
      <c r="J203" s="42">
        <f>J204</f>
        <v>0</v>
      </c>
    </row>
    <row r="204" spans="1:10" s="18" customFormat="1" ht="31.5" hidden="1">
      <c r="A204" s="41" t="str">
        <f>IF(B204&gt;0,VLOOKUP(B204,КВСР!A125:B1290,2),IF(C204&gt;0,VLOOKUP(C204,КФСР!A125:B1637,2),IF(D204&gt;0,VLOOKUP(D204,Программа!A$1:B$5063,2),IF(F204&gt;0,VLOOKUP(F204,КВР!A$1:B$5001,2),IF(E204&gt;0,VLOOKUP(E204,Направление!A$1:B$4755,2))))))</f>
        <v>Социальное обеспечение и иные выплаты населению</v>
      </c>
      <c r="B204" s="83"/>
      <c r="C204" s="76"/>
      <c r="D204" s="391"/>
      <c r="E204" s="83"/>
      <c r="F204" s="77">
        <v>300</v>
      </c>
      <c r="G204" s="42">
        <v>0</v>
      </c>
      <c r="H204" s="515"/>
      <c r="I204" s="42">
        <f t="shared" si="37"/>
        <v>0</v>
      </c>
      <c r="J204" s="515">
        <v>0</v>
      </c>
    </row>
    <row r="205" spans="1:10" s="18" customFormat="1" ht="96.75" hidden="1" customHeight="1">
      <c r="A205" s="41" t="str">
        <f>IF(B205&gt;0,VLOOKUP(B205,КВСР!A126:B1291,2),IF(C205&gt;0,VLOOKUP(C205,КФСР!A126:B1638,2),IF(D205&gt;0,VLOOKUP(D205,Программа!A$1:B$5063,2),IF(F205&gt;0,VLOOKUP(F205,КВР!A$1:B$5001,2),IF(E205&gt;0,VLOOKUP(E205,Направление!A$1:B$4755,2))))))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05" s="83"/>
      <c r="C205" s="76"/>
      <c r="D205" s="391"/>
      <c r="E205" s="83">
        <v>71230</v>
      </c>
      <c r="F205" s="77"/>
      <c r="G205" s="42">
        <v>0</v>
      </c>
      <c r="H205" s="341">
        <f>H206</f>
        <v>0</v>
      </c>
      <c r="I205" s="42">
        <f>SUM(G205:H205)</f>
        <v>0</v>
      </c>
      <c r="J205" s="341">
        <f>J206</f>
        <v>0</v>
      </c>
    </row>
    <row r="206" spans="1:10" s="18" customFormat="1" ht="38.25" hidden="1" customHeight="1">
      <c r="A206" s="41" t="str">
        <f>IF(B206&gt;0,VLOOKUP(B206,КВСР!A127:B1292,2),IF(C206&gt;0,VLOOKUP(C206,КФСР!A127:B1639,2),IF(D206&gt;0,VLOOKUP(D206,Программа!A$1:B$5063,2),IF(F206&gt;0,VLOOKUP(F206,КВР!A$1:B$5001,2),IF(E206&gt;0,VLOOKUP(E206,Направление!A$1:B$4755,2))))))</f>
        <v>Социальное обеспечение и иные выплаты населению</v>
      </c>
      <c r="B206" s="83"/>
      <c r="C206" s="76"/>
      <c r="D206" s="391"/>
      <c r="E206" s="83"/>
      <c r="F206" s="77">
        <v>300</v>
      </c>
      <c r="G206" s="42">
        <v>0</v>
      </c>
      <c r="H206" s="515"/>
      <c r="I206" s="42">
        <f>SUM(G206:H206)</f>
        <v>0</v>
      </c>
      <c r="J206" s="515"/>
    </row>
    <row r="207" spans="1:10" s="18" customFormat="1" ht="94.5">
      <c r="A207" s="41" t="str">
        <f>IF(B207&gt;0,VLOOKUP(B207,КВСР!A128:B1293,2),IF(C207&gt;0,VLOOKUP(C207,КФСР!A128:B1640,2),IF(D207&gt;0,VLOOKUP(D207,Программа!A$1:B$5063,2),IF(F207&gt;0,VLOOKUP(F207,КВР!A$1:B$5001,2),IF(E207&gt;0,VLOOKUP(E207,Направление!A$1:B$4755,2))))))</f>
        <v>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v>
      </c>
      <c r="B207" s="83"/>
      <c r="C207" s="76"/>
      <c r="D207" s="391"/>
      <c r="E207" s="83" t="s">
        <v>3147</v>
      </c>
      <c r="F207" s="77"/>
      <c r="G207" s="42">
        <v>2129615.88</v>
      </c>
      <c r="H207" s="341">
        <f>H208</f>
        <v>0</v>
      </c>
      <c r="I207" s="42">
        <f t="shared" ref="I207:I208" si="47">SUM(G207:H207)</f>
        <v>2129615.88</v>
      </c>
      <c r="J207" s="341">
        <f>J208</f>
        <v>1818873</v>
      </c>
    </row>
    <row r="208" spans="1:10" s="18" customFormat="1" ht="38.25" customHeight="1">
      <c r="A208" s="41" t="str">
        <f>IF(B208&gt;0,VLOOKUP(B208,КВСР!A129:B1294,2),IF(C208&gt;0,VLOOKUP(C208,КФСР!A129:B1641,2),IF(D208&gt;0,VLOOKUP(D208,Программа!A$1:B$5063,2),IF(F208&gt;0,VLOOKUP(F208,КВР!A$1:B$5001,2),IF(E208&gt;0,VLOOKUP(E208,Направление!A$1:B$4755,2))))))</f>
        <v>Социальное обеспечение и иные выплаты населению</v>
      </c>
      <c r="B208" s="83"/>
      <c r="C208" s="76"/>
      <c r="D208" s="391"/>
      <c r="E208" s="83"/>
      <c r="F208" s="77">
        <v>300</v>
      </c>
      <c r="G208" s="42">
        <v>2129615.88</v>
      </c>
      <c r="H208" s="515"/>
      <c r="I208" s="42">
        <f t="shared" si="47"/>
        <v>2129615.88</v>
      </c>
      <c r="J208" s="515">
        <v>1818873</v>
      </c>
    </row>
    <row r="209" spans="1:10" s="18" customFormat="1" ht="71.25" customHeight="1">
      <c r="A209" s="41" t="str">
        <f>IF(B209&gt;0,VLOOKUP(B209,КВСР!A130:B1295,2),IF(C209&gt;0,VLOOKUP(C209,КФСР!A130:B1642,2),IF(D209&gt;0,VLOOKUP(D209,Программа!A$1:B$5063,2),IF(F209&gt;0,VLOOKUP(F209,КВР!A$1:B$5001,2),IF(E209&gt;0,VLOOKUP(E209,Направление!A$1:B$4755,2))))))</f>
        <v>Муниципальная целевая программа "Предоставление молодым семьям социальных выплат на приобретение(строительство) жилья"</v>
      </c>
      <c r="B209" s="83"/>
      <c r="C209" s="76"/>
      <c r="D209" s="391" t="s">
        <v>2743</v>
      </c>
      <c r="E209" s="83"/>
      <c r="F209" s="77"/>
      <c r="G209" s="42">
        <v>4295456.2</v>
      </c>
      <c r="H209" s="341">
        <f t="shared" ref="H209:J209" si="48">H210</f>
        <v>64490</v>
      </c>
      <c r="I209" s="42">
        <f t="shared" si="37"/>
        <v>4359946.2</v>
      </c>
      <c r="J209" s="341">
        <f t="shared" si="48"/>
        <v>4359944</v>
      </c>
    </row>
    <row r="210" spans="1:10" s="18" customFormat="1" ht="47.25">
      <c r="A210" s="41" t="str">
        <f>IF(B210&gt;0,VLOOKUP(B210,КВСР!A131:B1296,2),IF(C210&gt;0,VLOOKUP(C210,КФСР!A131:B1643,2),IF(D210&gt;0,VLOOKUP(D210,Программа!A$1:B$5063,2),IF(F210&gt;0,VLOOKUP(F210,КВР!A$1:B$5001,2),IF(E210&gt;0,VLOOKUP(E210,Направление!A$1:B$4755,2))))))</f>
        <v>Создание условий для поддержки  молодых семей в приобретении (строительстве) жилья</v>
      </c>
      <c r="B210" s="83"/>
      <c r="C210" s="76"/>
      <c r="D210" s="391" t="s">
        <v>2744</v>
      </c>
      <c r="E210" s="83"/>
      <c r="F210" s="77"/>
      <c r="G210" s="42">
        <v>4295456.2</v>
      </c>
      <c r="H210" s="341">
        <f>H211+H217+H215+H213</f>
        <v>64490</v>
      </c>
      <c r="I210" s="42">
        <f t="shared" si="37"/>
        <v>4359946.2</v>
      </c>
      <c r="J210" s="341">
        <f>J211+J217+J215+J213</f>
        <v>4359944</v>
      </c>
    </row>
    <row r="211" spans="1:10" s="18" customFormat="1" ht="63" hidden="1">
      <c r="A211" s="41" t="str">
        <f>IF(B211&gt;0,VLOOKUP(B211,КВСР!A132:B1297,2),IF(C211&gt;0,VLOOKUP(C211,КФСР!A132:B1644,2),IF(D211&gt;0,VLOOKUP(D211,Программа!A$1:B$5063,2),IF(F211&gt;0,VLOOKUP(F211,КВР!A$1:B$5001,2),IF(E211&gt;0,VLOOKUP(E211,Направление!A$1:B$4755,2))))))</f>
        <v>Обеспечение мероприятий по улучшение жилищных условий молодых семей , проживающих и на территории Ярославскойобласти</v>
      </c>
      <c r="B211" s="83"/>
      <c r="C211" s="76"/>
      <c r="D211" s="391"/>
      <c r="E211" s="83">
        <v>29136</v>
      </c>
      <c r="F211" s="77"/>
      <c r="G211" s="42">
        <v>0</v>
      </c>
      <c r="H211" s="341">
        <f>H212</f>
        <v>0</v>
      </c>
      <c r="I211" s="42">
        <f t="shared" si="37"/>
        <v>0</v>
      </c>
      <c r="J211" s="341">
        <f>J212</f>
        <v>0</v>
      </c>
    </row>
    <row r="212" spans="1:10" s="18" customFormat="1" ht="31.5" hidden="1">
      <c r="A212" s="41" t="str">
        <f>IF(B212&gt;0,VLOOKUP(B212,КВСР!A133:B1298,2),IF(C212&gt;0,VLOOKUP(C212,КФСР!A133:B1645,2),IF(D212&gt;0,VLOOKUP(D212,Программа!A$1:B$5063,2),IF(F212&gt;0,VLOOKUP(F212,КВР!A$1:B$5001,2),IF(E212&gt;0,VLOOKUP(E212,Направление!A$1:B$4755,2))))))</f>
        <v>Социальное обеспечение и иные выплаты населению</v>
      </c>
      <c r="B212" s="83"/>
      <c r="C212" s="76"/>
      <c r="D212" s="391"/>
      <c r="E212" s="83"/>
      <c r="F212" s="77">
        <v>300</v>
      </c>
      <c r="G212" s="42">
        <v>0</v>
      </c>
      <c r="H212" s="515"/>
      <c r="I212" s="42">
        <f t="shared" si="37"/>
        <v>0</v>
      </c>
      <c r="J212" s="515"/>
    </row>
    <row r="213" spans="1:10" s="18" customFormat="1" ht="63">
      <c r="A213" s="41" t="str">
        <f>IF(B213&gt;0,VLOOKUP(B213,КВСР!A134:B1299,2),IF(C213&gt;0,VLOOKUP(C213,КФСР!A134:B1646,2),IF(D213&gt;0,VLOOKUP(D213,Программа!A$1:B$5063,2),IF(F213&gt;0,VLOOKUP(F213,КВР!A$1:B$5001,2),IF(E213&gt;0,VLOOKUP(E213,Направление!A$1:B$4755,2))))))</f>
        <v>Субсидии на мероприятия подпрограммы "Обеспечение жильем молодых семей" за счет средств федерального бюджета</v>
      </c>
      <c r="B213" s="83"/>
      <c r="C213" s="76"/>
      <c r="D213" s="391"/>
      <c r="E213" s="83">
        <v>50206</v>
      </c>
      <c r="F213" s="77"/>
      <c r="G213" s="42">
        <v>1295456.2</v>
      </c>
      <c r="H213" s="341">
        <f>H214</f>
        <v>0</v>
      </c>
      <c r="I213" s="42">
        <f t="shared" si="37"/>
        <v>1295456.2</v>
      </c>
      <c r="J213" s="341">
        <f>J214</f>
        <v>1295456</v>
      </c>
    </row>
    <row r="214" spans="1:10" s="18" customFormat="1" ht="31.5">
      <c r="A214" s="41" t="str">
        <f>IF(B214&gt;0,VLOOKUP(B214,КВСР!A135:B1300,2),IF(C214&gt;0,VLOOKUP(C214,КФСР!A135:B1647,2),IF(D214&gt;0,VLOOKUP(D214,Программа!A$1:B$5063,2),IF(F214&gt;0,VLOOKUP(F214,КВР!A$1:B$5001,2),IF(E214&gt;0,VLOOKUP(E214,Направление!A$1:B$4755,2))))))</f>
        <v>Социальное обеспечение и иные выплаты населению</v>
      </c>
      <c r="B214" s="83"/>
      <c r="C214" s="76"/>
      <c r="D214" s="391"/>
      <c r="E214" s="83"/>
      <c r="F214" s="77">
        <v>300</v>
      </c>
      <c r="G214" s="42">
        <v>1295456.2</v>
      </c>
      <c r="H214" s="515"/>
      <c r="I214" s="42">
        <f t="shared" si="37"/>
        <v>1295456.2</v>
      </c>
      <c r="J214" s="515">
        <v>1295456</v>
      </c>
    </row>
    <row r="215" spans="1:10" s="18" customFormat="1" ht="63">
      <c r="A215" s="41" t="str">
        <f>IF(B215&gt;0,VLOOKUP(B215,КВСР!A136:B1301,2),IF(C215&gt;0,VLOOKUP(C215,КФСР!A136:B1648,2),IF(D215&gt;0,VLOOKUP(D215,Программа!A$1:B$5063,2),IF(F215&gt;0,VLOOKUP(F215,КВР!A$1:B$5001,2),IF(E215&gt;0,VLOOKUP(E215,Направление!A$1:B$4755,2))))))</f>
        <v>Обеспечение меропритяий по улучшению жилищных условий молодых семей, проживающих на территории ЯО</v>
      </c>
      <c r="B215" s="83"/>
      <c r="C215" s="76"/>
      <c r="D215" s="391"/>
      <c r="E215" s="83" t="s">
        <v>3154</v>
      </c>
      <c r="F215" s="77"/>
      <c r="G215" s="42">
        <v>1500000</v>
      </c>
      <c r="H215" s="341">
        <f>H216</f>
        <v>32245</v>
      </c>
      <c r="I215" s="42">
        <f t="shared" si="37"/>
        <v>1532245</v>
      </c>
      <c r="J215" s="341">
        <f>J216</f>
        <v>1532244</v>
      </c>
    </row>
    <row r="216" spans="1:10" s="18" customFormat="1" ht="31.5">
      <c r="A216" s="41" t="str">
        <f>IF(B216&gt;0,VLOOKUP(B216,КВСР!A137:B1302,2),IF(C216&gt;0,VLOOKUP(C216,КФСР!A137:B1649,2),IF(D216&gt;0,VLOOKUP(D216,Программа!A$1:B$5063,2),IF(F216&gt;0,VLOOKUP(F216,КВР!A$1:B$5001,2),IF(E216&gt;0,VLOOKUP(E216,Направление!A$1:B$4755,2))))))</f>
        <v>Социальное обеспечение и иные выплаты населению</v>
      </c>
      <c r="B216" s="83"/>
      <c r="C216" s="76"/>
      <c r="D216" s="391"/>
      <c r="E216" s="83"/>
      <c r="F216" s="77">
        <v>300</v>
      </c>
      <c r="G216" s="42">
        <v>1500000</v>
      </c>
      <c r="H216" s="515">
        <v>32245</v>
      </c>
      <c r="I216" s="42">
        <f t="shared" si="37"/>
        <v>1532245</v>
      </c>
      <c r="J216" s="515">
        <v>1532244</v>
      </c>
    </row>
    <row r="217" spans="1:10" s="18" customFormat="1" ht="65.25" customHeight="1">
      <c r="A217" s="41" t="str">
        <f>IF(B217&gt;0,VLOOKUP(B217,КВСР!A138:B1303,2),IF(C217&gt;0,VLOOKUP(C217,КФСР!A138:B1650,2),IF(D217&gt;0,VLOOKUP(D217,Программа!A$1:B$5063,2),IF(F217&gt;0,VLOOKUP(F217,КВР!A$1:B$5001,2),IF(E217&gt;0,VLOOKUP(E217,Направление!A$1:B$4755,2))))))</f>
        <v>Субсидия на реализацию мероприятий по господдержке молодых семей Ярославской области в приобретении (строительстве) жилья</v>
      </c>
      <c r="B217" s="83"/>
      <c r="C217" s="76"/>
      <c r="D217" s="391"/>
      <c r="E217" s="83" t="s">
        <v>3151</v>
      </c>
      <c r="F217" s="77"/>
      <c r="G217" s="42">
        <v>1500000</v>
      </c>
      <c r="H217" s="341">
        <f>H218</f>
        <v>32245</v>
      </c>
      <c r="I217" s="42">
        <f t="shared" si="37"/>
        <v>1532245</v>
      </c>
      <c r="J217" s="341">
        <f>J218</f>
        <v>1532244</v>
      </c>
    </row>
    <row r="218" spans="1:10" s="18" customFormat="1" ht="31.5">
      <c r="A218" s="41" t="str">
        <f>IF(B218&gt;0,VLOOKUP(B218,КВСР!A139:B1304,2),IF(C218&gt;0,VLOOKUP(C218,КФСР!A139:B1651,2),IF(D218&gt;0,VLOOKUP(D218,Программа!A$1:B$5063,2),IF(F218&gt;0,VLOOKUP(F218,КВР!A$1:B$5001,2),IF(E218&gt;0,VLOOKUP(E218,Направление!A$1:B$4755,2))))))</f>
        <v>Социальное обеспечение и иные выплаты населению</v>
      </c>
      <c r="B218" s="83"/>
      <c r="C218" s="76"/>
      <c r="D218" s="391"/>
      <c r="E218" s="83"/>
      <c r="F218" s="77">
        <v>300</v>
      </c>
      <c r="G218" s="42">
        <v>1500000</v>
      </c>
      <c r="H218" s="515">
        <v>32245</v>
      </c>
      <c r="I218" s="42">
        <f t="shared" si="37"/>
        <v>1532245</v>
      </c>
      <c r="J218" s="515">
        <v>1532244</v>
      </c>
    </row>
    <row r="219" spans="1:10" s="18" customFormat="1">
      <c r="A219" s="41" t="str">
        <f>IF(B219&gt;0,VLOOKUP(B219,КВСР!A140:B1305,2),IF(C219&gt;0,VLOOKUP(C219,КФСР!A140:B1652,2),IF(D219&gt;0,VLOOKUP(D219,Программа!A$1:B$5063,2),IF(F219&gt;0,VLOOKUP(F219,КВР!A$1:B$5001,2),IF(E219&gt;0,VLOOKUP(E219,Направление!A$1:B$4755,2))))))</f>
        <v>Непрограммные расходы бюджета</v>
      </c>
      <c r="B219" s="83"/>
      <c r="C219" s="76"/>
      <c r="D219" s="77" t="s">
        <v>2808</v>
      </c>
      <c r="E219" s="83"/>
      <c r="F219" s="77"/>
      <c r="G219" s="341">
        <v>1136000</v>
      </c>
      <c r="H219" s="341">
        <f t="shared" ref="H219:J220" si="49">H220</f>
        <v>0</v>
      </c>
      <c r="I219" s="42">
        <f t="shared" si="37"/>
        <v>1136000</v>
      </c>
      <c r="J219" s="341">
        <f t="shared" si="49"/>
        <v>1136000</v>
      </c>
    </row>
    <row r="220" spans="1:10" s="18" customFormat="1" ht="47.25">
      <c r="A220" s="41" t="str">
        <f>IF(B220&gt;0,VLOOKUP(B220,КВСР!A141:B1306,2),IF(C220&gt;0,VLOOKUP(C220,КФСР!A141:B1653,2),IF(D220&gt;0,VLOOKUP(D220,Программа!A$1:B$5063,2),IF(F220&gt;0,VLOOKUP(F220,КВР!A$1:B$5001,2),IF(E220&gt;0,VLOOKUP(E220,Направление!A$1:B$4755,2))))))</f>
        <v>Исполнение судебных актов, актов других органов и должностных лиц, иных документов</v>
      </c>
      <c r="B220" s="83"/>
      <c r="C220" s="76"/>
      <c r="D220" s="77"/>
      <c r="E220" s="83">
        <v>12130</v>
      </c>
      <c r="F220" s="77"/>
      <c r="G220" s="341">
        <v>1136000</v>
      </c>
      <c r="H220" s="341">
        <f t="shared" si="49"/>
        <v>0</v>
      </c>
      <c r="I220" s="42">
        <f t="shared" si="37"/>
        <v>1136000</v>
      </c>
      <c r="J220" s="341">
        <f t="shared" si="49"/>
        <v>1136000</v>
      </c>
    </row>
    <row r="221" spans="1:10" s="18" customFormat="1" ht="31.5">
      <c r="A221" s="41" t="str">
        <f>IF(B221&gt;0,VLOOKUP(B221,КВСР!A142:B1307,2),IF(C221&gt;0,VLOOKUP(C221,КФСР!A142:B1654,2),IF(D221&gt;0,VLOOKUP(D221,Программа!A$1:B$5063,2),IF(F221&gt;0,VLOOKUP(F221,КВР!A$1:B$5001,2),IF(E221&gt;0,VLOOKUP(E221,Направление!A$1:B$4755,2))))))</f>
        <v>Социальное обеспечение и иные выплаты населению</v>
      </c>
      <c r="B221" s="83"/>
      <c r="C221" s="76"/>
      <c r="D221" s="77"/>
      <c r="E221" s="83"/>
      <c r="F221" s="77">
        <v>300</v>
      </c>
      <c r="G221" s="341">
        <v>1136000</v>
      </c>
      <c r="H221" s="337"/>
      <c r="I221" s="42">
        <f t="shared" si="37"/>
        <v>1136000</v>
      </c>
      <c r="J221" s="337">
        <v>1136000</v>
      </c>
    </row>
    <row r="222" spans="1:10" s="18" customFormat="1" ht="31.5">
      <c r="A222" s="41" t="str">
        <f>IF(B222&gt;0,VLOOKUP(B222,КВСР!A143:B1308,2),IF(C222&gt;0,VLOOKUP(C222,КФСР!A143:B1655,2),IF(D222&gt;0,VLOOKUP(D222,Программа!A$1:B$5063,2),IF(F222&gt;0,VLOOKUP(F222,КВР!A$1:B$5001,2),IF(E222&gt;0,VLOOKUP(E222,Направление!A$1:B$4755,2))))))</f>
        <v>Межбюджетные трансферты  поселениям района</v>
      </c>
      <c r="B222" s="83"/>
      <c r="C222" s="76"/>
      <c r="D222" s="77" t="s">
        <v>2809</v>
      </c>
      <c r="E222" s="83"/>
      <c r="F222" s="77"/>
      <c r="G222" s="341">
        <v>5440981.4500000002</v>
      </c>
      <c r="H222" s="341">
        <f>H225+H227+H223</f>
        <v>0</v>
      </c>
      <c r="I222" s="42">
        <f t="shared" si="37"/>
        <v>5440981.4500000002</v>
      </c>
      <c r="J222" s="341">
        <f>J225+J227+J223</f>
        <v>5045176</v>
      </c>
    </row>
    <row r="223" spans="1:10" s="18" customFormat="1" ht="69.75" customHeight="1">
      <c r="A223" s="41" t="str">
        <f>IF(B223&gt;0,VLOOKUP(B223,КВСР!A144:B1309,2),IF(C223&gt;0,VLOOKUP(C223,КФСР!A144:B1656,2),IF(D223&gt;0,VLOOKUP(D223,Программа!A$1:B$5063,2),IF(F223&gt;0,VLOOKUP(F223,КВР!A$1:B$5001,2),IF(E223&gt;0,VLOOKUP(E223,Направление!A$1:B$4755,2))))))</f>
        <v>Субсидии на государственную поддержку молодых семей ЯО в приобретении (строительстве) жилья за счет средств федерального бюджета</v>
      </c>
      <c r="B223" s="83"/>
      <c r="C223" s="76"/>
      <c r="D223" s="77"/>
      <c r="E223" s="83">
        <v>50200</v>
      </c>
      <c r="F223" s="77"/>
      <c r="G223" s="341">
        <v>1511365.57</v>
      </c>
      <c r="H223" s="341">
        <f>H224</f>
        <v>0</v>
      </c>
      <c r="I223" s="42">
        <f t="shared" si="37"/>
        <v>1511365.57</v>
      </c>
      <c r="J223" s="341">
        <f>J224</f>
        <v>1511366</v>
      </c>
    </row>
    <row r="224" spans="1:10" s="18" customFormat="1">
      <c r="A224" s="41" t="str">
        <f>IF(B224&gt;0,VLOOKUP(B224,КВСР!A145:B1310,2),IF(C224&gt;0,VLOOKUP(C224,КФСР!A145:B1657,2),IF(D224&gt;0,VLOOKUP(D224,Программа!A$1:B$5063,2),IF(F224&gt;0,VLOOKUP(F224,КВР!A$1:B$5001,2),IF(E224&gt;0,VLOOKUP(E224,Направление!A$1:B$4755,2))))))</f>
        <v xml:space="preserve"> Межбюджетные трансферты</v>
      </c>
      <c r="B224" s="83"/>
      <c r="C224" s="76"/>
      <c r="D224" s="77"/>
      <c r="E224" s="83"/>
      <c r="F224" s="77">
        <v>500</v>
      </c>
      <c r="G224" s="341">
        <v>1511365.57</v>
      </c>
      <c r="H224" s="515"/>
      <c r="I224" s="42">
        <f t="shared" si="37"/>
        <v>1511365.57</v>
      </c>
      <c r="J224" s="515">
        <v>1511366</v>
      </c>
    </row>
    <row r="225" spans="1:10" s="18" customFormat="1" ht="100.5" customHeight="1">
      <c r="A225" s="41" t="str">
        <f>IF(B225&gt;0,VLOOKUP(B225,КВСР!A146:B1311,2),IF(C225&gt;0,VLOOKUP(C225,КФСР!A146:B1658,2),IF(D225&gt;0,VLOOKUP(D225,Программа!A$1:B$5063,2),IF(F225&gt;0,VLOOKUP(F225,КВР!A$1:B$5001,2),IF(E225&gt;0,VLOOKUP(E225,Направление!A$1:B$4755,2))))))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25" s="83"/>
      <c r="C225" s="76"/>
      <c r="D225" s="77"/>
      <c r="E225" s="83">
        <v>71230</v>
      </c>
      <c r="F225" s="77"/>
      <c r="G225" s="341">
        <v>2129615.88</v>
      </c>
      <c r="H225" s="341">
        <f>H226</f>
        <v>0</v>
      </c>
      <c r="I225" s="42">
        <f t="shared" si="37"/>
        <v>2129615.88</v>
      </c>
      <c r="J225" s="341">
        <f>J226</f>
        <v>1818873</v>
      </c>
    </row>
    <row r="226" spans="1:10" s="18" customFormat="1" ht="23.25" customHeight="1">
      <c r="A226" s="41" t="str">
        <f>IF(B226&gt;0,VLOOKUP(B226,КВСР!A147:B1312,2),IF(C226&gt;0,VLOOKUP(C226,КФСР!A147:B1659,2),IF(D226&gt;0,VLOOKUP(D226,Программа!A$1:B$5063,2),IF(F226&gt;0,VLOOKUP(F226,КВР!A$1:B$5001,2),IF(E226&gt;0,VLOOKUP(E226,Направление!A$1:B$4755,2))))))</f>
        <v xml:space="preserve"> Межбюджетные трансферты</v>
      </c>
      <c r="B226" s="83"/>
      <c r="C226" s="76"/>
      <c r="D226" s="77"/>
      <c r="E226" s="83"/>
      <c r="F226" s="77">
        <v>500</v>
      </c>
      <c r="G226" s="341">
        <v>2129615.88</v>
      </c>
      <c r="H226" s="337"/>
      <c r="I226" s="42">
        <f t="shared" si="37"/>
        <v>2129615.88</v>
      </c>
      <c r="J226" s="337">
        <v>1818873</v>
      </c>
    </row>
    <row r="227" spans="1:10" s="18" customFormat="1" ht="81" customHeight="1">
      <c r="A227" s="41" t="str">
        <f>IF(B227&gt;0,VLOOKUP(B227,КВСР!A148:B1313,2),IF(C227&gt;0,VLOOKUP(C227,КФСР!A148:B1660,2),IF(D227&gt;0,VLOOKUP(D227,Программа!A$1:B$5063,2),IF(F227&gt;0,VLOOKUP(F227,КВР!A$1:B$5001,2),IF(E227&gt;0,VLOOKUP(E227,Направление!A$1:B$4755,2))))))</f>
        <v>Субсидия на государственную поддержку молодых семей Ярославской области в приобретении (строительстве) жилья за счет средств областного бюджета</v>
      </c>
      <c r="B227" s="83"/>
      <c r="C227" s="76"/>
      <c r="D227" s="77"/>
      <c r="E227" s="83" t="s">
        <v>3149</v>
      </c>
      <c r="F227" s="77"/>
      <c r="G227" s="341">
        <v>1800000</v>
      </c>
      <c r="H227" s="341">
        <f>H228</f>
        <v>0</v>
      </c>
      <c r="I227" s="42">
        <f t="shared" ref="I227:I228" si="50">SUM(G227:H227)</f>
        <v>1800000</v>
      </c>
      <c r="J227" s="341">
        <f>J228</f>
        <v>1714937</v>
      </c>
    </row>
    <row r="228" spans="1:10" s="18" customFormat="1" ht="23.25" customHeight="1">
      <c r="A228" s="41" t="str">
        <f>IF(B228&gt;0,VLOOKUP(B228,КВСР!A149:B1314,2),IF(C228&gt;0,VLOOKUP(C228,КФСР!A149:B1661,2),IF(D228&gt;0,VLOOKUP(D228,Программа!A$1:B$5063,2),IF(F228&gt;0,VLOOKUP(F228,КВР!A$1:B$5001,2),IF(E228&gt;0,VLOOKUP(E228,Направление!A$1:B$4755,2))))))</f>
        <v xml:space="preserve"> Межбюджетные трансферты</v>
      </c>
      <c r="B228" s="83"/>
      <c r="C228" s="76"/>
      <c r="D228" s="77"/>
      <c r="E228" s="83"/>
      <c r="F228" s="77">
        <v>500</v>
      </c>
      <c r="G228" s="341">
        <v>1800000</v>
      </c>
      <c r="H228" s="337"/>
      <c r="I228" s="42">
        <f t="shared" si="50"/>
        <v>1800000</v>
      </c>
      <c r="J228" s="337">
        <v>1714937</v>
      </c>
    </row>
    <row r="229" spans="1:10" s="18" customFormat="1" ht="31.5" hidden="1">
      <c r="A229" s="41" t="str">
        <f>IF(B229&gt;0,VLOOKUP(B229,КВСР!A150:B1315,2),IF(C229&gt;0,VLOOKUP(C229,КФСР!A150:B1662,2),IF(D229&gt;0,VLOOKUP(D229,Программа!A$1:B$5063,2),IF(F229&gt;0,VLOOKUP(F229,КВР!A$1:B$5001,2),IF(E229&gt;0,VLOOKUP(E229,Направление!A$1:B$4755,2))))))</f>
        <v>Другие вопросы в области социальной политики</v>
      </c>
      <c r="B229" s="83"/>
      <c r="C229" s="76">
        <v>1006</v>
      </c>
      <c r="D229" s="77"/>
      <c r="E229" s="83"/>
      <c r="F229" s="77"/>
      <c r="G229" s="341">
        <v>0</v>
      </c>
      <c r="H229" s="341">
        <f t="shared" ref="H229:J229" si="51">H230</f>
        <v>0</v>
      </c>
      <c r="I229" s="341">
        <f t="shared" si="51"/>
        <v>0</v>
      </c>
      <c r="J229" s="341">
        <f t="shared" si="51"/>
        <v>0</v>
      </c>
    </row>
    <row r="230" spans="1:10" s="18" customFormat="1" hidden="1">
      <c r="A230" s="41" t="str">
        <f>IF(B230&gt;0,VLOOKUP(B230,КВСР!A151:B1316,2),IF(C230&gt;0,VLOOKUP(C230,КФСР!A151:B1663,2),IF(D230&gt;0,VLOOKUP(D230,Программа!A$1:B$5063,2),IF(F230&gt;0,VLOOKUP(F230,КВР!A$1:B$5001,2),IF(E230&gt;0,VLOOKUP(E230,Направление!A$1:B$4755,2))))))</f>
        <v>Непрограммные расходы бюджета</v>
      </c>
      <c r="B230" s="83"/>
      <c r="C230" s="76"/>
      <c r="D230" s="77" t="s">
        <v>2808</v>
      </c>
      <c r="E230" s="83"/>
      <c r="F230" s="77"/>
      <c r="G230" s="341">
        <v>0</v>
      </c>
      <c r="H230" s="341">
        <f t="shared" ref="H230:J230" si="52">H231</f>
        <v>0</v>
      </c>
      <c r="I230" s="341">
        <f t="shared" si="52"/>
        <v>0</v>
      </c>
      <c r="J230" s="341">
        <f t="shared" si="52"/>
        <v>0</v>
      </c>
    </row>
    <row r="231" spans="1:10" s="18" customFormat="1" ht="31.5" hidden="1">
      <c r="A231" s="41" t="str">
        <f>IF(B231&gt;0,VLOOKUP(B231,КВСР!A152:B1317,2),IF(C231&gt;0,VLOOKUP(C231,КФСР!A152:B1664,2),IF(D231&gt;0,VLOOKUP(D231,Программа!A$1:B$5063,2),IF(F231&gt;0,VLOOKUP(F231,КВР!A$1:B$5001,2),IF(E231&gt;0,VLOOKUP(E231,Направление!A$1:B$4755,2))))))</f>
        <v>Обеспечение деятельности общественных организаций</v>
      </c>
      <c r="B231" s="83"/>
      <c r="C231" s="76"/>
      <c r="D231" s="77"/>
      <c r="E231" s="83">
        <v>29356</v>
      </c>
      <c r="F231" s="77"/>
      <c r="G231" s="341">
        <v>0</v>
      </c>
      <c r="H231" s="341">
        <f t="shared" ref="H231:J231" si="53">H232</f>
        <v>0</v>
      </c>
      <c r="I231" s="341">
        <f t="shared" si="53"/>
        <v>0</v>
      </c>
      <c r="J231" s="341">
        <f t="shared" si="53"/>
        <v>0</v>
      </c>
    </row>
    <row r="232" spans="1:10" s="18" customFormat="1" ht="63" hidden="1">
      <c r="A232" s="41" t="str">
        <f>IF(B232&gt;0,VLOOKUP(B232,КВСР!A153:B1318,2),IF(C232&gt;0,VLOOKUP(C232,КФСР!A153:B1665,2),IF(D232&gt;0,VLOOKUP(D232,Программа!A$1:B$5063,2),IF(F232&gt;0,VLOOKUP(F232,КВР!A$1:B$5001,2),IF(E232&gt;0,VLOOKUP(E232,Направление!A$1:B$4755,2))))))</f>
        <v>Предоставление субсидий бюджетным, автономным учреждениям и иным некоммерческим организациям</v>
      </c>
      <c r="B232" s="83"/>
      <c r="C232" s="76"/>
      <c r="D232" s="77"/>
      <c r="E232" s="83"/>
      <c r="F232" s="77">
        <v>600</v>
      </c>
      <c r="G232" s="341">
        <v>0</v>
      </c>
      <c r="H232" s="337"/>
      <c r="I232" s="42">
        <f>G232+H232</f>
        <v>0</v>
      </c>
      <c r="J232" s="337"/>
    </row>
    <row r="233" spans="1:10" s="20" customFormat="1" ht="31.5">
      <c r="A233" s="41" t="str">
        <f>IF(B233&gt;0,VLOOKUP(B233,КВСР!A154:B1319,2),IF(C233&gt;0,VLOOKUP(C233,КФСР!A154:B1666,2),IF(D233&gt;0,VLOOKUP(D233,Программа!A$1:B$5063,2),IF(F233&gt;0,VLOOKUP(F233,КВР!A$1:B$5001,2),IF(E233&gt;0,VLOOKUP(E233,Направление!A$1:B$4755,2))))))</f>
        <v>Департамент муниципального имущества Администрации ТМР</v>
      </c>
      <c r="B233" s="79">
        <v>952</v>
      </c>
      <c r="C233" s="80"/>
      <c r="D233" s="69"/>
      <c r="E233" s="82"/>
      <c r="F233" s="81"/>
      <c r="G233" s="47">
        <v>13722605</v>
      </c>
      <c r="H233" s="47">
        <f>H234+H260+H266</f>
        <v>-484303</v>
      </c>
      <c r="I233" s="78">
        <f t="shared" si="37"/>
        <v>13238302</v>
      </c>
      <c r="J233" s="47">
        <f>J234+J260+J266</f>
        <v>12967041</v>
      </c>
    </row>
    <row r="234" spans="1:10" s="20" customFormat="1" ht="31.5">
      <c r="A234" s="41" t="str">
        <f>IF(B234&gt;0,VLOOKUP(B234,КВСР!A155:B1320,2),IF(C234&gt;0,VLOOKUP(C234,КФСР!A155:B1667,2),IF(D234&gt;0,VLOOKUP(D234,Программа!A$1:B$5063,2),IF(F234&gt;0,VLOOKUP(F234,КВР!A$1:B$5001,2),IF(E234&gt;0,VLOOKUP(E234,Направление!A$1:B$4755,2))))))</f>
        <v>Другие общегосударственные вопросы</v>
      </c>
      <c r="B234" s="83"/>
      <c r="C234" s="76">
        <v>113</v>
      </c>
      <c r="D234" s="391"/>
      <c r="E234" s="83"/>
      <c r="F234" s="77"/>
      <c r="G234" s="75">
        <v>12680955</v>
      </c>
      <c r="H234" s="75">
        <f t="shared" ref="H234" si="54">H242+H235</f>
        <v>-447514</v>
      </c>
      <c r="I234" s="42">
        <f t="shared" si="37"/>
        <v>12233441</v>
      </c>
      <c r="J234" s="75">
        <f>J242+J235</f>
        <v>11963743</v>
      </c>
    </row>
    <row r="235" spans="1:10" s="20" customFormat="1" ht="63.75" customHeight="1">
      <c r="A235" s="41" t="str">
        <f>IF(B235&gt;0,VLOOKUP(B235,КВСР!A156:B1321,2),IF(C235&gt;0,VLOOKUP(C235,КФСР!A156:B1668,2),IF(D235&gt;0,VLOOKUP(D235,Программа!A$1:B$5063,2),IF(F235&gt;0,VLOOKUP(F235,КВР!A$1:B$5001,2),IF(E235&gt;0,VLOOKUP(E235,Направление!A$1:B$4755,2))))))</f>
        <v>Муниципальная программа "Информатизация управленческой деятельности Администрации Тутаевского муниципального района"</v>
      </c>
      <c r="B235" s="83"/>
      <c r="C235" s="76"/>
      <c r="D235" s="391" t="s">
        <v>2838</v>
      </c>
      <c r="E235" s="83"/>
      <c r="F235" s="77"/>
      <c r="G235" s="75">
        <v>378000</v>
      </c>
      <c r="H235" s="75">
        <f t="shared" ref="H235:J235" si="55">H236+H239</f>
        <v>-35486</v>
      </c>
      <c r="I235" s="42">
        <f t="shared" si="37"/>
        <v>342514</v>
      </c>
      <c r="J235" s="75">
        <f t="shared" si="55"/>
        <v>342514</v>
      </c>
    </row>
    <row r="236" spans="1:10" s="20" customFormat="1" ht="47.25">
      <c r="A236" s="41" t="str">
        <f>IF(B236&gt;0,VLOOKUP(B236,КВСР!A157:B1322,2),IF(C236&gt;0,VLOOKUP(C236,КФСР!A157:B1669,2),IF(D236&gt;0,VLOOKUP(D236,Программа!A$1:B$5063,2),IF(F236&gt;0,VLOOKUP(F236,КВР!A$1:B$5001,2),IF(E236&gt;0,VLOOKUP(E236,Направление!A$1:B$4755,2))))))</f>
        <v>Обеспечение бесперебойного функционирования  программного обеспечения</v>
      </c>
      <c r="B236" s="83"/>
      <c r="C236" s="76"/>
      <c r="D236" s="391" t="s">
        <v>2839</v>
      </c>
      <c r="E236" s="83"/>
      <c r="F236" s="77"/>
      <c r="G236" s="75">
        <v>313000</v>
      </c>
      <c r="H236" s="75">
        <f t="shared" ref="H236:J237" si="56">H237</f>
        <v>-27658</v>
      </c>
      <c r="I236" s="42">
        <f t="shared" si="37"/>
        <v>285342</v>
      </c>
      <c r="J236" s="75">
        <f t="shared" si="56"/>
        <v>285342</v>
      </c>
    </row>
    <row r="237" spans="1:10" s="20" customFormat="1" ht="31.5">
      <c r="A237" s="41" t="str">
        <f>IF(B237&gt;0,VLOOKUP(B237,КВСР!A158:B1323,2),IF(C237&gt;0,VLOOKUP(C237,КФСР!A158:B1670,2),IF(D237&gt;0,VLOOKUP(D237,Программа!A$1:B$5063,2),IF(F237&gt;0,VLOOKUP(F237,КВР!A$1:B$5001,2),IF(E237&gt;0,VLOOKUP(E237,Направление!A$1:B$4755,2))))))</f>
        <v>Расходы на проведение мероприятий по информатизации</v>
      </c>
      <c r="B237" s="83"/>
      <c r="C237" s="76"/>
      <c r="D237" s="391"/>
      <c r="E237" s="83">
        <v>12210</v>
      </c>
      <c r="F237" s="77"/>
      <c r="G237" s="75">
        <v>313000</v>
      </c>
      <c r="H237" s="75">
        <f t="shared" si="56"/>
        <v>-27658</v>
      </c>
      <c r="I237" s="42">
        <f t="shared" si="37"/>
        <v>285342</v>
      </c>
      <c r="J237" s="75">
        <f t="shared" si="56"/>
        <v>285342</v>
      </c>
    </row>
    <row r="238" spans="1:10" s="20" customFormat="1" ht="31.5">
      <c r="A238" s="41" t="str">
        <f>IF(B238&gt;0,VLOOKUP(B238,КВСР!A159:B1324,2),IF(C238&gt;0,VLOOKUP(C238,КФСР!A159:B1671,2),IF(D238&gt;0,VLOOKUP(D238,Программа!A$1:B$5063,2),IF(F238&gt;0,VLOOKUP(F238,КВР!A$1:B$5001,2),IF(E238&gt;0,VLOOKUP(E238,Направление!A$1:B$4755,2))))))</f>
        <v>Закупка товаров, работ и услуг для государственных нужд</v>
      </c>
      <c r="B238" s="83"/>
      <c r="C238" s="76"/>
      <c r="D238" s="391"/>
      <c r="E238" s="83"/>
      <c r="F238" s="77">
        <v>200</v>
      </c>
      <c r="G238" s="346">
        <v>313000</v>
      </c>
      <c r="H238" s="344">
        <f>-2256-25402</f>
        <v>-27658</v>
      </c>
      <c r="I238" s="42">
        <f t="shared" si="37"/>
        <v>285342</v>
      </c>
      <c r="J238" s="344">
        <v>285342</v>
      </c>
    </row>
    <row r="239" spans="1:10" s="20" customFormat="1" ht="64.5" customHeight="1">
      <c r="A239" s="41" t="str">
        <f>IF(B239&gt;0,VLOOKUP(B239,КВСР!A160:B1325,2),IF(C239&gt;0,VLOOKUP(C239,КФСР!A160:B1672,2),IF(D239&gt;0,VLOOKUP(D239,Программа!A$1:B$5063,2),IF(F239&gt;0,VLOOKUP(F239,КВР!A$1:B$5001,2),IF(E239&gt;0,VLOOKUP(E239,Направление!A$1:B$4755,2))))))</f>
        <v>Закупка компьютерного оборудования  и оргтехники для бесперебойного обеспечения деятельности органов местного самоуправления</v>
      </c>
      <c r="B239" s="83"/>
      <c r="C239" s="76"/>
      <c r="D239" s="391" t="s">
        <v>2847</v>
      </c>
      <c r="E239" s="83"/>
      <c r="F239" s="77"/>
      <c r="G239" s="75">
        <v>65000</v>
      </c>
      <c r="H239" s="75">
        <f t="shared" ref="H239:J240" si="57">H240</f>
        <v>-7828</v>
      </c>
      <c r="I239" s="42">
        <f t="shared" si="37"/>
        <v>57172</v>
      </c>
      <c r="J239" s="75">
        <f t="shared" si="57"/>
        <v>57172</v>
      </c>
    </row>
    <row r="240" spans="1:10" s="20" customFormat="1" ht="31.5">
      <c r="A240" s="41" t="str">
        <f>IF(B240&gt;0,VLOOKUP(B240,КВСР!A161:B1326,2),IF(C240&gt;0,VLOOKUP(C240,КФСР!A161:B1673,2),IF(D240&gt;0,VLOOKUP(D240,Программа!A$1:B$5063,2),IF(F240&gt;0,VLOOKUP(F240,КВР!A$1:B$5001,2),IF(E240&gt;0,VLOOKUP(E240,Направление!A$1:B$4755,2))))))</f>
        <v>Расходы на проведение мероприятий по информатизации</v>
      </c>
      <c r="B240" s="83"/>
      <c r="C240" s="76"/>
      <c r="D240" s="391"/>
      <c r="E240" s="83">
        <v>12210</v>
      </c>
      <c r="F240" s="77"/>
      <c r="G240" s="75">
        <v>65000</v>
      </c>
      <c r="H240" s="75">
        <f t="shared" si="57"/>
        <v>-7828</v>
      </c>
      <c r="I240" s="42">
        <f t="shared" si="37"/>
        <v>57172</v>
      </c>
      <c r="J240" s="75">
        <f t="shared" si="57"/>
        <v>57172</v>
      </c>
    </row>
    <row r="241" spans="1:10" s="20" customFormat="1" ht="31.5">
      <c r="A241" s="41" t="str">
        <f>IF(B241&gt;0,VLOOKUP(B241,КВСР!A162:B1327,2),IF(C241&gt;0,VLOOKUP(C241,КФСР!A162:B1674,2),IF(D241&gt;0,VLOOKUP(D241,Программа!A$1:B$5063,2),IF(F241&gt;0,VLOOKUP(F241,КВР!A$1:B$5001,2),IF(E241&gt;0,VLOOKUP(E241,Направление!A$1:B$4755,2))))))</f>
        <v>Закупка товаров, работ и услуг для государственных нужд</v>
      </c>
      <c r="B241" s="83"/>
      <c r="C241" s="76"/>
      <c r="D241" s="391"/>
      <c r="E241" s="83"/>
      <c r="F241" s="77">
        <v>200</v>
      </c>
      <c r="G241" s="346">
        <v>65000</v>
      </c>
      <c r="H241" s="344">
        <f>25402-33230</f>
        <v>-7828</v>
      </c>
      <c r="I241" s="42">
        <f t="shared" si="37"/>
        <v>57172</v>
      </c>
      <c r="J241" s="344">
        <v>57172</v>
      </c>
    </row>
    <row r="242" spans="1:10" s="20" customFormat="1">
      <c r="A242" s="41" t="str">
        <f>IF(B242&gt;0,VLOOKUP(B242,КВСР!A163:B1328,2),IF(C242&gt;0,VLOOKUP(C242,КФСР!A163:B1675,2),IF(D242&gt;0,VLOOKUP(D242,Программа!A$1:B$5063,2),IF(F242&gt;0,VLOOKUP(F242,КВР!A$1:B$5001,2),IF(E242&gt;0,VLOOKUP(E242,Направление!A$1:B$4755,2))))))</f>
        <v>Непрограммные расходы бюджета</v>
      </c>
      <c r="B242" s="83"/>
      <c r="C242" s="76"/>
      <c r="D242" s="391" t="s">
        <v>2808</v>
      </c>
      <c r="E242" s="83"/>
      <c r="F242" s="77"/>
      <c r="G242" s="75">
        <v>12302955</v>
      </c>
      <c r="H242" s="75">
        <f>H243+H247+H249+H253+H1429+H256+H251+H258</f>
        <v>-412028</v>
      </c>
      <c r="I242" s="75">
        <f>I243+I247+I249+I253+I1429+I256+I251+I258</f>
        <v>11890927</v>
      </c>
      <c r="J242" s="75">
        <f>J243+J247+J249+J253+J1429+J256+J251+J258</f>
        <v>11621229</v>
      </c>
    </row>
    <row r="243" spans="1:10" s="20" customFormat="1">
      <c r="A243" s="41" t="str">
        <f>IF(B243&gt;0,VLOOKUP(B243,КВСР!A164:B1329,2),IF(C243&gt;0,VLOOKUP(C243,КФСР!A164:B1676,2),IF(D243&gt;0,VLOOKUP(D243,Программа!A$1:B$5063,2),IF(F243&gt;0,VLOOKUP(F243,КВР!A$1:B$5001,2),IF(E243&gt;0,VLOOKUP(E243,Направление!A$1:B$4755,2))))))</f>
        <v>Содержание центрального аппарата</v>
      </c>
      <c r="B243" s="83"/>
      <c r="C243" s="76"/>
      <c r="D243" s="391"/>
      <c r="E243" s="83">
        <v>12010</v>
      </c>
      <c r="F243" s="77"/>
      <c r="G243" s="75">
        <v>7531662</v>
      </c>
      <c r="H243" s="75">
        <f t="shared" ref="H243:J243" si="58">H244+H245+H246</f>
        <v>-265203</v>
      </c>
      <c r="I243" s="42">
        <f t="shared" si="37"/>
        <v>7266459</v>
      </c>
      <c r="J243" s="75">
        <f t="shared" si="58"/>
        <v>7227779</v>
      </c>
    </row>
    <row r="244" spans="1:10" s="20" customFormat="1" ht="101.25" customHeight="1">
      <c r="A244" s="41" t="str">
        <f>IF(B244&gt;0,VLOOKUP(B244,КВСР!A165:B1330,2),IF(C244&gt;0,VLOOKUP(C244,КФСР!A165:B1677,2),IF(D244&gt;0,VLOOKUP(D244,Программа!A$1:B$5063,2),IF(F244&gt;0,VLOOKUP(F244,КВР!A$1:B$5001,2),IF(E244&gt;0,VLOOKUP(E244,Направление!A$1:B$4755,2))))))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4" s="83"/>
      <c r="C244" s="76"/>
      <c r="D244" s="81"/>
      <c r="E244" s="82"/>
      <c r="F244" s="77">
        <v>100</v>
      </c>
      <c r="G244" s="341">
        <v>6725038</v>
      </c>
      <c r="H244" s="337">
        <v>-60009</v>
      </c>
      <c r="I244" s="42">
        <f t="shared" si="37"/>
        <v>6665029</v>
      </c>
      <c r="J244" s="337">
        <v>6641693</v>
      </c>
    </row>
    <row r="245" spans="1:10" s="20" customFormat="1" ht="31.5">
      <c r="A245" s="41" t="str">
        <f>IF(B245&gt;0,VLOOKUP(B245,КВСР!A166:B1331,2),IF(C245&gt;0,VLOOKUP(C245,КФСР!A166:B1678,2),IF(D245&gt;0,VLOOKUP(D245,Программа!A$1:B$5063,2),IF(F245&gt;0,VLOOKUP(F245,КВР!A$1:B$5001,2),IF(E245&gt;0,VLOOKUP(E245,Направление!A$1:B$4755,2))))))</f>
        <v>Закупка товаров, работ и услуг для государственных нужд</v>
      </c>
      <c r="B245" s="83"/>
      <c r="C245" s="76"/>
      <c r="D245" s="81"/>
      <c r="E245" s="82"/>
      <c r="F245" s="77">
        <v>200</v>
      </c>
      <c r="G245" s="341">
        <v>737624</v>
      </c>
      <c r="H245" s="337">
        <v>-200000</v>
      </c>
      <c r="I245" s="42">
        <f t="shared" si="37"/>
        <v>537624</v>
      </c>
      <c r="J245" s="337">
        <v>522281</v>
      </c>
    </row>
    <row r="246" spans="1:10" s="20" customFormat="1">
      <c r="A246" s="41" t="str">
        <f>IF(B246&gt;0,VLOOKUP(B246,КВСР!A167:B1332,2),IF(C246&gt;0,VLOOKUP(C246,КФСР!A167:B1679,2),IF(D246&gt;0,VLOOKUP(D246,Программа!A$1:B$5063,2),IF(F246&gt;0,VLOOKUP(F246,КВР!A$1:B$5001,2),IF(E246&gt;0,VLOOKUP(E246,Направление!A$1:B$4755,2))))))</f>
        <v>Иные бюджетные ассигнования</v>
      </c>
      <c r="B246" s="83"/>
      <c r="C246" s="76"/>
      <c r="D246" s="81"/>
      <c r="E246" s="82"/>
      <c r="F246" s="77">
        <v>800</v>
      </c>
      <c r="G246" s="341">
        <v>69000</v>
      </c>
      <c r="H246" s="337">
        <v>-5194</v>
      </c>
      <c r="I246" s="42">
        <f t="shared" si="37"/>
        <v>63806</v>
      </c>
      <c r="J246" s="337">
        <v>63805</v>
      </c>
    </row>
    <row r="247" spans="1:10" s="20" customFormat="1" ht="31.5">
      <c r="A247" s="41" t="str">
        <f>IF(B247&gt;0,VLOOKUP(B247,КВСР!A168:B1333,2),IF(C247&gt;0,VLOOKUP(C247,КФСР!A168:B1680,2),IF(D247&gt;0,VLOOKUP(D247,Программа!A$1:B$5063,2),IF(F247&gt;0,VLOOKUP(F247,КВР!A$1:B$5001,2),IF(E247&gt;0,VLOOKUP(E247,Направление!A$1:B$4755,2))))))</f>
        <v>Выполнение других обязательств органов местного самоуправления</v>
      </c>
      <c r="B247" s="83"/>
      <c r="C247" s="76"/>
      <c r="D247" s="69"/>
      <c r="E247" s="82">
        <v>12080</v>
      </c>
      <c r="F247" s="77"/>
      <c r="G247" s="42">
        <v>863000</v>
      </c>
      <c r="H247" s="42">
        <f t="shared" ref="H247:J247" si="59">H248</f>
        <v>-140000</v>
      </c>
      <c r="I247" s="42">
        <f t="shared" si="37"/>
        <v>723000</v>
      </c>
      <c r="J247" s="42">
        <f t="shared" si="59"/>
        <v>704521</v>
      </c>
    </row>
    <row r="248" spans="1:10" s="20" customFormat="1" ht="31.5">
      <c r="A248" s="41" t="str">
        <f>IF(B248&gt;0,VLOOKUP(B248,КВСР!A169:B1334,2),IF(C248&gt;0,VLOOKUP(C248,КФСР!A169:B1681,2),IF(D248&gt;0,VLOOKUP(D248,Программа!A$1:B$5063,2),IF(F248&gt;0,VLOOKUP(F248,КВР!A$1:B$5001,2),IF(E248&gt;0,VLOOKUP(E248,Направление!A$1:B$4755,2))))))</f>
        <v>Закупка товаров, работ и услуг для государственных нужд</v>
      </c>
      <c r="B248" s="83"/>
      <c r="C248" s="76"/>
      <c r="D248" s="81"/>
      <c r="E248" s="82"/>
      <c r="F248" s="77">
        <v>200</v>
      </c>
      <c r="G248" s="341">
        <v>863000</v>
      </c>
      <c r="H248" s="337">
        <v>-140000</v>
      </c>
      <c r="I248" s="42">
        <f t="shared" si="37"/>
        <v>723000</v>
      </c>
      <c r="J248" s="337">
        <v>704521</v>
      </c>
    </row>
    <row r="249" spans="1:10" s="20" customFormat="1" ht="47.25">
      <c r="A249" s="41" t="str">
        <f>IF(B249&gt;0,VLOOKUP(B249,КВСР!A170:B1335,2),IF(C249&gt;0,VLOOKUP(C249,КФСР!A170:B1682,2),IF(D249&gt;0,VLOOKUP(D249,Программа!A$1:B$5063,2),IF(F249&gt;0,VLOOKUP(F249,КВР!A$1:B$5001,2),IF(E249&gt;0,VLOOKUP(E249,Направление!A$1:B$4755,2))))))</f>
        <v>Оценка недвижимости, признание прав и регулирование отношений по муниципальной собственности</v>
      </c>
      <c r="B249" s="83"/>
      <c r="C249" s="76"/>
      <c r="D249" s="69"/>
      <c r="E249" s="82">
        <v>12090</v>
      </c>
      <c r="F249" s="77"/>
      <c r="G249" s="42">
        <v>250000</v>
      </c>
      <c r="H249" s="42">
        <f t="shared" ref="H249:J249" si="60">H250</f>
        <v>-6795</v>
      </c>
      <c r="I249" s="42">
        <f t="shared" si="37"/>
        <v>243205</v>
      </c>
      <c r="J249" s="42">
        <f t="shared" si="60"/>
        <v>243204</v>
      </c>
    </row>
    <row r="250" spans="1:10" s="20" customFormat="1" ht="31.5">
      <c r="A250" s="41" t="str">
        <f>IF(B250&gt;0,VLOOKUP(B250,КВСР!A171:B1336,2),IF(C250&gt;0,VLOOKUP(C250,КФСР!A171:B1683,2),IF(D250&gt;0,VLOOKUP(D250,Программа!A$1:B$5063,2),IF(F250&gt;0,VLOOKUP(F250,КВР!A$1:B$5001,2),IF(E250&gt;0,VLOOKUP(E250,Направление!A$1:B$4755,2))))))</f>
        <v>Закупка товаров, работ и услуг для государственных нужд</v>
      </c>
      <c r="B250" s="83"/>
      <c r="C250" s="76"/>
      <c r="D250" s="81"/>
      <c r="E250" s="82"/>
      <c r="F250" s="77">
        <v>200</v>
      </c>
      <c r="G250" s="341">
        <v>250000</v>
      </c>
      <c r="H250" s="337">
        <v>-6795</v>
      </c>
      <c r="I250" s="42">
        <f t="shared" si="37"/>
        <v>243205</v>
      </c>
      <c r="J250" s="337">
        <v>243204</v>
      </c>
    </row>
    <row r="251" spans="1:10" s="20" customFormat="1" ht="47.25">
      <c r="A251" s="41" t="str">
        <f>IF(B251&gt;0,VLOOKUP(B251,КВСР!A172:B1337,2),IF(C251&gt;0,VLOOKUP(C251,КФСР!A172:B1684,2),IF(D251&gt;0,VLOOKUP(D251,Программа!A$1:B$5063,2),IF(F251&gt;0,VLOOKUP(F251,КВР!A$1:B$5001,2),IF(E251&gt;0,VLOOKUP(E251,Направление!A$1:B$4755,2))))))</f>
        <v>Исполнение судебных актов, актов других органов и должностных лиц, иных документов</v>
      </c>
      <c r="B251" s="83"/>
      <c r="C251" s="76"/>
      <c r="D251" s="81"/>
      <c r="E251" s="82">
        <v>12130</v>
      </c>
      <c r="F251" s="77"/>
      <c r="G251" s="341">
        <v>2043435</v>
      </c>
      <c r="H251" s="341">
        <f t="shared" ref="H251:J251" si="61">H252</f>
        <v>-30</v>
      </c>
      <c r="I251" s="341">
        <f t="shared" si="61"/>
        <v>2043405</v>
      </c>
      <c r="J251" s="341">
        <f t="shared" si="61"/>
        <v>2043333</v>
      </c>
    </row>
    <row r="252" spans="1:10" s="20" customFormat="1">
      <c r="A252" s="41" t="str">
        <f>IF(B252&gt;0,VLOOKUP(B252,КВСР!A173:B1338,2),IF(C252&gt;0,VLOOKUP(C252,КФСР!A173:B1685,2),IF(D252&gt;0,VLOOKUP(D252,Программа!A$1:B$5063,2),IF(F252&gt;0,VLOOKUP(F252,КВР!A$1:B$5001,2),IF(E252&gt;0,VLOOKUP(E252,Направление!A$1:B$4755,2))))))</f>
        <v>Иные бюджетные ассигнования</v>
      </c>
      <c r="B252" s="83"/>
      <c r="C252" s="76"/>
      <c r="D252" s="81"/>
      <c r="E252" s="82"/>
      <c r="F252" s="77">
        <v>800</v>
      </c>
      <c r="G252" s="341">
        <v>2043435</v>
      </c>
      <c r="H252" s="337">
        <v>-30</v>
      </c>
      <c r="I252" s="42">
        <f>G252+H252</f>
        <v>2043405</v>
      </c>
      <c r="J252" s="337">
        <v>2043333</v>
      </c>
    </row>
    <row r="253" spans="1:10" s="20" customFormat="1" ht="47.25">
      <c r="A253" s="41" t="str">
        <f>IF(B253&gt;0,VLOOKUP(B253,КВСР!A174:B1339,2),IF(C253&gt;0,VLOOKUP(C253,КФСР!A174:B1686,2),IF(D253&gt;0,VLOOKUP(D253,Программа!A$1:B$5063,2),IF(F253&gt;0,VLOOKUP(F253,КВР!A$1:B$5001,2),IF(E253&gt;0,VLOOKUP(E253,Направление!A$1:B$4755,2))))))</f>
        <v>Содержание органов местного самоуправления за счет средств поселений</v>
      </c>
      <c r="B253" s="83"/>
      <c r="C253" s="76"/>
      <c r="D253" s="81"/>
      <c r="E253" s="82">
        <v>29016</v>
      </c>
      <c r="F253" s="77"/>
      <c r="G253" s="341">
        <v>1207978</v>
      </c>
      <c r="H253" s="341">
        <f t="shared" ref="H253:J253" si="62">H254+H255</f>
        <v>0</v>
      </c>
      <c r="I253" s="42">
        <f t="shared" si="37"/>
        <v>1207978</v>
      </c>
      <c r="J253" s="341">
        <f t="shared" si="62"/>
        <v>1207978</v>
      </c>
    </row>
    <row r="254" spans="1:10" s="20" customFormat="1" ht="96.75" customHeight="1">
      <c r="A254" s="41" t="str">
        <f>IF(B254&gt;0,VLOOKUP(B254,КВСР!A175:B1340,2),IF(C254&gt;0,VLOOKUP(C254,КФСР!A175:B1687,2),IF(D254&gt;0,VLOOKUP(D254,Программа!A$1:B$5063,2),IF(F254&gt;0,VLOOKUP(F254,КВР!A$1:B$5001,2),IF(E254&gt;0,VLOOKUP(E254,Направление!A$1:B$4755,2))))))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4" s="83"/>
      <c r="C254" s="76"/>
      <c r="D254" s="81"/>
      <c r="E254" s="82"/>
      <c r="F254" s="77">
        <v>100</v>
      </c>
      <c r="G254" s="341">
        <v>1098162</v>
      </c>
      <c r="H254" s="337"/>
      <c r="I254" s="42">
        <f t="shared" si="37"/>
        <v>1098162</v>
      </c>
      <c r="J254" s="337">
        <v>1098162</v>
      </c>
    </row>
    <row r="255" spans="1:10" s="20" customFormat="1" ht="31.5">
      <c r="A255" s="41" t="str">
        <f>IF(B255&gt;0,VLOOKUP(B255,КВСР!A176:B1341,2),IF(C255&gt;0,VLOOKUP(C255,КФСР!A176:B1688,2),IF(D255&gt;0,VLOOKUP(D255,Программа!A$1:B$5063,2),IF(F255&gt;0,VLOOKUP(F255,КВР!A$1:B$5001,2),IF(E255&gt;0,VLOOKUP(E255,Направление!A$1:B$4755,2))))))</f>
        <v>Закупка товаров, работ и услуг для государственных нужд</v>
      </c>
      <c r="B255" s="83"/>
      <c r="C255" s="76"/>
      <c r="D255" s="81"/>
      <c r="E255" s="82"/>
      <c r="F255" s="77">
        <v>200</v>
      </c>
      <c r="G255" s="341">
        <v>109816</v>
      </c>
      <c r="H255" s="337"/>
      <c r="I255" s="42">
        <f t="shared" si="37"/>
        <v>109816</v>
      </c>
      <c r="J255" s="337">
        <v>109816</v>
      </c>
    </row>
    <row r="256" spans="1:10" s="20" customFormat="1" ht="94.5">
      <c r="A256" s="41" t="str">
        <f>IF(B256&gt;0,VLOOKUP(B256,КВСР!A177:B1342,2),IF(C256&gt;0,VLOOKUP(C256,КФСР!A177:B1689,2),IF(D256&gt;0,VLOOKUP(D256,Программа!A$1:B$5063,2),IF(F256&gt;0,VLOOKUP(F256,КВР!A$1:B$5001,2),IF(E256&gt;0,VLOOKUP(E256,Направление!A$1:B$4755,2))))))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256" s="83"/>
      <c r="C256" s="76"/>
      <c r="D256" s="69"/>
      <c r="E256" s="82">
        <v>29026</v>
      </c>
      <c r="F256" s="77"/>
      <c r="G256" s="42">
        <v>328000</v>
      </c>
      <c r="H256" s="341">
        <f>H257</f>
        <v>0</v>
      </c>
      <c r="I256" s="42">
        <f t="shared" si="37"/>
        <v>328000</v>
      </c>
      <c r="J256" s="341">
        <f>J257</f>
        <v>117400</v>
      </c>
    </row>
    <row r="257" spans="1:10" s="20" customFormat="1" ht="31.5">
      <c r="A257" s="41" t="str">
        <f>IF(B257&gt;0,VLOOKUP(B257,КВСР!A178:B1343,2),IF(C257&gt;0,VLOOKUP(C257,КФСР!A178:B1690,2),IF(D257&gt;0,VLOOKUP(D257,Программа!A$1:B$5063,2),IF(F257&gt;0,VLOOKUP(F257,КВР!A$1:B$5001,2),IF(E257&gt;0,VLOOKUP(E257,Направление!A$1:B$4755,2))))))</f>
        <v>Закупка товаров, работ и услуг для государственных нужд</v>
      </c>
      <c r="B257" s="83"/>
      <c r="C257" s="76"/>
      <c r="D257" s="81"/>
      <c r="E257" s="82"/>
      <c r="F257" s="77">
        <v>200</v>
      </c>
      <c r="G257" s="341">
        <v>328000</v>
      </c>
      <c r="H257" s="337"/>
      <c r="I257" s="42">
        <f t="shared" si="37"/>
        <v>328000</v>
      </c>
      <c r="J257" s="337">
        <v>117400</v>
      </c>
    </row>
    <row r="258" spans="1:10" s="20" customFormat="1" ht="63">
      <c r="A258" s="41" t="str">
        <f>IF(B258&gt;0,VLOOKUP(B258,КВСР!A179:B1344,2),IF(C258&gt;0,VLOOKUP(C258,КФСР!A179:B1691,2),IF(D258&gt;0,VLOOKUP(D258,Программа!A$1:B$5063,2),IF(F258&gt;0,VLOOKUP(F258,КВР!A$1:B$5001,2),IF(E258&gt;0,VLOOKUP(E258,Направление!A$1:B$4755,2))))))</f>
        <v>Обеспечение других обязательств в рамках передаваемых полномочий по содержанию имущества казны городского поселения Тутаев</v>
      </c>
      <c r="B258" s="83"/>
      <c r="C258" s="76"/>
      <c r="D258" s="81"/>
      <c r="E258" s="82">
        <v>29556</v>
      </c>
      <c r="F258" s="81"/>
      <c r="G258" s="341">
        <v>78880</v>
      </c>
      <c r="H258" s="341">
        <f t="shared" ref="H258:J258" si="63">H259</f>
        <v>0</v>
      </c>
      <c r="I258" s="341">
        <f t="shared" si="63"/>
        <v>78880</v>
      </c>
      <c r="J258" s="341">
        <f t="shared" si="63"/>
        <v>77014</v>
      </c>
    </row>
    <row r="259" spans="1:10" s="20" customFormat="1" ht="31.5">
      <c r="A259" s="41" t="str">
        <f>IF(B259&gt;0,VLOOKUP(B259,КВСР!A180:B1345,2),IF(C259&gt;0,VLOOKUP(C259,КФСР!A180:B1692,2),IF(D259&gt;0,VLOOKUP(D259,Программа!A$1:B$5063,2),IF(F259&gt;0,VLOOKUP(F259,КВР!A$1:B$5001,2),IF(E259&gt;0,VLOOKUP(E259,Направление!A$1:B$4755,2))))))</f>
        <v>Закупка товаров, работ и услуг для государственных нужд</v>
      </c>
      <c r="B259" s="83"/>
      <c r="C259" s="76"/>
      <c r="D259" s="81"/>
      <c r="E259" s="83"/>
      <c r="F259" s="77">
        <v>200</v>
      </c>
      <c r="G259" s="341">
        <v>78880</v>
      </c>
      <c r="H259" s="337"/>
      <c r="I259" s="42">
        <f>G259+H259</f>
        <v>78880</v>
      </c>
      <c r="J259" s="337">
        <v>77014</v>
      </c>
    </row>
    <row r="260" spans="1:10" s="20" customFormat="1" ht="31.5">
      <c r="A260" s="41" t="str">
        <f>IF(B260&gt;0,VLOOKUP(B260,КВСР!A179:B1344,2),IF(C260&gt;0,VLOOKUP(C260,КФСР!A179:B1691,2),IF(D260&gt;0,VLOOKUP(D260,Программа!A$1:B$5063,2),IF(F260&gt;0,VLOOKUP(F260,КВР!A$1:B$5001,2),IF(E260&gt;0,VLOOKUP(E260,Направление!A$1:B$4755,2))))))</f>
        <v>Другие вопросы в области национальной экономики</v>
      </c>
      <c r="B260" s="83"/>
      <c r="C260" s="76">
        <v>412</v>
      </c>
      <c r="D260" s="391"/>
      <c r="E260" s="83"/>
      <c r="F260" s="77"/>
      <c r="G260" s="42">
        <v>760000</v>
      </c>
      <c r="H260" s="42">
        <f>H261</f>
        <v>-8300</v>
      </c>
      <c r="I260" s="42">
        <f t="shared" si="37"/>
        <v>751700</v>
      </c>
      <c r="J260" s="42">
        <f>J261</f>
        <v>750137</v>
      </c>
    </row>
    <row r="261" spans="1:10" s="20" customFormat="1">
      <c r="A261" s="41" t="str">
        <f>IF(B261&gt;0,VLOOKUP(B261,КВСР!A180:B1345,2),IF(C261&gt;0,VLOOKUP(C261,КФСР!A180:B1692,2),IF(D261&gt;0,VLOOKUP(D261,Программа!A$1:B$5063,2),IF(F261&gt;0,VLOOKUP(F261,КВР!A$1:B$5001,2),IF(E261&gt;0,VLOOKUP(E261,Направление!A$1:B$4755,2))))))</f>
        <v>Непрограммные расходы бюджета</v>
      </c>
      <c r="B261" s="83"/>
      <c r="C261" s="76"/>
      <c r="D261" s="391" t="s">
        <v>2808</v>
      </c>
      <c r="E261" s="83"/>
      <c r="F261" s="77"/>
      <c r="G261" s="42">
        <v>760000</v>
      </c>
      <c r="H261" s="42">
        <f>H262+H264</f>
        <v>-8300</v>
      </c>
      <c r="I261" s="42">
        <f t="shared" si="37"/>
        <v>751700</v>
      </c>
      <c r="J261" s="42">
        <f>J262+J264</f>
        <v>750137</v>
      </c>
    </row>
    <row r="262" spans="1:10" s="20" customFormat="1" ht="31.5">
      <c r="A262" s="41" t="str">
        <f>IF(B262&gt;0,VLOOKUP(B262,КВСР!A181:B1346,2),IF(C262&gt;0,VLOOKUP(C262,КФСР!A181:B1693,2),IF(D262&gt;0,VLOOKUP(D262,Программа!A$1:B$5063,2),IF(F262&gt;0,VLOOKUP(F262,КВР!A$1:B$5001,2),IF(E262&gt;0,VLOOKUP(E262,Направление!A$1:B$4755,2))))))</f>
        <v>Мероприятия по землеустройству и землепользованию</v>
      </c>
      <c r="B262" s="83"/>
      <c r="C262" s="76"/>
      <c r="D262" s="391"/>
      <c r="E262" s="83">
        <v>10510</v>
      </c>
      <c r="F262" s="77"/>
      <c r="G262" s="42">
        <v>510000</v>
      </c>
      <c r="H262" s="42">
        <f t="shared" ref="H262:J262" si="64">H263</f>
        <v>-8300</v>
      </c>
      <c r="I262" s="42">
        <f t="shared" si="37"/>
        <v>501700</v>
      </c>
      <c r="J262" s="42">
        <f t="shared" si="64"/>
        <v>501637</v>
      </c>
    </row>
    <row r="263" spans="1:10" s="20" customFormat="1" ht="31.5">
      <c r="A263" s="41" t="str">
        <f>IF(B263&gt;0,VLOOKUP(B263,КВСР!A182:B1347,2),IF(C263&gt;0,VLOOKUP(C263,КФСР!A182:B1694,2),IF(D263&gt;0,VLOOKUP(D263,Программа!A$1:B$5063,2),IF(F263&gt;0,VLOOKUP(F263,КВР!A$1:B$5001,2),IF(E263&gt;0,VLOOKUP(E263,Направление!A$1:B$4755,2))))))</f>
        <v>Закупка товаров, работ и услуг для государственных нужд</v>
      </c>
      <c r="B263" s="83"/>
      <c r="C263" s="76"/>
      <c r="D263" s="77"/>
      <c r="E263" s="83"/>
      <c r="F263" s="77">
        <v>200</v>
      </c>
      <c r="G263" s="341">
        <v>510000</v>
      </c>
      <c r="H263" s="337">
        <v>-8300</v>
      </c>
      <c r="I263" s="42">
        <f t="shared" si="37"/>
        <v>501700</v>
      </c>
      <c r="J263" s="337">
        <v>501637</v>
      </c>
    </row>
    <row r="264" spans="1:10" s="20" customFormat="1" ht="66.75" customHeight="1">
      <c r="A264" s="41" t="str">
        <f>IF(B264&gt;0,VLOOKUP(B264,КВСР!A183:B1348,2),IF(C264&gt;0,VLOOKUP(C264,КФСР!A183:B1695,2),IF(D264&gt;0,VLOOKUP(D264,Программа!A$1:B$5063,2),IF(F264&gt;0,VLOOKUP(F264,КВР!A$1:B$5001,2),IF(E264&gt;0,VLOOKUP(E264,Направление!A$1:B$4755,2))))))</f>
        <v>Обеспечение мероприятий  по землеустройству и землепользованию,   определению кадастровой стоимости и приобретению прав собственности</v>
      </c>
      <c r="B264" s="83"/>
      <c r="C264" s="76"/>
      <c r="D264" s="77"/>
      <c r="E264" s="83">
        <v>29276</v>
      </c>
      <c r="F264" s="77"/>
      <c r="G264" s="341">
        <v>250000</v>
      </c>
      <c r="H264" s="341">
        <f>H265</f>
        <v>0</v>
      </c>
      <c r="I264" s="42">
        <f t="shared" si="37"/>
        <v>250000</v>
      </c>
      <c r="J264" s="341">
        <f>J265</f>
        <v>248500</v>
      </c>
    </row>
    <row r="265" spans="1:10" s="20" customFormat="1" ht="31.5">
      <c r="A265" s="41" t="str">
        <f>IF(B265&gt;0,VLOOKUP(B265,КВСР!A184:B1349,2),IF(C265&gt;0,VLOOKUP(C265,КФСР!A184:B1696,2),IF(D265&gt;0,VLOOKUP(D265,Программа!A$1:B$5063,2),IF(F265&gt;0,VLOOKUP(F265,КВР!A$1:B$5001,2),IF(E265&gt;0,VLOOKUP(E265,Направление!A$1:B$4755,2))))))</f>
        <v>Закупка товаров, работ и услуг для государственных нужд</v>
      </c>
      <c r="B265" s="83"/>
      <c r="C265" s="76"/>
      <c r="D265" s="77"/>
      <c r="E265" s="83"/>
      <c r="F265" s="77">
        <v>200</v>
      </c>
      <c r="G265" s="341">
        <v>250000</v>
      </c>
      <c r="H265" s="337"/>
      <c r="I265" s="42">
        <f t="shared" si="37"/>
        <v>250000</v>
      </c>
      <c r="J265" s="337">
        <v>248500</v>
      </c>
    </row>
    <row r="266" spans="1:10" s="20" customFormat="1">
      <c r="A266" s="41" t="str">
        <f>IF(B266&gt;0,VLOOKUP(B266,КВСР!A185:B1350,2),IF(C266&gt;0,VLOOKUP(C266,КФСР!A185:B1697,2),IF(D266&gt;0,VLOOKUP(D266,Программа!A$1:B$5063,2),IF(F266&gt;0,VLOOKUP(F266,КВР!A$1:B$5001,2),IF(E266&gt;0,VLOOKUP(E266,Направление!A$1:B$4755,2))))))</f>
        <v>Жилищное хозяйство</v>
      </c>
      <c r="B266" s="83"/>
      <c r="C266" s="76">
        <v>501</v>
      </c>
      <c r="D266" s="77"/>
      <c r="E266" s="83"/>
      <c r="F266" s="77"/>
      <c r="G266" s="341">
        <v>281650</v>
      </c>
      <c r="H266" s="341">
        <f t="shared" ref="H266:J268" si="65">H267</f>
        <v>-28489</v>
      </c>
      <c r="I266" s="42">
        <f t="shared" si="37"/>
        <v>253161</v>
      </c>
      <c r="J266" s="341">
        <f t="shared" si="65"/>
        <v>253161</v>
      </c>
    </row>
    <row r="267" spans="1:10" s="20" customFormat="1">
      <c r="A267" s="41" t="str">
        <f>IF(B267&gt;0,VLOOKUP(B267,КВСР!A186:B1351,2),IF(C267&gt;0,VLOOKUP(C267,КФСР!A186:B1698,2),IF(D267&gt;0,VLOOKUP(D267,Программа!A$1:B$5063,2),IF(F267&gt;0,VLOOKUP(F267,КВР!A$1:B$5001,2),IF(E267&gt;0,VLOOKUP(E267,Направление!A$1:B$4755,2))))))</f>
        <v>Непрограммные расходы бюджета</v>
      </c>
      <c r="B267" s="83"/>
      <c r="C267" s="76"/>
      <c r="D267" s="77" t="s">
        <v>2808</v>
      </c>
      <c r="E267" s="83"/>
      <c r="F267" s="77"/>
      <c r="G267" s="341">
        <v>281650</v>
      </c>
      <c r="H267" s="341">
        <f t="shared" si="65"/>
        <v>-28489</v>
      </c>
      <c r="I267" s="42">
        <f t="shared" si="37"/>
        <v>253161</v>
      </c>
      <c r="J267" s="341">
        <f t="shared" si="65"/>
        <v>253161</v>
      </c>
    </row>
    <row r="268" spans="1:10" s="20" customFormat="1" ht="47.25">
      <c r="A268" s="41" t="str">
        <f>IF(B268&gt;0,VLOOKUP(B268,КВСР!A187:B1352,2),IF(C268&gt;0,VLOOKUP(C268,КФСР!A187:B1699,2),IF(D268&gt;0,VLOOKUP(D268,Программа!A$1:B$5063,2),IF(F268&gt;0,VLOOKUP(F268,КВР!A$1:B$5001,2),IF(E268&gt;0,VLOOKUP(E268,Направление!A$1:B$4755,2))))))</f>
        <v>Взносы на  капитальный ремонт  жилых помещений муниципального жилищного фонда</v>
      </c>
      <c r="B268" s="83"/>
      <c r="C268" s="76"/>
      <c r="D268" s="77"/>
      <c r="E268" s="83">
        <v>10370</v>
      </c>
      <c r="F268" s="77"/>
      <c r="G268" s="341">
        <v>281650</v>
      </c>
      <c r="H268" s="341">
        <f t="shared" si="65"/>
        <v>-28489</v>
      </c>
      <c r="I268" s="42">
        <f t="shared" si="37"/>
        <v>253161</v>
      </c>
      <c r="J268" s="341">
        <f t="shared" si="65"/>
        <v>253161</v>
      </c>
    </row>
    <row r="269" spans="1:10" s="20" customFormat="1" ht="31.5">
      <c r="A269" s="41" t="str">
        <f>IF(B269&gt;0,VLOOKUP(B269,КВСР!A188:B1353,2),IF(C269&gt;0,VLOOKUP(C269,КФСР!A188:B1700,2),IF(D269&gt;0,VLOOKUP(D269,Программа!A$1:B$5063,2),IF(F269&gt;0,VLOOKUP(F269,КВР!A$1:B$5001,2),IF(E269&gt;0,VLOOKUP(E269,Направление!A$1:B$4755,2))))))</f>
        <v>Закупка товаров, работ и услуг для государственных нужд</v>
      </c>
      <c r="B269" s="83"/>
      <c r="C269" s="76"/>
      <c r="D269" s="77"/>
      <c r="E269" s="83"/>
      <c r="F269" s="77">
        <v>200</v>
      </c>
      <c r="G269" s="341">
        <v>281650</v>
      </c>
      <c r="H269" s="337">
        <v>-28489</v>
      </c>
      <c r="I269" s="42">
        <f t="shared" si="37"/>
        <v>253161</v>
      </c>
      <c r="J269" s="337">
        <v>253161</v>
      </c>
    </row>
    <row r="270" spans="1:10" ht="31.5">
      <c r="A270" s="41" t="str">
        <f>IF(B270&gt;0,VLOOKUP(B270,КВСР!A189:B1354,2),IF(C270&gt;0,VLOOKUP(C270,КФСР!A189:B1701,2),IF(D270&gt;0,VLOOKUP(D270,Программа!A$1:B$5063,2),IF(F270&gt;0,VLOOKUP(F270,КВР!A$1:B$5001,2),IF(E270&gt;0,VLOOKUP(E270,Направление!A$1:B$4755,2))))))</f>
        <v>Департамент образования Администрации ТМР</v>
      </c>
      <c r="B270" s="79">
        <v>953</v>
      </c>
      <c r="C270" s="80"/>
      <c r="D270" s="69"/>
      <c r="E270" s="82"/>
      <c r="F270" s="81"/>
      <c r="G270" s="47">
        <v>915485678</v>
      </c>
      <c r="H270" s="47">
        <f>H271+H291+H322+H337+H421+H453+H444</f>
        <v>53522823</v>
      </c>
      <c r="I270" s="78">
        <f t="shared" si="37"/>
        <v>969008501</v>
      </c>
      <c r="J270" s="47">
        <f>J271+J291+J322+J337+J421+J453+J444</f>
        <v>918971211</v>
      </c>
    </row>
    <row r="271" spans="1:10">
      <c r="A271" s="41" t="str">
        <f>IF(B271&gt;0,VLOOKUP(B271,КВСР!A190:B1355,2),IF(C271&gt;0,VLOOKUP(C271,КФСР!A190:B1702,2),IF(D271&gt;0,VLOOKUP(D271,Программа!A$1:B$5063,2),IF(F271&gt;0,VLOOKUP(F271,КВР!A$1:B$5001,2),IF(E271&gt;0,VLOOKUP(E271,Направление!A$1:B$4755,2))))))</f>
        <v>Дошкольное образование</v>
      </c>
      <c r="B271" s="83"/>
      <c r="C271" s="76">
        <v>701</v>
      </c>
      <c r="D271" s="391"/>
      <c r="E271" s="83"/>
      <c r="F271" s="77"/>
      <c r="G271" s="75">
        <v>303287896</v>
      </c>
      <c r="H271" s="75">
        <f>H272+H288+H283</f>
        <v>19251303</v>
      </c>
      <c r="I271" s="42">
        <f t="shared" si="37"/>
        <v>322539199</v>
      </c>
      <c r="J271" s="75">
        <f>J272+J288+J283</f>
        <v>309219553</v>
      </c>
    </row>
    <row r="272" spans="1:10" ht="63">
      <c r="A272" s="41" t="str">
        <f>IF(B272&gt;0,VLOOKUP(B272,КВСР!A191:B1356,2),IF(C272&gt;0,VLOOKUP(C272,КФСР!A191:B1703,2),IF(D272&gt;0,VLOOKUP(D272,Программа!A$1:B$5063,2),IF(F272&gt;0,VLOOKUP(F272,КВР!A$1:B$5001,2),IF(E272&gt;0,VLOOKUP(E272,Направление!A$1:B$4755,2))))))</f>
        <v>Муниципальная программа "Развитие образования, физической культуры и спорта в Тутаевском муниципальном районе"</v>
      </c>
      <c r="B272" s="83"/>
      <c r="C272" s="76"/>
      <c r="D272" s="391" t="s">
        <v>2695</v>
      </c>
      <c r="E272" s="83"/>
      <c r="F272" s="77"/>
      <c r="G272" s="75">
        <v>303249896</v>
      </c>
      <c r="H272" s="75">
        <f t="shared" ref="H272:J272" si="66">H274</f>
        <v>19251303</v>
      </c>
      <c r="I272" s="42">
        <f t="shared" si="37"/>
        <v>322501199</v>
      </c>
      <c r="J272" s="75">
        <f t="shared" si="66"/>
        <v>309181553</v>
      </c>
    </row>
    <row r="273" spans="1:10" ht="63">
      <c r="A273" s="41" t="str">
        <f>IF(B273&gt;0,VLOOKUP(B273,КВСР!A192:B1357,2),IF(C273&gt;0,VLOOKUP(C273,КФСР!A192:B1704,2),IF(D273&gt;0,VLOOKUP(D273,Программа!A$1:B$5063,2),IF(F273&gt;0,VLOOKUP(F273,КВР!A$1:B$5001,2),IF(E273&gt;0,VLOOKUP(E273,Направление!A$1:B$4755,2))))))</f>
        <v xml:space="preserve">Ведомственная целевая программа департамента образования Администрации Тутаевского муниципального района </v>
      </c>
      <c r="B273" s="83"/>
      <c r="C273" s="76"/>
      <c r="D273" s="391" t="s">
        <v>2696</v>
      </c>
      <c r="E273" s="83"/>
      <c r="F273" s="77"/>
      <c r="G273" s="75">
        <v>303249896</v>
      </c>
      <c r="H273" s="75">
        <f t="shared" ref="H273:J273" si="67">H274</f>
        <v>19251303</v>
      </c>
      <c r="I273" s="42">
        <f t="shared" si="37"/>
        <v>322501199</v>
      </c>
      <c r="J273" s="75">
        <f t="shared" si="67"/>
        <v>309181553</v>
      </c>
    </row>
    <row r="274" spans="1:10" ht="64.5" customHeight="1">
      <c r="A274" s="41" t="str">
        <f>IF(B274&gt;0,VLOOKUP(B274,КВСР!A193:B1358,2),IF(C274&gt;0,VLOOKUP(C274,КФСР!A193:B1705,2),IF(D274&gt;0,VLOOKUP(D274,Программа!A$1:B$5063,2),IF(F274&gt;0,VLOOKUP(F274,КВР!A$1:B$5001,2),IF(E274&gt;0,VLOOKUP(E274,Направление!A$1:B$4755,2))))))</f>
        <v>Организация предоставления муниципальных услуг и выполнения работ  муниципальными учреждениями сферы образования</v>
      </c>
      <c r="B274" s="83"/>
      <c r="C274" s="76"/>
      <c r="D274" s="391" t="s">
        <v>2697</v>
      </c>
      <c r="E274" s="83"/>
      <c r="F274" s="77"/>
      <c r="G274" s="75">
        <v>303249896</v>
      </c>
      <c r="H274" s="75">
        <f>H275+H279+H281</f>
        <v>19251303</v>
      </c>
      <c r="I274" s="42">
        <f t="shared" si="37"/>
        <v>322501199</v>
      </c>
      <c r="J274" s="75">
        <f>J275+J279+J281</f>
        <v>309181553</v>
      </c>
    </row>
    <row r="275" spans="1:10" ht="31.5">
      <c r="A275" s="41" t="str">
        <f>IF(B275&gt;0,VLOOKUP(B275,КВСР!A194:B1359,2),IF(C275&gt;0,VLOOKUP(C275,КФСР!A194:B1706,2),IF(D275&gt;0,VLOOKUP(D275,Программа!A$1:B$5063,2),IF(F275&gt;0,VLOOKUP(F275,КВР!A$1:B$5001,2),IF(E275&gt;0,VLOOKUP(E275,Направление!A$1:B$4755,2))))))</f>
        <v>Обеспечение деятельности дошкольных учреждений</v>
      </c>
      <c r="B275" s="83"/>
      <c r="C275" s="76"/>
      <c r="D275" s="391"/>
      <c r="E275" s="83">
        <v>13010</v>
      </c>
      <c r="F275" s="77"/>
      <c r="G275" s="42">
        <v>109431596</v>
      </c>
      <c r="H275" s="42">
        <f>H277+H276+H278</f>
        <v>-26347</v>
      </c>
      <c r="I275" s="42">
        <f>I277+I276+I278</f>
        <v>109405249</v>
      </c>
      <c r="J275" s="42">
        <f>J277+J276+J278</f>
        <v>100075242</v>
      </c>
    </row>
    <row r="276" spans="1:10" ht="110.25">
      <c r="A276" s="41" t="str">
        <f>IF(B276&gt;0,VLOOKUP(B276,КВСР!A195:B1360,2),IF(C276&gt;0,VLOOKUP(C276,КФСР!A195:B1707,2),IF(D276&gt;0,VLOOKUP(D276,Программа!A$1:B$5063,2),IF(F276&gt;0,VLOOKUP(F276,КВР!A$1:B$5001,2),IF(E276&gt;0,VLOOKUP(E276,Направление!A$1:B$4755,2))))))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6" s="83"/>
      <c r="C276" s="76"/>
      <c r="D276" s="391"/>
      <c r="E276" s="83"/>
      <c r="F276" s="77">
        <v>100</v>
      </c>
      <c r="G276" s="42">
        <v>57254</v>
      </c>
      <c r="H276" s="42">
        <v>-4931</v>
      </c>
      <c r="I276" s="42">
        <f>G276+H276</f>
        <v>52323</v>
      </c>
      <c r="J276" s="42">
        <v>52323</v>
      </c>
    </row>
    <row r="277" spans="1:10" ht="63">
      <c r="A277" s="41" t="str">
        <f>IF(B277&gt;0,VLOOKUP(B277,КВСР!A195:B1360,2),IF(C277&gt;0,VLOOKUP(C277,КФСР!A195:B1707,2),IF(D277&gt;0,VLOOKUP(D277,Программа!A$1:B$5063,2),IF(F277&gt;0,VLOOKUP(F277,КВР!A$1:B$5001,2),IF(E277&gt;0,VLOOKUP(E277,Направление!A$1:B$4755,2))))))</f>
        <v>Предоставление субсидий бюджетным, автономным учреждениям и иным некоммерческим организациям</v>
      </c>
      <c r="B277" s="83"/>
      <c r="C277" s="76"/>
      <c r="D277" s="77"/>
      <c r="E277" s="83"/>
      <c r="F277" s="77">
        <v>600</v>
      </c>
      <c r="G277" s="341">
        <v>109350380</v>
      </c>
      <c r="H277" s="337">
        <f>-1-16282-3239</f>
        <v>-19522</v>
      </c>
      <c r="I277" s="42">
        <f t="shared" ref="I277:I346" si="68">SUM(G277:H277)</f>
        <v>109330858</v>
      </c>
      <c r="J277" s="337">
        <v>100000851</v>
      </c>
    </row>
    <row r="278" spans="1:10" ht="33" customHeight="1">
      <c r="A278" s="41" t="str">
        <f>IF(B278&gt;0,VLOOKUP(B278,КВСР!A196:B1361,2),IF(C278&gt;0,VLOOKUP(C278,КФСР!A196:B1708,2),IF(D278&gt;0,VLOOKUP(D278,Программа!A$1:B$5063,2),IF(F278&gt;0,VLOOKUP(F278,КВР!A$1:B$5001,2),IF(E278&gt;0,VLOOKUP(E278,Направление!A$1:B$4755,2))))))</f>
        <v>Иные бюджетные ассигнования</v>
      </c>
      <c r="B278" s="83"/>
      <c r="C278" s="76"/>
      <c r="D278" s="77"/>
      <c r="E278" s="83"/>
      <c r="F278" s="77">
        <v>800</v>
      </c>
      <c r="G278" s="341">
        <v>23962</v>
      </c>
      <c r="H278" s="337">
        <f>1-1895</f>
        <v>-1894</v>
      </c>
      <c r="I278" s="42">
        <f>G278+H278</f>
        <v>22068</v>
      </c>
      <c r="J278" s="337">
        <v>22068</v>
      </c>
    </row>
    <row r="279" spans="1:10" ht="110.25">
      <c r="A279" s="41" t="str">
        <f>IF(B279&gt;0,VLOOKUP(B279,КВСР!A196:B1361,2),IF(C279&gt;0,VLOOKUP(C279,КФСР!A196:B1708,2),IF(D279&gt;0,VLOOKUP(D279,Программа!A$1:B$5063,2),IF(F279&gt;0,VLOOKUP(F279,КВР!A$1:B$5001,2),IF(E279&gt;0,VLOOKUP(E279,Направление!A$1:B$4755,2))))))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79" s="83"/>
      <c r="C279" s="76"/>
      <c r="D279" s="391"/>
      <c r="E279" s="83">
        <v>70510</v>
      </c>
      <c r="F279" s="77"/>
      <c r="G279" s="42">
        <v>1841000</v>
      </c>
      <c r="H279" s="42">
        <f t="shared" ref="H279:J279" si="69">H280</f>
        <v>-490050</v>
      </c>
      <c r="I279" s="42">
        <f t="shared" si="68"/>
        <v>1350950</v>
      </c>
      <c r="J279" s="42">
        <f t="shared" si="69"/>
        <v>1320711</v>
      </c>
    </row>
    <row r="280" spans="1:10" ht="63">
      <c r="A280" s="41" t="str">
        <f>IF(B280&gt;0,VLOOKUP(B280,КВСР!A197:B1362,2),IF(C280&gt;0,VLOOKUP(C280,КФСР!A197:B1709,2),IF(D280&gt;0,VLOOKUP(D280,Программа!A$1:B$5063,2),IF(F280&gt;0,VLOOKUP(F280,КВР!A$1:B$5001,2),IF(E280&gt;0,VLOOKUP(E280,Направление!A$1:B$4755,2))))))</f>
        <v>Предоставление субсидий бюджетным, автономным учреждениям и иным некоммерческим организациям</v>
      </c>
      <c r="B280" s="83"/>
      <c r="C280" s="76"/>
      <c r="D280" s="77"/>
      <c r="E280" s="83"/>
      <c r="F280" s="77">
        <v>600</v>
      </c>
      <c r="G280" s="341">
        <v>1841000</v>
      </c>
      <c r="H280" s="337">
        <v>-490050</v>
      </c>
      <c r="I280" s="42">
        <f t="shared" si="68"/>
        <v>1350950</v>
      </c>
      <c r="J280" s="337">
        <v>1320711</v>
      </c>
    </row>
    <row r="281" spans="1:10" ht="78.75">
      <c r="A281" s="41" t="str">
        <f>IF(B281&gt;0,VLOOKUP(B281,КВСР!A198:B1363,2),IF(C281&gt;0,VLOOKUP(C281,КФСР!A198:B1710,2),IF(D281&gt;0,VLOOKUP(D281,Программа!A$1:B$5063,2),IF(F281&gt;0,VLOOKUP(F281,КВР!A$1:B$5001,2),IF(E281&gt;0,VLOOKUP(E281,Направление!A$1:B$4755,2))))))</f>
        <v xml:space="preserve">Расходы на обеспечение предоставления услуг по дошкольному образованию детей в дошкольных образовательных организациях </v>
      </c>
      <c r="B281" s="83"/>
      <c r="C281" s="76"/>
      <c r="D281" s="391"/>
      <c r="E281" s="83">
        <v>73110</v>
      </c>
      <c r="F281" s="77"/>
      <c r="G281" s="42">
        <v>191977300</v>
      </c>
      <c r="H281" s="42">
        <f t="shared" ref="H281:J281" si="70">H282</f>
        <v>19767700</v>
      </c>
      <c r="I281" s="42">
        <f t="shared" si="68"/>
        <v>211745000</v>
      </c>
      <c r="J281" s="42">
        <f t="shared" si="70"/>
        <v>207785600</v>
      </c>
    </row>
    <row r="282" spans="1:10" ht="63">
      <c r="A282" s="41" t="str">
        <f>IF(B282&gt;0,VLOOKUP(B282,КВСР!A199:B1364,2),IF(C282&gt;0,VLOOKUP(C282,КФСР!A199:B1711,2),IF(D282&gt;0,VLOOKUP(D282,Программа!A$1:B$5063,2),IF(F282&gt;0,VLOOKUP(F282,КВР!A$1:B$5001,2),IF(E282&gt;0,VLOOKUP(E282,Направление!A$1:B$4755,2))))))</f>
        <v>Предоставление субсидий бюджетным, автономным учреждениям и иным некоммерческим организациям</v>
      </c>
      <c r="B282" s="83"/>
      <c r="C282" s="76"/>
      <c r="D282" s="77"/>
      <c r="E282" s="83"/>
      <c r="F282" s="77">
        <v>600</v>
      </c>
      <c r="G282" s="341">
        <v>191977300</v>
      </c>
      <c r="H282" s="337">
        <v>19767700</v>
      </c>
      <c r="I282" s="42">
        <f t="shared" si="68"/>
        <v>211745000</v>
      </c>
      <c r="J282" s="337">
        <v>207785600</v>
      </c>
    </row>
    <row r="283" spans="1:10" ht="63">
      <c r="A283" s="41" t="str">
        <f>IF(B283&gt;0,VLOOKUP(B283,КВСР!A200:B1365,2),IF(C283&gt;0,VLOOKUP(C283,КФСР!A200:B1712,2),IF(D283&gt;0,VLOOKUP(D283,Программа!A$1:B$5063,2),IF(F283&gt;0,VLOOKUP(F283,КВР!A$1:B$5001,2),IF(E283&gt;0,VLOOKUP(E283,Направление!A$1:B$4755,2))))))</f>
        <v>Муниципальная программа "Социальная поддержка населения Тутаевского муниципального района"</v>
      </c>
      <c r="B283" s="83"/>
      <c r="C283" s="76"/>
      <c r="D283" s="391" t="s">
        <v>2765</v>
      </c>
      <c r="E283" s="83"/>
      <c r="F283" s="77"/>
      <c r="G283" s="42">
        <v>38000</v>
      </c>
      <c r="H283" s="42">
        <f t="shared" ref="H283:J286" si="71">H284</f>
        <v>0</v>
      </c>
      <c r="I283" s="42">
        <f t="shared" si="68"/>
        <v>38000</v>
      </c>
      <c r="J283" s="42">
        <f t="shared" si="71"/>
        <v>38000</v>
      </c>
    </row>
    <row r="284" spans="1:10" ht="63">
      <c r="A284" s="41" t="str">
        <f>IF(B284&gt;0,VLOOKUP(B284,КВСР!A201:B1366,2),IF(C284&gt;0,VLOOKUP(C284,КФСР!A201:B1713,2),IF(D284&gt;0,VLOOKUP(D284,Программа!A$1:B$5063,2),IF(F284&gt;0,VLOOKUP(F284,КВР!A$1:B$5001,2),IF(E284&gt;0,VLOOKUP(E284,Направление!A$1:B$4755,2))))))</f>
        <v>Муниципальная целевая программа "Улучшение условий и охраны труда" по Тутаевскому муниципальному району</v>
      </c>
      <c r="B284" s="83"/>
      <c r="C284" s="76"/>
      <c r="D284" s="391" t="s">
        <v>2807</v>
      </c>
      <c r="E284" s="83"/>
      <c r="F284" s="77"/>
      <c r="G284" s="42">
        <v>38000</v>
      </c>
      <c r="H284" s="42">
        <f t="shared" si="71"/>
        <v>0</v>
      </c>
      <c r="I284" s="42">
        <f t="shared" si="68"/>
        <v>38000</v>
      </c>
      <c r="J284" s="42">
        <f t="shared" si="71"/>
        <v>38000</v>
      </c>
    </row>
    <row r="285" spans="1:10" ht="69.75" customHeight="1">
      <c r="A285" s="41" t="str">
        <f>IF(B285&gt;0,VLOOKUP(B285,КВСР!A202:B1367,2),IF(C285&gt;0,VLOOKUP(C285,КФСР!A202:B1714,2),IF(D285&gt;0,VLOOKUP(D285,Программа!A$1:B$5063,2),IF(F285&gt;0,VLOOKUP(F285,КВР!A$1:B$5001,2),IF(E285&gt;0,VLOOKUP(E285,Направление!A$1:B$4755,2))))))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285" s="83"/>
      <c r="C285" s="76"/>
      <c r="D285" s="391" t="s">
        <v>2926</v>
      </c>
      <c r="E285" s="83"/>
      <c r="F285" s="77"/>
      <c r="G285" s="42">
        <v>38000</v>
      </c>
      <c r="H285" s="42">
        <f t="shared" si="71"/>
        <v>0</v>
      </c>
      <c r="I285" s="42">
        <f t="shared" si="68"/>
        <v>38000</v>
      </c>
      <c r="J285" s="42">
        <f t="shared" si="71"/>
        <v>38000</v>
      </c>
    </row>
    <row r="286" spans="1:10" ht="33" customHeight="1">
      <c r="A286" s="41" t="str">
        <f>IF(B286&gt;0,VLOOKUP(B286,КВСР!A203:B1368,2),IF(C286&gt;0,VLOOKUP(C286,КФСР!A203:B1715,2),IF(D286&gt;0,VLOOKUP(D286,Программа!A$1:B$5063,2),IF(F286&gt;0,VLOOKUP(F286,КВР!A$1:B$5001,2),IF(E286&gt;0,VLOOKUP(E286,Направление!A$1:B$4755,2))))))</f>
        <v>Расходы на реализацию МЦП "Улучшение условий и охраны труда"</v>
      </c>
      <c r="B286" s="83"/>
      <c r="C286" s="76"/>
      <c r="D286" s="391"/>
      <c r="E286" s="83">
        <v>16150</v>
      </c>
      <c r="F286" s="77"/>
      <c r="G286" s="42">
        <v>38000</v>
      </c>
      <c r="H286" s="42">
        <f t="shared" si="71"/>
        <v>0</v>
      </c>
      <c r="I286" s="42">
        <f t="shared" si="68"/>
        <v>38000</v>
      </c>
      <c r="J286" s="42">
        <f t="shared" si="71"/>
        <v>38000</v>
      </c>
    </row>
    <row r="287" spans="1:10" ht="63">
      <c r="A287" s="41" t="str">
        <f>IF(B287&gt;0,VLOOKUP(B287,КВСР!A204:B1369,2),IF(C287&gt;0,VLOOKUP(C287,КФСР!A204:B1716,2),IF(D287&gt;0,VLOOKUP(D287,Программа!A$1:B$5063,2),IF(F287&gt;0,VLOOKUP(F287,КВР!A$1:B$5001,2),IF(E287&gt;0,VLOOKUP(E287,Направление!A$1:B$4755,2))))))</f>
        <v>Предоставление субсидий бюджетным, автономным учреждениям и иным некоммерческим организациям</v>
      </c>
      <c r="B287" s="83"/>
      <c r="C287" s="76"/>
      <c r="D287" s="391"/>
      <c r="E287" s="83"/>
      <c r="F287" s="77">
        <v>600</v>
      </c>
      <c r="G287" s="341">
        <v>38000</v>
      </c>
      <c r="H287" s="337"/>
      <c r="I287" s="42">
        <f t="shared" si="68"/>
        <v>38000</v>
      </c>
      <c r="J287" s="337">
        <v>38000</v>
      </c>
    </row>
    <row r="288" spans="1:10" hidden="1">
      <c r="A288" s="41" t="str">
        <f>IF(B288&gt;0,VLOOKUP(B288,КВСР!A205:B1370,2),IF(C288&gt;0,VLOOKUP(C288,КФСР!A205:B1717,2),IF(D288&gt;0,VLOOKUP(D288,Программа!A$1:B$5063,2),IF(F288&gt;0,VLOOKUP(F288,КВР!A$1:B$5001,2),IF(E288&gt;0,VLOOKUP(E288,Направление!A$1:B$4755,2))))))</f>
        <v>Непрограммные расходы бюджета</v>
      </c>
      <c r="B288" s="83"/>
      <c r="C288" s="76"/>
      <c r="D288" s="391" t="s">
        <v>2808</v>
      </c>
      <c r="E288" s="83"/>
      <c r="F288" s="77"/>
      <c r="G288" s="93">
        <v>0</v>
      </c>
      <c r="H288" s="93">
        <f t="shared" ref="H288:J289" si="72">H289</f>
        <v>0</v>
      </c>
      <c r="I288" s="42">
        <f t="shared" si="68"/>
        <v>0</v>
      </c>
      <c r="J288" s="93">
        <f t="shared" si="72"/>
        <v>0</v>
      </c>
    </row>
    <row r="289" spans="1:10" ht="47.25" hidden="1">
      <c r="A289" s="41" t="str">
        <f>IF(B289&gt;0,VLOOKUP(B289,КВСР!A206:B1371,2),IF(C289&gt;0,VLOOKUP(C289,КФСР!A206:B1718,2),IF(D289&gt;0,VLOOKUP(D289,Программа!A$1:B$5063,2),IF(F289&gt;0,VLOOKUP(F289,КВР!A$1:B$5001,2),IF(E289&gt;0,VLOOKUP(E289,Направление!A$1:B$4755,2))))))</f>
        <v>Исполнение судебных актов, актов других органов и должностных лиц, иных документов</v>
      </c>
      <c r="B289" s="83"/>
      <c r="C289" s="76"/>
      <c r="D289" s="391"/>
      <c r="E289" s="83">
        <v>12130</v>
      </c>
      <c r="F289" s="77"/>
      <c r="G289" s="93">
        <v>0</v>
      </c>
      <c r="H289" s="93">
        <f t="shared" si="72"/>
        <v>0</v>
      </c>
      <c r="I289" s="42">
        <f t="shared" si="68"/>
        <v>0</v>
      </c>
      <c r="J289" s="93">
        <f t="shared" si="72"/>
        <v>0</v>
      </c>
    </row>
    <row r="290" spans="1:10" ht="63" hidden="1">
      <c r="A290" s="41" t="str">
        <f>IF(B290&gt;0,VLOOKUP(B290,КВСР!A207:B1372,2),IF(C290&gt;0,VLOOKUP(C290,КФСР!A207:B1719,2),IF(D290&gt;0,VLOOKUP(D290,Программа!A$1:B$5063,2),IF(F290&gt;0,VLOOKUP(F290,КВР!A$1:B$5001,2),IF(E290&gt;0,VLOOKUP(E290,Направление!A$1:B$4755,2))))))</f>
        <v>Предоставление субсидий бюджетным, автономным учреждениям и иным некоммерческим организациям</v>
      </c>
      <c r="B290" s="83"/>
      <c r="C290" s="76"/>
      <c r="D290" s="77"/>
      <c r="E290" s="83"/>
      <c r="F290" s="77">
        <v>600</v>
      </c>
      <c r="G290" s="494">
        <v>0</v>
      </c>
      <c r="H290" s="339"/>
      <c r="I290" s="42">
        <f t="shared" si="68"/>
        <v>0</v>
      </c>
      <c r="J290" s="339"/>
    </row>
    <row r="291" spans="1:10">
      <c r="A291" s="41" t="str">
        <f>IF(B291&gt;0,VLOOKUP(B291,КВСР!A208:B1373,2),IF(C291&gt;0,VLOOKUP(C291,КФСР!A208:B1720,2),IF(D291&gt;0,VLOOKUP(D291,Программа!A$1:B$5063,2),IF(F291&gt;0,VLOOKUP(F291,КВР!A$1:B$5001,2),IF(E291&gt;0,VLOOKUP(E291,Направление!A$1:B$4755,2))))))</f>
        <v>Общее образование</v>
      </c>
      <c r="B291" s="83"/>
      <c r="C291" s="76">
        <v>702</v>
      </c>
      <c r="D291" s="391"/>
      <c r="E291" s="83"/>
      <c r="F291" s="77"/>
      <c r="G291" s="75">
        <v>496689996</v>
      </c>
      <c r="H291" s="75">
        <f>H297+H319+H314+H292</f>
        <v>32046386</v>
      </c>
      <c r="I291" s="42">
        <f t="shared" si="68"/>
        <v>528736382</v>
      </c>
      <c r="J291" s="75">
        <f>J297+J319+J314+J292</f>
        <v>502595429</v>
      </c>
    </row>
    <row r="292" spans="1:10" ht="63">
      <c r="A292" s="41" t="str">
        <f>IF(B292&gt;0,VLOOKUP(B292,КВСР!A209:B1374,2),IF(C292&gt;0,VLOOKUP(C292,КФСР!A209:B1721,2),IF(D292&gt;0,VLOOKUP(D292,Программа!A$1:B$5063,2),IF(F292&gt;0,VLOOKUP(F292,КВР!A$1:B$5001,2),IF(E292&gt;0,VLOOKUP(E292,Направление!A$1:B$4755,2))))))</f>
        <v>Муниципальная программа  "Развитие культуры, туризма и молодежной политики в Тутаевском муниципальном районе"</v>
      </c>
      <c r="B292" s="83"/>
      <c r="C292" s="76"/>
      <c r="D292" s="391" t="s">
        <v>2677</v>
      </c>
      <c r="E292" s="83"/>
      <c r="F292" s="77"/>
      <c r="G292" s="75">
        <v>137000</v>
      </c>
      <c r="H292" s="75">
        <f t="shared" ref="H292:J293" si="73">H293</f>
        <v>0</v>
      </c>
      <c r="I292" s="75">
        <f t="shared" si="73"/>
        <v>137000</v>
      </c>
      <c r="J292" s="75">
        <f t="shared" si="73"/>
        <v>137000</v>
      </c>
    </row>
    <row r="293" spans="1:10" ht="94.5">
      <c r="A293" s="41" t="str">
        <f>IF(B293&gt;0,VLOOKUP(B293,КВСР!A210:B1375,2),IF(C293&gt;0,VLOOKUP(C293,КФСР!A210:B1722,2),IF(D293&gt;0,VLOOKUP(D293,Программа!A$1:B$5063,2),IF(F293&gt;0,VLOOKUP(F293,КВР!A$1:B$5001,2),IF(E293&gt;0,VLOOKUP(E293,Направление!A$1:B$4755,2))))))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293" s="83"/>
      <c r="C293" s="76"/>
      <c r="D293" s="391" t="s">
        <v>2680</v>
      </c>
      <c r="E293" s="83"/>
      <c r="F293" s="77"/>
      <c r="G293" s="75">
        <v>137000</v>
      </c>
      <c r="H293" s="75">
        <f t="shared" si="73"/>
        <v>0</v>
      </c>
      <c r="I293" s="75">
        <f t="shared" si="73"/>
        <v>137000</v>
      </c>
      <c r="J293" s="75">
        <f t="shared" si="73"/>
        <v>137000</v>
      </c>
    </row>
    <row r="294" spans="1:10" ht="94.5">
      <c r="A294" s="41" t="str">
        <f>IF(B294&gt;0,VLOOKUP(B294,КВСР!A211:B1376,2),IF(C294&gt;0,VLOOKUP(C294,КФСР!A211:B1723,2),IF(D294&gt;0,VLOOKUP(D294,Программа!A$1:B$5063,2),IF(F294&gt;0,VLOOKUP(F294,КВР!A$1:B$5001,2),IF(E294&gt;0,VLOOKUP(E294,Направление!A$1:B$4755,2))))))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294" s="83"/>
      <c r="C294" s="76"/>
      <c r="D294" s="391" t="s">
        <v>2681</v>
      </c>
      <c r="E294" s="83"/>
      <c r="F294" s="77"/>
      <c r="G294" s="75">
        <v>137000</v>
      </c>
      <c r="H294" s="75">
        <f t="shared" ref="H294:J294" si="74">H295</f>
        <v>0</v>
      </c>
      <c r="I294" s="75">
        <f t="shared" si="74"/>
        <v>137000</v>
      </c>
      <c r="J294" s="75">
        <f t="shared" si="74"/>
        <v>137000</v>
      </c>
    </row>
    <row r="295" spans="1:10" ht="31.5">
      <c r="A295" s="41" t="str">
        <f>IF(B295&gt;0,VLOOKUP(B295,КВСР!A212:B1377,2),IF(C295&gt;0,VLOOKUP(C295,КФСР!A212:B1724,2),IF(D295&gt;0,VLOOKUP(D295,Программа!A$1:B$5063,2),IF(F295&gt;0,VLOOKUP(F295,КВР!A$1:B$5001,2),IF(E295&gt;0,VLOOKUP(E295,Направление!A$1:B$4755,2))))))</f>
        <v>Мероприятия по патриотическому воспитанию граждан</v>
      </c>
      <c r="B295" s="83"/>
      <c r="C295" s="76"/>
      <c r="D295" s="391"/>
      <c r="E295" s="83">
        <v>74880</v>
      </c>
      <c r="F295" s="77"/>
      <c r="G295" s="75">
        <v>137000</v>
      </c>
      <c r="H295" s="75">
        <f t="shared" ref="H295:J295" si="75">H296</f>
        <v>0</v>
      </c>
      <c r="I295" s="75">
        <f t="shared" si="75"/>
        <v>137000</v>
      </c>
      <c r="J295" s="75">
        <f t="shared" si="75"/>
        <v>137000</v>
      </c>
    </row>
    <row r="296" spans="1:10" ht="63">
      <c r="A296" s="41" t="str">
        <f>IF(B296&gt;0,VLOOKUP(B296,КВСР!A213:B1378,2),IF(C296&gt;0,VLOOKUP(C296,КФСР!A213:B1725,2),IF(D296&gt;0,VLOOKUP(D296,Программа!A$1:B$5063,2),IF(F296&gt;0,VLOOKUP(F296,КВР!A$1:B$5001,2),IF(E296&gt;0,VLOOKUP(E296,Направление!A$1:B$4755,2))))))</f>
        <v>Предоставление субсидий бюджетным, автономным учреждениям и иным некоммерческим организациям</v>
      </c>
      <c r="B296" s="83"/>
      <c r="C296" s="76"/>
      <c r="D296" s="391"/>
      <c r="E296" s="83"/>
      <c r="F296" s="77">
        <v>600</v>
      </c>
      <c r="G296" s="75">
        <v>137000</v>
      </c>
      <c r="H296" s="75"/>
      <c r="I296" s="42">
        <f>G296+H296</f>
        <v>137000</v>
      </c>
      <c r="J296" s="75">
        <v>137000</v>
      </c>
    </row>
    <row r="297" spans="1:10" ht="63">
      <c r="A297" s="41" t="str">
        <f>IF(B297&gt;0,VLOOKUP(B297,КВСР!A209:B1374,2),IF(C297&gt;0,VLOOKUP(C297,КФСР!A209:B1721,2),IF(D297&gt;0,VLOOKUP(D297,Программа!A$1:B$5063,2),IF(F297&gt;0,VLOOKUP(F297,КВР!A$1:B$5001,2),IF(E297&gt;0,VLOOKUP(E297,Направление!A$1:B$4755,2))))))</f>
        <v>Муниципальная программа "Развитие образования, физической культуры и спорта в Тутаевском муниципальном районе"</v>
      </c>
      <c r="B297" s="83"/>
      <c r="C297" s="76"/>
      <c r="D297" s="391" t="s">
        <v>2695</v>
      </c>
      <c r="E297" s="83"/>
      <c r="F297" s="77"/>
      <c r="G297" s="75">
        <v>496462524</v>
      </c>
      <c r="H297" s="75">
        <f t="shared" ref="H297:J297" si="76">H298+H310</f>
        <v>32046386</v>
      </c>
      <c r="I297" s="42">
        <f t="shared" si="68"/>
        <v>528508910</v>
      </c>
      <c r="J297" s="75">
        <f t="shared" si="76"/>
        <v>502367957</v>
      </c>
    </row>
    <row r="298" spans="1:10" ht="63">
      <c r="A298" s="41" t="str">
        <f>IF(B298&gt;0,VLOOKUP(B298,КВСР!A210:B1375,2),IF(C298&gt;0,VLOOKUP(C298,КФСР!A210:B1722,2),IF(D298&gt;0,VLOOKUP(D298,Программа!A$1:B$5063,2),IF(F298&gt;0,VLOOKUP(F298,КВР!A$1:B$5001,2),IF(E298&gt;0,VLOOKUP(E298,Направление!A$1:B$4755,2))))))</f>
        <v xml:space="preserve">Ведомственная целевая программа департамента образования Администрации Тутаевского муниципального района </v>
      </c>
      <c r="B298" s="83"/>
      <c r="C298" s="76"/>
      <c r="D298" s="391" t="s">
        <v>2696</v>
      </c>
      <c r="E298" s="83"/>
      <c r="F298" s="77"/>
      <c r="G298" s="75">
        <v>489462524</v>
      </c>
      <c r="H298" s="75">
        <f t="shared" ref="H298:J298" si="77">H299</f>
        <v>32228536</v>
      </c>
      <c r="I298" s="42">
        <f t="shared" si="68"/>
        <v>521691060</v>
      </c>
      <c r="J298" s="75">
        <f t="shared" si="77"/>
        <v>496042608</v>
      </c>
    </row>
    <row r="299" spans="1:10" ht="78.75">
      <c r="A299" s="41" t="str">
        <f>IF(B299&gt;0,VLOOKUP(B299,КВСР!A211:B1376,2),IF(C299&gt;0,VLOOKUP(C299,КФСР!A211:B1723,2),IF(D299&gt;0,VLOOKUP(D299,Программа!A$1:B$5063,2),IF(F299&gt;0,VLOOKUP(F299,КВР!A$1:B$5001,2),IF(E299&gt;0,VLOOKUP(E299,Направление!A$1:B$4755,2))))))</f>
        <v>Организация предоставления муниципальных услуг и выполнения работ  муниципальными учреждениями сферы образования</v>
      </c>
      <c r="B299" s="83"/>
      <c r="C299" s="76"/>
      <c r="D299" s="391" t="s">
        <v>2697</v>
      </c>
      <c r="E299" s="83"/>
      <c r="F299" s="77"/>
      <c r="G299" s="75">
        <v>489462524</v>
      </c>
      <c r="H299" s="75">
        <f t="shared" ref="H299:J299" si="78">H300+H302+H304+H306+H308</f>
        <v>32228536</v>
      </c>
      <c r="I299" s="42">
        <f t="shared" si="68"/>
        <v>521691060</v>
      </c>
      <c r="J299" s="75">
        <f t="shared" si="78"/>
        <v>496042608</v>
      </c>
    </row>
    <row r="300" spans="1:10" ht="31.5">
      <c r="A300" s="41" t="str">
        <f>IF(B300&gt;0,VLOOKUP(B300,КВСР!A212:B1377,2),IF(C300&gt;0,VLOOKUP(C300,КФСР!A212:B1724,2),IF(D300&gt;0,VLOOKUP(D300,Программа!A$1:B$5063,2),IF(F300&gt;0,VLOOKUP(F300,КВР!A$1:B$5001,2),IF(E300&gt;0,VLOOKUP(E300,Направление!A$1:B$4755,2))))))</f>
        <v>Обеспечение деятельности общеобразовательных учреждений</v>
      </c>
      <c r="B300" s="83"/>
      <c r="C300" s="76"/>
      <c r="D300" s="391"/>
      <c r="E300" s="83">
        <v>13110</v>
      </c>
      <c r="F300" s="77"/>
      <c r="G300" s="42">
        <v>95462830</v>
      </c>
      <c r="H300" s="42">
        <f t="shared" ref="H300:J300" si="79">H301</f>
        <v>-304964</v>
      </c>
      <c r="I300" s="42">
        <f t="shared" si="68"/>
        <v>95157866</v>
      </c>
      <c r="J300" s="42">
        <f t="shared" si="79"/>
        <v>82567342</v>
      </c>
    </row>
    <row r="301" spans="1:10" ht="63">
      <c r="A301" s="41" t="str">
        <f>IF(B301&gt;0,VLOOKUP(B301,КВСР!A213:B1378,2),IF(C301&gt;0,VLOOKUP(C301,КФСР!A213:B1725,2),IF(D301&gt;0,VLOOKUP(D301,Программа!A$1:B$5063,2),IF(F301&gt;0,VLOOKUP(F301,КВР!A$1:B$5001,2),IF(E301&gt;0,VLOOKUP(E301,Направление!A$1:B$4755,2))))))</f>
        <v>Предоставление субсидий бюджетным, автономным учреждениям и иным некоммерческим организациям</v>
      </c>
      <c r="B301" s="83"/>
      <c r="C301" s="76"/>
      <c r="D301" s="77"/>
      <c r="E301" s="83"/>
      <c r="F301" s="77">
        <v>600</v>
      </c>
      <c r="G301" s="341">
        <v>95462830</v>
      </c>
      <c r="H301" s="337">
        <f>-188200-160-116604</f>
        <v>-304964</v>
      </c>
      <c r="I301" s="42">
        <f t="shared" si="68"/>
        <v>95157866</v>
      </c>
      <c r="J301" s="337">
        <v>82567342</v>
      </c>
    </row>
    <row r="302" spans="1:10" ht="47.25">
      <c r="A302" s="41" t="str">
        <f>IF(B302&gt;0,VLOOKUP(B302,КВСР!A214:B1379,2),IF(C302&gt;0,VLOOKUP(C302,КФСР!A214:B1726,2),IF(D302&gt;0,VLOOKUP(D302,Программа!A$1:B$5063,2),IF(F302&gt;0,VLOOKUP(F302,КВР!A$1:B$5001,2),IF(E302&gt;0,VLOOKUP(E302,Направление!A$1:B$4755,2))))))</f>
        <v>Обеспечение деятельности учреждений дополнительного образования</v>
      </c>
      <c r="B302" s="83"/>
      <c r="C302" s="76"/>
      <c r="D302" s="391"/>
      <c r="E302" s="83">
        <v>13210</v>
      </c>
      <c r="F302" s="77"/>
      <c r="G302" s="75">
        <v>86346694</v>
      </c>
      <c r="H302" s="75">
        <f t="shared" ref="H302:J302" si="80">H303</f>
        <v>-89000</v>
      </c>
      <c r="I302" s="42">
        <f t="shared" si="68"/>
        <v>86257694</v>
      </c>
      <c r="J302" s="75">
        <f t="shared" si="80"/>
        <v>80451766</v>
      </c>
    </row>
    <row r="303" spans="1:10" ht="63">
      <c r="A303" s="41" t="str">
        <f>IF(B303&gt;0,VLOOKUP(B303,КВСР!A215:B1380,2),IF(C303&gt;0,VLOOKUP(C303,КФСР!A215:B1727,2),IF(D303&gt;0,VLOOKUP(D303,Программа!A$1:B$5063,2),IF(F303&gt;0,VLOOKUP(F303,КВР!A$1:B$5001,2),IF(E303&gt;0,VLOOKUP(E303,Направление!A$1:B$4755,2))))))</f>
        <v>Предоставление субсидий бюджетным, автономным учреждениям и иным некоммерческим организациям</v>
      </c>
      <c r="B303" s="84"/>
      <c r="C303" s="85"/>
      <c r="D303" s="86"/>
      <c r="E303" s="84"/>
      <c r="F303" s="86">
        <v>600</v>
      </c>
      <c r="G303" s="346">
        <v>86346694</v>
      </c>
      <c r="H303" s="338">
        <f>-85000-4000</f>
        <v>-89000</v>
      </c>
      <c r="I303" s="42">
        <f t="shared" si="68"/>
        <v>86257694</v>
      </c>
      <c r="J303" s="338">
        <v>80451766</v>
      </c>
    </row>
    <row r="304" spans="1:10" ht="110.25" hidden="1">
      <c r="A304" s="41" t="str">
        <f>IF(B304&gt;0,VLOOKUP(B304,КВСР!A216:B1381,2),IF(C304&gt;0,VLOOKUP(C304,КФСР!A216:B1728,2),IF(D304&gt;0,VLOOKUP(D304,Программа!A$1:B$5063,2),IF(F304&gt;0,VLOOKUP(F304,КВР!A$1:B$5001,2),IF(E304&gt;0,VLOOKUP(E304,Направление!A$1:B$4755,2))))))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04" s="84"/>
      <c r="C304" s="85"/>
      <c r="D304" s="392"/>
      <c r="E304" s="84">
        <v>70510</v>
      </c>
      <c r="F304" s="86"/>
      <c r="G304" s="75">
        <v>61700</v>
      </c>
      <c r="H304" s="75">
        <f t="shared" ref="H304:J304" si="81">H305</f>
        <v>-61700</v>
      </c>
      <c r="I304" s="42">
        <f t="shared" si="68"/>
        <v>0</v>
      </c>
      <c r="J304" s="75">
        <f t="shared" si="81"/>
        <v>0</v>
      </c>
    </row>
    <row r="305" spans="1:10" ht="63" hidden="1">
      <c r="A305" s="41" t="str">
        <f>IF(B305&gt;0,VLOOKUP(B305,КВСР!A217:B1382,2),IF(C305&gt;0,VLOOKUP(C305,КФСР!A217:B1729,2),IF(D305&gt;0,VLOOKUP(D305,Программа!A$1:B$5063,2),IF(F305&gt;0,VLOOKUP(F305,КВР!A$1:B$5001,2),IF(E305&gt;0,VLOOKUP(E305,Направление!A$1:B$4755,2))))))</f>
        <v>Предоставление субсидий бюджетным, автономным учреждениям и иным некоммерческим организациям</v>
      </c>
      <c r="B305" s="84"/>
      <c r="C305" s="85"/>
      <c r="D305" s="86"/>
      <c r="E305" s="84"/>
      <c r="F305" s="77">
        <v>600</v>
      </c>
      <c r="G305" s="341">
        <v>61700</v>
      </c>
      <c r="H305" s="337">
        <v>-61700</v>
      </c>
      <c r="I305" s="42">
        <f t="shared" si="68"/>
        <v>0</v>
      </c>
      <c r="J305" s="337"/>
    </row>
    <row r="306" spans="1:10" ht="63">
      <c r="A306" s="41" t="str">
        <f>IF(B306&gt;0,VLOOKUP(B306,КВСР!A218:B1383,2),IF(C306&gt;0,VLOOKUP(C306,КФСР!A218:B1730,2),IF(D306&gt;0,VLOOKUP(D306,Программа!A$1:B$5063,2),IF(F306&gt;0,VLOOKUP(F306,КВР!A$1:B$5001,2),IF(E306&gt;0,VLOOKUP(E306,Направление!A$1:B$4755,2))))))</f>
        <v>Организация образовательного процесса в образовательных учреждениях за счет средств областного бюджета</v>
      </c>
      <c r="B306" s="84"/>
      <c r="C306" s="85"/>
      <c r="D306" s="392"/>
      <c r="E306" s="84">
        <v>70520</v>
      </c>
      <c r="F306" s="77"/>
      <c r="G306" s="93">
        <v>284731500</v>
      </c>
      <c r="H306" s="93">
        <f t="shared" ref="H306:J306" si="82">H307</f>
        <v>31683200</v>
      </c>
      <c r="I306" s="42">
        <f t="shared" si="68"/>
        <v>316414700</v>
      </c>
      <c r="J306" s="93">
        <f t="shared" si="82"/>
        <v>309473500</v>
      </c>
    </row>
    <row r="307" spans="1:10" ht="63">
      <c r="A307" s="41" t="str">
        <f>IF(B307&gt;0,VLOOKUP(B307,КВСР!A219:B1384,2),IF(C307&gt;0,VLOOKUP(C307,КФСР!A219:B1731,2),IF(D307&gt;0,VLOOKUP(D307,Программа!A$1:B$5063,2),IF(F307&gt;0,VLOOKUP(F307,КВР!A$1:B$5001,2),IF(E307&gt;0,VLOOKUP(E307,Направление!A$1:B$4755,2))))))</f>
        <v>Предоставление субсидий бюджетным, автономным учреждениям и иным некоммерческим организациям</v>
      </c>
      <c r="B307" s="84"/>
      <c r="C307" s="85"/>
      <c r="D307" s="86"/>
      <c r="E307" s="84"/>
      <c r="F307" s="77">
        <v>600</v>
      </c>
      <c r="G307" s="494">
        <v>284731500</v>
      </c>
      <c r="H307" s="339">
        <v>31683200</v>
      </c>
      <c r="I307" s="42">
        <f t="shared" si="68"/>
        <v>316414700</v>
      </c>
      <c r="J307" s="339">
        <v>309473500</v>
      </c>
    </row>
    <row r="308" spans="1:10" ht="63">
      <c r="A308" s="41" t="str">
        <f>IF(B308&gt;0,VLOOKUP(B308,КВСР!A220:B1385,2),IF(C308&gt;0,VLOOKUP(C308,КФСР!A220:B1732,2),IF(D308&gt;0,VLOOKUP(D308,Программа!A$1:B$5063,2),IF(F308&gt;0,VLOOKUP(F308,КВР!A$1:B$5001,2),IF(E308&gt;0,VLOOKUP(E308,Направление!A$1:B$4755,2))))))</f>
        <v>Обеспечение бесплатным питанием обучающихся муниципальных образовательных учреждений за счет средств областного бюджета</v>
      </c>
      <c r="B308" s="84"/>
      <c r="C308" s="85"/>
      <c r="D308" s="86"/>
      <c r="E308" s="84">
        <v>70530</v>
      </c>
      <c r="F308" s="77"/>
      <c r="G308" s="93">
        <v>22859800</v>
      </c>
      <c r="H308" s="93">
        <f t="shared" ref="H308:J308" si="83">H309</f>
        <v>1001000</v>
      </c>
      <c r="I308" s="42">
        <f t="shared" si="68"/>
        <v>23860800</v>
      </c>
      <c r="J308" s="93">
        <f t="shared" si="83"/>
        <v>23550000</v>
      </c>
    </row>
    <row r="309" spans="1:10" ht="63">
      <c r="A309" s="41" t="str">
        <f>IF(B309&gt;0,VLOOKUP(B309,КВСР!A221:B1386,2),IF(C309&gt;0,VLOOKUP(C309,КФСР!A221:B1733,2),IF(D309&gt;0,VLOOKUP(D309,Программа!A$1:B$5063,2),IF(F309&gt;0,VLOOKUP(F309,КВР!A$1:B$5001,2),IF(E309&gt;0,VLOOKUP(E309,Направление!A$1:B$4755,2))))))</f>
        <v>Предоставление субсидий бюджетным, автономным учреждениям и иным некоммерческим организациям</v>
      </c>
      <c r="B309" s="84"/>
      <c r="C309" s="85"/>
      <c r="D309" s="86"/>
      <c r="E309" s="84"/>
      <c r="F309" s="77">
        <v>600</v>
      </c>
      <c r="G309" s="494">
        <v>22859800</v>
      </c>
      <c r="H309" s="339">
        <v>1001000</v>
      </c>
      <c r="I309" s="42">
        <f t="shared" si="68"/>
        <v>23860800</v>
      </c>
      <c r="J309" s="339">
        <v>23550000</v>
      </c>
    </row>
    <row r="310" spans="1:10" ht="63">
      <c r="A310" s="41" t="str">
        <f>IF(B310&gt;0,VLOOKUP(B310,КВСР!A222:B1387,2),IF(C310&gt;0,VLOOKUP(C310,КФСР!A222:B1734,2),IF(D310&gt;0,VLOOKUP(D310,Программа!A$1:B$5063,2),IF(F310&gt;0,VLOOKUP(F310,КВР!A$1:B$5001,2),IF(E310&gt;0,VLOOKUP(E310,Направление!A$1:B$4755,2))))))</f>
        <v>Муниципальная целевая программа "Развитие физической культуры и спорта в Тутаевском муниципальном районе"</v>
      </c>
      <c r="B310" s="84"/>
      <c r="C310" s="85"/>
      <c r="D310" s="392" t="s">
        <v>2812</v>
      </c>
      <c r="E310" s="84"/>
      <c r="F310" s="86"/>
      <c r="G310" s="93">
        <v>7000000</v>
      </c>
      <c r="H310" s="93">
        <f t="shared" ref="H310:J310" si="84">H312</f>
        <v>-182150</v>
      </c>
      <c r="I310" s="42">
        <f t="shared" si="68"/>
        <v>6817850</v>
      </c>
      <c r="J310" s="93">
        <f t="shared" si="84"/>
        <v>6325349</v>
      </c>
    </row>
    <row r="311" spans="1:10" ht="47.25">
      <c r="A311" s="41" t="str">
        <f>IF(B311&gt;0,VLOOKUP(B311,КВСР!A223:B1388,2),IF(C311&gt;0,VLOOKUP(C311,КФСР!A223:B1735,2),IF(D311&gt;0,VLOOKUP(D311,Программа!A$1:B$5063,2),IF(F311&gt;0,VLOOKUP(F311,КВР!A$1:B$5001,2),IF(E311&gt;0,VLOOKUP(E311,Направление!A$1:B$4755,2))))))</f>
        <v>Строительство, реконструкция и капитальный ремонт спортивных сооружений</v>
      </c>
      <c r="B311" s="84"/>
      <c r="C311" s="85"/>
      <c r="D311" s="392" t="s">
        <v>2816</v>
      </c>
      <c r="E311" s="84"/>
      <c r="F311" s="86"/>
      <c r="G311" s="93">
        <v>7000000</v>
      </c>
      <c r="H311" s="93">
        <f t="shared" ref="H311:J312" si="85">H312</f>
        <v>-182150</v>
      </c>
      <c r="I311" s="42">
        <f t="shared" si="68"/>
        <v>6817850</v>
      </c>
      <c r="J311" s="93">
        <f t="shared" si="85"/>
        <v>6325349</v>
      </c>
    </row>
    <row r="312" spans="1:10" ht="33.75" customHeight="1">
      <c r="A312" s="41" t="str">
        <f>IF(B312&gt;0,VLOOKUP(B312,КВСР!A224:B1389,2),IF(C312&gt;0,VLOOKUP(C312,КФСР!A224:B1736,2),IF(D312&gt;0,VLOOKUP(D312,Программа!A$1:B$5063,2),IF(F312&gt;0,VLOOKUP(F312,КВР!A$1:B$5001,2),IF(E312&gt;0,VLOOKUP(E312,Направление!A$1:B$4755,2))))))</f>
        <v>Обеспечение деятельности учреждений дополнительного образования</v>
      </c>
      <c r="B312" s="84"/>
      <c r="C312" s="85"/>
      <c r="D312" s="392"/>
      <c r="E312" s="84">
        <v>13210</v>
      </c>
      <c r="F312" s="86"/>
      <c r="G312" s="93">
        <v>7000000</v>
      </c>
      <c r="H312" s="93">
        <f t="shared" si="85"/>
        <v>-182150</v>
      </c>
      <c r="I312" s="42">
        <f t="shared" si="68"/>
        <v>6817850</v>
      </c>
      <c r="J312" s="93">
        <f t="shared" si="85"/>
        <v>6325349</v>
      </c>
    </row>
    <row r="313" spans="1:10" ht="63">
      <c r="A313" s="41" t="str">
        <f>IF(B313&gt;0,VLOOKUP(B313,КВСР!A225:B1390,2),IF(C313&gt;0,VLOOKUP(C313,КФСР!A225:B1737,2),IF(D313&gt;0,VLOOKUP(D313,Программа!A$1:B$5063,2),IF(F313&gt;0,VLOOKUP(F313,КВР!A$1:B$5001,2),IF(E313&gt;0,VLOOKUP(E313,Направление!A$1:B$4755,2))))))</f>
        <v>Предоставление субсидий бюджетным, автономным учреждениям и иным некоммерческим организациям</v>
      </c>
      <c r="B313" s="84"/>
      <c r="C313" s="85"/>
      <c r="D313" s="86"/>
      <c r="E313" s="84"/>
      <c r="F313" s="86">
        <v>600</v>
      </c>
      <c r="G313" s="341">
        <v>7000000</v>
      </c>
      <c r="H313" s="337">
        <v>-182150</v>
      </c>
      <c r="I313" s="42">
        <f t="shared" si="68"/>
        <v>6817850</v>
      </c>
      <c r="J313" s="337">
        <v>6325349</v>
      </c>
    </row>
    <row r="314" spans="1:10" ht="51" customHeight="1">
      <c r="A314" s="41" t="str">
        <f>IF(B314&gt;0,VLOOKUP(B314,КВСР!A226:B1391,2),IF(C314&gt;0,VLOOKUP(C314,КФСР!A226:B1738,2),IF(D314&gt;0,VLOOKUP(D314,Программа!A$1:B$5063,2),IF(F314&gt;0,VLOOKUP(F314,КВР!A$1:B$5001,2),IF(E314&gt;0,VLOOKUP(E314,Направление!A$1:B$4755,2))))))</f>
        <v>Муниципальная программа "Социальная поддержка населения Тутаевского муниципального района"</v>
      </c>
      <c r="B314" s="84"/>
      <c r="C314" s="85"/>
      <c r="D314" s="392" t="s">
        <v>2765</v>
      </c>
      <c r="E314" s="84"/>
      <c r="F314" s="86"/>
      <c r="G314" s="42">
        <v>69600</v>
      </c>
      <c r="H314" s="42">
        <f t="shared" ref="H314:J314" si="86">H317</f>
        <v>0</v>
      </c>
      <c r="I314" s="42">
        <f t="shared" si="68"/>
        <v>69600</v>
      </c>
      <c r="J314" s="42">
        <f t="shared" si="86"/>
        <v>69600</v>
      </c>
    </row>
    <row r="315" spans="1:10" ht="63">
      <c r="A315" s="41" t="str">
        <f>IF(B315&gt;0,VLOOKUP(B315,КВСР!A227:B1392,2),IF(C315&gt;0,VLOOKUP(C315,КФСР!A227:B1739,2),IF(D315&gt;0,VLOOKUP(D315,Программа!A$1:B$5063,2),IF(F315&gt;0,VLOOKUP(F315,КВР!A$1:B$5001,2),IF(E315&gt;0,VLOOKUP(E315,Направление!A$1:B$4755,2))))))</f>
        <v>Муниципальная целевая программа "Улучшение условий и охраны труда" по Тутаевскому муниципальному району</v>
      </c>
      <c r="B315" s="84"/>
      <c r="C315" s="85"/>
      <c r="D315" s="392" t="s">
        <v>2807</v>
      </c>
      <c r="E315" s="84"/>
      <c r="F315" s="86"/>
      <c r="G315" s="42">
        <v>69600</v>
      </c>
      <c r="H315" s="42">
        <f t="shared" ref="H315:J317" si="87">H316</f>
        <v>0</v>
      </c>
      <c r="I315" s="42">
        <f t="shared" si="68"/>
        <v>69600</v>
      </c>
      <c r="J315" s="42">
        <f t="shared" si="87"/>
        <v>69600</v>
      </c>
    </row>
    <row r="316" spans="1:10" ht="70.5" customHeight="1">
      <c r="A316" s="41" t="str">
        <f>IF(B316&gt;0,VLOOKUP(B316,КВСР!A228:B1393,2),IF(C316&gt;0,VLOOKUP(C316,КФСР!A228:B1740,2),IF(D316&gt;0,VLOOKUP(D316,Программа!A$1:B$5063,2),IF(F316&gt;0,VLOOKUP(F316,КВР!A$1:B$5001,2),IF(E316&gt;0,VLOOKUP(E316,Направление!A$1:B$4755,2))))))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316" s="84"/>
      <c r="C316" s="85"/>
      <c r="D316" s="392" t="s">
        <v>2926</v>
      </c>
      <c r="E316" s="84"/>
      <c r="F316" s="86"/>
      <c r="G316" s="42">
        <v>69600</v>
      </c>
      <c r="H316" s="42">
        <f t="shared" si="87"/>
        <v>0</v>
      </c>
      <c r="I316" s="42">
        <f t="shared" si="68"/>
        <v>69600</v>
      </c>
      <c r="J316" s="42">
        <f t="shared" si="87"/>
        <v>69600</v>
      </c>
    </row>
    <row r="317" spans="1:10" ht="38.25" customHeight="1">
      <c r="A317" s="41" t="str">
        <f>IF(B317&gt;0,VLOOKUP(B317,КВСР!A229:B1394,2),IF(C317&gt;0,VLOOKUP(C317,КФСР!A229:B1741,2),IF(D317&gt;0,VLOOKUP(D317,Программа!A$1:B$5063,2),IF(F317&gt;0,VLOOKUP(F317,КВР!A$1:B$5001,2),IF(E317&gt;0,VLOOKUP(E317,Направление!A$1:B$4755,2))))))</f>
        <v>Расходы на реализацию МЦП "Улучшение условий и охраны труда"</v>
      </c>
      <c r="B317" s="84"/>
      <c r="C317" s="85"/>
      <c r="D317" s="392"/>
      <c r="E317" s="84">
        <v>16150</v>
      </c>
      <c r="F317" s="86"/>
      <c r="G317" s="42">
        <v>69600</v>
      </c>
      <c r="H317" s="42">
        <f t="shared" si="87"/>
        <v>0</v>
      </c>
      <c r="I317" s="42">
        <f t="shared" si="68"/>
        <v>69600</v>
      </c>
      <c r="J317" s="42">
        <f t="shared" si="87"/>
        <v>69600</v>
      </c>
    </row>
    <row r="318" spans="1:10" ht="63">
      <c r="A318" s="41" t="str">
        <f>IF(B318&gt;0,VLOOKUP(B318,КВСР!A230:B1395,2),IF(C318&gt;0,VLOOKUP(C318,КФСР!A230:B1742,2),IF(D318&gt;0,VLOOKUP(D318,Программа!A$1:B$5063,2),IF(F318&gt;0,VLOOKUP(F318,КВР!A$1:B$5001,2),IF(E318&gt;0,VLOOKUP(E318,Направление!A$1:B$4755,2))))))</f>
        <v>Предоставление субсидий бюджетным, автономным учреждениям и иным некоммерческим организациям</v>
      </c>
      <c r="B318" s="84"/>
      <c r="C318" s="85"/>
      <c r="D318" s="86"/>
      <c r="E318" s="84"/>
      <c r="F318" s="86">
        <v>600</v>
      </c>
      <c r="G318" s="341">
        <v>69600</v>
      </c>
      <c r="H318" s="337"/>
      <c r="I318" s="42">
        <f t="shared" si="68"/>
        <v>69600</v>
      </c>
      <c r="J318" s="337">
        <v>69600</v>
      </c>
    </row>
    <row r="319" spans="1:10">
      <c r="A319" s="41" t="str">
        <f>IF(B319&gt;0,VLOOKUP(B319,КВСР!A231:B1396,2),IF(C319&gt;0,VLOOKUP(C319,КФСР!A231:B1743,2),IF(D319&gt;0,VLOOKUP(D319,Программа!A$1:B$5063,2),IF(F319&gt;0,VLOOKUP(F319,КВР!A$1:B$5001,2),IF(E319&gt;0,VLOOKUP(E319,Направление!A$1:B$4755,2))))))</f>
        <v>Непрограммные расходы бюджета</v>
      </c>
      <c r="B319" s="84"/>
      <c r="C319" s="85"/>
      <c r="D319" s="392" t="s">
        <v>2808</v>
      </c>
      <c r="E319" s="84"/>
      <c r="F319" s="86"/>
      <c r="G319" s="42">
        <v>20872</v>
      </c>
      <c r="H319" s="42">
        <f t="shared" ref="H319:J320" si="88">H320</f>
        <v>0</v>
      </c>
      <c r="I319" s="42">
        <f t="shared" si="68"/>
        <v>20872</v>
      </c>
      <c r="J319" s="42">
        <f t="shared" si="88"/>
        <v>20872</v>
      </c>
    </row>
    <row r="320" spans="1:10" ht="47.25">
      <c r="A320" s="41" t="str">
        <f>IF(B320&gt;0,VLOOKUP(B320,КВСР!A232:B1397,2),IF(C320&gt;0,VLOOKUP(C320,КФСР!A232:B1744,2),IF(D320&gt;0,VLOOKUP(D320,Программа!A$1:B$5063,2),IF(F320&gt;0,VLOOKUP(F320,КВР!A$1:B$5001,2),IF(E320&gt;0,VLOOKUP(E320,Направление!A$1:B$4755,2))))))</f>
        <v>Исполнение судебных актов, актов других органов и должностных лиц, иных документов</v>
      </c>
      <c r="B320" s="84"/>
      <c r="C320" s="85"/>
      <c r="D320" s="392"/>
      <c r="E320" s="84">
        <v>12130</v>
      </c>
      <c r="F320" s="86"/>
      <c r="G320" s="42">
        <v>20872</v>
      </c>
      <c r="H320" s="42">
        <f t="shared" si="88"/>
        <v>0</v>
      </c>
      <c r="I320" s="42">
        <f t="shared" si="68"/>
        <v>20872</v>
      </c>
      <c r="J320" s="42">
        <f t="shared" si="88"/>
        <v>20872</v>
      </c>
    </row>
    <row r="321" spans="1:10" ht="63">
      <c r="A321" s="41" t="str">
        <f>IF(B321&gt;0,VLOOKUP(B321,КВСР!A233:B1398,2),IF(C321&gt;0,VLOOKUP(C321,КФСР!A233:B1745,2),IF(D321&gt;0,VLOOKUP(D321,Программа!A$1:B$5063,2),IF(F321&gt;0,VLOOKUP(F321,КВР!A$1:B$5001,2),IF(E321&gt;0,VLOOKUP(E321,Направление!A$1:B$4755,2))))))</f>
        <v>Предоставление субсидий бюджетным, автономным учреждениям и иным некоммерческим организациям</v>
      </c>
      <c r="B321" s="84"/>
      <c r="C321" s="85"/>
      <c r="D321" s="86"/>
      <c r="E321" s="84"/>
      <c r="F321" s="86">
        <v>600</v>
      </c>
      <c r="G321" s="341">
        <v>20872</v>
      </c>
      <c r="H321" s="337"/>
      <c r="I321" s="42">
        <f t="shared" si="68"/>
        <v>20872</v>
      </c>
      <c r="J321" s="337">
        <v>20872</v>
      </c>
    </row>
    <row r="322" spans="1:10" ht="31.5">
      <c r="A322" s="41" t="str">
        <f>IF(B322&gt;0,VLOOKUP(B322,КВСР!A234:B1399,2),IF(C322&gt;0,VLOOKUP(C322,КФСР!A234:B1746,2),IF(D322&gt;0,VLOOKUP(D322,Программа!A$1:B$5063,2),IF(F322&gt;0,VLOOKUP(F322,КВР!A$1:B$5001,2),IF(E322&gt;0,VLOOKUP(E322,Направление!A$1:B$4755,2))))))</f>
        <v>Молодежная политика и оздоровление детей</v>
      </c>
      <c r="B322" s="84"/>
      <c r="C322" s="85">
        <v>707</v>
      </c>
      <c r="D322" s="392"/>
      <c r="E322" s="84"/>
      <c r="F322" s="86"/>
      <c r="G322" s="75">
        <v>6874700</v>
      </c>
      <c r="H322" s="75">
        <f t="shared" ref="H322:J322" si="89">H323</f>
        <v>-500000</v>
      </c>
      <c r="I322" s="42">
        <f t="shared" si="68"/>
        <v>6374700</v>
      </c>
      <c r="J322" s="75">
        <f t="shared" si="89"/>
        <v>6232289</v>
      </c>
    </row>
    <row r="323" spans="1:10" ht="63">
      <c r="A323" s="41" t="str">
        <f>IF(B323&gt;0,VLOOKUP(B323,КВСР!A235:B1400,2),IF(C323&gt;0,VLOOKUP(C323,КФСР!A235:B1747,2),IF(D323&gt;0,VLOOKUP(D323,Программа!A$1:B$5063,2),IF(F323&gt;0,VLOOKUP(F323,КВР!A$1:B$5001,2),IF(E323&gt;0,VLOOKUP(E323,Направление!A$1:B$4755,2))))))</f>
        <v>Муниципальная программа "Развитие образования, физической культуры и спорта в Тутаевском муниципальном районе"</v>
      </c>
      <c r="B323" s="84"/>
      <c r="C323" s="85"/>
      <c r="D323" s="392" t="s">
        <v>2695</v>
      </c>
      <c r="E323" s="84"/>
      <c r="F323" s="86"/>
      <c r="G323" s="75">
        <v>6874700</v>
      </c>
      <c r="H323" s="75">
        <f t="shared" ref="H323:J323" si="90">H325</f>
        <v>-500000</v>
      </c>
      <c r="I323" s="42">
        <f t="shared" si="68"/>
        <v>6374700</v>
      </c>
      <c r="J323" s="75">
        <f t="shared" si="90"/>
        <v>6232289</v>
      </c>
    </row>
    <row r="324" spans="1:10" ht="63">
      <c r="A324" s="41" t="str">
        <f>IF(B324&gt;0,VLOOKUP(B324,КВСР!A236:B1401,2),IF(C324&gt;0,VLOOKUP(C324,КФСР!A236:B1748,2),IF(D324&gt;0,VLOOKUP(D324,Программа!A$1:B$5063,2),IF(F324&gt;0,VLOOKUP(F324,КВР!A$1:B$5001,2),IF(E324&gt;0,VLOOKUP(E324,Направление!A$1:B$4755,2))))))</f>
        <v xml:space="preserve">Ведомственная целевая программа департамента образования Администрации Тутаевского муниципального района </v>
      </c>
      <c r="B324" s="84"/>
      <c r="C324" s="85"/>
      <c r="D324" s="392" t="s">
        <v>2696</v>
      </c>
      <c r="E324" s="84"/>
      <c r="F324" s="86"/>
      <c r="G324" s="75">
        <v>6874700</v>
      </c>
      <c r="H324" s="75">
        <f t="shared" ref="H324:J324" si="91">H325</f>
        <v>-500000</v>
      </c>
      <c r="I324" s="42">
        <f t="shared" si="68"/>
        <v>6374700</v>
      </c>
      <c r="J324" s="75">
        <f t="shared" si="91"/>
        <v>6232289</v>
      </c>
    </row>
    <row r="325" spans="1:10" ht="47.25">
      <c r="A325" s="41" t="str">
        <f>IF(B325&gt;0,VLOOKUP(B325,КВСР!A237:B1402,2),IF(C325&gt;0,VLOOKUP(C325,КФСР!A237:B1749,2),IF(D325&gt;0,VLOOKUP(D325,Программа!A$1:B$5063,2),IF(F325&gt;0,VLOOKUP(F325,КВР!A$1:B$5001,2),IF(E325&gt;0,VLOOKUP(E325,Направление!A$1:B$4755,2))))))</f>
        <v>Мероприятия направленные на осуществление отдельных полномочий в области образования</v>
      </c>
      <c r="B325" s="84"/>
      <c r="C325" s="85"/>
      <c r="D325" s="392" t="s">
        <v>2706</v>
      </c>
      <c r="E325" s="84"/>
      <c r="F325" s="86"/>
      <c r="G325" s="75">
        <v>6874700</v>
      </c>
      <c r="H325" s="75">
        <f>H326+H328+H330+H332+H335</f>
        <v>-500000</v>
      </c>
      <c r="I325" s="42">
        <f t="shared" si="68"/>
        <v>6374700</v>
      </c>
      <c r="J325" s="75">
        <f>J326+J328+J330+J332+J335</f>
        <v>6232289</v>
      </c>
    </row>
    <row r="326" spans="1:10" ht="54.75" customHeight="1">
      <c r="A326" s="41" t="str">
        <f>IF(B326&gt;0,VLOOKUP(B326,КВСР!A238:B1403,2),IF(C326&gt;0,VLOOKUP(C326,КФСР!A238:B1750,2),IF(D326&gt;0,VLOOKUP(D326,Программа!A$1:B$5063,2),IF(F326&gt;0,VLOOKUP(F326,КВР!A$1:B$5001,2),IF(E326&gt;0,VLOOKUP(E326,Направление!A$1:B$4755,2))))))</f>
        <v xml:space="preserve">Расходы на оплату стоимости набора продуктов питания в лагерях с дневной формой пребывания детей </v>
      </c>
      <c r="B326" s="84"/>
      <c r="C326" s="85"/>
      <c r="D326" s="392"/>
      <c r="E326" s="84" t="s">
        <v>2938</v>
      </c>
      <c r="F326" s="86"/>
      <c r="G326" s="75">
        <v>93770</v>
      </c>
      <c r="H326" s="75">
        <f t="shared" ref="H326:J326" si="92">H327</f>
        <v>0</v>
      </c>
      <c r="I326" s="42">
        <f t="shared" si="68"/>
        <v>93770</v>
      </c>
      <c r="J326" s="75">
        <f t="shared" si="92"/>
        <v>93770</v>
      </c>
    </row>
    <row r="327" spans="1:10" ht="63">
      <c r="A327" s="41" t="str">
        <f>IF(B327&gt;0,VLOOKUP(B327,КВСР!A239:B1404,2),IF(C327&gt;0,VLOOKUP(C327,КФСР!A239:B1751,2),IF(D327&gt;0,VLOOKUP(D327,Программа!A$1:B$5063,2),IF(F327&gt;0,VLOOKUP(F327,КВР!A$1:B$5001,2),IF(E327&gt;0,VLOOKUP(E327,Направление!A$1:B$4755,2))))))</f>
        <v>Предоставление субсидий бюджетным, автономным учреждениям и иным некоммерческим организациям</v>
      </c>
      <c r="B327" s="84"/>
      <c r="C327" s="85"/>
      <c r="D327" s="84"/>
      <c r="E327" s="84"/>
      <c r="F327" s="84">
        <v>600</v>
      </c>
      <c r="G327" s="346">
        <v>93770</v>
      </c>
      <c r="H327" s="338"/>
      <c r="I327" s="42">
        <f t="shared" si="68"/>
        <v>93770</v>
      </c>
      <c r="J327" s="338">
        <v>93770</v>
      </c>
    </row>
    <row r="328" spans="1:10" ht="113.25" customHeight="1">
      <c r="A328" s="41" t="str">
        <f>IF(B328&gt;0,VLOOKUP(B328,КВСР!A240:B1405,2),IF(C328&gt;0,VLOOKUP(C328,КФСР!A240:B1752,2),IF(D328&gt;0,VLOOKUP(D328,Программа!A$1:B$5063,2),IF(F328&gt;0,VLOOKUP(F328,КВР!A$1:B$5001,2),IF(E328&gt;0,VLOOKUP(E328,Направление!A$1:B$4755,2))))))</f>
        <v>Расходы на обеспечение отдыха и оздоровления  детей, находящихся в трудной жизненной ситтуации,детей погибших сотрудников правоохранительных органов и военнослужащих,безнадзорных детей за счет средств областного бюджета</v>
      </c>
      <c r="B328" s="84"/>
      <c r="C328" s="85"/>
      <c r="D328" s="84"/>
      <c r="E328" s="84">
        <v>54570</v>
      </c>
      <c r="F328" s="84"/>
      <c r="G328" s="43">
        <v>550000</v>
      </c>
      <c r="H328" s="43">
        <f t="shared" ref="H328:J328" si="93">H329</f>
        <v>0</v>
      </c>
      <c r="I328" s="42">
        <f t="shared" si="68"/>
        <v>550000</v>
      </c>
      <c r="J328" s="43">
        <f t="shared" si="93"/>
        <v>550000</v>
      </c>
    </row>
    <row r="329" spans="1:10" ht="31.5">
      <c r="A329" s="41" t="str">
        <f>IF(B329&gt;0,VLOOKUP(B329,КВСР!A241:B1406,2),IF(C329&gt;0,VLOOKUP(C329,КФСР!A241:B1753,2),IF(D329&gt;0,VLOOKUP(D329,Программа!A$1:B$5063,2),IF(F329&gt;0,VLOOKUP(F329,КВР!A$1:B$5001,2),IF(E329&gt;0,VLOOKUP(E329,Направление!A$1:B$4755,2))))))</f>
        <v>Социальное обеспечение и иные выплаты населению</v>
      </c>
      <c r="B329" s="84"/>
      <c r="C329" s="85"/>
      <c r="D329" s="84"/>
      <c r="E329" s="84"/>
      <c r="F329" s="84">
        <v>300</v>
      </c>
      <c r="G329" s="346">
        <v>550000</v>
      </c>
      <c r="H329" s="346"/>
      <c r="I329" s="42">
        <f t="shared" si="68"/>
        <v>550000</v>
      </c>
      <c r="J329" s="346">
        <v>550000</v>
      </c>
    </row>
    <row r="330" spans="1:10" ht="94.5">
      <c r="A330" s="41" t="str">
        <f>IF(B330&gt;0,VLOOKUP(B330,КВСР!A242:B1407,2),IF(C330&gt;0,VLOOKUP(C330,КФСР!A242:B1754,2),IF(D330&gt;0,VLOOKUP(D330,Программа!A$1:B$5063,2),IF(F330&gt;0,VLOOKUP(F330,КВР!A$1:B$5001,2),IF(E330&gt;0,VLOOKUP(E330,Направление!A$1:B$4755,2))))))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330" s="84"/>
      <c r="C330" s="85"/>
      <c r="D330" s="392"/>
      <c r="E330" s="84">
        <v>71000</v>
      </c>
      <c r="F330" s="86"/>
      <c r="G330" s="42">
        <v>843930</v>
      </c>
      <c r="H330" s="42">
        <f t="shared" ref="H330:J330" si="94">H331</f>
        <v>0</v>
      </c>
      <c r="I330" s="42">
        <f t="shared" si="68"/>
        <v>843930</v>
      </c>
      <c r="J330" s="42">
        <f t="shared" si="94"/>
        <v>843930</v>
      </c>
    </row>
    <row r="331" spans="1:10" ht="63">
      <c r="A331" s="41" t="str">
        <f>IF(B331&gt;0,VLOOKUP(B331,КВСР!A243:B1408,2),IF(C331&gt;0,VLOOKUP(C331,КФСР!A243:B1755,2),IF(D331&gt;0,VLOOKUP(D331,Программа!A$1:B$5063,2),IF(F331&gt;0,VLOOKUP(F331,КВР!A$1:B$5001,2),IF(E331&gt;0,VLOOKUP(E331,Направление!A$1:B$4755,2))))))</f>
        <v>Предоставление субсидий бюджетным, автономным учреждениям и иным некоммерческим организациям</v>
      </c>
      <c r="B331" s="84"/>
      <c r="C331" s="85"/>
      <c r="D331" s="86"/>
      <c r="E331" s="84"/>
      <c r="F331" s="86">
        <v>600</v>
      </c>
      <c r="G331" s="341">
        <v>843930</v>
      </c>
      <c r="H331" s="337"/>
      <c r="I331" s="42">
        <f t="shared" si="68"/>
        <v>843930</v>
      </c>
      <c r="J331" s="337">
        <v>843930</v>
      </c>
    </row>
    <row r="332" spans="1:10" ht="126">
      <c r="A332" s="41" t="str">
        <f>IF(B332&gt;0,VLOOKUP(B332,КВСР!A244:B1409,2),IF(C332&gt;0,VLOOKUP(C332,КФСР!A244:B1756,2),IF(D332&gt;0,VLOOKUP(D332,Программа!A$1:B$5063,2),IF(F332&gt;0,VLOOKUP(F332,КВР!A$1:B$5001,2),IF(E332&gt;0,VLOOKUP(E332,Направление!A$1:B$4755,2))))))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332" s="84"/>
      <c r="C332" s="85"/>
      <c r="D332" s="392"/>
      <c r="E332" s="84">
        <v>71060</v>
      </c>
      <c r="F332" s="86"/>
      <c r="G332" s="42">
        <v>4407000</v>
      </c>
      <c r="H332" s="42">
        <f t="shared" ref="H332:J332" si="95">H333+H334</f>
        <v>0</v>
      </c>
      <c r="I332" s="42">
        <f t="shared" si="68"/>
        <v>4407000</v>
      </c>
      <c r="J332" s="42">
        <f t="shared" si="95"/>
        <v>4407000</v>
      </c>
    </row>
    <row r="333" spans="1:10" ht="31.5">
      <c r="A333" s="41" t="str">
        <f>IF(B333&gt;0,VLOOKUP(B333,КВСР!A245:B1410,2),IF(C333&gt;0,VLOOKUP(C333,КФСР!A245:B1757,2),IF(D333&gt;0,VLOOKUP(D333,Программа!A$1:B$5063,2),IF(F333&gt;0,VLOOKUP(F333,КВР!A$1:B$5001,2),IF(E333&gt;0,VLOOKUP(E333,Направление!A$1:B$4755,2))))))</f>
        <v>Социальное обеспечение и иные выплаты населению</v>
      </c>
      <c r="B333" s="84"/>
      <c r="C333" s="85"/>
      <c r="D333" s="86"/>
      <c r="E333" s="84"/>
      <c r="F333" s="86">
        <v>300</v>
      </c>
      <c r="G333" s="341">
        <v>3297729</v>
      </c>
      <c r="H333" s="337"/>
      <c r="I333" s="42">
        <f t="shared" si="68"/>
        <v>3297729</v>
      </c>
      <c r="J333" s="337">
        <v>3297729</v>
      </c>
    </row>
    <row r="334" spans="1:10" ht="63">
      <c r="A334" s="41" t="str">
        <f>IF(B334&gt;0,VLOOKUP(B334,КВСР!A246:B1411,2),IF(C334&gt;0,VLOOKUP(C334,КФСР!A246:B1758,2),IF(D334&gt;0,VLOOKUP(D334,Программа!A$1:B$5063,2),IF(F334&gt;0,VLOOKUP(F334,КВР!A$1:B$5001,2),IF(E334&gt;0,VLOOKUP(E334,Направление!A$1:B$4755,2))))))</f>
        <v>Предоставление субсидий бюджетным, автономным учреждениям и иным некоммерческим организациям</v>
      </c>
      <c r="B334" s="84"/>
      <c r="C334" s="85"/>
      <c r="D334" s="86"/>
      <c r="E334" s="84"/>
      <c r="F334" s="86">
        <v>600</v>
      </c>
      <c r="G334" s="341">
        <v>1109271</v>
      </c>
      <c r="H334" s="337"/>
      <c r="I334" s="42">
        <f t="shared" si="68"/>
        <v>1109271</v>
      </c>
      <c r="J334" s="337">
        <v>1109271</v>
      </c>
    </row>
    <row r="335" spans="1:10" ht="63">
      <c r="A335" s="41" t="str">
        <f>IF(B335&gt;0,VLOOKUP(B335,КВСР!A247:B1412,2),IF(C335&gt;0,VLOOKUP(C335,КФСР!A247:B1759,2),IF(D335&gt;0,VLOOKUP(D335,Программа!A$1:B$5063,2),IF(F335&gt;0,VLOOKUP(F335,КВР!A$1:B$5001,2),IF(E335&gt;0,VLOOKUP(E335,Направление!A$1:B$4755,2))))))</f>
        <v>Компенсация части расходов на приобретение путевки в организации отдыха детей и их оздоровления</v>
      </c>
      <c r="B335" s="84"/>
      <c r="C335" s="85"/>
      <c r="D335" s="86"/>
      <c r="E335" s="84">
        <v>74390</v>
      </c>
      <c r="F335" s="86"/>
      <c r="G335" s="42">
        <v>980000</v>
      </c>
      <c r="H335" s="42">
        <f t="shared" ref="H335:J335" si="96">H336</f>
        <v>-500000</v>
      </c>
      <c r="I335" s="42">
        <f t="shared" si="68"/>
        <v>480000</v>
      </c>
      <c r="J335" s="42">
        <f t="shared" si="96"/>
        <v>337589</v>
      </c>
    </row>
    <row r="336" spans="1:10" ht="31.5">
      <c r="A336" s="41" t="str">
        <f>IF(B336&gt;0,VLOOKUP(B336,КВСР!A248:B1413,2),IF(C336&gt;0,VLOOKUP(C336,КФСР!A248:B1760,2),IF(D336&gt;0,VLOOKUP(D336,Программа!A$1:B$5063,2),IF(F336&gt;0,VLOOKUP(F336,КВР!A$1:B$5001,2),IF(E336&gt;0,VLOOKUP(E336,Направление!A$1:B$4755,2))))))</f>
        <v>Социальное обеспечение и иные выплаты населению</v>
      </c>
      <c r="B336" s="84"/>
      <c r="C336" s="85"/>
      <c r="D336" s="86"/>
      <c r="E336" s="84"/>
      <c r="F336" s="86">
        <v>300</v>
      </c>
      <c r="G336" s="341">
        <v>980000</v>
      </c>
      <c r="H336" s="337">
        <v>-500000</v>
      </c>
      <c r="I336" s="42">
        <f t="shared" si="68"/>
        <v>480000</v>
      </c>
      <c r="J336" s="337">
        <v>337589</v>
      </c>
    </row>
    <row r="337" spans="1:10" ht="31.5">
      <c r="A337" s="41" t="str">
        <f>IF(B337&gt;0,VLOOKUP(B337,КВСР!A249:B1414,2),IF(C337&gt;0,VLOOKUP(C337,КФСР!A249:B1761,2),IF(D337&gt;0,VLOOKUP(D337,Программа!A$1:B$5063,2),IF(F337&gt;0,VLOOKUP(F337,КВР!A$1:B$5001,2),IF(E337&gt;0,VLOOKUP(E337,Направление!A$1:B$4755,2))))))</f>
        <v>Другие вопросы в области образования</v>
      </c>
      <c r="B337" s="84"/>
      <c r="C337" s="85">
        <v>709</v>
      </c>
      <c r="D337" s="392"/>
      <c r="E337" s="84"/>
      <c r="F337" s="86"/>
      <c r="G337" s="75">
        <v>58039043</v>
      </c>
      <c r="H337" s="75">
        <f>H338+H349+H414+H418+H404</f>
        <v>372970</v>
      </c>
      <c r="I337" s="75">
        <f>I338+I349+I414+I418+I404</f>
        <v>58412013</v>
      </c>
      <c r="J337" s="75">
        <f>J338+J349+J414+J418+J404</f>
        <v>49276026</v>
      </c>
    </row>
    <row r="338" spans="1:10" ht="63">
      <c r="A338" s="41" t="str">
        <f>IF(B338&gt;0,VLOOKUP(B338,КВСР!A250:B1415,2),IF(C338&gt;0,VLOOKUP(C338,КФСР!A250:B1762,2),IF(D338&gt;0,VLOOKUP(D338,Программа!A$1:B$5063,2),IF(F338&gt;0,VLOOKUP(F338,КВР!A$1:B$5001,2),IF(E338&gt;0,VLOOKUP(E338,Направление!A$1:B$4755,2))))))</f>
        <v>Муниципальная программа  "Развитие культуры, туризма и молодежной политики в Тутаевском муниципальном районе"</v>
      </c>
      <c r="B338" s="84"/>
      <c r="C338" s="85"/>
      <c r="D338" s="392" t="s">
        <v>2677</v>
      </c>
      <c r="E338" s="84"/>
      <c r="F338" s="86"/>
      <c r="G338" s="75">
        <v>191945</v>
      </c>
      <c r="H338" s="75">
        <f t="shared" ref="H338:J338" si="97">H339+H343</f>
        <v>-897</v>
      </c>
      <c r="I338" s="42">
        <f t="shared" si="68"/>
        <v>191048</v>
      </c>
      <c r="J338" s="75">
        <f t="shared" si="97"/>
        <v>191048</v>
      </c>
    </row>
    <row r="339" spans="1:10" ht="94.5">
      <c r="A339" s="41" t="str">
        <f>IF(B339&gt;0,VLOOKUP(B339,КВСР!A251:B1416,2),IF(C339&gt;0,VLOOKUP(C339,КФСР!A251:B1763,2),IF(D339&gt;0,VLOOKUP(D339,Программа!A$1:B$5063,2),IF(F339&gt;0,VLOOKUP(F339,КВР!A$1:B$5001,2),IF(E339&gt;0,VLOOKUP(E339,Направление!A$1:B$4755,2))))))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339" s="84"/>
      <c r="C339" s="85"/>
      <c r="D339" s="392" t="s">
        <v>2680</v>
      </c>
      <c r="E339" s="84"/>
      <c r="F339" s="86"/>
      <c r="G339" s="75">
        <v>57000</v>
      </c>
      <c r="H339" s="75">
        <f t="shared" ref="H339:J341" si="98">H340</f>
        <v>0</v>
      </c>
      <c r="I339" s="42">
        <f t="shared" si="68"/>
        <v>57000</v>
      </c>
      <c r="J339" s="75">
        <f t="shared" si="98"/>
        <v>57000</v>
      </c>
    </row>
    <row r="340" spans="1:10" ht="94.5">
      <c r="A340" s="41" t="str">
        <f>IF(B340&gt;0,VLOOKUP(B340,КВСР!A252:B1417,2),IF(C340&gt;0,VLOOKUP(C340,КФСР!A252:B1764,2),IF(D340&gt;0,VLOOKUP(D340,Программа!A$1:B$5063,2),IF(F340&gt;0,VLOOKUP(F340,КВР!A$1:B$5001,2),IF(E340&gt;0,VLOOKUP(E340,Направление!A$1:B$4755,2))))))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340" s="84"/>
      <c r="C340" s="85"/>
      <c r="D340" s="392" t="s">
        <v>2681</v>
      </c>
      <c r="E340" s="84"/>
      <c r="F340" s="86"/>
      <c r="G340" s="75">
        <v>57000</v>
      </c>
      <c r="H340" s="75">
        <f t="shared" si="98"/>
        <v>0</v>
      </c>
      <c r="I340" s="42">
        <f t="shared" si="68"/>
        <v>57000</v>
      </c>
      <c r="J340" s="75">
        <f t="shared" si="98"/>
        <v>57000</v>
      </c>
    </row>
    <row r="341" spans="1:10" ht="47.25">
      <c r="A341" s="41" t="str">
        <f>IF(B341&gt;0,VLOOKUP(B341,КВСР!A253:B1418,2),IF(C341&gt;0,VLOOKUP(C341,КФСР!A253:B1765,2),IF(D341&gt;0,VLOOKUP(D341,Программа!A$1:B$5063,2),IF(F341&gt;0,VLOOKUP(F341,КВР!A$1:B$5001,2),IF(E341&gt;0,VLOOKUP(E341,Направление!A$1:B$4755,2))))))</f>
        <v>Расходы на реализацию мероприятий патриотического воспитания молодежи</v>
      </c>
      <c r="B341" s="84"/>
      <c r="C341" s="85"/>
      <c r="D341" s="392"/>
      <c r="E341" s="84">
        <v>14560</v>
      </c>
      <c r="F341" s="86"/>
      <c r="G341" s="75">
        <v>57000</v>
      </c>
      <c r="H341" s="75">
        <f t="shared" si="98"/>
        <v>0</v>
      </c>
      <c r="I341" s="42">
        <f t="shared" si="68"/>
        <v>57000</v>
      </c>
      <c r="J341" s="75">
        <f t="shared" si="98"/>
        <v>57000</v>
      </c>
    </row>
    <row r="342" spans="1:10" ht="63">
      <c r="A342" s="41" t="str">
        <f>IF(B342&gt;0,VLOOKUP(B342,КВСР!A254:B1419,2),IF(C342&gt;0,VLOOKUP(C342,КФСР!A254:B1766,2),IF(D342&gt;0,VLOOKUP(D342,Программа!A$1:B$5063,2),IF(F342&gt;0,VLOOKUP(F342,КВР!A$1:B$5001,2),IF(E342&gt;0,VLOOKUP(E342,Направление!A$1:B$4755,2))))))</f>
        <v>Предоставление субсидий бюджетным, автономным учреждениям и иным некоммерческим организациям</v>
      </c>
      <c r="B342" s="84"/>
      <c r="C342" s="85"/>
      <c r="D342" s="392"/>
      <c r="E342" s="84"/>
      <c r="F342" s="86">
        <v>600</v>
      </c>
      <c r="G342" s="75">
        <v>57000</v>
      </c>
      <c r="H342" s="338"/>
      <c r="I342" s="42">
        <f t="shared" si="68"/>
        <v>57000</v>
      </c>
      <c r="J342" s="338">
        <v>57000</v>
      </c>
    </row>
    <row r="343" spans="1:10" ht="69" customHeight="1">
      <c r="A343" s="41" t="str">
        <f>IF(B343&gt;0,VLOOKUP(B343,КВСР!A255:B1420,2),IF(C343&gt;0,VLOOKUP(C343,КФСР!A255:B1767,2),IF(D343&gt;0,VLOOKUP(D343,Программа!A$1:B$5063,2),IF(F343&gt;0,VLOOKUP(F343,КВР!A$1:B$5001,2),IF(E343&gt;0,VLOOKUP(E343,Направление!A$1:B$4755,2))))))</f>
        <v>Муниципальная целевая программа «Комплексные меры противодействия злоупотреблению наркотиками и их незаконному обороту»</v>
      </c>
      <c r="B343" s="84"/>
      <c r="C343" s="85"/>
      <c r="D343" s="392" t="s">
        <v>2682</v>
      </c>
      <c r="E343" s="84"/>
      <c r="F343" s="86"/>
      <c r="G343" s="75">
        <v>134945</v>
      </c>
      <c r="H343" s="75">
        <f t="shared" ref="H343:J343" si="99">H344</f>
        <v>-897</v>
      </c>
      <c r="I343" s="42">
        <f t="shared" si="68"/>
        <v>134048</v>
      </c>
      <c r="J343" s="75">
        <f t="shared" si="99"/>
        <v>134048</v>
      </c>
    </row>
    <row r="344" spans="1:10" ht="47.25">
      <c r="A344" s="41" t="str">
        <f>IF(B344&gt;0,VLOOKUP(B344,КВСР!A256:B1421,2),IF(C344&gt;0,VLOOKUP(C344,КФСР!A256:B1768,2),IF(D344&gt;0,VLOOKUP(D344,Программа!A$1:B$5063,2),IF(F344&gt;0,VLOOKUP(F344,КВР!A$1:B$5001,2),IF(E344&gt;0,VLOOKUP(E344,Направление!A$1:B$4755,2))))))</f>
        <v>Развитие системы профилактики немедицинского потребления наркотиков</v>
      </c>
      <c r="B344" s="84"/>
      <c r="C344" s="85"/>
      <c r="D344" s="392" t="s">
        <v>2683</v>
      </c>
      <c r="E344" s="84"/>
      <c r="F344" s="86"/>
      <c r="G344" s="75">
        <v>134945</v>
      </c>
      <c r="H344" s="75">
        <f t="shared" ref="H344:J344" si="100">H345+H347</f>
        <v>-897</v>
      </c>
      <c r="I344" s="42">
        <f t="shared" si="68"/>
        <v>134048</v>
      </c>
      <c r="J344" s="75">
        <f t="shared" si="100"/>
        <v>134048</v>
      </c>
    </row>
    <row r="345" spans="1:10" ht="78.75">
      <c r="A345" s="41" t="str">
        <f>IF(B345&gt;0,VLOOKUP(B345,КВСР!A257:B1422,2),IF(C345&gt;0,VLOOKUP(C345,КФСР!A257:B1769,2),IF(D345&gt;0,VLOOKUP(D345,Программа!A$1:B$5063,2),IF(F345&gt;0,VLOOKUP(F345,КВР!A$1:B$5001,2),IF(E345&gt;0,VLOOKUP(E345,Направление!A$1:B$4755,2))))))</f>
        <v>Расходы на обеспечение функционирования в вечернее время спортивных залов общеобразовательных школ для занятий в них обучающихся</v>
      </c>
      <c r="B345" s="84"/>
      <c r="C345" s="85"/>
      <c r="D345" s="392"/>
      <c r="E345" s="84" t="s">
        <v>2939</v>
      </c>
      <c r="F345" s="86"/>
      <c r="G345" s="75">
        <v>14302</v>
      </c>
      <c r="H345" s="75">
        <f t="shared" ref="H345:J345" si="101">H346</f>
        <v>-897</v>
      </c>
      <c r="I345" s="42">
        <f t="shared" si="68"/>
        <v>13405</v>
      </c>
      <c r="J345" s="75">
        <f t="shared" si="101"/>
        <v>13405</v>
      </c>
    </row>
    <row r="346" spans="1:10" ht="63">
      <c r="A346" s="41" t="str">
        <f>IF(B346&gt;0,VLOOKUP(B346,КВСР!A258:B1423,2),IF(C346&gt;0,VLOOKUP(C346,КФСР!A258:B1770,2),IF(D346&gt;0,VLOOKUP(D346,Программа!A$1:B$5063,2),IF(F346&gt;0,VLOOKUP(F346,КВР!A$1:B$5001,2),IF(E346&gt;0,VLOOKUP(E346,Направление!A$1:B$4755,2))))))</f>
        <v>Предоставление субсидий бюджетным, автономным учреждениям и иным некоммерческим организациям</v>
      </c>
      <c r="B346" s="84"/>
      <c r="C346" s="85"/>
      <c r="D346" s="392"/>
      <c r="E346" s="84"/>
      <c r="F346" s="86">
        <v>600</v>
      </c>
      <c r="G346" s="346">
        <v>14302</v>
      </c>
      <c r="H346" s="344">
        <v>-897</v>
      </c>
      <c r="I346" s="42">
        <f t="shared" si="68"/>
        <v>13405</v>
      </c>
      <c r="J346" s="344">
        <v>13405</v>
      </c>
    </row>
    <row r="347" spans="1:10" ht="94.5">
      <c r="A347" s="41" t="str">
        <f>IF(B347&gt;0,VLOOKUP(B347,КВСР!A259:B1424,2),IF(C347&gt;0,VLOOKUP(C347,КФСР!A259:B1771,2),IF(D347&gt;0,VLOOKUP(D347,Программа!A$1:B$5063,2),IF(F347&gt;0,VLOOKUP(F347,КВР!A$1:B$5001,2),IF(E347&gt;0,VLOOKUP(E347,Направление!A$1:B$4755,2))))))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347" s="84"/>
      <c r="C347" s="85"/>
      <c r="D347" s="392"/>
      <c r="E347" s="84">
        <v>71430</v>
      </c>
      <c r="F347" s="86"/>
      <c r="G347" s="75">
        <v>120643</v>
      </c>
      <c r="H347" s="75">
        <f t="shared" ref="H347:J347" si="102">H348</f>
        <v>0</v>
      </c>
      <c r="I347" s="42">
        <f t="shared" ref="I347:I428" si="103">SUM(G347:H347)</f>
        <v>120643</v>
      </c>
      <c r="J347" s="75">
        <f t="shared" si="102"/>
        <v>120643</v>
      </c>
    </row>
    <row r="348" spans="1:10" ht="63">
      <c r="A348" s="41" t="str">
        <f>IF(B348&gt;0,VLOOKUP(B348,КВСР!A260:B1425,2),IF(C348&gt;0,VLOOKUP(C348,КФСР!A260:B1772,2),IF(D348&gt;0,VLOOKUP(D348,Программа!A$1:B$5063,2),IF(F348&gt;0,VLOOKUP(F348,КВР!A$1:B$5001,2),IF(E348&gt;0,VLOOKUP(E348,Направление!A$1:B$4755,2))))))</f>
        <v>Предоставление субсидий бюджетным, автономным учреждениям и иным некоммерческим организациям</v>
      </c>
      <c r="B348" s="84"/>
      <c r="C348" s="85"/>
      <c r="D348" s="392"/>
      <c r="E348" s="84"/>
      <c r="F348" s="86">
        <v>600</v>
      </c>
      <c r="G348" s="346">
        <v>120643</v>
      </c>
      <c r="H348" s="344"/>
      <c r="I348" s="42">
        <f t="shared" si="103"/>
        <v>120643</v>
      </c>
      <c r="J348" s="344">
        <v>120643</v>
      </c>
    </row>
    <row r="349" spans="1:10" ht="63">
      <c r="A349" s="41" t="str">
        <f>IF(B349&gt;0,VLOOKUP(B349,КВСР!A261:B1426,2),IF(C349&gt;0,VLOOKUP(C349,КФСР!A261:B1773,2),IF(D349&gt;0,VLOOKUP(D349,Программа!A$1:B$5063,2),IF(F349&gt;0,VLOOKUP(F349,КВР!A$1:B$5001,2),IF(E349&gt;0,VLOOKUP(E349,Направление!A$1:B$4755,2))))))</f>
        <v>Муниципальная программа "Развитие образования, физической культуры и спорта в Тутаевском муниципальном районе"</v>
      </c>
      <c r="B349" s="84"/>
      <c r="C349" s="85"/>
      <c r="D349" s="392" t="s">
        <v>2695</v>
      </c>
      <c r="E349" s="84"/>
      <c r="F349" s="86"/>
      <c r="G349" s="75">
        <v>55919203</v>
      </c>
      <c r="H349" s="75">
        <f t="shared" ref="H349:J349" si="104">H350+H396+H400</f>
        <v>373867</v>
      </c>
      <c r="I349" s="42">
        <f t="shared" si="103"/>
        <v>56293070</v>
      </c>
      <c r="J349" s="75">
        <f t="shared" si="104"/>
        <v>47236543</v>
      </c>
    </row>
    <row r="350" spans="1:10" ht="63">
      <c r="A350" s="41" t="str">
        <f>IF(B350&gt;0,VLOOKUP(B350,КВСР!A262:B1427,2),IF(C350&gt;0,VLOOKUP(C350,КФСР!A262:B1774,2),IF(D350&gt;0,VLOOKUP(D350,Программа!A$1:B$5063,2),IF(F350&gt;0,VLOOKUP(F350,КВР!A$1:B$5001,2),IF(E350&gt;0,VLOOKUP(E350,Направление!A$1:B$4755,2))))))</f>
        <v xml:space="preserve">Ведомственная целевая программа департамента образования Администрации Тутаевского муниципального района </v>
      </c>
      <c r="B350" s="84"/>
      <c r="C350" s="85"/>
      <c r="D350" s="392" t="s">
        <v>2696</v>
      </c>
      <c r="E350" s="84"/>
      <c r="F350" s="86"/>
      <c r="G350" s="75">
        <v>55864203</v>
      </c>
      <c r="H350" s="75">
        <f>H364+H369+H377+H358+H351</f>
        <v>373867</v>
      </c>
      <c r="I350" s="42">
        <f t="shared" si="103"/>
        <v>56238070</v>
      </c>
      <c r="J350" s="75">
        <f>J364+J369+J377+J358+J351</f>
        <v>47181543</v>
      </c>
    </row>
    <row r="351" spans="1:10" ht="69" customHeight="1">
      <c r="A351" s="41" t="str">
        <f>IF(B351&gt;0,VLOOKUP(B351,КВСР!A263:B1428,2),IF(C351&gt;0,VLOOKUP(C351,КФСР!A263:B1775,2),IF(D351&gt;0,VLOOKUP(D351,Программа!A$1:B$5063,2),IF(F351&gt;0,VLOOKUP(F351,КВР!A$1:B$5001,2),IF(E351&gt;0,VLOOKUP(E351,Направление!A$1:B$4755,2))))))</f>
        <v>Организация предоставления муниципальных услуг и выполнения работ  муниципальными учреждениями сферы образования</v>
      </c>
      <c r="B351" s="84"/>
      <c r="C351" s="85"/>
      <c r="D351" s="392" t="s">
        <v>2697</v>
      </c>
      <c r="E351" s="84"/>
      <c r="F351" s="86"/>
      <c r="G351" s="75">
        <v>2204737</v>
      </c>
      <c r="H351" s="75">
        <f>H352+H354+H356</f>
        <v>2140764</v>
      </c>
      <c r="I351" s="75">
        <f>I352+I354+I356</f>
        <v>4345501</v>
      </c>
      <c r="J351" s="75">
        <f>J352+J354+J356</f>
        <v>2653787</v>
      </c>
    </row>
    <row r="352" spans="1:10" ht="63">
      <c r="A352" s="41" t="str">
        <f>IF(B352&gt;0,VLOOKUP(B352,КВСР!A264:B1429,2),IF(C352&gt;0,VLOOKUP(C352,КФСР!A264:B1776,2),IF(D352&gt;0,VLOOKUP(D352,Программа!A$1:B$5063,2),IF(F352&gt;0,VLOOKUP(F352,КВР!A$1:B$5001,2),IF(E352&gt;0,VLOOKUP(E352,Направление!A$1:B$4755,2))))))</f>
        <v>Мероприятия по содействию решению вопросов местного значения по обращению депутатов Ярославской областной Думы</v>
      </c>
      <c r="B352" s="84"/>
      <c r="C352" s="85"/>
      <c r="D352" s="392"/>
      <c r="E352" s="84">
        <v>74430</v>
      </c>
      <c r="F352" s="86"/>
      <c r="G352" s="75">
        <v>2204737</v>
      </c>
      <c r="H352" s="75">
        <f t="shared" ref="H352:J352" si="105">H353</f>
        <v>440764</v>
      </c>
      <c r="I352" s="75">
        <f t="shared" si="105"/>
        <v>2645501</v>
      </c>
      <c r="J352" s="75">
        <f t="shared" si="105"/>
        <v>2568787</v>
      </c>
    </row>
    <row r="353" spans="1:10" ht="63">
      <c r="A353" s="41" t="str">
        <f>IF(B353&gt;0,VLOOKUP(B353,КВСР!A265:B1430,2),IF(C353&gt;0,VLOOKUP(C353,КФСР!A265:B1777,2),IF(D353&gt;0,VLOOKUP(D353,Программа!A$1:B$5063,2),IF(F353&gt;0,VLOOKUP(F353,КВР!A$1:B$5001,2),IF(E353&gt;0,VLOOKUP(E353,Направление!A$1:B$4755,2))))))</f>
        <v>Предоставление субсидий бюджетным, автономным учреждениям и иным некоммерческим организациям</v>
      </c>
      <c r="B353" s="84"/>
      <c r="C353" s="85"/>
      <c r="D353" s="392"/>
      <c r="E353" s="84"/>
      <c r="F353" s="86">
        <v>600</v>
      </c>
      <c r="G353" s="75">
        <v>2204737</v>
      </c>
      <c r="H353" s="75">
        <v>440764</v>
      </c>
      <c r="I353" s="42">
        <f>G353+H353</f>
        <v>2645501</v>
      </c>
      <c r="J353" s="75">
        <v>2568787</v>
      </c>
    </row>
    <row r="354" spans="1:10" ht="63" hidden="1">
      <c r="A354" s="41" t="str">
        <f>IF(B354&gt;0,VLOOKUP(B354,КВСР!A266:B1431,2),IF(C354&gt;0,VLOOKUP(C354,КФСР!A266:B1778,2),IF(D354&gt;0,VLOOKUP(D354,Программа!A$1:B$5063,2),IF(F354&gt;0,VLOOKUP(F354,КВР!A$1:B$5001,2),IF(E354&gt;0,VLOOKUP(E354,Направление!A$1:B$4755,2))))))</f>
        <v>Расходы на развитие дополнительного образования детей в муниципальных образовательных организациях ЯО</v>
      </c>
      <c r="B354" s="84"/>
      <c r="C354" s="85"/>
      <c r="D354" s="392"/>
      <c r="E354" s="84">
        <v>74920</v>
      </c>
      <c r="F354" s="86"/>
      <c r="G354" s="75"/>
      <c r="H354" s="75">
        <f>H355</f>
        <v>1615000</v>
      </c>
      <c r="I354" s="42">
        <f t="shared" ref="I354:I357" si="106">G354+H354</f>
        <v>1615000</v>
      </c>
      <c r="J354" s="75">
        <f>J355</f>
        <v>0</v>
      </c>
    </row>
    <row r="355" spans="1:10" ht="63" hidden="1">
      <c r="A355" s="41" t="str">
        <f>IF(B355&gt;0,VLOOKUP(B355,КВСР!A267:B1432,2),IF(C355&gt;0,VLOOKUP(C355,КФСР!A267:B1779,2),IF(D355&gt;0,VLOOKUP(D355,Программа!A$1:B$5063,2),IF(F355&gt;0,VLOOKUP(F355,КВР!A$1:B$5001,2),IF(E355&gt;0,VLOOKUP(E355,Направление!A$1:B$4755,2))))))</f>
        <v>Предоставление субсидий бюджетным, автономным учреждениям и иным некоммерческим организациям</v>
      </c>
      <c r="B355" s="84"/>
      <c r="C355" s="85"/>
      <c r="D355" s="392"/>
      <c r="E355" s="84"/>
      <c r="F355" s="86">
        <v>600</v>
      </c>
      <c r="G355" s="75"/>
      <c r="H355" s="75">
        <v>1615000</v>
      </c>
      <c r="I355" s="42">
        <f t="shared" si="106"/>
        <v>1615000</v>
      </c>
      <c r="J355" s="75">
        <v>0</v>
      </c>
    </row>
    <row r="356" spans="1:10" ht="63">
      <c r="A356" s="41" t="str">
        <f>IF(B356&gt;0,VLOOKUP(B356,КВСР!A268:B1433,2),IF(C356&gt;0,VLOOKUP(C356,КФСР!A268:B1780,2),IF(D356&gt;0,VLOOKUP(D356,Программа!A$1:B$5063,2),IF(F356&gt;0,VLOOKUP(F356,КВР!A$1:B$5001,2),IF(E356&gt;0,VLOOKUP(E356,Направление!A$1:B$4755,2))))))</f>
        <v>Расходы на развитие дополнительного образования детей в муниципальных образовательных организациях ЯО</v>
      </c>
      <c r="B356" s="84"/>
      <c r="C356" s="85"/>
      <c r="D356" s="392"/>
      <c r="E356" s="84" t="s">
        <v>3232</v>
      </c>
      <c r="F356" s="86"/>
      <c r="G356" s="75"/>
      <c r="H356" s="75">
        <f>H357</f>
        <v>85000</v>
      </c>
      <c r="I356" s="42">
        <f t="shared" si="106"/>
        <v>85000</v>
      </c>
      <c r="J356" s="75">
        <f>J357</f>
        <v>85000</v>
      </c>
    </row>
    <row r="357" spans="1:10" ht="63">
      <c r="A357" s="41" t="str">
        <f>IF(B357&gt;0,VLOOKUP(B357,КВСР!A269:B1434,2),IF(C357&gt;0,VLOOKUP(C357,КФСР!A269:B1781,2),IF(D357&gt;0,VLOOKUP(D357,Программа!A$1:B$5063,2),IF(F357&gt;0,VLOOKUP(F357,КВР!A$1:B$5001,2),IF(E357&gt;0,VLOOKUP(E357,Направление!A$1:B$4755,2))))))</f>
        <v>Предоставление субсидий бюджетным, автономным учреждениям и иным некоммерческим организациям</v>
      </c>
      <c r="B357" s="84"/>
      <c r="C357" s="85"/>
      <c r="D357" s="392"/>
      <c r="E357" s="84"/>
      <c r="F357" s="86">
        <v>600</v>
      </c>
      <c r="G357" s="75"/>
      <c r="H357" s="75">
        <v>85000</v>
      </c>
      <c r="I357" s="42">
        <f t="shared" si="106"/>
        <v>85000</v>
      </c>
      <c r="J357" s="75">
        <v>85000</v>
      </c>
    </row>
    <row r="358" spans="1:10" ht="63">
      <c r="A358" s="41" t="str">
        <f>IF(B358&gt;0,VLOOKUP(B358,КВСР!A263:B1428,2),IF(C358&gt;0,VLOOKUP(C358,КФСР!A263:B1775,2),IF(D358&gt;0,VLOOKUP(D358,Программа!A$1:B$5063,2),IF(F358&gt;0,VLOOKUP(F358,КВР!A$1:B$5001,2),IF(E358&gt;0,VLOOKUP(E358,Направление!A$1:B$4755,2))))))</f>
        <v>Методическая и консультационная помощь, психолого-педагогическое и медико-социальное сопровождение детей</v>
      </c>
      <c r="B358" s="84"/>
      <c r="C358" s="85"/>
      <c r="D358" s="392" t="s">
        <v>2702</v>
      </c>
      <c r="E358" s="84"/>
      <c r="F358" s="86"/>
      <c r="G358" s="75">
        <v>11714595</v>
      </c>
      <c r="H358" s="75">
        <f t="shared" ref="H358:J358" si="107">H360+H361+H362+H363</f>
        <v>-24195</v>
      </c>
      <c r="I358" s="42">
        <f t="shared" si="103"/>
        <v>11690400</v>
      </c>
      <c r="J358" s="75">
        <f t="shared" si="107"/>
        <v>11690164</v>
      </c>
    </row>
    <row r="359" spans="1:10" ht="31.5">
      <c r="A359" s="41" t="str">
        <f>IF(B359&gt;0,VLOOKUP(B359,КВСР!A264:B1429,2),IF(C359&gt;0,VLOOKUP(C359,КФСР!A264:B1776,2),IF(D359&gt;0,VLOOKUP(D359,Программа!A$1:B$5063,2),IF(F359&gt;0,VLOOKUP(F359,КВР!A$1:B$5001,2),IF(E359&gt;0,VLOOKUP(E359,Направление!A$1:B$4755,2))))))</f>
        <v>Обеспечение деятельности прочих учреждений в сфере образования</v>
      </c>
      <c r="B359" s="84"/>
      <c r="C359" s="85"/>
      <c r="D359" s="392"/>
      <c r="E359" s="84">
        <v>13310</v>
      </c>
      <c r="F359" s="86"/>
      <c r="G359" s="75">
        <v>11714595</v>
      </c>
      <c r="H359" s="75">
        <f t="shared" ref="H359:J359" si="108">H360+H361+H362+H363</f>
        <v>-24195</v>
      </c>
      <c r="I359" s="42">
        <f t="shared" si="103"/>
        <v>11690400</v>
      </c>
      <c r="J359" s="75">
        <f t="shared" si="108"/>
        <v>11690164</v>
      </c>
    </row>
    <row r="360" spans="1:10" ht="110.25" hidden="1">
      <c r="A360" s="41" t="str">
        <f>IF(B360&gt;0,VLOOKUP(B360,КВСР!A265:B1430,2),IF(C360&gt;0,VLOOKUP(C360,КФСР!A265:B1777,2),IF(D360&gt;0,VLOOKUP(D360,Программа!A$1:B$5063,2),IF(F360&gt;0,VLOOKUP(F360,КВР!A$1:B$5001,2),IF(E360&gt;0,VLOOKUP(E360,Направление!A$1:B$4755,2))))))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0" s="84"/>
      <c r="C360" s="85"/>
      <c r="D360" s="392"/>
      <c r="E360" s="84"/>
      <c r="F360" s="86">
        <v>100</v>
      </c>
      <c r="G360" s="346">
        <v>0</v>
      </c>
      <c r="H360" s="338"/>
      <c r="I360" s="42">
        <f t="shared" si="103"/>
        <v>0</v>
      </c>
      <c r="J360" s="338">
        <v>0</v>
      </c>
    </row>
    <row r="361" spans="1:10" ht="31.5" hidden="1">
      <c r="A361" s="41" t="str">
        <f>IF(B361&gt;0,VLOOKUP(B361,КВСР!A266:B1431,2),IF(C361&gt;0,VLOOKUP(C361,КФСР!A266:B1778,2),IF(D361&gt;0,VLOOKUP(D361,Программа!A$1:B$5063,2),IF(F361&gt;0,VLOOKUP(F361,КВР!A$1:B$5001,2),IF(E361&gt;0,VLOOKUP(E361,Направление!A$1:B$4755,2))))))</f>
        <v>Закупка товаров, работ и услуг для государственных нужд</v>
      </c>
      <c r="B361" s="84"/>
      <c r="C361" s="85"/>
      <c r="D361" s="392"/>
      <c r="E361" s="84"/>
      <c r="F361" s="86">
        <v>200</v>
      </c>
      <c r="G361" s="346">
        <v>0</v>
      </c>
      <c r="H361" s="338"/>
      <c r="I361" s="42">
        <f t="shared" si="103"/>
        <v>0</v>
      </c>
      <c r="J361" s="338"/>
    </row>
    <row r="362" spans="1:10" ht="63">
      <c r="A362" s="41" t="str">
        <f>IF(B362&gt;0,VLOOKUP(B362,КВСР!A267:B1432,2),IF(C362&gt;0,VLOOKUP(C362,КФСР!A267:B1779,2),IF(D362&gt;0,VLOOKUP(D362,Программа!A$1:B$5063,2),IF(F362&gt;0,VLOOKUP(F362,КВР!A$1:B$5001,2),IF(E362&gt;0,VLOOKUP(E362,Направление!A$1:B$4755,2))))))</f>
        <v>Предоставление субсидий бюджетным, автономным учреждениям и иным некоммерческим организациям</v>
      </c>
      <c r="B362" s="84"/>
      <c r="C362" s="85"/>
      <c r="D362" s="392"/>
      <c r="E362" s="84"/>
      <c r="F362" s="86">
        <v>600</v>
      </c>
      <c r="G362" s="346">
        <v>11714595</v>
      </c>
      <c r="H362" s="338">
        <v>-24195</v>
      </c>
      <c r="I362" s="42">
        <f t="shared" si="103"/>
        <v>11690400</v>
      </c>
      <c r="J362" s="338">
        <v>11690164</v>
      </c>
    </row>
    <row r="363" spans="1:10" hidden="1">
      <c r="A363" s="41" t="str">
        <f>IF(B363&gt;0,VLOOKUP(B363,КВСР!A268:B1433,2),IF(C363&gt;0,VLOOKUP(C363,КФСР!A268:B1780,2),IF(D363&gt;0,VLOOKUP(D363,Программа!A$1:B$5063,2),IF(F363&gt;0,VLOOKUP(F363,КВР!A$1:B$5001,2),IF(E363&gt;0,VLOOKUP(E363,Направление!A$1:B$4755,2))))))</f>
        <v>Иные бюджетные ассигнования</v>
      </c>
      <c r="B363" s="84"/>
      <c r="C363" s="85"/>
      <c r="D363" s="392"/>
      <c r="E363" s="84"/>
      <c r="F363" s="86">
        <v>800</v>
      </c>
      <c r="G363" s="346">
        <v>0</v>
      </c>
      <c r="H363" s="338"/>
      <c r="I363" s="42">
        <f t="shared" si="103"/>
        <v>0</v>
      </c>
      <c r="J363" s="338"/>
    </row>
    <row r="364" spans="1:10" ht="47.25">
      <c r="A364" s="41" t="str">
        <f>IF(B364&gt;0,VLOOKUP(B364,КВСР!A269:B1434,2),IF(C364&gt;0,VLOOKUP(C364,КФСР!A269:B1781,2),IF(D364&gt;0,VLOOKUP(D364,Программа!A$1:B$5063,2),IF(F364&gt;0,VLOOKUP(F364,КВР!A$1:B$5001,2),IF(E364&gt;0,VLOOKUP(E364,Направление!A$1:B$4755,2))))))</f>
        <v>Мероприятия направленные на поддержку и мотивации участников образовательного процесса</v>
      </c>
      <c r="B364" s="84"/>
      <c r="C364" s="85"/>
      <c r="D364" s="392" t="s">
        <v>2705</v>
      </c>
      <c r="E364" s="84"/>
      <c r="F364" s="86"/>
      <c r="G364" s="75">
        <v>362200</v>
      </c>
      <c r="H364" s="75">
        <f t="shared" ref="H364:J364" si="109">H365+H367</f>
        <v>-30100</v>
      </c>
      <c r="I364" s="42">
        <f t="shared" si="103"/>
        <v>332100</v>
      </c>
      <c r="J364" s="75">
        <f t="shared" si="109"/>
        <v>332100</v>
      </c>
    </row>
    <row r="365" spans="1:10" ht="31.5">
      <c r="A365" s="41" t="str">
        <f>IF(B365&gt;0,VLOOKUP(B365,КВСР!A270:B1435,2),IF(C365&gt;0,VLOOKUP(C365,КФСР!A270:B1782,2),IF(D365&gt;0,VLOOKUP(D365,Программа!A$1:B$5063,2),IF(F365&gt;0,VLOOKUP(F365,КВР!A$1:B$5001,2),IF(E365&gt;0,VLOOKUP(E365,Направление!A$1:B$4755,2))))))</f>
        <v xml:space="preserve">Выплата ежемесячных и разовых стипендий главы </v>
      </c>
      <c r="B365" s="84"/>
      <c r="C365" s="85"/>
      <c r="D365" s="392"/>
      <c r="E365" s="84">
        <v>12700</v>
      </c>
      <c r="F365" s="86"/>
      <c r="G365" s="75">
        <v>232000</v>
      </c>
      <c r="H365" s="75">
        <f t="shared" ref="H365:J365" si="110">H366</f>
        <v>-15000</v>
      </c>
      <c r="I365" s="42">
        <f t="shared" si="103"/>
        <v>217000</v>
      </c>
      <c r="J365" s="75">
        <f t="shared" si="110"/>
        <v>217000</v>
      </c>
    </row>
    <row r="366" spans="1:10" ht="31.5">
      <c r="A366" s="41" t="str">
        <f>IF(B366&gt;0,VLOOKUP(B366,КВСР!A271:B1436,2),IF(C366&gt;0,VLOOKUP(C366,КФСР!A271:B1783,2),IF(D366&gt;0,VLOOKUP(D366,Программа!A$1:B$5063,2),IF(F366&gt;0,VLOOKUP(F366,КВР!A$1:B$5001,2),IF(E366&gt;0,VLOOKUP(E366,Направление!A$1:B$4755,2))))))</f>
        <v>Социальное обеспечение и иные выплаты населению</v>
      </c>
      <c r="B366" s="84"/>
      <c r="C366" s="85"/>
      <c r="D366" s="392"/>
      <c r="E366" s="84"/>
      <c r="F366" s="86">
        <v>300</v>
      </c>
      <c r="G366" s="346">
        <v>232000</v>
      </c>
      <c r="H366" s="344">
        <v>-15000</v>
      </c>
      <c r="I366" s="42">
        <f t="shared" si="103"/>
        <v>217000</v>
      </c>
      <c r="J366" s="344">
        <v>217000</v>
      </c>
    </row>
    <row r="367" spans="1:10" ht="63">
      <c r="A367" s="41" t="str">
        <f>IF(B367&gt;0,VLOOKUP(B367,КВСР!A272:B1437,2),IF(C367&gt;0,VLOOKUP(C367,КФСР!A272:B1784,2),IF(D367&gt;0,VLOOKUP(D367,Программа!A$1:B$5063,2),IF(F367&gt;0,VLOOKUP(F367,КВР!A$1:B$5001,2),IF(E367&gt;0,VLOOKUP(E367,Направление!A$1:B$4755,2))))))</f>
        <v>Денежное поощрение лучших руковдящих и педагогических работников за заслуги в сфере образования</v>
      </c>
      <c r="B367" s="84"/>
      <c r="C367" s="85"/>
      <c r="D367" s="392"/>
      <c r="E367" s="84">
        <v>12710</v>
      </c>
      <c r="F367" s="86"/>
      <c r="G367" s="75">
        <v>130200</v>
      </c>
      <c r="H367" s="75">
        <f t="shared" ref="H367:J367" si="111">H368</f>
        <v>-15100</v>
      </c>
      <c r="I367" s="42">
        <f t="shared" si="103"/>
        <v>115100</v>
      </c>
      <c r="J367" s="75">
        <f t="shared" si="111"/>
        <v>115100</v>
      </c>
    </row>
    <row r="368" spans="1:10" ht="31.5">
      <c r="A368" s="41" t="str">
        <f>IF(B368&gt;0,VLOOKUP(B368,КВСР!A273:B1438,2),IF(C368&gt;0,VLOOKUP(C368,КФСР!A273:B1785,2),IF(D368&gt;0,VLOOKUP(D368,Программа!A$1:B$5063,2),IF(F368&gt;0,VLOOKUP(F368,КВР!A$1:B$5001,2),IF(E368&gt;0,VLOOKUP(E368,Направление!A$1:B$4755,2))))))</f>
        <v>Социальное обеспечение и иные выплаты населению</v>
      </c>
      <c r="B368" s="84"/>
      <c r="C368" s="85"/>
      <c r="D368" s="392"/>
      <c r="E368" s="84"/>
      <c r="F368" s="86">
        <v>300</v>
      </c>
      <c r="G368" s="346">
        <v>130200</v>
      </c>
      <c r="H368" s="344">
        <v>-15100</v>
      </c>
      <c r="I368" s="42">
        <f t="shared" si="103"/>
        <v>115100</v>
      </c>
      <c r="J368" s="344">
        <v>115100</v>
      </c>
    </row>
    <row r="369" spans="1:10" ht="47.25">
      <c r="A369" s="41" t="str">
        <f>IF(B369&gt;0,VLOOKUP(B369,КВСР!A274:B1439,2),IF(C369&gt;0,VLOOKUP(C369,КФСР!A274:B1786,2),IF(D369&gt;0,VLOOKUP(D369,Программа!A$1:B$5063,2),IF(F369&gt;0,VLOOKUP(F369,КВР!A$1:B$5001,2),IF(E369&gt;0,VLOOKUP(E369,Направление!A$1:B$4755,2))))))</f>
        <v>Мероприятия направленные на осуществление отдельных полномочий в области образования</v>
      </c>
      <c r="B369" s="84"/>
      <c r="C369" s="85"/>
      <c r="D369" s="392" t="s">
        <v>2706</v>
      </c>
      <c r="E369" s="84"/>
      <c r="F369" s="86"/>
      <c r="G369" s="75">
        <v>11400736</v>
      </c>
      <c r="H369" s="75">
        <f t="shared" ref="H369:J369" si="112">H370+H373+H375</f>
        <v>-1712602</v>
      </c>
      <c r="I369" s="42">
        <f t="shared" si="103"/>
        <v>9688134</v>
      </c>
      <c r="J369" s="75">
        <f t="shared" si="112"/>
        <v>3080812</v>
      </c>
    </row>
    <row r="370" spans="1:10">
      <c r="A370" s="41" t="str">
        <f>IF(B370&gt;0,VLOOKUP(B370,КВСР!A275:B1440,2),IF(C370&gt;0,VLOOKUP(C370,КФСР!A275:B1787,2),IF(D370&gt;0,VLOOKUP(D370,Программа!A$1:B$5063,2),IF(F370&gt;0,VLOOKUP(F370,КВР!A$1:B$5001,2),IF(E370&gt;0,VLOOKUP(E370,Направление!A$1:B$4755,2))))))</f>
        <v>Мероприятия в сфере образования</v>
      </c>
      <c r="B370" s="84"/>
      <c r="C370" s="85"/>
      <c r="D370" s="392"/>
      <c r="E370" s="84">
        <v>13320</v>
      </c>
      <c r="F370" s="86"/>
      <c r="G370" s="75">
        <v>232000</v>
      </c>
      <c r="H370" s="75">
        <f t="shared" ref="H370:J370" si="113">H371+H372</f>
        <v>0</v>
      </c>
      <c r="I370" s="42">
        <f t="shared" si="103"/>
        <v>232000</v>
      </c>
      <c r="J370" s="75">
        <f t="shared" si="113"/>
        <v>232000</v>
      </c>
    </row>
    <row r="371" spans="1:10" ht="31.5">
      <c r="A371" s="41" t="str">
        <f>IF(B371&gt;0,VLOOKUP(B371,КВСР!A276:B1441,2),IF(C371&gt;0,VLOOKUP(C371,КФСР!A276:B1788,2),IF(D371&gt;0,VLOOKUP(D371,Программа!A$1:B$5063,2),IF(F371&gt;0,VLOOKUP(F371,КВР!A$1:B$5001,2),IF(E371&gt;0,VLOOKUP(E371,Направление!A$1:B$4755,2))))))</f>
        <v>Закупка товаров, работ и услуг для государственных нужд</v>
      </c>
      <c r="B371" s="84"/>
      <c r="C371" s="85"/>
      <c r="D371" s="392"/>
      <c r="E371" s="84"/>
      <c r="F371" s="86">
        <v>200</v>
      </c>
      <c r="G371" s="346">
        <v>60000</v>
      </c>
      <c r="H371" s="344"/>
      <c r="I371" s="42">
        <f t="shared" si="103"/>
        <v>60000</v>
      </c>
      <c r="J371" s="344">
        <v>60000</v>
      </c>
    </row>
    <row r="372" spans="1:10" ht="63">
      <c r="A372" s="41" t="str">
        <f>IF(B372&gt;0,VLOOKUP(B372,КВСР!A277:B1442,2),IF(C372&gt;0,VLOOKUP(C372,КФСР!A277:B1789,2),IF(D372&gt;0,VLOOKUP(D372,Программа!A$1:B$5063,2),IF(F372&gt;0,VLOOKUP(F372,КВР!A$1:B$5001,2),IF(E372&gt;0,VLOOKUP(E372,Направление!A$1:B$4755,2))))))</f>
        <v>Предоставление субсидий бюджетным, автономным учреждениям и иным некоммерческим организациям</v>
      </c>
      <c r="B372" s="84"/>
      <c r="C372" s="85"/>
      <c r="D372" s="392"/>
      <c r="E372" s="84"/>
      <c r="F372" s="86">
        <v>600</v>
      </c>
      <c r="G372" s="346">
        <v>172000</v>
      </c>
      <c r="H372" s="344"/>
      <c r="I372" s="42">
        <f t="shared" si="103"/>
        <v>172000</v>
      </c>
      <c r="J372" s="344">
        <v>172000</v>
      </c>
    </row>
    <row r="373" spans="1:10" ht="78.75">
      <c r="A373" s="41" t="str">
        <f>IF(B373&gt;0,VLOOKUP(B373,КВСР!A278:B1443,2),IF(C373&gt;0,VLOOKUP(C373,КФСР!A278:B1790,2),IF(D373&gt;0,VLOOKUP(D373,Программа!A$1:B$5063,2),IF(F373&gt;0,VLOOKUP(F373,КВР!A$1:B$5001,2),IF(E373&gt;0,VLOOKUP(E373,Направление!A$1:B$4755,2))))))</f>
        <v>Государственная поддержка материально-технической базы образовательных учреждений Ярославской области за счет средств областного бюджета</v>
      </c>
      <c r="B373" s="84"/>
      <c r="C373" s="85"/>
      <c r="D373" s="392"/>
      <c r="E373" s="84" t="s">
        <v>2945</v>
      </c>
      <c r="F373" s="86"/>
      <c r="G373" s="75">
        <v>421347</v>
      </c>
      <c r="H373" s="75">
        <f t="shared" ref="H373:J373" si="114">H374</f>
        <v>-85630</v>
      </c>
      <c r="I373" s="42">
        <f t="shared" si="103"/>
        <v>335717</v>
      </c>
      <c r="J373" s="75">
        <f t="shared" si="114"/>
        <v>335717</v>
      </c>
    </row>
    <row r="374" spans="1:10" ht="63">
      <c r="A374" s="41" t="str">
        <f>IF(B374&gt;0,VLOOKUP(B374,КВСР!A279:B1444,2),IF(C374&gt;0,VLOOKUP(C374,КФСР!A279:B1791,2),IF(D374&gt;0,VLOOKUP(D374,Программа!A$1:B$5063,2),IF(F374&gt;0,VLOOKUP(F374,КВР!A$1:B$5001,2),IF(E374&gt;0,VLOOKUP(E374,Направление!A$1:B$4755,2))))))</f>
        <v>Предоставление субсидий бюджетным, автономным учреждениям и иным некоммерческим организациям</v>
      </c>
      <c r="B374" s="84"/>
      <c r="C374" s="85"/>
      <c r="D374" s="392"/>
      <c r="E374" s="84"/>
      <c r="F374" s="86">
        <v>600</v>
      </c>
      <c r="G374" s="346">
        <v>421347</v>
      </c>
      <c r="H374" s="344">
        <v>-85630</v>
      </c>
      <c r="I374" s="42">
        <f t="shared" si="103"/>
        <v>335717</v>
      </c>
      <c r="J374" s="344">
        <v>335717</v>
      </c>
    </row>
    <row r="375" spans="1:10" ht="78.75">
      <c r="A375" s="41" t="str">
        <f>IF(B375&gt;0,VLOOKUP(B375,КВСР!A280:B1445,2),IF(C375&gt;0,VLOOKUP(C375,КФСР!A280:B1792,2),IF(D375&gt;0,VLOOKUP(D375,Программа!A$1:B$5063,2),IF(F375&gt;0,VLOOKUP(F375,КВР!A$1:B$5001,2),IF(E375&gt;0,VLOOKUP(E375,Направление!A$1:B$4755,2))))))</f>
        <v>Государственная поддержка материально-технической базы образовательных учреждений Ярославской области за счет средств областного бюджета</v>
      </c>
      <c r="B375" s="84"/>
      <c r="C375" s="85"/>
      <c r="D375" s="392"/>
      <c r="E375" s="84">
        <v>70470</v>
      </c>
      <c r="F375" s="86"/>
      <c r="G375" s="75">
        <v>10747389</v>
      </c>
      <c r="H375" s="75">
        <f>H376</f>
        <v>-1626972</v>
      </c>
      <c r="I375" s="42">
        <f t="shared" si="103"/>
        <v>9120417</v>
      </c>
      <c r="J375" s="75">
        <f>J376</f>
        <v>2513095</v>
      </c>
    </row>
    <row r="376" spans="1:10" ht="63">
      <c r="A376" s="41" t="str">
        <f>IF(B376&gt;0,VLOOKUP(B376,КВСР!A281:B1446,2),IF(C376&gt;0,VLOOKUP(C376,КФСР!A281:B1793,2),IF(D376&gt;0,VLOOKUP(D376,Программа!A$1:B$5063,2),IF(F376&gt;0,VLOOKUP(F376,КВР!A$1:B$5001,2),IF(E376&gt;0,VLOOKUP(E376,Направление!A$1:B$4755,2))))))</f>
        <v>Предоставление субсидий бюджетным, автономным учреждениям и иным некоммерческим организациям</v>
      </c>
      <c r="B376" s="84"/>
      <c r="C376" s="85"/>
      <c r="D376" s="392"/>
      <c r="E376" s="84"/>
      <c r="F376" s="86">
        <v>600</v>
      </c>
      <c r="G376" s="346">
        <v>10747389</v>
      </c>
      <c r="H376" s="346">
        <v>-1626972</v>
      </c>
      <c r="I376" s="42">
        <f t="shared" si="103"/>
        <v>9120417</v>
      </c>
      <c r="J376" s="346">
        <v>2513095</v>
      </c>
    </row>
    <row r="377" spans="1:10" ht="31.5">
      <c r="A377" s="41" t="str">
        <f>IF(B377&gt;0,VLOOKUP(B377,КВСР!A282:B1447,2),IF(C377&gt;0,VLOOKUP(C377,КФСР!A282:B1794,2),IF(D377&gt;0,VLOOKUP(D377,Программа!A$1:B$5063,2),IF(F377&gt;0,VLOOKUP(F377,КВР!A$1:B$5001,2),IF(E377&gt;0,VLOOKUP(E377,Направление!A$1:B$4755,2))))))</f>
        <v>Обеспечение эффективности управления системой образования</v>
      </c>
      <c r="B377" s="84"/>
      <c r="C377" s="85"/>
      <c r="D377" s="392" t="s">
        <v>2707</v>
      </c>
      <c r="E377" s="84"/>
      <c r="F377" s="86"/>
      <c r="G377" s="75">
        <v>30181935</v>
      </c>
      <c r="H377" s="75">
        <f t="shared" ref="H377:J377" si="115">H378+H382+H384+H389+H392</f>
        <v>0</v>
      </c>
      <c r="I377" s="42">
        <f t="shared" si="103"/>
        <v>30181935</v>
      </c>
      <c r="J377" s="75">
        <f t="shared" si="115"/>
        <v>29424680</v>
      </c>
    </row>
    <row r="378" spans="1:10">
      <c r="A378" s="41" t="str">
        <f>IF(B378&gt;0,VLOOKUP(B378,КВСР!A283:B1448,2),IF(C378&gt;0,VLOOKUP(C378,КФСР!A283:B1795,2),IF(D378&gt;0,VLOOKUP(D378,Программа!A$1:B$5063,2),IF(F378&gt;0,VLOOKUP(F378,КВР!A$1:B$5001,2),IF(E378&gt;0,VLOOKUP(E378,Направление!A$1:B$4755,2))))))</f>
        <v>Содержание центрального аппарата</v>
      </c>
      <c r="B378" s="84"/>
      <c r="C378" s="85"/>
      <c r="D378" s="392"/>
      <c r="E378" s="84">
        <v>12010</v>
      </c>
      <c r="F378" s="77"/>
      <c r="G378" s="42">
        <v>6579146</v>
      </c>
      <c r="H378" s="42">
        <f t="shared" ref="H378:J378" si="116">H379+H380+H381</f>
        <v>0</v>
      </c>
      <c r="I378" s="42">
        <f t="shared" si="103"/>
        <v>6579146</v>
      </c>
      <c r="J378" s="42">
        <f t="shared" si="116"/>
        <v>5998630</v>
      </c>
    </row>
    <row r="379" spans="1:10" ht="100.5" customHeight="1">
      <c r="A379" s="41" t="str">
        <f>IF(B379&gt;0,VLOOKUP(B379,КВСР!A284:B1449,2),IF(C379&gt;0,VLOOKUP(C379,КФСР!A284:B1796,2),IF(D379&gt;0,VLOOKUP(D379,Программа!A$1:B$5063,2),IF(F379&gt;0,VLOOKUP(F379,КВР!A$1:B$5001,2),IF(E379&gt;0,VLOOKUP(E379,Направление!A$1:B$4755,2))))))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79" s="84"/>
      <c r="C379" s="85"/>
      <c r="D379" s="86"/>
      <c r="E379" s="84"/>
      <c r="F379" s="77">
        <v>100</v>
      </c>
      <c r="G379" s="341">
        <v>5171637</v>
      </c>
      <c r="H379" s="337"/>
      <c r="I379" s="42">
        <f t="shared" si="103"/>
        <v>5171637</v>
      </c>
      <c r="J379" s="337">
        <v>5035157</v>
      </c>
    </row>
    <row r="380" spans="1:10" ht="31.5">
      <c r="A380" s="41" t="str">
        <f>IF(B380&gt;0,VLOOKUP(B380,КВСР!A285:B1450,2),IF(C380&gt;0,VLOOKUP(C380,КФСР!A285:B1797,2),IF(D380&gt;0,VLOOKUP(D380,Программа!A$1:B$5063,2),IF(F380&gt;0,VLOOKUP(F380,КВР!A$1:B$5001,2),IF(E380&gt;0,VLOOKUP(E380,Направление!A$1:B$4755,2))))))</f>
        <v>Закупка товаров, работ и услуг для государственных нужд</v>
      </c>
      <c r="B380" s="84"/>
      <c r="C380" s="85"/>
      <c r="D380" s="86"/>
      <c r="E380" s="84"/>
      <c r="F380" s="77">
        <v>200</v>
      </c>
      <c r="G380" s="341">
        <v>1362509</v>
      </c>
      <c r="H380" s="337"/>
      <c r="I380" s="42">
        <f t="shared" si="103"/>
        <v>1362509</v>
      </c>
      <c r="J380" s="337">
        <v>926955</v>
      </c>
    </row>
    <row r="381" spans="1:10">
      <c r="A381" s="41" t="str">
        <f>IF(B381&gt;0,VLOOKUP(B381,КВСР!A286:B1451,2),IF(C381&gt;0,VLOOKUP(C381,КФСР!A286:B1798,2),IF(D381&gt;0,VLOOKUP(D381,Программа!A$1:B$5063,2),IF(F381&gt;0,VLOOKUP(F381,КВР!A$1:B$5001,2),IF(E381&gt;0,VLOOKUP(E381,Направление!A$1:B$4755,2))))))</f>
        <v>Иные бюджетные ассигнования</v>
      </c>
      <c r="B381" s="84"/>
      <c r="C381" s="85"/>
      <c r="D381" s="86"/>
      <c r="E381" s="84"/>
      <c r="F381" s="77">
        <v>800</v>
      </c>
      <c r="G381" s="341">
        <v>45000</v>
      </c>
      <c r="H381" s="337"/>
      <c r="I381" s="42">
        <f t="shared" si="103"/>
        <v>45000</v>
      </c>
      <c r="J381" s="337">
        <v>36518</v>
      </c>
    </row>
    <row r="382" spans="1:10" ht="31.5">
      <c r="A382" s="41" t="str">
        <f>IF(B382&gt;0,VLOOKUP(B382,КВСР!A287:B1452,2),IF(C382&gt;0,VLOOKUP(C382,КФСР!A287:B1799,2),IF(D382&gt;0,VLOOKUP(D382,Программа!A$1:B$5063,2),IF(F382&gt;0,VLOOKUP(F382,КВР!A$1:B$5001,2),IF(E382&gt;0,VLOOKUP(E382,Направление!A$1:B$4755,2))))))</f>
        <v>Выполнение других обязательств органов местного самоуправления</v>
      </c>
      <c r="B382" s="84"/>
      <c r="C382" s="85"/>
      <c r="D382" s="392"/>
      <c r="E382" s="84">
        <v>12080</v>
      </c>
      <c r="F382" s="77"/>
      <c r="G382" s="42">
        <v>400000</v>
      </c>
      <c r="H382" s="42">
        <f t="shared" ref="H382:J382" si="117">H383</f>
        <v>0</v>
      </c>
      <c r="I382" s="42">
        <f t="shared" si="103"/>
        <v>400000</v>
      </c>
      <c r="J382" s="42">
        <f t="shared" si="117"/>
        <v>257078</v>
      </c>
    </row>
    <row r="383" spans="1:10" ht="31.5">
      <c r="A383" s="41" t="str">
        <f>IF(B383&gt;0,VLOOKUP(B383,КВСР!A288:B1453,2),IF(C383&gt;0,VLOOKUP(C383,КФСР!A288:B1800,2),IF(D383&gt;0,VLOOKUP(D383,Программа!A$1:B$5063,2),IF(F383&gt;0,VLOOKUP(F383,КВР!A$1:B$5001,2),IF(E383&gt;0,VLOOKUP(E383,Направление!A$1:B$4755,2))))))</f>
        <v>Закупка товаров, работ и услуг для государственных нужд</v>
      </c>
      <c r="B383" s="84"/>
      <c r="C383" s="85"/>
      <c r="D383" s="86"/>
      <c r="E383" s="84"/>
      <c r="F383" s="77">
        <v>200</v>
      </c>
      <c r="G383" s="341">
        <v>400000</v>
      </c>
      <c r="H383" s="337"/>
      <c r="I383" s="42">
        <f t="shared" si="103"/>
        <v>400000</v>
      </c>
      <c r="J383" s="337">
        <v>257078</v>
      </c>
    </row>
    <row r="384" spans="1:10" ht="31.5">
      <c r="A384" s="41" t="str">
        <f>IF(B384&gt;0,VLOOKUP(B384,КВСР!A289:B1454,2),IF(C384&gt;0,VLOOKUP(C384,КФСР!A289:B1801,2),IF(D384&gt;0,VLOOKUP(D384,Программа!A$1:B$5063,2),IF(F384&gt;0,VLOOKUP(F384,КВР!A$1:B$5001,2),IF(E384&gt;0,VLOOKUP(E384,Направление!A$1:B$4755,2))))))</f>
        <v>Обеспечение деятельности прочих учреждений в сфере образования</v>
      </c>
      <c r="B384" s="84"/>
      <c r="C384" s="85"/>
      <c r="D384" s="392"/>
      <c r="E384" s="84">
        <v>13310</v>
      </c>
      <c r="F384" s="86"/>
      <c r="G384" s="75">
        <v>19455901</v>
      </c>
      <c r="H384" s="75">
        <f t="shared" ref="H384:J384" si="118">H385+H386+H387+H388</f>
        <v>0</v>
      </c>
      <c r="I384" s="42">
        <f t="shared" si="103"/>
        <v>19455901</v>
      </c>
      <c r="J384" s="75">
        <f t="shared" si="118"/>
        <v>19422084</v>
      </c>
    </row>
    <row r="385" spans="1:10" ht="101.25" customHeight="1">
      <c r="A385" s="41" t="str">
        <f>IF(B385&gt;0,VLOOKUP(B385,КВСР!A290:B1455,2),IF(C385&gt;0,VLOOKUP(C385,КФСР!A290:B1802,2),IF(D385&gt;0,VLOOKUP(D385,Программа!A$1:B$5063,2),IF(F385&gt;0,VLOOKUP(F385,КВР!A$1:B$5001,2),IF(E385&gt;0,VLOOKUP(E385,Направление!A$1:B$4755,2))))))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85" s="84"/>
      <c r="C385" s="85"/>
      <c r="D385" s="86"/>
      <c r="E385" s="84"/>
      <c r="F385" s="86">
        <v>100</v>
      </c>
      <c r="G385" s="346">
        <v>17615901</v>
      </c>
      <c r="H385" s="338">
        <f>132427-19065</f>
        <v>113362</v>
      </c>
      <c r="I385" s="42">
        <f t="shared" si="103"/>
        <v>17729263</v>
      </c>
      <c r="J385" s="338">
        <v>17695446</v>
      </c>
    </row>
    <row r="386" spans="1:10" ht="31.5">
      <c r="A386" s="41" t="str">
        <f>IF(B386&gt;0,VLOOKUP(B386,КВСР!A291:B1456,2),IF(C386&gt;0,VLOOKUP(C386,КФСР!A291:B1803,2),IF(D386&gt;0,VLOOKUP(D386,Программа!A$1:B$5063,2),IF(F386&gt;0,VLOOKUP(F386,КВР!A$1:B$5001,2),IF(E386&gt;0,VLOOKUP(E386,Направление!A$1:B$4755,2))))))</f>
        <v>Закупка товаров, работ и услуг для государственных нужд</v>
      </c>
      <c r="B386" s="84"/>
      <c r="C386" s="85"/>
      <c r="D386" s="86"/>
      <c r="E386" s="84"/>
      <c r="F386" s="86">
        <v>200</v>
      </c>
      <c r="G386" s="346">
        <v>1823000</v>
      </c>
      <c r="H386" s="338">
        <f>-133088+19065</f>
        <v>-114023</v>
      </c>
      <c r="I386" s="42">
        <f t="shared" si="103"/>
        <v>1708977</v>
      </c>
      <c r="J386" s="338">
        <v>1708977</v>
      </c>
    </row>
    <row r="387" spans="1:10" ht="63" hidden="1">
      <c r="A387" s="41" t="str">
        <f>IF(B387&gt;0,VLOOKUP(B387,КВСР!A292:B1457,2),IF(C387&gt;0,VLOOKUP(C387,КФСР!A292:B1804,2),IF(D387&gt;0,VLOOKUP(D387,Программа!A$1:B$5063,2),IF(F387&gt;0,VLOOKUP(F387,КВР!A$1:B$5001,2),IF(E387&gt;0,VLOOKUP(E387,Направление!A$1:B$4755,2))))))</f>
        <v>Предоставление субсидий бюджетным, автономным учреждениям и иным некоммерческим организациям</v>
      </c>
      <c r="B387" s="84"/>
      <c r="C387" s="85"/>
      <c r="D387" s="86"/>
      <c r="E387" s="84"/>
      <c r="F387" s="86">
        <v>600</v>
      </c>
      <c r="G387" s="346">
        <v>0</v>
      </c>
      <c r="H387" s="346"/>
      <c r="I387" s="42">
        <f t="shared" si="103"/>
        <v>0</v>
      </c>
      <c r="J387" s="346"/>
    </row>
    <row r="388" spans="1:10">
      <c r="A388" s="41" t="str">
        <f>IF(B388&gt;0,VLOOKUP(B388,КВСР!A293:B1458,2),IF(C388&gt;0,VLOOKUP(C388,КФСР!A293:B1805,2),IF(D388&gt;0,VLOOKUP(D388,Программа!A$1:B$5063,2),IF(F388&gt;0,VLOOKUP(F388,КВР!A$1:B$5001,2),IF(E388&gt;0,VLOOKUP(E388,Направление!A$1:B$4755,2))))))</f>
        <v>Иные бюджетные ассигнования</v>
      </c>
      <c r="B388" s="84"/>
      <c r="C388" s="85"/>
      <c r="D388" s="86"/>
      <c r="E388" s="84"/>
      <c r="F388" s="86">
        <v>800</v>
      </c>
      <c r="G388" s="346">
        <v>17000</v>
      </c>
      <c r="H388" s="338">
        <v>661</v>
      </c>
      <c r="I388" s="42">
        <f t="shared" si="103"/>
        <v>17661</v>
      </c>
      <c r="J388" s="338">
        <v>17661</v>
      </c>
    </row>
    <row r="389" spans="1:10" ht="47.25">
      <c r="A389" s="41" t="str">
        <f>IF(B389&gt;0,VLOOKUP(B389,КВСР!A294:B1459,2),IF(C389&gt;0,VLOOKUP(C389,КФСР!A294:B1806,2),IF(D389&gt;0,VLOOKUP(D389,Программа!A$1:B$5063,2),IF(F389&gt;0,VLOOKUP(F389,КВР!A$1:B$5001,2),IF(E389&gt;0,VLOOKUP(E389,Направление!A$1:B$4755,2))))))</f>
        <v>Содержание органов местного самоуправления за счет средств поселений</v>
      </c>
      <c r="B389" s="84"/>
      <c r="C389" s="85"/>
      <c r="D389" s="392"/>
      <c r="E389" s="84">
        <v>29016</v>
      </c>
      <c r="F389" s="77"/>
      <c r="G389" s="42">
        <v>60399</v>
      </c>
      <c r="H389" s="42">
        <f t="shared" ref="H389:J389" si="119">H391+H390</f>
        <v>0</v>
      </c>
      <c r="I389" s="42">
        <f t="shared" si="103"/>
        <v>60399</v>
      </c>
      <c r="J389" s="42">
        <f t="shared" si="119"/>
        <v>60399</v>
      </c>
    </row>
    <row r="390" spans="1:10" ht="101.25" customHeight="1">
      <c r="A390" s="41" t="str">
        <f>IF(B390&gt;0,VLOOKUP(B390,КВСР!A295:B1460,2),IF(C390&gt;0,VLOOKUP(C390,КФСР!A295:B1807,2),IF(D390&gt;0,VLOOKUP(D390,Программа!A$1:B$5063,2),IF(F390&gt;0,VLOOKUP(F390,КВР!A$1:B$5001,2),IF(E390&gt;0,VLOOKUP(E390,Направление!A$1:B$4755,2))))))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0" s="84"/>
      <c r="C390" s="85"/>
      <c r="D390" s="392"/>
      <c r="E390" s="84"/>
      <c r="F390" s="77">
        <v>100</v>
      </c>
      <c r="G390" s="341">
        <v>54908</v>
      </c>
      <c r="H390" s="345"/>
      <c r="I390" s="42">
        <f t="shared" si="103"/>
        <v>54908</v>
      </c>
      <c r="J390" s="345">
        <v>54908</v>
      </c>
    </row>
    <row r="391" spans="1:10" ht="31.5">
      <c r="A391" s="41" t="str">
        <f>IF(B391&gt;0,VLOOKUP(B391,КВСР!A296:B1461,2),IF(C391&gt;0,VLOOKUP(C391,КФСР!A296:B1808,2),IF(D391&gt;0,VLOOKUP(D391,Программа!A$1:B$5063,2),IF(F391&gt;0,VLOOKUP(F391,КВР!A$1:B$5001,2),IF(E391&gt;0,VLOOKUP(E391,Направление!A$1:B$4755,2))))))</f>
        <v>Закупка товаров, работ и услуг для государственных нужд</v>
      </c>
      <c r="B391" s="84"/>
      <c r="C391" s="85"/>
      <c r="D391" s="86"/>
      <c r="E391" s="84"/>
      <c r="F391" s="77">
        <v>200</v>
      </c>
      <c r="G391" s="341">
        <v>5491</v>
      </c>
      <c r="H391" s="337"/>
      <c r="I391" s="42">
        <f t="shared" si="103"/>
        <v>5491</v>
      </c>
      <c r="J391" s="337">
        <v>5491</v>
      </c>
    </row>
    <row r="392" spans="1:10" ht="63">
      <c r="A392" s="41" t="str">
        <f>IF(B392&gt;0,VLOOKUP(B392,КВСР!A297:B1462,2),IF(C392&gt;0,VLOOKUP(C392,КФСР!A297:B1809,2),IF(D392&gt;0,VLOOKUP(D392,Программа!A$1:B$5063,2),IF(F392&gt;0,VLOOKUP(F392,КВР!A$1:B$5001,2),IF(E392&gt;0,VLOOKUP(E392,Направление!A$1:B$4755,2))))))</f>
        <v>Расходы на обеспечение деятельности органов опеки и попечительства за счет средств областного бюджета</v>
      </c>
      <c r="B392" s="84"/>
      <c r="C392" s="85"/>
      <c r="D392" s="392"/>
      <c r="E392" s="84">
        <v>70550</v>
      </c>
      <c r="F392" s="77"/>
      <c r="G392" s="75">
        <v>3686489</v>
      </c>
      <c r="H392" s="75">
        <f t="shared" ref="H392:J392" si="120">H393+H394+H395</f>
        <v>0</v>
      </c>
      <c r="I392" s="42">
        <f t="shared" si="103"/>
        <v>3686489</v>
      </c>
      <c r="J392" s="75">
        <f t="shared" si="120"/>
        <v>3686489</v>
      </c>
    </row>
    <row r="393" spans="1:10" ht="97.5" customHeight="1">
      <c r="A393" s="41" t="str">
        <f>IF(B393&gt;0,VLOOKUP(B393,КВСР!A298:B1463,2),IF(C393&gt;0,VLOOKUP(C393,КФСР!A298:B1810,2),IF(D393&gt;0,VLOOKUP(D393,Программа!A$1:B$5063,2),IF(F393&gt;0,VLOOKUP(F393,КВР!A$1:B$5001,2),IF(E393&gt;0,VLOOKUP(E393,Направление!A$1:B$4755,2))))))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3" s="84"/>
      <c r="C393" s="85"/>
      <c r="D393" s="86"/>
      <c r="E393" s="84"/>
      <c r="F393" s="77">
        <v>100</v>
      </c>
      <c r="G393" s="346">
        <v>3109423</v>
      </c>
      <c r="H393" s="338">
        <v>-108586</v>
      </c>
      <c r="I393" s="42">
        <f t="shared" si="103"/>
        <v>3000837</v>
      </c>
      <c r="J393" s="338">
        <v>3000837</v>
      </c>
    </row>
    <row r="394" spans="1:10" ht="31.5">
      <c r="A394" s="41" t="str">
        <f>IF(B394&gt;0,VLOOKUP(B394,КВСР!A299:B1464,2),IF(C394&gt;0,VLOOKUP(C394,КФСР!A299:B1811,2),IF(D394&gt;0,VLOOKUP(D394,Программа!A$1:B$5063,2),IF(F394&gt;0,VLOOKUP(F394,КВР!A$1:B$5001,2),IF(E394&gt;0,VLOOKUP(E394,Направление!A$1:B$4755,2))))))</f>
        <v>Закупка товаров, работ и услуг для государственных нужд</v>
      </c>
      <c r="B394" s="84"/>
      <c r="C394" s="85"/>
      <c r="D394" s="86"/>
      <c r="E394" s="84"/>
      <c r="F394" s="77">
        <v>200</v>
      </c>
      <c r="G394" s="341">
        <v>574066</v>
      </c>
      <c r="H394" s="337">
        <v>109384</v>
      </c>
      <c r="I394" s="42">
        <f t="shared" si="103"/>
        <v>683450</v>
      </c>
      <c r="J394" s="337">
        <v>683450</v>
      </c>
    </row>
    <row r="395" spans="1:10">
      <c r="A395" s="41" t="str">
        <f>IF(B395&gt;0,VLOOKUP(B395,КВСР!A300:B1465,2),IF(C395&gt;0,VLOOKUP(C395,КФСР!A300:B1812,2),IF(D395&gt;0,VLOOKUP(D395,Программа!A$1:B$5063,2),IF(F395&gt;0,VLOOKUP(F395,КВР!A$1:B$5001,2),IF(E395&gt;0,VLOOKUP(E395,Направление!A$1:B$4755,2))))))</f>
        <v>Иные бюджетные ассигнования</v>
      </c>
      <c r="B395" s="84"/>
      <c r="C395" s="85"/>
      <c r="D395" s="86"/>
      <c r="E395" s="84"/>
      <c r="F395" s="77">
        <v>800</v>
      </c>
      <c r="G395" s="341">
        <v>3000</v>
      </c>
      <c r="H395" s="337">
        <v>-798</v>
      </c>
      <c r="I395" s="42">
        <f t="shared" si="103"/>
        <v>2202</v>
      </c>
      <c r="J395" s="337">
        <v>2202</v>
      </c>
    </row>
    <row r="396" spans="1:10" ht="68.25" customHeight="1">
      <c r="A396" s="41" t="str">
        <f>IF(B396&gt;0,VLOOKUP(B396,КВСР!A301:B1466,2),IF(C396&gt;0,VLOOKUP(C396,КФСР!A301:B1813,2),IF(D396&gt;0,VLOOKUP(D396,Программа!A$1:B$5063,2),IF(F396&gt;0,VLOOKUP(F396,КВР!A$1:B$5001,2),IF(E396&gt;0,VLOOKUP(E396,Направление!A$1:B$4755,2))))))</f>
        <v>Муниципальная целевая программа "Духовно-нравственное воспитание и просвещение населения Тутаевского муниципального района"</v>
      </c>
      <c r="B396" s="84"/>
      <c r="C396" s="85"/>
      <c r="D396" s="392" t="s">
        <v>2811</v>
      </c>
      <c r="E396" s="84"/>
      <c r="F396" s="86"/>
      <c r="G396" s="75">
        <v>55000</v>
      </c>
      <c r="H396" s="75">
        <f t="shared" ref="H396:J396" si="121">H398</f>
        <v>0</v>
      </c>
      <c r="I396" s="42">
        <f t="shared" si="103"/>
        <v>55000</v>
      </c>
      <c r="J396" s="75">
        <f t="shared" si="121"/>
        <v>55000</v>
      </c>
    </row>
    <row r="397" spans="1:10" ht="63">
      <c r="A397" s="41" t="str">
        <f>IF(B397&gt;0,VLOOKUP(B397,КВСР!A302:B1467,2),IF(C397&gt;0,VLOOKUP(C397,КФСР!A302:B1814,2),IF(D397&gt;0,VLOOKUP(D397,Программа!A$1:B$5063,2),IF(F397&gt;0,VLOOKUP(F397,КВР!A$1:B$5001,2),IF(E397&gt;0,VLOOKUP(E397,Направление!A$1:B$4755,2))))))</f>
        <v>Реализация мер по созданию целостной системы духовно-нравственного воспитания и просвещения населения</v>
      </c>
      <c r="B397" s="84"/>
      <c r="C397" s="85"/>
      <c r="D397" s="392" t="s">
        <v>2813</v>
      </c>
      <c r="E397" s="84"/>
      <c r="F397" s="86"/>
      <c r="G397" s="75">
        <v>55000</v>
      </c>
      <c r="H397" s="75">
        <f t="shared" ref="H397:J398" si="122">H398</f>
        <v>0</v>
      </c>
      <c r="I397" s="42">
        <f t="shared" si="103"/>
        <v>55000</v>
      </c>
      <c r="J397" s="75">
        <f t="shared" si="122"/>
        <v>55000</v>
      </c>
    </row>
    <row r="398" spans="1:10" ht="56.25" customHeight="1">
      <c r="A398" s="41" t="str">
        <f>IF(B398&gt;0,VLOOKUP(B398,КВСР!A303:B1468,2),IF(C398&gt;0,VLOOKUP(C398,КФСР!A303:B1815,2),IF(D398&gt;0,VLOOKUP(D398,Программа!A$1:B$5063,2),IF(F398&gt;0,VLOOKUP(F398,КВР!A$1:B$5001,2),IF(E398&gt;0,VLOOKUP(E398,Направление!A$1:B$4755,2))))))</f>
        <v>Расходы на реализацию МЦП "Духовно - нравственное воспитание и просвещение населения ТМР"</v>
      </c>
      <c r="B398" s="84"/>
      <c r="C398" s="85"/>
      <c r="D398" s="392"/>
      <c r="E398" s="84">
        <v>13810</v>
      </c>
      <c r="F398" s="86"/>
      <c r="G398" s="75">
        <v>55000</v>
      </c>
      <c r="H398" s="75">
        <f t="shared" si="122"/>
        <v>0</v>
      </c>
      <c r="I398" s="42">
        <f t="shared" si="103"/>
        <v>55000</v>
      </c>
      <c r="J398" s="75">
        <f t="shared" si="122"/>
        <v>55000</v>
      </c>
    </row>
    <row r="399" spans="1:10" ht="63">
      <c r="A399" s="41" t="str">
        <f>IF(B399&gt;0,VLOOKUP(B399,КВСР!A304:B1469,2),IF(C399&gt;0,VLOOKUP(C399,КФСР!A304:B1816,2),IF(D399&gt;0,VLOOKUP(D399,Программа!A$1:B$5063,2),IF(F399&gt;0,VLOOKUP(F399,КВР!A$1:B$5001,2),IF(E399&gt;0,VLOOKUP(E399,Направление!A$1:B$4755,2))))))</f>
        <v>Предоставление субсидий бюджетным, автономным учреждениям и иным некоммерческим организациям</v>
      </c>
      <c r="B399" s="84"/>
      <c r="C399" s="85"/>
      <c r="D399" s="392"/>
      <c r="E399" s="84"/>
      <c r="F399" s="86">
        <v>600</v>
      </c>
      <c r="G399" s="346">
        <v>55000</v>
      </c>
      <c r="H399" s="338"/>
      <c r="I399" s="42">
        <f t="shared" si="103"/>
        <v>55000</v>
      </c>
      <c r="J399" s="338">
        <v>55000</v>
      </c>
    </row>
    <row r="400" spans="1:10" ht="63" hidden="1" customHeight="1">
      <c r="A400" s="41" t="str">
        <f>IF(B400&gt;0,VLOOKUP(B400,КВСР!A305:B1470,2),IF(C400&gt;0,VLOOKUP(C400,КФСР!A305:B1817,2),IF(D400&gt;0,VLOOKUP(D400,Программа!A$1:B$5063,2),IF(F400&gt;0,VLOOKUP(F400,КВР!A$1:B$5001,2),IF(E400&gt;0,VLOOKUP(E400,Направление!A$1:B$4755,2))))))</f>
        <v>Муниципальная целевая программа "Развитие физической культуры и спорта в Тутаевском муниципальном районе"</v>
      </c>
      <c r="B400" s="84"/>
      <c r="C400" s="85"/>
      <c r="D400" s="392" t="s">
        <v>2812</v>
      </c>
      <c r="E400" s="84"/>
      <c r="F400" s="86"/>
      <c r="G400" s="75">
        <v>0</v>
      </c>
      <c r="H400" s="75">
        <f>H401</f>
        <v>0</v>
      </c>
      <c r="I400" s="42">
        <f t="shared" si="103"/>
        <v>0</v>
      </c>
      <c r="J400" s="75">
        <f>J401</f>
        <v>0</v>
      </c>
    </row>
    <row r="401" spans="1:10" ht="47.25" hidden="1" customHeight="1">
      <c r="A401" s="41" t="str">
        <f>IF(B401&gt;0,VLOOKUP(B401,КВСР!A306:B1471,2),IF(C401&gt;0,VLOOKUP(C401,КФСР!A306:B1818,2),IF(D401&gt;0,VLOOKUP(D401,Программа!A$1:B$5063,2),IF(F401&gt;0,VLOOKUP(F401,КВР!A$1:B$5001,2),IF(E401&gt;0,VLOOKUP(E401,Направление!A$1:B$4755,2))))))</f>
        <v>Текущий и капитальный ремонт спортивных залов в общеобразовательных школах</v>
      </c>
      <c r="B401" s="84"/>
      <c r="C401" s="85"/>
      <c r="D401" s="392" t="s">
        <v>2944</v>
      </c>
      <c r="E401" s="84"/>
      <c r="F401" s="86"/>
      <c r="G401" s="75">
        <v>0</v>
      </c>
      <c r="H401" s="75">
        <f t="shared" ref="H401:J402" si="123">H402</f>
        <v>0</v>
      </c>
      <c r="I401" s="42">
        <f t="shared" si="103"/>
        <v>0</v>
      </c>
      <c r="J401" s="75">
        <f t="shared" si="123"/>
        <v>0</v>
      </c>
    </row>
    <row r="402" spans="1:10" ht="47.25" hidden="1" customHeight="1">
      <c r="A402" s="41" t="str">
        <f>IF(B402&gt;0,VLOOKUP(B402,КВСР!A307:B1472,2),IF(C402&gt;0,VLOOKUP(C402,КФСР!A307:B1819,2),IF(D402&gt;0,VLOOKUP(D402,Программа!A$1:B$5063,2),IF(F402&gt;0,VLOOKUP(F402,КВР!A$1:B$5001,2),IF(E402&gt;0,VLOOKUP(E402,Направление!A$1:B$4755,2))))))</f>
        <v>Cоздание в общеобразовательных организациях условий для занятий физической культурой и спортом</v>
      </c>
      <c r="B402" s="84"/>
      <c r="C402" s="85"/>
      <c r="D402" s="392"/>
      <c r="E402" s="84" t="s">
        <v>2947</v>
      </c>
      <c r="F402" s="86"/>
      <c r="G402" s="75">
        <v>0</v>
      </c>
      <c r="H402" s="75">
        <f t="shared" si="123"/>
        <v>0</v>
      </c>
      <c r="I402" s="42">
        <f t="shared" si="103"/>
        <v>0</v>
      </c>
      <c r="J402" s="75">
        <f t="shared" si="123"/>
        <v>0</v>
      </c>
    </row>
    <row r="403" spans="1:10" ht="63" hidden="1" customHeight="1">
      <c r="A403" s="41" t="str">
        <f>IF(B403&gt;0,VLOOKUP(B403,КВСР!A308:B1473,2),IF(C403&gt;0,VLOOKUP(C403,КФСР!A308:B1820,2),IF(D403&gt;0,VLOOKUP(D403,Программа!A$1:B$5063,2),IF(F403&gt;0,VLOOKUP(F403,КВР!A$1:B$5001,2),IF(E403&gt;0,VLOOKUP(E403,Направление!A$1:B$4755,2))))))</f>
        <v>Предоставление субсидий бюджетным, автономным учреждениям и иным некоммерческим организациям</v>
      </c>
      <c r="B403" s="84"/>
      <c r="C403" s="85"/>
      <c r="D403" s="392"/>
      <c r="E403" s="84"/>
      <c r="F403" s="86">
        <v>600</v>
      </c>
      <c r="G403" s="346">
        <v>0</v>
      </c>
      <c r="H403" s="338"/>
      <c r="I403" s="42">
        <f t="shared" si="103"/>
        <v>0</v>
      </c>
      <c r="J403" s="338"/>
    </row>
    <row r="404" spans="1:10" ht="31.5">
      <c r="A404" s="41" t="str">
        <f>IF(B404&gt;0,VLOOKUP(B404,КВСР!A309:B1474,2),IF(C404&gt;0,VLOOKUP(C404,КФСР!A309:B1821,2),IF(D404&gt;0,VLOOKUP(D404,Программа!A$1:B$5063,2),IF(F404&gt;0,VLOOKUP(F404,КВР!A$1:B$5001,2),IF(E404&gt;0,VLOOKUP(E404,Направление!A$1:B$4755,2))))))</f>
        <v>Муниципальная программа "Доступная среда "</v>
      </c>
      <c r="B404" s="84"/>
      <c r="C404" s="85"/>
      <c r="D404" s="392" t="s">
        <v>2823</v>
      </c>
      <c r="E404" s="84"/>
      <c r="F404" s="86"/>
      <c r="G404" s="346">
        <v>1157895</v>
      </c>
      <c r="H404" s="346">
        <f t="shared" ref="H404:J404" si="124">H405</f>
        <v>0</v>
      </c>
      <c r="I404" s="346">
        <f t="shared" si="124"/>
        <v>1157895</v>
      </c>
      <c r="J404" s="346">
        <f t="shared" si="124"/>
        <v>1153435</v>
      </c>
    </row>
    <row r="405" spans="1:10" ht="78.75">
      <c r="A405" s="41" t="str">
        <f>IF(B405&gt;0,VLOOKUP(B405,КВСР!A310:B1475,2),IF(C405&gt;0,VLOOKUP(C405,КФСР!A310:B1822,2),IF(D405&gt;0,VLOOKUP(D405,Программа!A$1:B$5063,2),IF(F405&gt;0,VLOOKUP(F405,КВР!A$1:B$5001,2),IF(E405&gt;0,VLOOKUP(E405,Направление!A$1:B$4755,2))))))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405" s="84"/>
      <c r="C405" s="85"/>
      <c r="D405" s="392" t="s">
        <v>2825</v>
      </c>
      <c r="E405" s="84"/>
      <c r="F405" s="86"/>
      <c r="G405" s="346">
        <v>1157895</v>
      </c>
      <c r="H405" s="346">
        <f>H406+H408+H410+H412</f>
        <v>0</v>
      </c>
      <c r="I405" s="346">
        <f>I406+I408+I410+I412</f>
        <v>1157895</v>
      </c>
      <c r="J405" s="346">
        <f>J406+J408+J410+J412</f>
        <v>1153435</v>
      </c>
    </row>
    <row r="406" spans="1:10" ht="63" hidden="1" customHeight="1">
      <c r="A406" s="41" t="str">
        <f>IF(B406&gt;0,VLOOKUP(B406,КВСР!A311:B1476,2),IF(C406&gt;0,VLOOKUP(C406,КФСР!A311:B1823,2),IF(D406&gt;0,VLOOKUP(D406,Программа!A$1:B$5063,2),IF(F406&gt;0,VLOOKUP(F406,КВР!A$1:B$5001,2),IF(E406&gt;0,VLOOKUP(E406,Направление!A$1:B$4755,2))))))</f>
        <v>Расходы на оборудование социально значимых объектов с целью обеспечения доступности для инвалидов</v>
      </c>
      <c r="B406" s="84"/>
      <c r="C406" s="85"/>
      <c r="D406" s="392"/>
      <c r="E406" s="84">
        <v>16250</v>
      </c>
      <c r="F406" s="86"/>
      <c r="G406" s="346">
        <v>0</v>
      </c>
      <c r="H406" s="346">
        <f t="shared" ref="H406:J406" si="125">H407</f>
        <v>0</v>
      </c>
      <c r="I406" s="346">
        <f t="shared" si="125"/>
        <v>0</v>
      </c>
      <c r="J406" s="346">
        <f t="shared" si="125"/>
        <v>0</v>
      </c>
    </row>
    <row r="407" spans="1:10" ht="63" hidden="1" customHeight="1">
      <c r="A407" s="41" t="str">
        <f>IF(B407&gt;0,VLOOKUP(B407,КВСР!A312:B1477,2),IF(C407&gt;0,VLOOKUP(C407,КФСР!A312:B1824,2),IF(D407&gt;0,VLOOKUP(D407,Программа!A$1:B$5063,2),IF(F407&gt;0,VLOOKUP(F407,КВР!A$1:B$5001,2),IF(E407&gt;0,VLOOKUP(E407,Направление!A$1:B$4755,2))))))</f>
        <v>Предоставление субсидий бюджетным, автономным учреждениям и иным некоммерческим организациям</v>
      </c>
      <c r="B407" s="84"/>
      <c r="C407" s="85"/>
      <c r="D407" s="392"/>
      <c r="E407" s="84"/>
      <c r="F407" s="86">
        <v>600</v>
      </c>
      <c r="G407" s="346">
        <v>0</v>
      </c>
      <c r="H407" s="338"/>
      <c r="I407" s="42">
        <f>G407+H407</f>
        <v>0</v>
      </c>
      <c r="J407" s="338"/>
    </row>
    <row r="408" spans="1:10" ht="63">
      <c r="A408" s="41" t="str">
        <f>IF(B408&gt;0,VLOOKUP(B408,КВСР!A313:B1478,2),IF(C408&gt;0,VLOOKUP(C408,КФСР!A313:B1825,2),IF(D408&gt;0,VLOOKUP(D408,Программа!A$1:B$5063,2),IF(F408&gt;0,VLOOKUP(F408,КВР!A$1:B$5001,2),IF(E408&gt;0,VLOOKUP(E408,Направление!A$1:B$4755,2))))))</f>
        <v>Субсидии на мероприятия государственной программы Российской Федерации "Доступная среда"</v>
      </c>
      <c r="B408" s="84"/>
      <c r="C408" s="85"/>
      <c r="D408" s="392"/>
      <c r="E408" s="84">
        <v>50270</v>
      </c>
      <c r="F408" s="86"/>
      <c r="G408" s="346">
        <v>770000</v>
      </c>
      <c r="H408" s="346">
        <f t="shared" ref="H408:J408" si="126">H409</f>
        <v>0</v>
      </c>
      <c r="I408" s="346">
        <f t="shared" si="126"/>
        <v>770000</v>
      </c>
      <c r="J408" s="346">
        <f t="shared" si="126"/>
        <v>765540</v>
      </c>
    </row>
    <row r="409" spans="1:10" ht="63">
      <c r="A409" s="41" t="str">
        <f>IF(B409&gt;0,VLOOKUP(B409,КВСР!A314:B1479,2),IF(C409&gt;0,VLOOKUP(C409,КФСР!A314:B1826,2),IF(D409&gt;0,VLOOKUP(D409,Программа!A$1:B$5063,2),IF(F409&gt;0,VLOOKUP(F409,КВР!A$1:B$5001,2),IF(E409&gt;0,VLOOKUP(E409,Направление!A$1:B$4755,2))))))</f>
        <v>Предоставление субсидий бюджетным, автономным учреждениям и иным некоммерческим организациям</v>
      </c>
      <c r="B409" s="84"/>
      <c r="C409" s="85"/>
      <c r="D409" s="392"/>
      <c r="E409" s="84"/>
      <c r="F409" s="86">
        <v>600</v>
      </c>
      <c r="G409" s="346">
        <v>770000</v>
      </c>
      <c r="H409" s="338"/>
      <c r="I409" s="42">
        <f>G409+H409</f>
        <v>770000</v>
      </c>
      <c r="J409" s="338">
        <v>765540</v>
      </c>
    </row>
    <row r="410" spans="1:10" ht="63">
      <c r="A410" s="41" t="str">
        <f>IF(B410&gt;0,VLOOKUP(B410,КВСР!A315:B1480,2),IF(C410&gt;0,VLOOKUP(C410,КФСР!A315:B1827,2),IF(D410&gt;0,VLOOKUP(D410,Программа!A$1:B$5063,2),IF(F410&gt;0,VLOOKUP(F410,КВР!A$1:B$5001,2),IF(E410&gt;0,VLOOKUP(E410,Направление!A$1:B$4755,2))))))</f>
        <v>Субсидии на мероприятия государственной программы Российской Федерации "Доступная среда"</v>
      </c>
      <c r="B410" s="84"/>
      <c r="C410" s="85"/>
      <c r="D410" s="392"/>
      <c r="E410" s="84" t="s">
        <v>3198</v>
      </c>
      <c r="F410" s="86"/>
      <c r="G410" s="346">
        <v>57895</v>
      </c>
      <c r="H410" s="338">
        <f>H411</f>
        <v>0</v>
      </c>
      <c r="I410" s="42">
        <f t="shared" ref="I410:I413" si="127">G410+H410</f>
        <v>57895</v>
      </c>
      <c r="J410" s="338">
        <f>J411</f>
        <v>57895</v>
      </c>
    </row>
    <row r="411" spans="1:10" ht="63">
      <c r="A411" s="41" t="str">
        <f>IF(B411&gt;0,VLOOKUP(B411,КВСР!A316:B1481,2),IF(C411&gt;0,VLOOKUP(C411,КФСР!A316:B1828,2),IF(D411&gt;0,VLOOKUP(D411,Программа!A$1:B$5063,2),IF(F411&gt;0,VLOOKUP(F411,КВР!A$1:B$5001,2),IF(E411&gt;0,VLOOKUP(E411,Направление!A$1:B$4755,2))))))</f>
        <v>Предоставление субсидий бюджетным, автономным учреждениям и иным некоммерческим организациям</v>
      </c>
      <c r="B411" s="84"/>
      <c r="C411" s="85"/>
      <c r="D411" s="392"/>
      <c r="E411" s="84"/>
      <c r="F411" s="86">
        <v>600</v>
      </c>
      <c r="G411" s="346">
        <v>57895</v>
      </c>
      <c r="H411" s="338"/>
      <c r="I411" s="42">
        <f t="shared" si="127"/>
        <v>57895</v>
      </c>
      <c r="J411" s="338">
        <v>57895</v>
      </c>
    </row>
    <row r="412" spans="1:10" ht="63">
      <c r="A412" s="41" t="str">
        <f>IF(B412&gt;0,VLOOKUP(B412,КВСР!A315:B1480,2),IF(C412&gt;0,VLOOKUP(C412,КФСР!A315:B1827,2),IF(D412&gt;0,VLOOKUP(D412,Программа!A$1:B$5063,2),IF(F412&gt;0,VLOOKUP(F412,КВР!A$1:B$5001,2),IF(E412&gt;0,VLOOKUP(E412,Направление!A$1:B$4755,2))))))</f>
        <v>Субсидии на мероприятия государственной программы Российской Федерации "Доступная среда"</v>
      </c>
      <c r="B412" s="84"/>
      <c r="C412" s="85"/>
      <c r="D412" s="392"/>
      <c r="E412" s="84" t="s">
        <v>3199</v>
      </c>
      <c r="F412" s="86"/>
      <c r="G412" s="346">
        <v>330000</v>
      </c>
      <c r="H412" s="338">
        <f>H413</f>
        <v>0</v>
      </c>
      <c r="I412" s="42">
        <f t="shared" si="127"/>
        <v>330000</v>
      </c>
      <c r="J412" s="338">
        <f>J413</f>
        <v>330000</v>
      </c>
    </row>
    <row r="413" spans="1:10" ht="63">
      <c r="A413" s="41" t="str">
        <f>IF(B413&gt;0,VLOOKUP(B413,КВСР!A316:B1481,2),IF(C413&gt;0,VLOOKUP(C413,КФСР!A316:B1828,2),IF(D413&gt;0,VLOOKUP(D413,Программа!A$1:B$5063,2),IF(F413&gt;0,VLOOKUP(F413,КВР!A$1:B$5001,2),IF(E413&gt;0,VLOOKUP(E413,Направление!A$1:B$4755,2))))))</f>
        <v>Предоставление субсидий бюджетным, автономным учреждениям и иным некоммерческим организациям</v>
      </c>
      <c r="B413" s="84"/>
      <c r="C413" s="85"/>
      <c r="D413" s="392"/>
      <c r="E413" s="84"/>
      <c r="F413" s="86">
        <v>600</v>
      </c>
      <c r="G413" s="346">
        <v>330000</v>
      </c>
      <c r="H413" s="338"/>
      <c r="I413" s="42">
        <f t="shared" si="127"/>
        <v>330000</v>
      </c>
      <c r="J413" s="338">
        <v>330000</v>
      </c>
    </row>
    <row r="414" spans="1:10" ht="63">
      <c r="A414" s="41" t="str">
        <f>IF(B414&gt;0,VLOOKUP(B414,КВСР!A309:B1474,2),IF(C414&gt;0,VLOOKUP(C414,КФСР!A309:B1821,2),IF(D414&gt;0,VLOOKUP(D414,Программа!A$1:B$5063,2),IF(F414&gt;0,VLOOKUP(F414,КВР!A$1:B$5001,2),IF(E414&gt;0,VLOOKUP(E414,Направление!A$1:B$4755,2))))))</f>
        <v>Муниципальная программа "Профилактика правонарушений и усиление борьбы с преступностью в Тутаевском муниципальном районе"</v>
      </c>
      <c r="B414" s="84"/>
      <c r="C414" s="85"/>
      <c r="D414" s="392" t="s">
        <v>2833</v>
      </c>
      <c r="E414" s="84"/>
      <c r="F414" s="86"/>
      <c r="G414" s="75">
        <v>45000</v>
      </c>
      <c r="H414" s="75">
        <f t="shared" ref="H414:J416" si="128">H415</f>
        <v>0</v>
      </c>
      <c r="I414" s="42">
        <f t="shared" si="103"/>
        <v>45000</v>
      </c>
      <c r="J414" s="75">
        <f t="shared" si="128"/>
        <v>45000</v>
      </c>
    </row>
    <row r="415" spans="1:10" ht="31.5">
      <c r="A415" s="41" t="str">
        <f>IF(B415&gt;0,VLOOKUP(B415,КВСР!A310:B1475,2),IF(C415&gt;0,VLOOKUP(C415,КФСР!A310:B1822,2),IF(D415&gt;0,VLOOKUP(D415,Программа!A$1:B$5063,2),IF(F415&gt;0,VLOOKUP(F415,КВР!A$1:B$5001,2),IF(E415&gt;0,VLOOKUP(E415,Направление!A$1:B$4755,2))))))</f>
        <v>Реализация мероприятий по профилактике правонарушений</v>
      </c>
      <c r="B415" s="84"/>
      <c r="C415" s="85"/>
      <c r="D415" s="392" t="s">
        <v>2835</v>
      </c>
      <c r="E415" s="84"/>
      <c r="F415" s="86"/>
      <c r="G415" s="75">
        <v>45000</v>
      </c>
      <c r="H415" s="75">
        <f t="shared" si="128"/>
        <v>0</v>
      </c>
      <c r="I415" s="42">
        <f t="shared" si="103"/>
        <v>45000</v>
      </c>
      <c r="J415" s="75">
        <f t="shared" si="128"/>
        <v>45000</v>
      </c>
    </row>
    <row r="416" spans="1:10" ht="47.25">
      <c r="A416" s="41" t="str">
        <f>IF(B416&gt;0,VLOOKUP(B416,КВСР!A311:B1476,2),IF(C416&gt;0,VLOOKUP(C416,КФСР!A311:B1823,2),IF(D416&gt;0,VLOOKUP(D416,Программа!A$1:B$5063,2),IF(F416&gt;0,VLOOKUP(F416,КВР!A$1:B$5001,2),IF(E416&gt;0,VLOOKUP(E416,Направление!A$1:B$4755,2))))))</f>
        <v>Расходы на профилактику правонарушений и усиления борьбы с преступностью</v>
      </c>
      <c r="B416" s="84"/>
      <c r="C416" s="85"/>
      <c r="D416" s="392"/>
      <c r="E416" s="84">
        <v>12250</v>
      </c>
      <c r="F416" s="86"/>
      <c r="G416" s="346">
        <v>45000</v>
      </c>
      <c r="H416" s="346">
        <f t="shared" si="128"/>
        <v>0</v>
      </c>
      <c r="I416" s="346">
        <f t="shared" si="128"/>
        <v>45000</v>
      </c>
      <c r="J416" s="346">
        <f t="shared" si="128"/>
        <v>45000</v>
      </c>
    </row>
    <row r="417" spans="1:10" ht="63">
      <c r="A417" s="41" t="str">
        <f>IF(B417&gt;0,VLOOKUP(B417,КВСР!A312:B1477,2),IF(C417&gt;0,VLOOKUP(C417,КФСР!A312:B1824,2),IF(D417&gt;0,VLOOKUP(D417,Программа!A$1:B$5063,2),IF(F417&gt;0,VLOOKUP(F417,КВР!A$1:B$5001,2),IF(E417&gt;0,VLOOKUP(E417,Направление!A$1:B$4755,2))))))</f>
        <v>Предоставление субсидий бюджетным, автономным учреждениям и иным некоммерческим организациям</v>
      </c>
      <c r="B417" s="84"/>
      <c r="C417" s="85"/>
      <c r="D417" s="392"/>
      <c r="E417" s="84"/>
      <c r="F417" s="86">
        <v>600</v>
      </c>
      <c r="G417" s="346">
        <v>45000</v>
      </c>
      <c r="H417" s="338"/>
      <c r="I417" s="42">
        <v>45000</v>
      </c>
      <c r="J417" s="338">
        <v>45000</v>
      </c>
    </row>
    <row r="418" spans="1:10">
      <c r="A418" s="41" t="str">
        <f>IF(B418&gt;0,VLOOKUP(B418,КВСР!A313:B1478,2),IF(C418&gt;0,VLOOKUP(C418,КФСР!A313:B1825,2),IF(D418&gt;0,VLOOKUP(D418,Программа!A$1:B$5063,2),IF(F418&gt;0,VLOOKUP(F418,КВР!A$1:B$5001,2),IF(E418&gt;0,VLOOKUP(E418,Направление!A$1:B$4755,2))))))</f>
        <v>Непрограммные расходы бюджета</v>
      </c>
      <c r="B418" s="83"/>
      <c r="C418" s="76"/>
      <c r="D418" s="391" t="s">
        <v>2808</v>
      </c>
      <c r="E418" s="83"/>
      <c r="F418" s="77"/>
      <c r="G418" s="42">
        <v>725000</v>
      </c>
      <c r="H418" s="42">
        <f t="shared" ref="H418:J419" si="129">H419</f>
        <v>0</v>
      </c>
      <c r="I418" s="42">
        <f t="shared" si="103"/>
        <v>725000</v>
      </c>
      <c r="J418" s="42">
        <f t="shared" si="129"/>
        <v>650000</v>
      </c>
    </row>
    <row r="419" spans="1:10" ht="31.5">
      <c r="A419" s="41" t="str">
        <f>IF(B419&gt;0,VLOOKUP(B419,КВСР!A314:B1479,2),IF(C419&gt;0,VLOOKUP(C419,КФСР!A314:B1826,2),IF(D419&gt;0,VLOOKUP(D419,Программа!A$1:B$5063,2),IF(F419&gt;0,VLOOKUP(F419,КВР!A$1:B$5001,2),IF(E419&gt;0,VLOOKUP(E419,Направление!A$1:B$4755,2))))))</f>
        <v>Государственная поддержка в сфере образования</v>
      </c>
      <c r="B419" s="83"/>
      <c r="C419" s="76"/>
      <c r="D419" s="391"/>
      <c r="E419" s="83">
        <v>13710</v>
      </c>
      <c r="F419" s="77"/>
      <c r="G419" s="93">
        <v>725000</v>
      </c>
      <c r="H419" s="93">
        <f t="shared" si="129"/>
        <v>0</v>
      </c>
      <c r="I419" s="42">
        <f t="shared" si="103"/>
        <v>725000</v>
      </c>
      <c r="J419" s="93">
        <f t="shared" si="129"/>
        <v>650000</v>
      </c>
    </row>
    <row r="420" spans="1:10" ht="63">
      <c r="A420" s="41" t="str">
        <f>IF(B420&gt;0,VLOOKUP(B420,КВСР!A315:B1480,2),IF(C420&gt;0,VLOOKUP(C420,КФСР!A315:B1827,2),IF(D420&gt;0,VLOOKUP(D420,Программа!A$1:B$5063,2),IF(F420&gt;0,VLOOKUP(F420,КВР!A$1:B$5001,2),IF(E420&gt;0,VLOOKUP(E420,Направление!A$1:B$4755,2))))))</f>
        <v>Предоставление субсидий бюджетным, автономным учреждениям и иным некоммерческим организациям</v>
      </c>
      <c r="B420" s="83"/>
      <c r="C420" s="76"/>
      <c r="D420" s="77"/>
      <c r="E420" s="83"/>
      <c r="F420" s="77">
        <v>600</v>
      </c>
      <c r="G420" s="341">
        <v>725000</v>
      </c>
      <c r="H420" s="337"/>
      <c r="I420" s="42">
        <f t="shared" si="103"/>
        <v>725000</v>
      </c>
      <c r="J420" s="337">
        <v>650000</v>
      </c>
    </row>
    <row r="421" spans="1:10">
      <c r="A421" s="41" t="str">
        <f>IF(B421&gt;0,VLOOKUP(B421,КВСР!A316:B1481,2),IF(C421&gt;0,VLOOKUP(C421,КФСР!A316:B1828,2),IF(D421&gt;0,VLOOKUP(D421,Программа!A$1:B$5063,2),IF(F421&gt;0,VLOOKUP(F421,КВР!A$1:B$5001,2),IF(E421&gt;0,VLOOKUP(E421,Направление!A$1:B$4755,2))))))</f>
        <v>Охрана семьи и детства</v>
      </c>
      <c r="B421" s="84"/>
      <c r="C421" s="76">
        <v>1004</v>
      </c>
      <c r="D421" s="393"/>
      <c r="E421" s="606"/>
      <c r="F421" s="86"/>
      <c r="G421" s="75">
        <v>44140308</v>
      </c>
      <c r="H421" s="75">
        <f t="shared" ref="H421:J421" si="130">H422</f>
        <v>2374923</v>
      </c>
      <c r="I421" s="42">
        <f t="shared" si="103"/>
        <v>46515231</v>
      </c>
      <c r="J421" s="75">
        <f t="shared" si="130"/>
        <v>45653822</v>
      </c>
    </row>
    <row r="422" spans="1:10" ht="63">
      <c r="A422" s="41" t="str">
        <f>IF(B422&gt;0,VLOOKUP(B422,КВСР!A317:B1482,2),IF(C422&gt;0,VLOOKUP(C422,КФСР!A317:B1829,2),IF(D422&gt;0,VLOOKUP(D422,Программа!A$1:B$5063,2),IF(F422&gt;0,VLOOKUP(F422,КВР!A$1:B$5001,2),IF(E422&gt;0,VLOOKUP(E422,Направление!A$1:B$4755,2))))))</f>
        <v>Муниципальная программа "Развитие образования, физической культуры и спорта в Тутаевском муниципальном районе"</v>
      </c>
      <c r="B422" s="83"/>
      <c r="C422" s="76"/>
      <c r="D422" s="394" t="s">
        <v>2695</v>
      </c>
      <c r="E422" s="501"/>
      <c r="F422" s="86"/>
      <c r="G422" s="75">
        <v>44140308</v>
      </c>
      <c r="H422" s="75">
        <f t="shared" ref="H422:J422" si="131">H424</f>
        <v>2374923</v>
      </c>
      <c r="I422" s="42">
        <f t="shared" si="103"/>
        <v>46515231</v>
      </c>
      <c r="J422" s="75">
        <f t="shared" si="131"/>
        <v>45653822</v>
      </c>
    </row>
    <row r="423" spans="1:10" ht="63">
      <c r="A423" s="41" t="str">
        <f>IF(B423&gt;0,VLOOKUP(B423,КВСР!A318:B1483,2),IF(C423&gt;0,VLOOKUP(C423,КФСР!A318:B1830,2),IF(D423&gt;0,VLOOKUP(D423,Программа!A$1:B$5063,2),IF(F423&gt;0,VLOOKUP(F423,КВР!A$1:B$5001,2),IF(E423&gt;0,VLOOKUP(E423,Направление!A$1:B$4755,2))))))</f>
        <v xml:space="preserve">Ведомственная целевая программа департамента образования Администрации Тутаевского муниципального района </v>
      </c>
      <c r="B423" s="83"/>
      <c r="C423" s="76"/>
      <c r="D423" s="394" t="s">
        <v>2696</v>
      </c>
      <c r="E423" s="501"/>
      <c r="F423" s="86"/>
      <c r="G423" s="75">
        <v>44140308</v>
      </c>
      <c r="H423" s="75">
        <f t="shared" ref="H423:J423" si="132">H424</f>
        <v>2374923</v>
      </c>
      <c r="I423" s="42">
        <f t="shared" si="103"/>
        <v>46515231</v>
      </c>
      <c r="J423" s="75">
        <f t="shared" si="132"/>
        <v>45653822</v>
      </c>
    </row>
    <row r="424" spans="1:10" ht="63">
      <c r="A424" s="41" t="str">
        <f>IF(B424&gt;0,VLOOKUP(B424,КВСР!A319:B1484,2),IF(C424&gt;0,VLOOKUP(C424,КФСР!A319:B1831,2),IF(D424&gt;0,VLOOKUP(D424,Программа!A$1:B$5063,2),IF(F424&gt;0,VLOOKUP(F424,КВР!A$1:B$5001,2),IF(E424&gt;0,VLOOKUP(E424,Направление!A$1:B$4755,2))))))</f>
        <v>Обеспечение качества реализации мер по социальной поддержке детей-сирот и детей оставшихся без попечения родителей</v>
      </c>
      <c r="B424" s="83"/>
      <c r="C424" s="76"/>
      <c r="D424" s="394" t="s">
        <v>2703</v>
      </c>
      <c r="E424" s="501"/>
      <c r="F424" s="86"/>
      <c r="G424" s="75">
        <v>44140308</v>
      </c>
      <c r="H424" s="75">
        <f>H427+H429+H431+H434+H437+H442+H425</f>
        <v>2374923</v>
      </c>
      <c r="I424" s="42">
        <f t="shared" si="103"/>
        <v>46515231</v>
      </c>
      <c r="J424" s="75">
        <f>J427+J429+J431+J434+J437+J442+J425</f>
        <v>45653822</v>
      </c>
    </row>
    <row r="425" spans="1:10" ht="31.5" hidden="1">
      <c r="A425" s="41" t="str">
        <f>IF(B425&gt;0,VLOOKUP(B425,КВСР!A320:B1485,2),IF(C425&gt;0,VLOOKUP(C425,КФСР!A320:B1832,2),IF(D425&gt;0,VLOOKUP(D425,Программа!A$1:B$5063,2),IF(F425&gt;0,VLOOKUP(F425,КВР!A$1:B$5001,2),IF(E425&gt;0,VLOOKUP(E425,Направление!A$1:B$4755,2))))))</f>
        <v xml:space="preserve">Государственная поддержка опеки и попечительства </v>
      </c>
      <c r="B425" s="83"/>
      <c r="C425" s="76"/>
      <c r="D425" s="394"/>
      <c r="E425" s="501">
        <v>13750</v>
      </c>
      <c r="F425" s="86"/>
      <c r="G425" s="75">
        <v>0</v>
      </c>
      <c r="H425" s="75">
        <f t="shared" ref="H425:J425" si="133">H426</f>
        <v>0</v>
      </c>
      <c r="I425" s="42">
        <f t="shared" si="103"/>
        <v>0</v>
      </c>
      <c r="J425" s="75">
        <f t="shared" si="133"/>
        <v>0</v>
      </c>
    </row>
    <row r="426" spans="1:10" ht="31.5" hidden="1">
      <c r="A426" s="41" t="str">
        <f>IF(B426&gt;0,VLOOKUP(B426,КВСР!A321:B1486,2),IF(C426&gt;0,VLOOKUP(C426,КФСР!A321:B1833,2),IF(D426&gt;0,VLOOKUP(D426,Программа!A$1:B$5063,2),IF(F426&gt;0,VLOOKUP(F426,КВР!A$1:B$5001,2),IF(E426&gt;0,VLOOKUP(E426,Направление!A$1:B$4755,2))))))</f>
        <v>Социальное обеспечение и иные выплаты населению</v>
      </c>
      <c r="B426" s="83"/>
      <c r="C426" s="76"/>
      <c r="D426" s="394"/>
      <c r="E426" s="501"/>
      <c r="F426" s="86">
        <v>300</v>
      </c>
      <c r="G426" s="346">
        <v>0</v>
      </c>
      <c r="H426" s="344"/>
      <c r="I426" s="42">
        <f t="shared" si="103"/>
        <v>0</v>
      </c>
      <c r="J426" s="344">
        <v>0</v>
      </c>
    </row>
    <row r="427" spans="1:10" ht="51" hidden="1" customHeight="1">
      <c r="A427" s="41" t="str">
        <f>IF(B427&gt;0,VLOOKUP(B427,КВСР!A322:B1487,2),IF(C427&gt;0,VLOOKUP(C427,КФСР!A322:B1834,2),IF(D427&gt;0,VLOOKUP(D427,Программа!A$1:B$5063,2),IF(F427&gt;0,VLOOKUP(F427,КВР!A$1:B$5001,2),IF(E427&gt;0,VLOOKUP(E427,Направление!A$1:B$4755,2))))))</f>
        <v xml:space="preserve">Расходы на укрепление института семьи, повышение качества жизни семей с несовершеннолетними детьми </v>
      </c>
      <c r="B427" s="83"/>
      <c r="C427" s="76"/>
      <c r="D427" s="394"/>
      <c r="E427" s="501" t="s">
        <v>2952</v>
      </c>
      <c r="F427" s="86"/>
      <c r="G427" s="75">
        <v>3900</v>
      </c>
      <c r="H427" s="75">
        <f t="shared" ref="H427:J427" si="134">H428</f>
        <v>-3900</v>
      </c>
      <c r="I427" s="42">
        <f t="shared" si="103"/>
        <v>0</v>
      </c>
      <c r="J427" s="75">
        <f t="shared" si="134"/>
        <v>0</v>
      </c>
    </row>
    <row r="428" spans="1:10" ht="31.5" hidden="1">
      <c r="A428" s="41" t="str">
        <f>IF(B428&gt;0,VLOOKUP(B428,КВСР!A323:B1488,2),IF(C428&gt;0,VLOOKUP(C428,КФСР!A323:B1835,2),IF(D428&gt;0,VLOOKUP(D428,Программа!A$1:B$5063,2),IF(F428&gt;0,VLOOKUP(F428,КВР!A$1:B$5001,2),IF(E428&gt;0,VLOOKUP(E428,Направление!A$1:B$4755,2))))))</f>
        <v>Закупка товаров, работ и услуг для государственных нужд</v>
      </c>
      <c r="B428" s="83"/>
      <c r="C428" s="76"/>
      <c r="D428" s="239"/>
      <c r="E428" s="606"/>
      <c r="F428" s="86">
        <v>200</v>
      </c>
      <c r="G428" s="341">
        <v>3900</v>
      </c>
      <c r="H428" s="337">
        <v>-3900</v>
      </c>
      <c r="I428" s="42">
        <f t="shared" si="103"/>
        <v>0</v>
      </c>
      <c r="J428" s="337"/>
    </row>
    <row r="429" spans="1:10" ht="81.75" customHeight="1">
      <c r="A429" s="41" t="str">
        <f>IF(B429&gt;0,VLOOKUP(B429,КВСР!A324:B1489,2),IF(C429&gt;0,VLOOKUP(C429,КФСР!A324:B1836,2),IF(D429&gt;0,VLOOKUP(D429,Программа!A$1:B$5063,2),IF(F429&gt;0,VLOOKUP(F429,КВР!A$1:B$5001,2),IF(E429&gt;0,VLOOKUP(E429,Направление!A$1:B$4755,2))))))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429" s="83"/>
      <c r="C429" s="76"/>
      <c r="D429" s="394"/>
      <c r="E429" s="501">
        <v>52600</v>
      </c>
      <c r="F429" s="86"/>
      <c r="G429" s="42">
        <v>271626</v>
      </c>
      <c r="H429" s="42">
        <f t="shared" ref="H429:J429" si="135">H430</f>
        <v>77565</v>
      </c>
      <c r="I429" s="42">
        <f t="shared" ref="I429:I514" si="136">SUM(G429:H429)</f>
        <v>349191</v>
      </c>
      <c r="J429" s="42">
        <f t="shared" si="135"/>
        <v>349189</v>
      </c>
    </row>
    <row r="430" spans="1:10" ht="31.5">
      <c r="A430" s="41" t="str">
        <f>IF(B430&gt;0,VLOOKUP(B430,КВСР!A325:B1490,2),IF(C430&gt;0,VLOOKUP(C430,КФСР!A325:B1837,2),IF(D430&gt;0,VLOOKUP(D430,Программа!A$1:B$5063,2),IF(F430&gt;0,VLOOKUP(F430,КВР!A$1:B$5001,2),IF(E430&gt;0,VLOOKUP(E430,Направление!A$1:B$4755,2))))))</f>
        <v>Социальное обеспечение и иные выплаты населению</v>
      </c>
      <c r="B430" s="83"/>
      <c r="C430" s="76"/>
      <c r="D430" s="240"/>
      <c r="E430" s="501"/>
      <c r="F430" s="86">
        <v>300</v>
      </c>
      <c r="G430" s="341">
        <v>271626</v>
      </c>
      <c r="H430" s="337">
        <v>77565</v>
      </c>
      <c r="I430" s="42">
        <f t="shared" si="136"/>
        <v>349191</v>
      </c>
      <c r="J430" s="337">
        <v>349189</v>
      </c>
    </row>
    <row r="431" spans="1:10" ht="94.5">
      <c r="A431" s="41" t="str">
        <f>IF(B431&gt;0,VLOOKUP(B431,КВСР!A326:B1491,2),IF(C431&gt;0,VLOOKUP(C431,КФСР!A326:B1838,2),IF(D431&gt;0,VLOOKUP(D431,Программа!A$1:B$5063,2),IF(F431&gt;0,VLOOKUP(F431,КВР!A$1:B$5001,2),IF(E431&gt;0,VLOOKUP(E431,Направление!A$1:B$4755,2))))))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431" s="83"/>
      <c r="C431" s="76"/>
      <c r="D431" s="394"/>
      <c r="E431" s="501">
        <v>70430</v>
      </c>
      <c r="F431" s="86"/>
      <c r="G431" s="42">
        <v>15202935</v>
      </c>
      <c r="H431" s="42">
        <f>H433+H432</f>
        <v>2681258</v>
      </c>
      <c r="I431" s="42">
        <f t="shared" si="136"/>
        <v>17884193</v>
      </c>
      <c r="J431" s="42">
        <f>J433+J432</f>
        <v>17093336</v>
      </c>
    </row>
    <row r="432" spans="1:10" ht="31.5">
      <c r="A432" s="41" t="str">
        <f>IF(B432&gt;0,VLOOKUP(B432,КВСР!A327:B1492,2),IF(C432&gt;0,VLOOKUP(C432,КФСР!A327:B1839,2),IF(D432&gt;0,VLOOKUP(D432,Программа!A$1:B$5063,2),IF(F432&gt;0,VLOOKUP(F432,КВР!A$1:B$5001,2),IF(E432&gt;0,VLOOKUP(E432,Направление!A$1:B$4755,2))))))</f>
        <v>Закупка товаров, работ и услуг для государственных нужд</v>
      </c>
      <c r="B432" s="83"/>
      <c r="C432" s="76"/>
      <c r="D432" s="394"/>
      <c r="E432" s="501"/>
      <c r="F432" s="86">
        <v>200</v>
      </c>
      <c r="G432" s="42">
        <v>156560</v>
      </c>
      <c r="H432" s="42">
        <v>3171</v>
      </c>
      <c r="I432" s="42">
        <f>G432+H432</f>
        <v>159731</v>
      </c>
      <c r="J432" s="42">
        <v>148653</v>
      </c>
    </row>
    <row r="433" spans="1:10" ht="31.5">
      <c r="A433" s="41" t="str">
        <f>IF(B433&gt;0,VLOOKUP(B433,КВСР!A328:B1493,2),IF(C433&gt;0,VLOOKUP(C433,КФСР!A328:B1840,2),IF(D433&gt;0,VLOOKUP(D433,Программа!A$1:B$5063,2),IF(F433&gt;0,VLOOKUP(F433,КВР!A$1:B$5001,2),IF(E433&gt;0,VLOOKUP(E433,Направление!A$1:B$4755,2))))))</f>
        <v>Социальное обеспечение и иные выплаты населению</v>
      </c>
      <c r="B433" s="83"/>
      <c r="C433" s="76"/>
      <c r="D433" s="240"/>
      <c r="E433" s="501"/>
      <c r="F433" s="86">
        <v>300</v>
      </c>
      <c r="G433" s="341">
        <v>15046375</v>
      </c>
      <c r="H433" s="337">
        <v>2678087</v>
      </c>
      <c r="I433" s="42">
        <f t="shared" si="136"/>
        <v>17724462</v>
      </c>
      <c r="J433" s="337">
        <v>16944683</v>
      </c>
    </row>
    <row r="434" spans="1:10" ht="84.75" customHeight="1">
      <c r="A434" s="41" t="str">
        <f>IF(B434&gt;0,VLOOKUP(B434,КВСР!A329:B1494,2),IF(C434&gt;0,VLOOKUP(C434,КФСР!A329:B1841,2),IF(D434&gt;0,VLOOKUP(D434,Программа!A$1:B$5063,2),IF(F434&gt;0,VLOOKUP(F434,КВР!A$1:B$5001,2),IF(E434&gt;0,VLOOKUP(E434,Направление!A$1:B$4755,2))))))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434" s="83"/>
      <c r="C434" s="76"/>
      <c r="D434" s="394"/>
      <c r="E434" s="501">
        <v>70460</v>
      </c>
      <c r="F434" s="86"/>
      <c r="G434" s="42">
        <v>26440011</v>
      </c>
      <c r="H434" s="42">
        <f t="shared" ref="H434:J434" si="137">H435+H436</f>
        <v>-440000</v>
      </c>
      <c r="I434" s="42">
        <f t="shared" si="136"/>
        <v>26000011</v>
      </c>
      <c r="J434" s="42">
        <f t="shared" si="137"/>
        <v>25935085</v>
      </c>
    </row>
    <row r="435" spans="1:10" ht="31.5">
      <c r="A435" s="41" t="str">
        <f>IF(B435&gt;0,VLOOKUP(B435,КВСР!A330:B1495,2),IF(C435&gt;0,VLOOKUP(C435,КФСР!A330:B1842,2),IF(D435&gt;0,VLOOKUP(D435,Программа!A$1:B$5063,2),IF(F435&gt;0,VLOOKUP(F435,КВР!A$1:B$5001,2),IF(E435&gt;0,VLOOKUP(E435,Направление!A$1:B$4755,2))))))</f>
        <v>Закупка товаров, работ и услуг для государственных нужд</v>
      </c>
      <c r="B435" s="83"/>
      <c r="C435" s="76"/>
      <c r="D435" s="240"/>
      <c r="E435" s="501"/>
      <c r="F435" s="86">
        <v>200</v>
      </c>
      <c r="G435" s="341">
        <v>85144</v>
      </c>
      <c r="H435" s="337">
        <v>-1467</v>
      </c>
      <c r="I435" s="42">
        <f t="shared" si="136"/>
        <v>83677</v>
      </c>
      <c r="J435" s="337">
        <v>83387</v>
      </c>
    </row>
    <row r="436" spans="1:10" ht="31.5">
      <c r="A436" s="41" t="str">
        <f>IF(B436&gt;0,VLOOKUP(B436,КВСР!A331:B1496,2),IF(C436&gt;0,VLOOKUP(C436,КФСР!A331:B1843,2),IF(D436&gt;0,VLOOKUP(D436,Программа!A$1:B$5063,2),IF(F436&gt;0,VLOOKUP(F436,КВР!A$1:B$5001,2),IF(E436&gt;0,VLOOKUP(E436,Направление!A$1:B$4755,2))))))</f>
        <v>Социальное обеспечение и иные выплаты населению</v>
      </c>
      <c r="B436" s="83"/>
      <c r="C436" s="76"/>
      <c r="D436" s="240"/>
      <c r="E436" s="501"/>
      <c r="F436" s="86">
        <v>300</v>
      </c>
      <c r="G436" s="341">
        <v>26354867</v>
      </c>
      <c r="H436" s="337">
        <v>-438533</v>
      </c>
      <c r="I436" s="42">
        <f t="shared" si="136"/>
        <v>25916334</v>
      </c>
      <c r="J436" s="337">
        <v>25851698</v>
      </c>
    </row>
    <row r="437" spans="1:10" ht="47.25">
      <c r="A437" s="41" t="str">
        <f>IF(B437&gt;0,VLOOKUP(B437,КВСР!A332:B1497,2),IF(C437&gt;0,VLOOKUP(C437,КФСР!A332:B1844,2),IF(D437&gt;0,VLOOKUP(D437,Программа!A$1:B$5063,2),IF(F437&gt;0,VLOOKUP(F437,КВР!A$1:B$5001,2),IF(E437&gt;0,VLOOKUP(E437,Направление!A$1:B$4755,2))))))</f>
        <v>Государственная поддержка опеки и попечительства за счет средств областного бюджета</v>
      </c>
      <c r="B437" s="83"/>
      <c r="C437" s="76"/>
      <c r="D437" s="394"/>
      <c r="E437" s="501">
        <v>70500</v>
      </c>
      <c r="F437" s="86"/>
      <c r="G437" s="42">
        <v>2221836</v>
      </c>
      <c r="H437" s="42">
        <f>H439+H440+H438+H441</f>
        <v>60000</v>
      </c>
      <c r="I437" s="42">
        <f t="shared" si="136"/>
        <v>2281836</v>
      </c>
      <c r="J437" s="42">
        <f>J439+J440+J438+J441</f>
        <v>2276212</v>
      </c>
    </row>
    <row r="438" spans="1:10" ht="110.25" hidden="1">
      <c r="A438" s="41" t="str">
        <f>IF(B438&gt;0,VLOOKUP(B438,КВСР!A333:B1498,2),IF(C438&gt;0,VLOOKUP(C438,КФСР!A333:B1845,2),IF(D438&gt;0,VLOOKUP(D438,Программа!A$1:B$5063,2),IF(F438&gt;0,VLOOKUP(F438,КВР!A$1:B$5001,2),IF(E438&gt;0,VLOOKUP(E438,Направление!A$1:B$4755,2))))))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8" s="83"/>
      <c r="C438" s="76"/>
      <c r="D438" s="394"/>
      <c r="E438" s="501"/>
      <c r="F438" s="86">
        <v>100</v>
      </c>
      <c r="G438" s="341">
        <v>0</v>
      </c>
      <c r="H438" s="345"/>
      <c r="I438" s="42">
        <f t="shared" si="136"/>
        <v>0</v>
      </c>
      <c r="J438" s="345"/>
    </row>
    <row r="439" spans="1:10" ht="31.5">
      <c r="A439" s="41" t="str">
        <f>IF(B439&gt;0,VLOOKUP(B439,КВСР!A334:B1499,2),IF(C439&gt;0,VLOOKUP(C439,КФСР!A334:B1846,2),IF(D439&gt;0,VLOOKUP(D439,Программа!A$1:B$5063,2),IF(F439&gt;0,VLOOKUP(F439,КВР!A$1:B$5001,2),IF(E439&gt;0,VLOOKUP(E439,Направление!A$1:B$4755,2))))))</f>
        <v>Закупка товаров, работ и услуг для государственных нужд</v>
      </c>
      <c r="B439" s="83"/>
      <c r="C439" s="76"/>
      <c r="D439" s="240"/>
      <c r="E439" s="501"/>
      <c r="F439" s="86">
        <v>200</v>
      </c>
      <c r="G439" s="341">
        <v>194693</v>
      </c>
      <c r="H439" s="337">
        <v>-41779</v>
      </c>
      <c r="I439" s="42">
        <f t="shared" si="136"/>
        <v>152914</v>
      </c>
      <c r="J439" s="337">
        <v>147290</v>
      </c>
    </row>
    <row r="440" spans="1:10" ht="31.5">
      <c r="A440" s="41" t="str">
        <f>IF(B440&gt;0,VLOOKUP(B440,КВСР!A335:B1500,2),IF(C440&gt;0,VLOOKUP(C440,КФСР!A335:B1847,2),IF(D440&gt;0,VLOOKUP(D440,Программа!A$1:B$5063,2),IF(F440&gt;0,VLOOKUP(F440,КВР!A$1:B$5001,2),IF(E440&gt;0,VLOOKUP(E440,Направление!A$1:B$4755,2))))))</f>
        <v>Социальное обеспечение и иные выплаты населению</v>
      </c>
      <c r="B440" s="83"/>
      <c r="C440" s="76"/>
      <c r="D440" s="240"/>
      <c r="E440" s="501"/>
      <c r="F440" s="86">
        <v>300</v>
      </c>
      <c r="G440" s="341">
        <v>667143</v>
      </c>
      <c r="H440" s="337">
        <v>70581</v>
      </c>
      <c r="I440" s="42">
        <f t="shared" si="136"/>
        <v>737724</v>
      </c>
      <c r="J440" s="337">
        <v>737724</v>
      </c>
    </row>
    <row r="441" spans="1:10" ht="63">
      <c r="A441" s="41" t="str">
        <f>IF(B441&gt;0,VLOOKUP(B441,КВСР!A336:B1501,2),IF(C441&gt;0,VLOOKUP(C441,КФСР!A336:B1848,2),IF(D441&gt;0,VLOOKUP(D441,Программа!A$1:B$5063,2),IF(F441&gt;0,VLOOKUP(F441,КВР!A$1:B$5001,2),IF(E441&gt;0,VLOOKUP(E441,Направление!A$1:B$4755,2))))))</f>
        <v>Предоставление субсидий бюджетным, автономным учреждениям и иным некоммерческим организациям</v>
      </c>
      <c r="B441" s="83"/>
      <c r="C441" s="76"/>
      <c r="D441" s="240"/>
      <c r="E441" s="501"/>
      <c r="F441" s="86">
        <v>600</v>
      </c>
      <c r="G441" s="341">
        <v>1360000</v>
      </c>
      <c r="H441" s="337">
        <v>31198</v>
      </c>
      <c r="I441" s="42">
        <f>G441+H441</f>
        <v>1391198</v>
      </c>
      <c r="J441" s="337">
        <v>1391198</v>
      </c>
    </row>
    <row r="442" spans="1:10" ht="78.75" hidden="1">
      <c r="A442" s="41" t="str">
        <f>IF(B442&gt;0,VLOOKUP(B442,КВСР!A337:B1502,2),IF(C442&gt;0,VLOOKUP(C442,КФСР!A337:B1849,2),IF(D442&gt;0,VLOOKUP(D442,Программа!A$1:B$5063,2),IF(F442&gt;0,VLOOKUP(F442,КВР!A$1:B$5001,2),IF(E442&gt;0,VLOOKUP(E442,Направление!A$1:B$4755,2))))))</f>
        <v>Расходы на укрепление института семьи, повышение качества жизни семей с несовершеннолетними детьми за счет средств областного бюджета</v>
      </c>
      <c r="B442" s="83"/>
      <c r="C442" s="76"/>
      <c r="D442" s="394"/>
      <c r="E442" s="501">
        <v>70970</v>
      </c>
      <c r="F442" s="86"/>
      <c r="G442" s="42">
        <v>0</v>
      </c>
      <c r="H442" s="42">
        <f t="shared" ref="H442:J442" si="138">H443</f>
        <v>0</v>
      </c>
      <c r="I442" s="42">
        <f t="shared" si="136"/>
        <v>0</v>
      </c>
      <c r="J442" s="42">
        <f t="shared" si="138"/>
        <v>0</v>
      </c>
    </row>
    <row r="443" spans="1:10" ht="31.5" hidden="1">
      <c r="A443" s="41" t="str">
        <f>IF(B443&gt;0,VLOOKUP(B443,КВСР!A338:B1503,2),IF(C443&gt;0,VLOOKUP(C443,КФСР!A338:B1850,2),IF(D443&gt;0,VLOOKUP(D443,Программа!A$1:B$5063,2),IF(F443&gt;0,VLOOKUP(F443,КВР!A$1:B$5001,2),IF(E443&gt;0,VLOOKUP(E443,Направление!A$1:B$4755,2))))))</f>
        <v>Закупка товаров, работ и услуг для государственных нужд</v>
      </c>
      <c r="B443" s="83"/>
      <c r="C443" s="76"/>
      <c r="D443" s="240"/>
      <c r="E443" s="501"/>
      <c r="F443" s="86">
        <v>200</v>
      </c>
      <c r="G443" s="494">
        <v>0</v>
      </c>
      <c r="H443" s="339"/>
      <c r="I443" s="42">
        <f t="shared" si="136"/>
        <v>0</v>
      </c>
      <c r="J443" s="339"/>
    </row>
    <row r="444" spans="1:10">
      <c r="A444" s="41" t="str">
        <f>IF(B444&gt;0,VLOOKUP(B444,КВСР!A339:B1504,2),IF(C444&gt;0,VLOOKUP(C444,КФСР!A339:B1851,2),IF(D444&gt;0,VLOOKUP(D444,Программа!A$1:B$5063,2),IF(F444&gt;0,VLOOKUP(F444,КВР!A$1:B$5001,2),IF(E444&gt;0,VLOOKUP(E444,Направление!A$1:B$4755,2))))))</f>
        <v xml:space="preserve">Физическая культура </v>
      </c>
      <c r="B444" s="83"/>
      <c r="C444" s="76">
        <v>1101</v>
      </c>
      <c r="D444" s="240"/>
      <c r="E444" s="501"/>
      <c r="F444" s="86"/>
      <c r="G444" s="494">
        <v>200000</v>
      </c>
      <c r="H444" s="494">
        <f t="shared" ref="H444:J446" si="139">H445</f>
        <v>0</v>
      </c>
      <c r="I444" s="494">
        <f t="shared" si="139"/>
        <v>200000</v>
      </c>
      <c r="J444" s="494">
        <f t="shared" si="139"/>
        <v>200000</v>
      </c>
    </row>
    <row r="445" spans="1:10" ht="63">
      <c r="A445" s="41" t="str">
        <f>IF(B445&gt;0,VLOOKUP(B445,КВСР!A340:B1505,2),IF(C445&gt;0,VLOOKUP(C445,КФСР!A340:B1852,2),IF(D445&gt;0,VLOOKUP(D445,Программа!A$1:B$5063,2),IF(F445&gt;0,VLOOKUP(F445,КВР!A$1:B$5001,2),IF(E445&gt;0,VLOOKUP(E445,Направление!A$1:B$4755,2))))))</f>
        <v>Муниципальная программа "Развитие образования, физической культуры и спорта в Тутаевском муниципальном районе"</v>
      </c>
      <c r="B445" s="83"/>
      <c r="C445" s="76"/>
      <c r="D445" s="394" t="s">
        <v>2695</v>
      </c>
      <c r="E445" s="501"/>
      <c r="F445" s="86"/>
      <c r="G445" s="494">
        <v>200000</v>
      </c>
      <c r="H445" s="494">
        <f t="shared" si="139"/>
        <v>0</v>
      </c>
      <c r="I445" s="494">
        <f t="shared" si="139"/>
        <v>200000</v>
      </c>
      <c r="J445" s="494">
        <f t="shared" si="139"/>
        <v>200000</v>
      </c>
    </row>
    <row r="446" spans="1:10" ht="63">
      <c r="A446" s="41" t="str">
        <f>IF(B446&gt;0,VLOOKUP(B446,КВСР!A341:B1506,2),IF(C446&gt;0,VLOOKUP(C446,КФСР!A341:B1853,2),IF(D446&gt;0,VLOOKUP(D446,Программа!A$1:B$5063,2),IF(F446&gt;0,VLOOKUP(F446,КВР!A$1:B$5001,2),IF(E446&gt;0,VLOOKUP(E446,Направление!A$1:B$4755,2))))))</f>
        <v>Муниципальная целевая программа "Развитие физической культуры и спорта в Тутаевском муниципальном районе"</v>
      </c>
      <c r="B446" s="83"/>
      <c r="C446" s="76"/>
      <c r="D446" s="394" t="s">
        <v>2812</v>
      </c>
      <c r="E446" s="501"/>
      <c r="F446" s="86"/>
      <c r="G446" s="494">
        <v>200000</v>
      </c>
      <c r="H446" s="494">
        <f t="shared" si="139"/>
        <v>0</v>
      </c>
      <c r="I446" s="494">
        <f t="shared" si="139"/>
        <v>200000</v>
      </c>
      <c r="J446" s="494">
        <f t="shared" si="139"/>
        <v>200000</v>
      </c>
    </row>
    <row r="447" spans="1:10" ht="94.5">
      <c r="A447" s="41" t="str">
        <f>IF(B447&gt;0,VLOOKUP(B447,КВСР!A342:B1507,2),IF(C447&gt;0,VLOOKUP(C447,КФСР!A342:B1854,2),IF(D447&gt;0,VLOOKUP(D447,Программа!A$1:B$5063,2),IF(F447&gt;0,VLOOKUP(F447,КВР!A$1:B$5001,2),IF(E447&gt;0,VLOOKUP(E447,Направление!A$1:B$4755,2))))))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447" s="83"/>
      <c r="C447" s="76"/>
      <c r="D447" s="394" t="s">
        <v>2814</v>
      </c>
      <c r="E447" s="501"/>
      <c r="F447" s="86"/>
      <c r="G447" s="494">
        <v>200000</v>
      </c>
      <c r="H447" s="494">
        <f t="shared" ref="H447:I447" si="140">H448+H451</f>
        <v>0</v>
      </c>
      <c r="I447" s="494">
        <f t="shared" si="140"/>
        <v>200000</v>
      </c>
      <c r="J447" s="494">
        <f t="shared" ref="J447" si="141">J448+J451</f>
        <v>200000</v>
      </c>
    </row>
    <row r="448" spans="1:10" ht="36.75" customHeight="1">
      <c r="A448" s="41" t="str">
        <f>IF(B448&gt;0,VLOOKUP(B448,КВСР!A343:B1508,2),IF(C448&gt;0,VLOOKUP(C448,КФСР!A343:B1855,2),IF(D448&gt;0,VLOOKUP(D448,Программа!A$1:B$5063,2),IF(F448&gt;0,VLOOKUP(F448,КВР!A$1:B$5001,2),IF(E448&gt;0,VLOOKUP(E448,Направление!A$1:B$4755,2))))))</f>
        <v>Обеспечение  физкультурно-спортивных мероприятий</v>
      </c>
      <c r="B448" s="83"/>
      <c r="C448" s="76"/>
      <c r="D448" s="394"/>
      <c r="E448" s="501">
        <v>29226</v>
      </c>
      <c r="F448" s="86"/>
      <c r="G448" s="494">
        <v>200000</v>
      </c>
      <c r="H448" s="494">
        <f t="shared" ref="H448:I448" si="142">H449+H450</f>
        <v>0</v>
      </c>
      <c r="I448" s="494">
        <f t="shared" si="142"/>
        <v>200000</v>
      </c>
      <c r="J448" s="494">
        <f t="shared" ref="J448" si="143">J449+J450</f>
        <v>200000</v>
      </c>
    </row>
    <row r="449" spans="1:10" ht="101.25" customHeight="1">
      <c r="A449" s="41" t="str">
        <f>IF(B449&gt;0,VLOOKUP(B449,КВСР!A344:B1509,2),IF(C449&gt;0,VLOOKUP(C449,КФСР!A344:B1856,2),IF(D449&gt;0,VLOOKUP(D449,Программа!A$1:B$5063,2),IF(F449&gt;0,VLOOKUP(F449,КВР!A$1:B$5001,2),IF(E449&gt;0,VLOOKUP(E449,Направление!A$1:B$4755,2))))))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9" s="83"/>
      <c r="C449" s="76"/>
      <c r="D449" s="394"/>
      <c r="E449" s="501"/>
      <c r="F449" s="86">
        <v>100</v>
      </c>
      <c r="G449" s="494">
        <v>50000</v>
      </c>
      <c r="H449" s="339"/>
      <c r="I449" s="42">
        <f>G449+H449</f>
        <v>50000</v>
      </c>
      <c r="J449" s="339">
        <v>50000</v>
      </c>
    </row>
    <row r="450" spans="1:10" ht="31.5">
      <c r="A450" s="41" t="str">
        <f>IF(B450&gt;0,VLOOKUP(B450,КВСР!A345:B1510,2),IF(C450&gt;0,VLOOKUP(C450,КФСР!A345:B1857,2),IF(D450&gt;0,VLOOKUP(D450,Программа!A$1:B$5063,2),IF(F450&gt;0,VLOOKUP(F450,КВР!A$1:B$5001,2),IF(E450&gt;0,VLOOKUP(E450,Направление!A$1:B$4755,2))))))</f>
        <v>Закупка товаров, работ и услуг для государственных нужд</v>
      </c>
      <c r="B450" s="83"/>
      <c r="C450" s="76"/>
      <c r="D450" s="394"/>
      <c r="E450" s="501"/>
      <c r="F450" s="86">
        <v>200</v>
      </c>
      <c r="G450" s="494">
        <v>150000</v>
      </c>
      <c r="H450" s="339"/>
      <c r="I450" s="42">
        <f>G450+H450</f>
        <v>150000</v>
      </c>
      <c r="J450" s="339">
        <v>150000</v>
      </c>
    </row>
    <row r="451" spans="1:10" ht="47.25" hidden="1">
      <c r="A451" s="41" t="str">
        <f>IF(B451&gt;0,VLOOKUP(B451,КВСР!A346:B1511,2),IF(C451&gt;0,VLOOKUP(C451,КФСР!A346:B1858,2),IF(D451&gt;0,VLOOKUP(D451,Программа!A$1:B$5063,2),IF(F451&gt;0,VLOOKUP(F451,КВР!A$1:B$5001,2),IF(E451&gt;0,VLOOKUP(E451,Направление!A$1:B$4755,2))))))</f>
        <v xml:space="preserve">Обеспечение  участия волейбольной команды «Ярославна-ТМЗ» в  соревнованиях  </v>
      </c>
      <c r="B451" s="83"/>
      <c r="C451" s="76"/>
      <c r="D451" s="394"/>
      <c r="E451" s="501">
        <v>29456</v>
      </c>
      <c r="F451" s="86"/>
      <c r="G451" s="494">
        <v>0</v>
      </c>
      <c r="H451" s="494">
        <f t="shared" ref="H451:J451" si="144">H452</f>
        <v>0</v>
      </c>
      <c r="I451" s="494">
        <f t="shared" si="144"/>
        <v>0</v>
      </c>
      <c r="J451" s="494">
        <f t="shared" si="144"/>
        <v>0</v>
      </c>
    </row>
    <row r="452" spans="1:10" ht="63" hidden="1">
      <c r="A452" s="41" t="str">
        <f>IF(B452&gt;0,VLOOKUP(B452,КВСР!A347:B1512,2),IF(C452&gt;0,VLOOKUP(C452,КФСР!A347:B1859,2),IF(D452&gt;0,VLOOKUP(D452,Программа!A$1:B$5063,2),IF(F452&gt;0,VLOOKUP(F452,КВР!A$1:B$5001,2),IF(E452&gt;0,VLOOKUP(E452,Направление!A$1:B$4755,2))))))</f>
        <v>Предоставление субсидий бюджетным, автономным учреждениям и иным некоммерческим организациям</v>
      </c>
      <c r="B452" s="83"/>
      <c r="C452" s="76"/>
      <c r="D452" s="394"/>
      <c r="E452" s="501"/>
      <c r="F452" s="86">
        <v>600</v>
      </c>
      <c r="G452" s="494">
        <v>0</v>
      </c>
      <c r="H452" s="339"/>
      <c r="I452" s="42">
        <f>G452+H452</f>
        <v>0</v>
      </c>
      <c r="J452" s="339"/>
    </row>
    <row r="453" spans="1:10" s="19" customFormat="1">
      <c r="A453" s="41" t="str">
        <f>IF(B453&gt;0,VLOOKUP(B453,КВСР!A348:B1513,2),IF(C453&gt;0,VLOOKUP(C453,КФСР!A348:B1860,2),IF(D453&gt;0,VLOOKUP(D453,Программа!A$1:B$5063,2),IF(F453&gt;0,VLOOKUP(F453,КВР!A$1:B$5001,2),IF(E453&gt;0,VLOOKUP(E453,Направление!A$1:B$4755,2))))))</f>
        <v>Массовый спорт</v>
      </c>
      <c r="B453" s="84"/>
      <c r="C453" s="85">
        <v>1102</v>
      </c>
      <c r="D453" s="391"/>
      <c r="E453" s="83"/>
      <c r="F453" s="77"/>
      <c r="G453" s="93">
        <v>6253735</v>
      </c>
      <c r="H453" s="93">
        <f t="shared" ref="H453:J453" si="145">H466+H454</f>
        <v>-22759</v>
      </c>
      <c r="I453" s="42">
        <f t="shared" si="136"/>
        <v>6230976</v>
      </c>
      <c r="J453" s="93">
        <f t="shared" si="145"/>
        <v>5794092</v>
      </c>
    </row>
    <row r="454" spans="1:10" s="19" customFormat="1" ht="63">
      <c r="A454" s="41" t="str">
        <f>IF(B454&gt;0,VLOOKUP(B454,КВСР!A349:B1514,2),IF(C454&gt;0,VLOOKUP(C454,КФСР!A349:B1861,2),IF(D454&gt;0,VLOOKUP(D454,Программа!A$1:B$5063,2),IF(F454&gt;0,VLOOKUP(F454,КВР!A$1:B$5001,2),IF(E454&gt;0,VLOOKUP(E454,Направление!A$1:B$4755,2))))))</f>
        <v>Муниципальная программа  "Развитие культуры, туризма и молодежной политики в Тутаевском муниципальном районе"</v>
      </c>
      <c r="B454" s="84"/>
      <c r="C454" s="85"/>
      <c r="D454" s="391" t="s">
        <v>2677</v>
      </c>
      <c r="E454" s="83"/>
      <c r="F454" s="77"/>
      <c r="G454" s="93">
        <v>440000</v>
      </c>
      <c r="H454" s="93">
        <f t="shared" ref="H454:J454" si="146">H456+H460</f>
        <v>0</v>
      </c>
      <c r="I454" s="42">
        <f t="shared" si="136"/>
        <v>440000</v>
      </c>
      <c r="J454" s="93">
        <f t="shared" si="146"/>
        <v>316851</v>
      </c>
    </row>
    <row r="455" spans="1:10" s="19" customFormat="1" ht="94.5">
      <c r="A455" s="41" t="str">
        <f>IF(B455&gt;0,VLOOKUP(B455,КВСР!A350:B1515,2),IF(C455&gt;0,VLOOKUP(C455,КФСР!A350:B1862,2),IF(D455&gt;0,VLOOKUP(D455,Программа!A$1:B$5063,2),IF(F455&gt;0,VLOOKUP(F455,КВР!A$1:B$5001,2),IF(E455&gt;0,VLOOKUP(E455,Направление!A$1:B$4755,2))))))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55" s="84"/>
      <c r="C455" s="85"/>
      <c r="D455" s="391" t="s">
        <v>2680</v>
      </c>
      <c r="E455" s="83"/>
      <c r="F455" s="77"/>
      <c r="G455" s="93">
        <v>40000</v>
      </c>
      <c r="H455" s="93">
        <f t="shared" ref="H455:J456" si="147">H456</f>
        <v>0</v>
      </c>
      <c r="I455" s="42">
        <f t="shared" si="136"/>
        <v>40000</v>
      </c>
      <c r="J455" s="93">
        <f t="shared" si="147"/>
        <v>39559</v>
      </c>
    </row>
    <row r="456" spans="1:10" s="19" customFormat="1" ht="85.5" customHeight="1">
      <c r="A456" s="41" t="str">
        <f>IF(B456&gt;0,VLOOKUP(B456,КВСР!A351:B1516,2),IF(C456&gt;0,VLOOKUP(C456,КФСР!A351:B1863,2),IF(D456&gt;0,VLOOKUP(D456,Программа!A$1:B$5063,2),IF(F456&gt;0,VLOOKUP(F456,КВР!A$1:B$5001,2),IF(E456&gt;0,VLOOKUP(E456,Направление!A$1:B$4755,2))))))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56" s="84"/>
      <c r="C456" s="85"/>
      <c r="D456" s="391" t="s">
        <v>2681</v>
      </c>
      <c r="E456" s="83"/>
      <c r="F456" s="77"/>
      <c r="G456" s="93">
        <v>40000</v>
      </c>
      <c r="H456" s="93">
        <f t="shared" si="147"/>
        <v>0</v>
      </c>
      <c r="I456" s="42">
        <f t="shared" si="136"/>
        <v>40000</v>
      </c>
      <c r="J456" s="93">
        <f t="shared" si="147"/>
        <v>39559</v>
      </c>
    </row>
    <row r="457" spans="1:10" s="19" customFormat="1" ht="31.5">
      <c r="A457" s="41" t="str">
        <f>IF(B457&gt;0,VLOOKUP(B457,КВСР!A352:B1517,2),IF(C457&gt;0,VLOOKUP(C457,КФСР!A352:B1864,2),IF(D457&gt;0,VLOOKUP(D457,Программа!A$1:B$5063,2),IF(F457&gt;0,VLOOKUP(F457,КВР!A$1:B$5001,2),IF(E457&gt;0,VLOOKUP(E457,Направление!A$1:B$4755,2))))))</f>
        <v>Мероприятия в области спорта и физической культуры</v>
      </c>
      <c r="B457" s="84"/>
      <c r="C457" s="85"/>
      <c r="D457" s="391"/>
      <c r="E457" s="83">
        <v>14010</v>
      </c>
      <c r="F457" s="77"/>
      <c r="G457" s="93">
        <v>40000</v>
      </c>
      <c r="H457" s="93">
        <f>H458+H459</f>
        <v>0</v>
      </c>
      <c r="I457" s="42">
        <f t="shared" si="136"/>
        <v>40000</v>
      </c>
      <c r="J457" s="93">
        <f>J458+J459</f>
        <v>39559</v>
      </c>
    </row>
    <row r="458" spans="1:10" s="19" customFormat="1" ht="100.5" customHeight="1">
      <c r="A458" s="41" t="str">
        <f>IF(B458&gt;0,VLOOKUP(B458,КВСР!A353:B1518,2),IF(C458&gt;0,VLOOKUP(C458,КФСР!A353:B1865,2),IF(D458&gt;0,VLOOKUP(D458,Программа!A$1:B$5063,2),IF(F458&gt;0,VLOOKUP(F458,КВР!A$1:B$5001,2),IF(E458&gt;0,VLOOKUP(E458,Направление!A$1:B$4755,2))))))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58" s="84"/>
      <c r="C458" s="85"/>
      <c r="D458" s="391"/>
      <c r="E458" s="83"/>
      <c r="F458" s="77">
        <v>100</v>
      </c>
      <c r="G458" s="494">
        <v>27409</v>
      </c>
      <c r="H458" s="339">
        <v>-9509</v>
      </c>
      <c r="I458" s="42">
        <f t="shared" si="136"/>
        <v>17900</v>
      </c>
      <c r="J458" s="339">
        <v>17900</v>
      </c>
    </row>
    <row r="459" spans="1:10" s="19" customFormat="1" ht="31.5">
      <c r="A459" s="41" t="str">
        <f>IF(B459&gt;0,VLOOKUP(B459,КВСР!A354:B1519,2),IF(C459&gt;0,VLOOKUP(C459,КФСР!A354:B1866,2),IF(D459&gt;0,VLOOKUP(D459,Программа!A$1:B$5063,2),IF(F459&gt;0,VLOOKUP(F459,КВР!A$1:B$5001,2),IF(E459&gt;0,VLOOKUP(E459,Направление!A$1:B$4755,2))))))</f>
        <v>Закупка товаров, работ и услуг для государственных нужд</v>
      </c>
      <c r="B459" s="84"/>
      <c r="C459" s="85"/>
      <c r="D459" s="391"/>
      <c r="E459" s="83"/>
      <c r="F459" s="77">
        <v>200</v>
      </c>
      <c r="G459" s="494">
        <v>12591</v>
      </c>
      <c r="H459" s="339">
        <v>9509</v>
      </c>
      <c r="I459" s="42">
        <f>G459+H459</f>
        <v>22100</v>
      </c>
      <c r="J459" s="339">
        <v>21659</v>
      </c>
    </row>
    <row r="460" spans="1:10" s="19" customFormat="1" ht="68.25" customHeight="1">
      <c r="A460" s="41" t="str">
        <f>IF(B460&gt;0,VLOOKUP(B460,КВСР!A355:B1520,2),IF(C460&gt;0,VLOOKUP(C460,КФСР!A355:B1867,2),IF(D460&gt;0,VLOOKUP(D460,Программа!A$1:B$5063,2),IF(F460&gt;0,VLOOKUP(F460,КВР!A$1:B$5001,2),IF(E460&gt;0,VLOOKUP(E460,Направление!A$1:B$4755,2))))))</f>
        <v>Муниципальная целевая программа «Комплексные меры противодействия злоупотреблению наркотиками и их незаконному обороту»</v>
      </c>
      <c r="B460" s="84"/>
      <c r="C460" s="85"/>
      <c r="D460" s="391" t="s">
        <v>2682</v>
      </c>
      <c r="E460" s="83"/>
      <c r="F460" s="77"/>
      <c r="G460" s="93">
        <v>400000</v>
      </c>
      <c r="H460" s="93">
        <f t="shared" ref="H460:J461" si="148">H461</f>
        <v>0</v>
      </c>
      <c r="I460" s="42">
        <f t="shared" si="136"/>
        <v>400000</v>
      </c>
      <c r="J460" s="93">
        <f t="shared" si="148"/>
        <v>277292</v>
      </c>
    </row>
    <row r="461" spans="1:10" s="19" customFormat="1" ht="47.25">
      <c r="A461" s="41" t="str">
        <f>IF(B461&gt;0,VLOOKUP(B461,КВСР!A356:B1521,2),IF(C461&gt;0,VLOOKUP(C461,КФСР!A356:B1868,2),IF(D461&gt;0,VLOOKUP(D461,Программа!A$1:B$5063,2),IF(F461&gt;0,VLOOKUP(F461,КВР!A$1:B$5001,2),IF(E461&gt;0,VLOOKUP(E461,Направление!A$1:B$4755,2))))))</f>
        <v>Развитие системы профилактики немедицинского потребления наркотиков</v>
      </c>
      <c r="B461" s="84"/>
      <c r="C461" s="85"/>
      <c r="D461" s="391" t="s">
        <v>2683</v>
      </c>
      <c r="E461" s="83"/>
      <c r="F461" s="77"/>
      <c r="G461" s="93">
        <v>400000</v>
      </c>
      <c r="H461" s="93">
        <f t="shared" si="148"/>
        <v>0</v>
      </c>
      <c r="I461" s="42">
        <f t="shared" si="136"/>
        <v>400000</v>
      </c>
      <c r="J461" s="93">
        <f t="shared" si="148"/>
        <v>277292</v>
      </c>
    </row>
    <row r="462" spans="1:10" s="19" customFormat="1" ht="31.5">
      <c r="A462" s="41" t="str">
        <f>IF(B462&gt;0,VLOOKUP(B462,КВСР!A357:B1522,2),IF(C462&gt;0,VLOOKUP(C462,КФСР!A357:B1869,2),IF(D462&gt;0,VLOOKUP(D462,Программа!A$1:B$5063,2),IF(F462&gt;0,VLOOKUP(F462,КВР!A$1:B$5001,2),IF(E462&gt;0,VLOOKUP(E462,Направление!A$1:B$4755,2))))))</f>
        <v>Мероприятия в области спорта и физической культуры</v>
      </c>
      <c r="B462" s="84"/>
      <c r="C462" s="85"/>
      <c r="D462" s="391"/>
      <c r="E462" s="83">
        <v>14010</v>
      </c>
      <c r="F462" s="77"/>
      <c r="G462" s="93">
        <v>400000</v>
      </c>
      <c r="H462" s="93">
        <f t="shared" ref="H462:J462" si="149">H465+H463+H464</f>
        <v>0</v>
      </c>
      <c r="I462" s="42">
        <f t="shared" si="136"/>
        <v>400000</v>
      </c>
      <c r="J462" s="93">
        <f t="shared" si="149"/>
        <v>277292</v>
      </c>
    </row>
    <row r="463" spans="1:10" s="19" customFormat="1" ht="101.25" customHeight="1">
      <c r="A463" s="41" t="str">
        <f>IF(B463&gt;0,VLOOKUP(B463,КВСР!A358:B1523,2),IF(C463&gt;0,VLOOKUP(C463,КФСР!A358:B1870,2),IF(D463&gt;0,VLOOKUP(D463,Программа!A$1:B$5063,2),IF(F463&gt;0,VLOOKUP(F463,КВР!A$1:B$5001,2),IF(E463&gt;0,VLOOKUP(E463,Направление!A$1:B$4755,2))))))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63" s="84"/>
      <c r="C463" s="85"/>
      <c r="D463" s="391"/>
      <c r="E463" s="83"/>
      <c r="F463" s="77">
        <v>100</v>
      </c>
      <c r="G463" s="494">
        <v>130000</v>
      </c>
      <c r="H463" s="477">
        <v>-66340</v>
      </c>
      <c r="I463" s="42">
        <f t="shared" si="136"/>
        <v>63660</v>
      </c>
      <c r="J463" s="477">
        <v>60660</v>
      </c>
    </row>
    <row r="464" spans="1:10" s="19" customFormat="1" ht="31.5">
      <c r="A464" s="41" t="str">
        <f>IF(B464&gt;0,VLOOKUP(B464,КВСР!A359:B1524,2),IF(C464&gt;0,VLOOKUP(C464,КФСР!A359:B1871,2),IF(D464&gt;0,VLOOKUP(D464,Программа!A$1:B$5063,2),IF(F464&gt;0,VLOOKUP(F464,КВР!A$1:B$5001,2),IF(E464&gt;0,VLOOKUP(E464,Направление!A$1:B$4755,2))))))</f>
        <v>Закупка товаров, работ и услуг для государственных нужд</v>
      </c>
      <c r="B464" s="84"/>
      <c r="C464" s="85"/>
      <c r="D464" s="391"/>
      <c r="E464" s="83"/>
      <c r="F464" s="77">
        <v>200</v>
      </c>
      <c r="G464" s="494">
        <v>20000</v>
      </c>
      <c r="H464" s="477">
        <v>66340</v>
      </c>
      <c r="I464" s="42">
        <f t="shared" si="136"/>
        <v>86340</v>
      </c>
      <c r="J464" s="477">
        <v>83080</v>
      </c>
    </row>
    <row r="465" spans="1:10" s="19" customFormat="1" ht="63">
      <c r="A465" s="41" t="str">
        <f>IF(B465&gt;0,VLOOKUP(B465,КВСР!A360:B1525,2),IF(C465&gt;0,VLOOKUP(C465,КФСР!A360:B1872,2),IF(D465&gt;0,VLOOKUP(D465,Программа!A$1:B$5063,2),IF(F465&gt;0,VLOOKUP(F465,КВР!A$1:B$5001,2),IF(E465&gt;0,VLOOKUP(E465,Направление!A$1:B$4755,2))))))</f>
        <v>Предоставление субсидий бюджетным, автономным учреждениям и иным некоммерческим организациям</v>
      </c>
      <c r="B465" s="84"/>
      <c r="C465" s="85"/>
      <c r="D465" s="391"/>
      <c r="E465" s="83"/>
      <c r="F465" s="77">
        <v>600</v>
      </c>
      <c r="G465" s="494">
        <v>250000</v>
      </c>
      <c r="H465" s="339"/>
      <c r="I465" s="42">
        <f t="shared" si="136"/>
        <v>250000</v>
      </c>
      <c r="J465" s="339">
        <v>133552</v>
      </c>
    </row>
    <row r="466" spans="1:10" s="19" customFormat="1" ht="63">
      <c r="A466" s="41" t="str">
        <f>IF(B466&gt;0,VLOOKUP(B466,КВСР!A361:B1526,2),IF(C466&gt;0,VLOOKUP(C466,КФСР!A361:B1873,2),IF(D466&gt;0,VLOOKUP(D466,Программа!A$1:B$5063,2),IF(F466&gt;0,VLOOKUP(F466,КВР!A$1:B$5001,2),IF(E466&gt;0,VLOOKUP(E466,Направление!A$1:B$4755,2))))))</f>
        <v>Муниципальная программа "Развитие образования, физической культуры и спорта в Тутаевском муниципальном районе"</v>
      </c>
      <c r="B466" s="84"/>
      <c r="C466" s="85"/>
      <c r="D466" s="391" t="s">
        <v>2695</v>
      </c>
      <c r="E466" s="83"/>
      <c r="F466" s="77"/>
      <c r="G466" s="93">
        <v>5813735</v>
      </c>
      <c r="H466" s="93">
        <f t="shared" ref="H466:J466" si="150">H467</f>
        <v>-22759</v>
      </c>
      <c r="I466" s="42">
        <f t="shared" si="136"/>
        <v>5790976</v>
      </c>
      <c r="J466" s="93">
        <f t="shared" si="150"/>
        <v>5477241</v>
      </c>
    </row>
    <row r="467" spans="1:10" s="19" customFormat="1" ht="63">
      <c r="A467" s="41" t="str">
        <f>IF(B467&gt;0,VLOOKUP(B467,КВСР!A362:B1527,2),IF(C467&gt;0,VLOOKUP(C467,КФСР!A362:B1874,2),IF(D467&gt;0,VLOOKUP(D467,Программа!A$1:B$5063,2),IF(F467&gt;0,VLOOKUP(F467,КВР!A$1:B$5001,2),IF(E467&gt;0,VLOOKUP(E467,Направление!A$1:B$4755,2))))))</f>
        <v>Муниципальная целевая программа "Развитие физической культуры и спорта в Тутаевском муниципальном районе"</v>
      </c>
      <c r="B467" s="84"/>
      <c r="C467" s="85"/>
      <c r="D467" s="391" t="s">
        <v>2812</v>
      </c>
      <c r="E467" s="83"/>
      <c r="F467" s="77"/>
      <c r="G467" s="93">
        <v>5813735</v>
      </c>
      <c r="H467" s="93">
        <f>H468+H473</f>
        <v>-22759</v>
      </c>
      <c r="I467" s="93">
        <f>I468+I473</f>
        <v>5790976</v>
      </c>
      <c r="J467" s="93">
        <f>J468+J473</f>
        <v>5477241</v>
      </c>
    </row>
    <row r="468" spans="1:10" s="19" customFormat="1" ht="94.5">
      <c r="A468" s="41" t="str">
        <f>IF(B468&gt;0,VLOOKUP(B468,КВСР!A363:B1528,2),IF(C468&gt;0,VLOOKUP(C468,КФСР!A363:B1875,2),IF(D468&gt;0,VLOOKUP(D468,Программа!A$1:B$5063,2),IF(F468&gt;0,VLOOKUP(F468,КВР!A$1:B$5001,2),IF(E468&gt;0,VLOOKUP(E468,Направление!A$1:B$4755,2))))))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468" s="84"/>
      <c r="C468" s="85"/>
      <c r="D468" s="391" t="s">
        <v>2814</v>
      </c>
      <c r="E468" s="83"/>
      <c r="F468" s="77"/>
      <c r="G468" s="93">
        <v>1860000</v>
      </c>
      <c r="H468" s="93">
        <f t="shared" ref="H468:J468" si="151">H469</f>
        <v>0</v>
      </c>
      <c r="I468" s="42">
        <f t="shared" si="136"/>
        <v>1860000</v>
      </c>
      <c r="J468" s="93">
        <f t="shared" si="151"/>
        <v>1671617</v>
      </c>
    </row>
    <row r="469" spans="1:10" s="19" customFormat="1" ht="31.5">
      <c r="A469" s="41" t="str">
        <f>IF(B469&gt;0,VLOOKUP(B469,КВСР!A364:B1529,2),IF(C469&gt;0,VLOOKUP(C469,КФСР!A364:B1876,2),IF(D469&gt;0,VLOOKUP(D469,Программа!A$1:B$5063,2),IF(F469&gt;0,VLOOKUP(F469,КВР!A$1:B$5001,2),IF(E469&gt;0,VLOOKUP(E469,Направление!A$1:B$4755,2))))))</f>
        <v>Мероприятия в области спорта и физической культуры</v>
      </c>
      <c r="B469" s="84"/>
      <c r="C469" s="85"/>
      <c r="D469" s="391"/>
      <c r="E469" s="83">
        <v>14010</v>
      </c>
      <c r="F469" s="77"/>
      <c r="G469" s="42">
        <v>1860000</v>
      </c>
      <c r="H469" s="42">
        <f t="shared" ref="H469:J469" si="152">H471+H470+H472</f>
        <v>0</v>
      </c>
      <c r="I469" s="42">
        <f t="shared" si="136"/>
        <v>1860000</v>
      </c>
      <c r="J469" s="42">
        <f t="shared" si="152"/>
        <v>1671617</v>
      </c>
    </row>
    <row r="470" spans="1:10" s="19" customFormat="1" ht="110.25">
      <c r="A470" s="41" t="str">
        <f>IF(B470&gt;0,VLOOKUP(B470,КВСР!A365:B1530,2),IF(C470&gt;0,VLOOKUP(C470,КФСР!A365:B1877,2),IF(D470&gt;0,VLOOKUP(D470,Программа!A$1:B$5063,2),IF(F470&gt;0,VLOOKUP(F470,КВР!A$1:B$5001,2),IF(E470&gt;0,VLOOKUP(E470,Направление!A$1:B$4755,2))))))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0" s="84"/>
      <c r="C470" s="85"/>
      <c r="D470" s="391"/>
      <c r="E470" s="83"/>
      <c r="F470" s="77">
        <v>100</v>
      </c>
      <c r="G470" s="341">
        <v>240000</v>
      </c>
      <c r="H470" s="345">
        <v>7409</v>
      </c>
      <c r="I470" s="42">
        <f t="shared" si="136"/>
        <v>247409</v>
      </c>
      <c r="J470" s="345">
        <v>247409</v>
      </c>
    </row>
    <row r="471" spans="1:10" s="19" customFormat="1" ht="31.5">
      <c r="A471" s="41" t="str">
        <f>IF(B471&gt;0,VLOOKUP(B471,КВСР!A366:B1531,2),IF(C471&gt;0,VLOOKUP(C471,КФСР!A366:B1878,2),IF(D471&gt;0,VLOOKUP(D471,Программа!A$1:B$5063,2),IF(F471&gt;0,VLOOKUP(F471,КВР!A$1:B$5001,2),IF(E471&gt;0,VLOOKUP(E471,Направление!A$1:B$4755,2))))))</f>
        <v>Закупка товаров, работ и услуг для государственных нужд</v>
      </c>
      <c r="B471" s="84"/>
      <c r="C471" s="85"/>
      <c r="D471" s="391"/>
      <c r="E471" s="83"/>
      <c r="F471" s="77">
        <v>200</v>
      </c>
      <c r="G471" s="494">
        <v>455000</v>
      </c>
      <c r="H471" s="339">
        <v>-7409</v>
      </c>
      <c r="I471" s="42">
        <f t="shared" si="136"/>
        <v>447591</v>
      </c>
      <c r="J471" s="339">
        <v>447591</v>
      </c>
    </row>
    <row r="472" spans="1:10" s="19" customFormat="1" ht="63">
      <c r="A472" s="41" t="str">
        <f>IF(B472&gt;0,VLOOKUP(B472,КВСР!A367:B1532,2),IF(C472&gt;0,VLOOKUP(C472,КФСР!A367:B1879,2),IF(D472&gt;0,VLOOKUP(D472,Программа!A$1:B$5063,2),IF(F472&gt;0,VLOOKUP(F472,КВР!A$1:B$5001,2),IF(E472&gt;0,VLOOKUP(E472,Направление!A$1:B$4755,2))))))</f>
        <v>Предоставление субсидий бюджетным, автономным учреждениям и иным некоммерческим организациям</v>
      </c>
      <c r="B472" s="84"/>
      <c r="C472" s="85"/>
      <c r="D472" s="391"/>
      <c r="E472" s="83"/>
      <c r="F472" s="77">
        <v>600</v>
      </c>
      <c r="G472" s="494">
        <v>1165000</v>
      </c>
      <c r="H472" s="339"/>
      <c r="I472" s="42">
        <f t="shared" si="136"/>
        <v>1165000</v>
      </c>
      <c r="J472" s="339">
        <v>976617</v>
      </c>
    </row>
    <row r="473" spans="1:10" s="19" customFormat="1" ht="47.25">
      <c r="A473" s="41" t="str">
        <f>IF(B473&gt;0,VLOOKUP(B473,КВСР!A368:B1533,2),IF(C473&gt;0,VLOOKUP(C473,КФСР!A368:B1880,2),IF(D473&gt;0,VLOOKUP(D473,Программа!A$1:B$5063,2),IF(F473&gt;0,VLOOKUP(F473,КВР!A$1:B$5001,2),IF(E473&gt;0,VLOOKUP(E473,Направление!A$1:B$4755,2))))))</f>
        <v>Строительство, реконструкция и капитальный ремонт спортивных сооружений</v>
      </c>
      <c r="B473" s="84"/>
      <c r="C473" s="85"/>
      <c r="D473" s="391" t="s">
        <v>2816</v>
      </c>
      <c r="E473" s="83"/>
      <c r="F473" s="77"/>
      <c r="G473" s="494">
        <v>3953735</v>
      </c>
      <c r="H473" s="494">
        <f>H474+H476</f>
        <v>-22759</v>
      </c>
      <c r="I473" s="494">
        <f>I474+I476</f>
        <v>3930976</v>
      </c>
      <c r="J473" s="494">
        <f>J474+J476</f>
        <v>3805624</v>
      </c>
    </row>
    <row r="474" spans="1:10" s="19" customFormat="1" ht="31.5">
      <c r="A474" s="41" t="str">
        <f>IF(B474&gt;0,VLOOKUP(B474,КВСР!A369:B1534,2),IF(C474&gt;0,VLOOKUP(C474,КФСР!A369:B1881,2),IF(D474&gt;0,VLOOKUP(D474,Программа!A$1:B$5063,2),IF(F474&gt;0,VLOOKUP(F474,КВР!A$1:B$5001,2),IF(E474&gt;0,VLOOKUP(E474,Направление!A$1:B$4755,2))))))</f>
        <v>Обеспечение деятельности общеобразовательных учреждений</v>
      </c>
      <c r="B474" s="84"/>
      <c r="C474" s="85"/>
      <c r="D474" s="391"/>
      <c r="E474" s="83">
        <v>13110</v>
      </c>
      <c r="F474" s="77"/>
      <c r="G474" s="494">
        <v>237205</v>
      </c>
      <c r="H474" s="494">
        <f t="shared" ref="H474:J474" si="153">H475</f>
        <v>-22759</v>
      </c>
      <c r="I474" s="494">
        <f t="shared" si="153"/>
        <v>214446</v>
      </c>
      <c r="J474" s="494">
        <f t="shared" si="153"/>
        <v>214446</v>
      </c>
    </row>
    <row r="475" spans="1:10" s="19" customFormat="1" ht="63">
      <c r="A475" s="41" t="str">
        <f>IF(B475&gt;0,VLOOKUP(B475,КВСР!A370:B1535,2),IF(C475&gt;0,VLOOKUP(C475,КФСР!A370:B1882,2),IF(D475&gt;0,VLOOKUP(D475,Программа!A$1:B$5063,2),IF(F475&gt;0,VLOOKUP(F475,КВР!A$1:B$5001,2),IF(E475&gt;0,VLOOKUP(E475,Направление!A$1:B$4755,2))))))</f>
        <v>Предоставление субсидий бюджетным, автономным учреждениям и иным некоммерческим организациям</v>
      </c>
      <c r="B475" s="84"/>
      <c r="C475" s="85"/>
      <c r="D475" s="391"/>
      <c r="E475" s="83"/>
      <c r="F475" s="77">
        <v>600</v>
      </c>
      <c r="G475" s="494">
        <v>237205</v>
      </c>
      <c r="H475" s="339">
        <v>-22759</v>
      </c>
      <c r="I475" s="42">
        <f>G475+H475</f>
        <v>214446</v>
      </c>
      <c r="J475" s="339">
        <v>214446</v>
      </c>
    </row>
    <row r="476" spans="1:10" s="19" customFormat="1" ht="47.25">
      <c r="A476" s="41" t="str">
        <f>IF(B476&gt;0,VLOOKUP(B476,КВСР!A371:B1536,2),IF(C476&gt;0,VLOOKUP(C476,КФСР!A371:B1883,2),IF(D476&gt;0,VLOOKUP(D476,Программа!A$1:B$5063,2),IF(F476&gt;0,VLOOKUP(F476,КВР!A$1:B$5001,2),IF(E476&gt;0,VLOOKUP(E476,Направление!A$1:B$4755,2))))))</f>
        <v xml:space="preserve">Развитие сети плоскостных спортивных сооружений в муниципальных образованиях </v>
      </c>
      <c r="B476" s="84"/>
      <c r="C476" s="85"/>
      <c r="D476" s="391"/>
      <c r="E476" s="83">
        <v>71970</v>
      </c>
      <c r="F476" s="77"/>
      <c r="G476" s="494">
        <v>3716530</v>
      </c>
      <c r="H476" s="494">
        <f t="shared" ref="H476:J476" si="154">H477</f>
        <v>0</v>
      </c>
      <c r="I476" s="494">
        <f t="shared" si="154"/>
        <v>3716530</v>
      </c>
      <c r="J476" s="494">
        <f t="shared" si="154"/>
        <v>3591178</v>
      </c>
    </row>
    <row r="477" spans="1:10" s="19" customFormat="1" ht="63">
      <c r="A477" s="41" t="str">
        <f>IF(B477&gt;0,VLOOKUP(B477,КВСР!A372:B1537,2),IF(C477&gt;0,VLOOKUP(C477,КФСР!A372:B1884,2),IF(D477&gt;0,VLOOKUP(D477,Программа!A$1:B$5063,2),IF(F477&gt;0,VLOOKUP(F477,КВР!A$1:B$5001,2),IF(E477&gt;0,VLOOKUP(E477,Направление!A$1:B$4755,2))))))</f>
        <v>Предоставление субсидий бюджетным, автономным учреждениям и иным некоммерческим организациям</v>
      </c>
      <c r="B477" s="84"/>
      <c r="C477" s="85"/>
      <c r="D477" s="391"/>
      <c r="E477" s="83"/>
      <c r="F477" s="77">
        <v>600</v>
      </c>
      <c r="G477" s="494">
        <v>3716530</v>
      </c>
      <c r="H477" s="339"/>
      <c r="I477" s="42">
        <f>G477+H477</f>
        <v>3716530</v>
      </c>
      <c r="J477" s="339">
        <v>3591178</v>
      </c>
    </row>
    <row r="478" spans="1:10" s="19" customFormat="1" ht="31.5">
      <c r="A478" s="41" t="str">
        <f>IF(B478&gt;0,VLOOKUP(B478,КВСР!A373:B1538,2),IF(C478&gt;0,VLOOKUP(C478,КФСР!A373:B1885,2),IF(D478&gt;0,VLOOKUP(D478,Программа!A$1:B$5063,2),IF(F478&gt;0,VLOOKUP(F478,КВР!A$1:B$5001,2),IF(E478&gt;0,VLOOKUP(E478,Направление!A$1:B$4755,2))))))</f>
        <v>Департамент труда и соц. развития Администрации ТМР</v>
      </c>
      <c r="B478" s="79">
        <v>954</v>
      </c>
      <c r="C478" s="80"/>
      <c r="D478" s="69"/>
      <c r="E478" s="82"/>
      <c r="F478" s="81"/>
      <c r="G478" s="47">
        <v>328936826</v>
      </c>
      <c r="H478" s="47">
        <f>H484+H491+H501+H553+H573+H479</f>
        <v>15965456.07</v>
      </c>
      <c r="I478" s="47">
        <f>I484+I491+I501+I553+I573+I479</f>
        <v>344902282.06999999</v>
      </c>
      <c r="J478" s="47">
        <f>J484+J491+J501+J553+J573+J479</f>
        <v>343721869</v>
      </c>
    </row>
    <row r="479" spans="1:10" s="19" customFormat="1" ht="31.5" hidden="1">
      <c r="A479" s="41" t="str">
        <f>IF(B479&gt;0,VLOOKUP(B479,КВСР!A374:B1539,2),IF(C479&gt;0,VLOOKUP(C479,КФСР!A374:B1886,2),IF(D479&gt;0,VLOOKUP(D479,Программа!A$1:B$5063,2),IF(F479&gt;0,VLOOKUP(F479,КВР!A$1:B$5001,2),IF(E479&gt;0,VLOOKUP(E479,Направление!A$1:B$4755,2))))))</f>
        <v>Другие общегосударственные вопросы</v>
      </c>
      <c r="B479" s="79"/>
      <c r="C479" s="80">
        <v>113</v>
      </c>
      <c r="D479" s="69"/>
      <c r="E479" s="82"/>
      <c r="F479" s="81"/>
      <c r="G479" s="42">
        <v>0</v>
      </c>
      <c r="H479" s="42">
        <f t="shared" ref="H479:J479" si="155">H480</f>
        <v>0</v>
      </c>
      <c r="I479" s="42">
        <f t="shared" si="155"/>
        <v>0</v>
      </c>
      <c r="J479" s="42">
        <f t="shared" si="155"/>
        <v>0</v>
      </c>
    </row>
    <row r="480" spans="1:10" s="19" customFormat="1" ht="63" hidden="1">
      <c r="A480" s="41" t="str">
        <f>IF(B480&gt;0,VLOOKUP(B480,КВСР!A375:B1540,2),IF(C480&gt;0,VLOOKUP(C480,КФСР!A375:B1887,2),IF(D480&gt;0,VLOOKUP(D480,Программа!A$1:B$5063,2),IF(F480&gt;0,VLOOKUP(F480,КВР!A$1:B$5001,2),IF(E480&gt;0,VLOOKUP(E480,Направление!A$1:B$4755,2))))))</f>
        <v>Муниципальная программа "Профилактика правонарушений и усиление борьбы с преступностью в Тутаевском муниципальном районе"</v>
      </c>
      <c r="B480" s="79"/>
      <c r="C480" s="80"/>
      <c r="D480" s="69" t="s">
        <v>2833</v>
      </c>
      <c r="E480" s="82"/>
      <c r="F480" s="81"/>
      <c r="G480" s="42">
        <v>0</v>
      </c>
      <c r="H480" s="42">
        <f t="shared" ref="H480:J480" si="156">H481</f>
        <v>0</v>
      </c>
      <c r="I480" s="42">
        <f t="shared" si="156"/>
        <v>0</v>
      </c>
      <c r="J480" s="42">
        <f t="shared" si="156"/>
        <v>0</v>
      </c>
    </row>
    <row r="481" spans="1:10" s="19" customFormat="1" ht="31.5" hidden="1">
      <c r="A481" s="41" t="str">
        <f>IF(B481&gt;0,VLOOKUP(B481,КВСР!A376:B1541,2),IF(C481&gt;0,VLOOKUP(C481,КФСР!A376:B1888,2),IF(D481&gt;0,VLOOKUP(D481,Программа!A$1:B$5063,2),IF(F481&gt;0,VLOOKUP(F481,КВР!A$1:B$5001,2),IF(E481&gt;0,VLOOKUP(E481,Направление!A$1:B$4755,2))))))</f>
        <v>Реализация мероприятий по профилактике правонарушений</v>
      </c>
      <c r="B481" s="79"/>
      <c r="C481" s="80"/>
      <c r="D481" s="69" t="s">
        <v>2835</v>
      </c>
      <c r="E481" s="82"/>
      <c r="F481" s="81"/>
      <c r="G481" s="42">
        <v>0</v>
      </c>
      <c r="H481" s="42">
        <f t="shared" ref="H481:J482" si="157">H482</f>
        <v>0</v>
      </c>
      <c r="I481" s="42">
        <f t="shared" si="157"/>
        <v>0</v>
      </c>
      <c r="J481" s="42">
        <f t="shared" si="157"/>
        <v>0</v>
      </c>
    </row>
    <row r="482" spans="1:10" s="19" customFormat="1" ht="47.25" hidden="1">
      <c r="A482" s="41" t="str">
        <f>IF(B482&gt;0,VLOOKUP(B482,КВСР!A377:B1542,2),IF(C482&gt;0,VLOOKUP(C482,КФСР!A377:B1889,2),IF(D482&gt;0,VLOOKUP(D482,Программа!A$1:B$5063,2),IF(F482&gt;0,VLOOKUP(F482,КВР!A$1:B$5001,2),IF(E482&gt;0,VLOOKUP(E482,Направление!A$1:B$4755,2))))))</f>
        <v>Расходы на профилактику правонарушений и усиления борьбы с преступностью</v>
      </c>
      <c r="B482" s="79"/>
      <c r="C482" s="80"/>
      <c r="D482" s="69"/>
      <c r="E482" s="82">
        <v>12250</v>
      </c>
      <c r="F482" s="81"/>
      <c r="G482" s="42">
        <v>0</v>
      </c>
      <c r="H482" s="42">
        <f t="shared" si="157"/>
        <v>0</v>
      </c>
      <c r="I482" s="42">
        <f t="shared" si="157"/>
        <v>0</v>
      </c>
      <c r="J482" s="42">
        <f t="shared" si="157"/>
        <v>0</v>
      </c>
    </row>
    <row r="483" spans="1:10" s="19" customFormat="1" ht="34.5" hidden="1" customHeight="1">
      <c r="A483" s="41" t="str">
        <f>IF(B483&gt;0,VLOOKUP(B483,КВСР!A378:B1543,2),IF(C483&gt;0,VLOOKUP(C483,КФСР!A378:B1890,2),IF(D483&gt;0,VLOOKUP(D483,Программа!A$1:B$5063,2),IF(F483&gt;0,VLOOKUP(F483,КВР!A$1:B$5001,2),IF(E483&gt;0,VLOOKUP(E483,Направление!A$1:B$4755,2))))))</f>
        <v>Закупка товаров, работ и услуг для государственных нужд</v>
      </c>
      <c r="B483" s="79"/>
      <c r="C483" s="80"/>
      <c r="D483" s="69"/>
      <c r="E483" s="82"/>
      <c r="F483" s="81">
        <v>200</v>
      </c>
      <c r="G483" s="42">
        <v>0</v>
      </c>
      <c r="H483" s="42"/>
      <c r="I483" s="42">
        <f>G483+H483</f>
        <v>0</v>
      </c>
      <c r="J483" s="42"/>
    </row>
    <row r="484" spans="1:10" s="19" customFormat="1">
      <c r="A484" s="41" t="str">
        <f>IF(B484&gt;0,VLOOKUP(B484,КВСР!A379:B1544,2),IF(C484&gt;0,VLOOKUP(C484,КФСР!A379:B1891,2),IF(D484&gt;0,VLOOKUP(D484,Программа!A$1:B$5063,2),IF(F484&gt;0,VLOOKUP(F484,КВР!A$1:B$5001,2),IF(E484&gt;0,VLOOKUP(E484,Направление!A$1:B$4755,2))))))</f>
        <v>Пенсионное обеспечение</v>
      </c>
      <c r="B484" s="83"/>
      <c r="C484" s="76">
        <v>1001</v>
      </c>
      <c r="D484" s="391"/>
      <c r="E484" s="83"/>
      <c r="F484" s="77"/>
      <c r="G484" s="75">
        <v>2940000</v>
      </c>
      <c r="H484" s="75">
        <f t="shared" ref="H484:J487" si="158">H485</f>
        <v>5100</v>
      </c>
      <c r="I484" s="42">
        <f t="shared" si="136"/>
        <v>2945100</v>
      </c>
      <c r="J484" s="75">
        <f t="shared" si="158"/>
        <v>2944578</v>
      </c>
    </row>
    <row r="485" spans="1:10" s="19" customFormat="1" ht="55.5" customHeight="1">
      <c r="A485" s="41" t="str">
        <f>IF(B485&gt;0,VLOOKUP(B485,КВСР!A380:B1545,2),IF(C485&gt;0,VLOOKUP(C485,КФСР!A380:B1892,2),IF(D485&gt;0,VLOOKUP(D485,Программа!A$1:B$5063,2),IF(F485&gt;0,VLOOKUP(F485,КВР!A$1:B$5001,2),IF(E485&gt;0,VLOOKUP(E485,Направление!A$1:B$4755,2))))))</f>
        <v>Муниципальная программа "Социальная поддержка населения Тутаевского муниципального района"</v>
      </c>
      <c r="B485" s="83"/>
      <c r="C485" s="76"/>
      <c r="D485" s="392" t="s">
        <v>2765</v>
      </c>
      <c r="E485" s="84"/>
      <c r="F485" s="77"/>
      <c r="G485" s="75">
        <v>2940000</v>
      </c>
      <c r="H485" s="75">
        <f t="shared" ref="H485:J485" si="159">H487</f>
        <v>5100</v>
      </c>
      <c r="I485" s="42">
        <f t="shared" si="136"/>
        <v>2945100</v>
      </c>
      <c r="J485" s="75">
        <f t="shared" si="159"/>
        <v>2944578</v>
      </c>
    </row>
    <row r="486" spans="1:10" s="19" customFormat="1" ht="63">
      <c r="A486" s="41" t="str">
        <f>IF(B486&gt;0,VLOOKUP(B486,КВСР!A381:B1546,2),IF(C486&gt;0,VLOOKUP(C486,КФСР!A381:B1893,2),IF(D486&gt;0,VLOOKUP(D486,Программа!A$1:B$5063,2),IF(F486&gt;0,VLOOKUP(F486,КВР!A$1:B$5001,2),IF(E486&gt;0,VLOOKUP(E486,Направление!A$1:B$4755,2))))))</f>
        <v xml:space="preserve">Ведомственная целевая программа «Социальная поддержка населения Тутаевского муниципального района» </v>
      </c>
      <c r="B486" s="83"/>
      <c r="C486" s="76"/>
      <c r="D486" s="392" t="s">
        <v>2767</v>
      </c>
      <c r="E486" s="84"/>
      <c r="F486" s="77"/>
      <c r="G486" s="75">
        <v>2940000</v>
      </c>
      <c r="H486" s="75">
        <f t="shared" ref="H486:J486" si="160">H487</f>
        <v>5100</v>
      </c>
      <c r="I486" s="42">
        <f t="shared" si="136"/>
        <v>2945100</v>
      </c>
      <c r="J486" s="75">
        <f t="shared" si="160"/>
        <v>2944578</v>
      </c>
    </row>
    <row r="487" spans="1:10" s="19" customFormat="1" ht="47.25">
      <c r="A487" s="41" t="str">
        <f>IF(B487&gt;0,VLOOKUP(B487,КВСР!A382:B1547,2),IF(C487&gt;0,VLOOKUP(C487,КФСР!A382:B1894,2),IF(D487&gt;0,VLOOKUP(D487,Программа!A$1:B$5063,2),IF(F487&gt;0,VLOOKUP(F487,КВР!A$1:B$5001,2),IF(E487&gt;0,VLOOKUP(E487,Направление!A$1:B$4755,2))))))</f>
        <v>Исполнение публичных обязательств по предоставлению выплат, пособий и компенсаций</v>
      </c>
      <c r="B487" s="83"/>
      <c r="C487" s="76"/>
      <c r="D487" s="392" t="s">
        <v>2818</v>
      </c>
      <c r="E487" s="84"/>
      <c r="F487" s="77"/>
      <c r="G487" s="75">
        <v>2940000</v>
      </c>
      <c r="H487" s="75">
        <f t="shared" si="158"/>
        <v>5100</v>
      </c>
      <c r="I487" s="42">
        <f t="shared" si="136"/>
        <v>2945100</v>
      </c>
      <c r="J487" s="75">
        <f t="shared" si="158"/>
        <v>2944578</v>
      </c>
    </row>
    <row r="488" spans="1:10" s="19" customFormat="1" ht="31.5">
      <c r="A488" s="41" t="str">
        <f>IF(B488&gt;0,VLOOKUP(B488,КВСР!A383:B1548,2),IF(C488&gt;0,VLOOKUP(C488,КФСР!A383:B1895,2),IF(D488&gt;0,VLOOKUP(D488,Программа!A$1:B$5063,2),IF(F488&gt;0,VLOOKUP(F488,КВР!A$1:B$5001,2),IF(E488&gt;0,VLOOKUP(E488,Направление!A$1:B$4755,2))))))</f>
        <v>Доплаты к пенсиям муниципальных служащих</v>
      </c>
      <c r="B488" s="83"/>
      <c r="C488" s="76"/>
      <c r="D488" s="391"/>
      <c r="E488" s="83">
        <v>16010</v>
      </c>
      <c r="F488" s="77"/>
      <c r="G488" s="75">
        <v>2940000</v>
      </c>
      <c r="H488" s="75">
        <f t="shared" ref="H488:J488" si="161">H490+H489</f>
        <v>5100</v>
      </c>
      <c r="I488" s="42">
        <f t="shared" si="136"/>
        <v>2945100</v>
      </c>
      <c r="J488" s="75">
        <f t="shared" si="161"/>
        <v>2944578</v>
      </c>
    </row>
    <row r="489" spans="1:10" s="19" customFormat="1" ht="31.5">
      <c r="A489" s="41" t="str">
        <f>IF(B489&gt;0,VLOOKUP(B489,КВСР!A384:B1549,2),IF(C489&gt;0,VLOOKUP(C489,КФСР!A384:B1896,2),IF(D489&gt;0,VLOOKUP(D489,Программа!A$1:B$5063,2),IF(F489&gt;0,VLOOKUP(F489,КВР!A$1:B$5001,2),IF(E489&gt;0,VLOOKUP(E489,Направление!A$1:B$4755,2))))))</f>
        <v>Закупка товаров, работ и услуг для государственных нужд</v>
      </c>
      <c r="B489" s="83"/>
      <c r="C489" s="76"/>
      <c r="D489" s="77"/>
      <c r="E489" s="83"/>
      <c r="F489" s="77">
        <v>200</v>
      </c>
      <c r="G489" s="346">
        <v>44000</v>
      </c>
      <c r="H489" s="344"/>
      <c r="I489" s="42">
        <f t="shared" si="136"/>
        <v>44000</v>
      </c>
      <c r="J489" s="344">
        <v>43549</v>
      </c>
    </row>
    <row r="490" spans="1:10" s="19" customFormat="1" ht="31.5">
      <c r="A490" s="41" t="str">
        <f>IF(B490&gt;0,VLOOKUP(B490,КВСР!A385:B1550,2),IF(C490&gt;0,VLOOKUP(C490,КФСР!A385:B1897,2),IF(D490&gt;0,VLOOKUP(D490,Программа!A$1:B$5063,2),IF(F490&gt;0,VLOOKUP(F490,КВР!A$1:B$5001,2),IF(E490&gt;0,VLOOKUP(E490,Направление!A$1:B$4755,2))))))</f>
        <v>Социальное обеспечение и иные выплаты населению</v>
      </c>
      <c r="B490" s="83"/>
      <c r="C490" s="76"/>
      <c r="D490" s="77"/>
      <c r="E490" s="83"/>
      <c r="F490" s="77">
        <v>300</v>
      </c>
      <c r="G490" s="341">
        <v>2896000</v>
      </c>
      <c r="H490" s="337">
        <v>5100</v>
      </c>
      <c r="I490" s="42">
        <f t="shared" si="136"/>
        <v>2901100</v>
      </c>
      <c r="J490" s="337">
        <v>2901029</v>
      </c>
    </row>
    <row r="491" spans="1:10" s="19" customFormat="1" ht="25.5" customHeight="1">
      <c r="A491" s="41" t="str">
        <f>IF(B491&gt;0,VLOOKUP(B491,КВСР!A386:B1551,2),IF(C491&gt;0,VLOOKUP(C491,КФСР!A386:B1898,2),IF(D491&gt;0,VLOOKUP(D491,Программа!A$1:B$5063,2),IF(F491&gt;0,VLOOKUP(F491,КВР!A$1:B$5001,2),IF(E491&gt;0,VLOOKUP(E491,Направление!A$1:B$4755,2))))))</f>
        <v>Социальное обслуживание населения</v>
      </c>
      <c r="B491" s="83"/>
      <c r="C491" s="76">
        <v>1002</v>
      </c>
      <c r="D491" s="391"/>
      <c r="E491" s="83"/>
      <c r="F491" s="77"/>
      <c r="G491" s="93">
        <v>46027465</v>
      </c>
      <c r="H491" s="93">
        <f>H492+H497</f>
        <v>0</v>
      </c>
      <c r="I491" s="42">
        <f t="shared" si="136"/>
        <v>46027465</v>
      </c>
      <c r="J491" s="93">
        <f>J492+J497</f>
        <v>45183363</v>
      </c>
    </row>
    <row r="492" spans="1:10" s="19" customFormat="1" ht="54" customHeight="1">
      <c r="A492" s="41" t="str">
        <f>IF(B492&gt;0,VLOOKUP(B492,КВСР!A387:B1552,2),IF(C492&gt;0,VLOOKUP(C492,КФСР!A387:B1899,2),IF(D492&gt;0,VLOOKUP(D492,Программа!A$1:B$5063,2),IF(F492&gt;0,VLOOKUP(F492,КВР!A$1:B$5001,2),IF(E492&gt;0,VLOOKUP(E492,Направление!A$1:B$4755,2))))))</f>
        <v>Муниципальная программа "Социальная поддержка населения Тутаевского муниципального района"</v>
      </c>
      <c r="B492" s="83"/>
      <c r="C492" s="76"/>
      <c r="D492" s="391" t="s">
        <v>2765</v>
      </c>
      <c r="E492" s="83"/>
      <c r="F492" s="77"/>
      <c r="G492" s="93">
        <v>44976965</v>
      </c>
      <c r="H492" s="93">
        <f t="shared" ref="H492:J492" si="162">H494</f>
        <v>0</v>
      </c>
      <c r="I492" s="42">
        <f t="shared" si="136"/>
        <v>44976965</v>
      </c>
      <c r="J492" s="93">
        <f t="shared" si="162"/>
        <v>44132863</v>
      </c>
    </row>
    <row r="493" spans="1:10" s="19" customFormat="1" ht="54.75" customHeight="1">
      <c r="A493" s="41" t="str">
        <f>IF(B493&gt;0,VLOOKUP(B493,КВСР!A388:B1553,2),IF(C493&gt;0,VLOOKUP(C493,КФСР!A388:B1900,2),IF(D493&gt;0,VLOOKUP(D493,Программа!A$1:B$5063,2),IF(F493&gt;0,VLOOKUP(F493,КВР!A$1:B$5001,2),IF(E493&gt;0,VLOOKUP(E493,Направление!A$1:B$4755,2))))))</f>
        <v xml:space="preserve">Ведомственная целевая программа «Социальная поддержка населения Тутаевского муниципального района» </v>
      </c>
      <c r="B493" s="83"/>
      <c r="C493" s="76"/>
      <c r="D493" s="391" t="s">
        <v>2767</v>
      </c>
      <c r="E493" s="83"/>
      <c r="F493" s="77"/>
      <c r="G493" s="93">
        <v>44976965</v>
      </c>
      <c r="H493" s="93">
        <f t="shared" ref="H493:J493" si="163">H494</f>
        <v>0</v>
      </c>
      <c r="I493" s="42">
        <f t="shared" si="136"/>
        <v>44976965</v>
      </c>
      <c r="J493" s="93">
        <f t="shared" si="163"/>
        <v>44132863</v>
      </c>
    </row>
    <row r="494" spans="1:10" s="19" customFormat="1" ht="71.25" customHeight="1">
      <c r="A494" s="41" t="str">
        <f>IF(B494&gt;0,VLOOKUP(B494,КВСР!A389:B1554,2),IF(C494&gt;0,VLOOKUP(C494,КФСР!A389:B1901,2),IF(D494&gt;0,VLOOKUP(D494,Программа!A$1:B$5063,2),IF(F494&gt;0,VLOOKUP(F494,КВР!A$1:B$5001,2),IF(E494&gt;0,VLOOKUP(E494,Направление!A$1:B$4755,2))))))</f>
        <v>Предоставление социальных услуг населению Тутаевского муниципального района на основе соблюдения стандартов и нормативов</v>
      </c>
      <c r="B494" s="83"/>
      <c r="C494" s="76"/>
      <c r="D494" s="391" t="s">
        <v>2819</v>
      </c>
      <c r="E494" s="83"/>
      <c r="F494" s="77"/>
      <c r="G494" s="93">
        <v>44976965</v>
      </c>
      <c r="H494" s="93">
        <f t="shared" ref="H494:J495" si="164">H495</f>
        <v>0</v>
      </c>
      <c r="I494" s="42">
        <f t="shared" si="136"/>
        <v>44976965</v>
      </c>
      <c r="J494" s="93">
        <f t="shared" si="164"/>
        <v>44132863</v>
      </c>
    </row>
    <row r="495" spans="1:10" s="19" customFormat="1" ht="147.75" customHeight="1">
      <c r="A495" s="41" t="str">
        <f>IF(B495&gt;0,VLOOKUP(B495,КВСР!A390:B1555,2),IF(C495&gt;0,VLOOKUP(C495,КФСР!A390:B1902,2),IF(D495&gt;0,VLOOKUP(D495,Программа!A$1:B$5063,2),IF(F495&gt;0,VLOOKUP(F495,КВР!A$1:B$5001,2),IF(E495&gt;0,VLOOKUP(E495,Направление!A$1:B$4755,2))))))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495" s="83"/>
      <c r="C495" s="76"/>
      <c r="D495" s="391"/>
      <c r="E495" s="83">
        <v>70850</v>
      </c>
      <c r="F495" s="77"/>
      <c r="G495" s="42">
        <v>44976965</v>
      </c>
      <c r="H495" s="42">
        <f t="shared" si="164"/>
        <v>0</v>
      </c>
      <c r="I495" s="42">
        <f t="shared" si="136"/>
        <v>44976965</v>
      </c>
      <c r="J495" s="42">
        <f t="shared" si="164"/>
        <v>44132863</v>
      </c>
    </row>
    <row r="496" spans="1:10" s="19" customFormat="1" ht="63">
      <c r="A496" s="41" t="str">
        <f>IF(B496&gt;0,VLOOKUP(B496,КВСР!A391:B1556,2),IF(C496&gt;0,VLOOKUP(C496,КФСР!A391:B1903,2),IF(D496&gt;0,VLOOKUP(D496,Программа!A$1:B$5063,2),IF(F496&gt;0,VLOOKUP(F496,КВР!A$1:B$5001,2),IF(E496&gt;0,VLOOKUP(E496,Направление!A$1:B$4755,2))))))</f>
        <v>Предоставление субсидий бюджетным, автономным учреждениям и иным некоммерческим организациям</v>
      </c>
      <c r="B496" s="83"/>
      <c r="C496" s="76"/>
      <c r="D496" s="77"/>
      <c r="E496" s="83"/>
      <c r="F496" s="77">
        <v>600</v>
      </c>
      <c r="G496" s="341">
        <v>44976965</v>
      </c>
      <c r="H496" s="337"/>
      <c r="I496" s="42">
        <f t="shared" si="136"/>
        <v>44976965</v>
      </c>
      <c r="J496" s="337">
        <v>44132863</v>
      </c>
    </row>
    <row r="497" spans="1:10" s="19" customFormat="1" ht="31.5">
      <c r="A497" s="41" t="str">
        <f>IF(B497&gt;0,VLOOKUP(B497,КВСР!A392:B1557,2),IF(C497&gt;0,VLOOKUP(C497,КФСР!A392:B1904,2),IF(D497&gt;0,VLOOKUP(D497,Программа!A$1:B$5063,2),IF(F497&gt;0,VLOOKUP(F497,КВР!A$1:B$5001,2),IF(E497&gt;0,VLOOKUP(E497,Направление!A$1:B$4755,2))))))</f>
        <v>Муниципальная программа "Доступная среда "</v>
      </c>
      <c r="B497" s="83"/>
      <c r="C497" s="76"/>
      <c r="D497" s="77" t="s">
        <v>2823</v>
      </c>
      <c r="E497" s="83"/>
      <c r="F497" s="77"/>
      <c r="G497" s="341">
        <v>1050500</v>
      </c>
      <c r="H497" s="341">
        <f t="shared" ref="H497:J499" si="165">H498</f>
        <v>0</v>
      </c>
      <c r="I497" s="341">
        <f t="shared" si="165"/>
        <v>1050500</v>
      </c>
      <c r="J497" s="341">
        <f t="shared" si="165"/>
        <v>1050500</v>
      </c>
    </row>
    <row r="498" spans="1:10" s="19" customFormat="1" ht="78.75">
      <c r="A498" s="41" t="str">
        <f>IF(B498&gt;0,VLOOKUP(B498,КВСР!A393:B1558,2),IF(C498&gt;0,VLOOKUP(C498,КФСР!A393:B1905,2),IF(D498&gt;0,VLOOKUP(D498,Программа!A$1:B$5063,2),IF(F498&gt;0,VLOOKUP(F498,КВР!A$1:B$5001,2),IF(E498&gt;0,VLOOKUP(E498,Направление!A$1:B$4755,2))))))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498" s="83"/>
      <c r="C498" s="76"/>
      <c r="D498" s="77" t="s">
        <v>2825</v>
      </c>
      <c r="E498" s="83"/>
      <c r="F498" s="77"/>
      <c r="G498" s="341">
        <v>1050500</v>
      </c>
      <c r="H498" s="341">
        <f t="shared" si="165"/>
        <v>0</v>
      </c>
      <c r="I498" s="341">
        <f t="shared" si="165"/>
        <v>1050500</v>
      </c>
      <c r="J498" s="341">
        <f t="shared" si="165"/>
        <v>1050500</v>
      </c>
    </row>
    <row r="499" spans="1:10" s="19" customFormat="1" ht="147" customHeight="1">
      <c r="A499" s="41" t="str">
        <f>IF(B499&gt;0,VLOOKUP(B499,КВСР!A394:B1559,2),IF(C499&gt;0,VLOOKUP(C499,КФСР!A394:B1906,2),IF(D499&gt;0,VLOOKUP(D499,Программа!A$1:B$5063,2),IF(F499&gt;0,VLOOKUP(F499,КВР!A$1:B$5001,2),IF(E499&gt;0,VLOOKUP(E499,Направление!A$1:B$4755,2))))))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499" s="83"/>
      <c r="C499" s="76"/>
      <c r="D499" s="77"/>
      <c r="E499" s="83">
        <v>70850</v>
      </c>
      <c r="F499" s="77"/>
      <c r="G499" s="341">
        <v>1050500</v>
      </c>
      <c r="H499" s="341">
        <f t="shared" si="165"/>
        <v>0</v>
      </c>
      <c r="I499" s="341">
        <f t="shared" si="165"/>
        <v>1050500</v>
      </c>
      <c r="J499" s="341">
        <f t="shared" si="165"/>
        <v>1050500</v>
      </c>
    </row>
    <row r="500" spans="1:10" s="19" customFormat="1" ht="63">
      <c r="A500" s="41" t="str">
        <f>IF(B500&gt;0,VLOOKUP(B500,КВСР!A395:B1560,2),IF(C500&gt;0,VLOOKUP(C500,КФСР!A395:B1907,2),IF(D500&gt;0,VLOOKUP(D500,Программа!A$1:B$5063,2),IF(F500&gt;0,VLOOKUP(F500,КВР!A$1:B$5001,2),IF(E500&gt;0,VLOOKUP(E500,Направление!A$1:B$4755,2))))))</f>
        <v>Предоставление субсидий бюджетным, автономным учреждениям и иным некоммерческим организациям</v>
      </c>
      <c r="B500" s="83"/>
      <c r="C500" s="76"/>
      <c r="D500" s="77"/>
      <c r="E500" s="83"/>
      <c r="F500" s="77">
        <v>600</v>
      </c>
      <c r="G500" s="341">
        <v>1050500</v>
      </c>
      <c r="H500" s="337"/>
      <c r="I500" s="42">
        <f>G500+H500</f>
        <v>1050500</v>
      </c>
      <c r="J500" s="337">
        <v>1050500</v>
      </c>
    </row>
    <row r="501" spans="1:10" s="19" customFormat="1">
      <c r="A501" s="41" t="str">
        <f>IF(B501&gt;0,VLOOKUP(B501,КВСР!A396:B1561,2),IF(C501&gt;0,VLOOKUP(C501,КФСР!A396:B1908,2),IF(D501&gt;0,VLOOKUP(D501,Программа!A$1:B$5063,2),IF(F501&gt;0,VLOOKUP(F501,КВР!A$1:B$5001,2),IF(E501&gt;0,VLOOKUP(E501,Направление!A$1:B$4755,2))))))</f>
        <v>Социальное обеспечение населения</v>
      </c>
      <c r="B501" s="83"/>
      <c r="C501" s="76">
        <v>1003</v>
      </c>
      <c r="D501" s="391"/>
      <c r="E501" s="83"/>
      <c r="F501" s="77"/>
      <c r="G501" s="75">
        <v>216202650</v>
      </c>
      <c r="H501" s="75">
        <f>H502+H548</f>
        <v>7035974.0700000003</v>
      </c>
      <c r="I501" s="42">
        <f t="shared" si="136"/>
        <v>223238624.06999999</v>
      </c>
      <c r="J501" s="75">
        <f>J502+J548</f>
        <v>223116721</v>
      </c>
    </row>
    <row r="502" spans="1:10" s="19" customFormat="1" ht="52.5" customHeight="1">
      <c r="A502" s="41" t="str">
        <f>IF(B502&gt;0,VLOOKUP(B502,КВСР!A397:B1562,2),IF(C502&gt;0,VLOOKUP(C502,КФСР!A397:B1909,2),IF(D502&gt;0,VLOOKUP(D502,Программа!A$1:B$5063,2),IF(F502&gt;0,VLOOKUP(F502,КВР!A$1:B$5001,2),IF(E502&gt;0,VLOOKUP(E502,Направление!A$1:B$4755,2))))))</f>
        <v>Муниципальная программа "Социальная поддержка населения Тутаевского муниципального района"</v>
      </c>
      <c r="B502" s="83"/>
      <c r="C502" s="76"/>
      <c r="D502" s="391" t="s">
        <v>2765</v>
      </c>
      <c r="E502" s="83"/>
      <c r="F502" s="77"/>
      <c r="G502" s="75">
        <v>215869150</v>
      </c>
      <c r="H502" s="75">
        <f>H503</f>
        <v>6928624.0700000003</v>
      </c>
      <c r="I502" s="42">
        <f t="shared" si="136"/>
        <v>222797774.06999999</v>
      </c>
      <c r="J502" s="75">
        <f>J503</f>
        <v>222675871</v>
      </c>
    </row>
    <row r="503" spans="1:10" s="19" customFormat="1" ht="65.45" customHeight="1">
      <c r="A503" s="41" t="str">
        <f>IF(B503&gt;0,VLOOKUP(B503,КВСР!A398:B1563,2),IF(C503&gt;0,VLOOKUP(C503,КФСР!A398:B1910,2),IF(D503&gt;0,VLOOKUP(D503,Программа!A$1:B$5063,2),IF(F503&gt;0,VLOOKUP(F503,КВР!A$1:B$5001,2),IF(E503&gt;0,VLOOKUP(E503,Направление!A$1:B$4755,2))))))</f>
        <v xml:space="preserve">Ведомственная целевая программа «Социальная поддержка населения Тутаевского муниципального района» </v>
      </c>
      <c r="B503" s="83"/>
      <c r="C503" s="76"/>
      <c r="D503" s="391" t="s">
        <v>2767</v>
      </c>
      <c r="E503" s="83"/>
      <c r="F503" s="77"/>
      <c r="G503" s="75">
        <v>215869150</v>
      </c>
      <c r="H503" s="75">
        <f>H504+H541</f>
        <v>6928624.0700000003</v>
      </c>
      <c r="I503" s="42">
        <f t="shared" si="136"/>
        <v>222797774.06999999</v>
      </c>
      <c r="J503" s="75">
        <f>J504+J541</f>
        <v>222675871</v>
      </c>
    </row>
    <row r="504" spans="1:10" s="19" customFormat="1" ht="57" customHeight="1">
      <c r="A504" s="41" t="str">
        <f>IF(B504&gt;0,VLOOKUP(B504,КВСР!A399:B1564,2),IF(C504&gt;0,VLOOKUP(C504,КФСР!A399:B1911,2),IF(D504&gt;0,VLOOKUP(D504,Программа!A$1:B$5063,2),IF(F504&gt;0,VLOOKUP(F504,КВР!A$1:B$5001,2),IF(E504&gt;0,VLOOKUP(E504,Направление!A$1:B$4755,2))))))</f>
        <v>Исполнение публичных обязательств по предоставлению выплат, пособий и компенсаций</v>
      </c>
      <c r="B504" s="83"/>
      <c r="C504" s="76"/>
      <c r="D504" s="391" t="s">
        <v>2818</v>
      </c>
      <c r="E504" s="83"/>
      <c r="F504" s="77"/>
      <c r="G504" s="75">
        <v>215265950</v>
      </c>
      <c r="H504" s="75">
        <f>H505+H508+H511+H513+H516+H518+H523+H526+H529+H532+H535+H538+H520</f>
        <v>6928960</v>
      </c>
      <c r="I504" s="42">
        <f t="shared" si="136"/>
        <v>222194910</v>
      </c>
      <c r="J504" s="75">
        <f>J505+J508+J511+J513+J516+J518+J523+J526+J529+J532+J535+J538+J520</f>
        <v>222073007</v>
      </c>
    </row>
    <row r="505" spans="1:10" s="19" customFormat="1" ht="47.25">
      <c r="A505" s="41" t="str">
        <f>IF(B505&gt;0,VLOOKUP(B505,КВСР!A400:B1565,2),IF(C505&gt;0,VLOOKUP(C505,КФСР!A400:B1912,2),IF(D505&gt;0,VLOOKUP(D505,Программа!A$1:B$5063,2),IF(F505&gt;0,VLOOKUP(F505,КВР!A$1:B$5001,2),IF(E505&gt;0,VLOOKUP(E505,Направление!A$1:B$4755,2))))))</f>
        <v>Субвенция на социальную поддержку граждан, подвергшихся воздействию радиации</v>
      </c>
      <c r="B505" s="83"/>
      <c r="C505" s="76"/>
      <c r="D505" s="391"/>
      <c r="E505" s="83">
        <v>51370</v>
      </c>
      <c r="F505" s="77"/>
      <c r="G505" s="75">
        <v>1580000</v>
      </c>
      <c r="H505" s="75">
        <f t="shared" ref="H505:J505" si="166">H506+H507</f>
        <v>-202292</v>
      </c>
      <c r="I505" s="42">
        <f t="shared" si="136"/>
        <v>1377708</v>
      </c>
      <c r="J505" s="75">
        <f t="shared" si="166"/>
        <v>1377707</v>
      </c>
    </row>
    <row r="506" spans="1:10" s="19" customFormat="1" ht="31.5">
      <c r="A506" s="41" t="str">
        <f>IF(B506&gt;0,VLOOKUP(B506,КВСР!A401:B1566,2),IF(C506&gt;0,VLOOKUP(C506,КФСР!A401:B1913,2),IF(D506&gt;0,VLOOKUP(D506,Программа!A$1:B$5063,2),IF(F506&gt;0,VLOOKUP(F506,КВР!A$1:B$5001,2),IF(E506&gt;0,VLOOKUP(E506,Направление!A$1:B$4755,2))))))</f>
        <v>Закупка товаров, работ и услуг для государственных нужд</v>
      </c>
      <c r="B506" s="83"/>
      <c r="C506" s="76"/>
      <c r="D506" s="77"/>
      <c r="E506" s="607"/>
      <c r="F506" s="77">
        <v>200</v>
      </c>
      <c r="G506" s="346">
        <v>25000</v>
      </c>
      <c r="H506" s="338">
        <v>-4631.28</v>
      </c>
      <c r="I506" s="42">
        <f t="shared" si="136"/>
        <v>20368.72</v>
      </c>
      <c r="J506" s="338">
        <v>20368</v>
      </c>
    </row>
    <row r="507" spans="1:10" s="19" customFormat="1" ht="31.5">
      <c r="A507" s="41" t="str">
        <f>IF(B507&gt;0,VLOOKUP(B507,КВСР!A402:B1567,2),IF(C507&gt;0,VLOOKUP(C507,КФСР!A402:B1914,2),IF(D507&gt;0,VLOOKUP(D507,Программа!A$1:B$5063,2),IF(F507&gt;0,VLOOKUP(F507,КВР!A$1:B$5001,2),IF(E507&gt;0,VLOOKUP(E507,Направление!A$1:B$4755,2))))))</f>
        <v>Социальное обеспечение и иные выплаты населению</v>
      </c>
      <c r="B507" s="83"/>
      <c r="C507" s="76"/>
      <c r="D507" s="77"/>
      <c r="E507" s="607"/>
      <c r="F507" s="77">
        <v>300</v>
      </c>
      <c r="G507" s="346">
        <v>1555000</v>
      </c>
      <c r="H507" s="338">
        <v>-197660.72</v>
      </c>
      <c r="I507" s="42">
        <f t="shared" si="136"/>
        <v>1357339.28</v>
      </c>
      <c r="J507" s="338">
        <v>1357339</v>
      </c>
    </row>
    <row r="508" spans="1:10" s="19" customFormat="1" ht="121.5" customHeight="1">
      <c r="A508" s="41" t="str">
        <f>IF(B508&gt;0,VLOOKUP(B508,КВСР!A403:B1568,2),IF(C508&gt;0,VLOOKUP(C508,КФСР!A403:B1915,2),IF(D508&gt;0,VLOOKUP(D508,Программа!A$1:B$5063,2),IF(F508&gt;0,VLOOKUP(F508,КВР!A$1:B$5001,2),IF(E508&gt;0,VLOOKUP(E508,Направление!A$1:B$4755,2))))))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508" s="83"/>
      <c r="C508" s="76"/>
      <c r="D508" s="391"/>
      <c r="E508" s="83">
        <v>52200</v>
      </c>
      <c r="F508" s="77"/>
      <c r="G508" s="75">
        <v>5234796</v>
      </c>
      <c r="H508" s="75">
        <f t="shared" ref="H508:J508" si="167">H509+H510</f>
        <v>50401</v>
      </c>
      <c r="I508" s="42">
        <f t="shared" si="136"/>
        <v>5285197</v>
      </c>
      <c r="J508" s="75">
        <f t="shared" si="167"/>
        <v>5285195</v>
      </c>
    </row>
    <row r="509" spans="1:10" s="19" customFormat="1" ht="31.5">
      <c r="A509" s="41" t="str">
        <f>IF(B509&gt;0,VLOOKUP(B509,КВСР!A404:B1569,2),IF(C509&gt;0,VLOOKUP(C509,КФСР!A404:B1916,2),IF(D509&gt;0,VLOOKUP(D509,Программа!A$1:B$5063,2),IF(F509&gt;0,VLOOKUP(F509,КВР!A$1:B$5001,2),IF(E509&gt;0,VLOOKUP(E509,Направление!A$1:B$4755,2))))))</f>
        <v>Закупка товаров, работ и услуг для государственных нужд</v>
      </c>
      <c r="B509" s="83"/>
      <c r="C509" s="76"/>
      <c r="D509" s="77"/>
      <c r="E509" s="607"/>
      <c r="F509" s="77">
        <v>200</v>
      </c>
      <c r="G509" s="346">
        <v>77361.819999999992</v>
      </c>
      <c r="H509" s="338">
        <v>910</v>
      </c>
      <c r="I509" s="42">
        <f t="shared" si="136"/>
        <v>78271.819999999992</v>
      </c>
      <c r="J509" s="338">
        <v>78270</v>
      </c>
    </row>
    <row r="510" spans="1:10" s="19" customFormat="1" ht="31.5">
      <c r="A510" s="41" t="str">
        <f>IF(B510&gt;0,VLOOKUP(B510,КВСР!A405:B1570,2),IF(C510&gt;0,VLOOKUP(C510,КФСР!A405:B1917,2),IF(D510&gt;0,VLOOKUP(D510,Программа!A$1:B$5063,2),IF(F510&gt;0,VLOOKUP(F510,КВР!A$1:B$5001,2),IF(E510&gt;0,VLOOKUP(E510,Направление!A$1:B$4755,2))))))</f>
        <v>Социальное обеспечение и иные выплаты населению</v>
      </c>
      <c r="B510" s="83"/>
      <c r="C510" s="76"/>
      <c r="D510" s="77"/>
      <c r="E510" s="607"/>
      <c r="F510" s="77">
        <v>300</v>
      </c>
      <c r="G510" s="346">
        <v>5157434.18</v>
      </c>
      <c r="H510" s="338">
        <v>49491</v>
      </c>
      <c r="I510" s="42">
        <f t="shared" si="136"/>
        <v>5206925.18</v>
      </c>
      <c r="J510" s="338">
        <v>5206925</v>
      </c>
    </row>
    <row r="511" spans="1:10" s="19" customFormat="1" ht="94.5" hidden="1">
      <c r="A511" s="41" t="str">
        <f>IF(B511&gt;0,VLOOKUP(B511,КВСР!A406:B1571,2),IF(C511&gt;0,VLOOKUP(C511,КФСР!A406:B1918,2),IF(D511&gt;0,VLOOKUP(D511,Программа!A$1:B$5063,2),IF(F511&gt;0,VLOOKUP(F511,КВР!A$1:B$5001,2),IF(E511&gt;0,VLOOKUP(E511,Направление!A$1:B$4755,2))))))</f>
        <v>Выплата государственных единовременных пособий и ежемесячных денежных компенсаций гражданам при возникновении поствакцинальных осложнений</v>
      </c>
      <c r="B511" s="83"/>
      <c r="C511" s="76"/>
      <c r="D511" s="391"/>
      <c r="E511" s="83">
        <v>52400</v>
      </c>
      <c r="F511" s="77"/>
      <c r="G511" s="75">
        <v>0</v>
      </c>
      <c r="H511" s="75">
        <f t="shared" ref="H511:J511" si="168">H512</f>
        <v>0</v>
      </c>
      <c r="I511" s="42">
        <f t="shared" si="136"/>
        <v>0</v>
      </c>
      <c r="J511" s="75">
        <f t="shared" si="168"/>
        <v>0</v>
      </c>
    </row>
    <row r="512" spans="1:10" s="19" customFormat="1" ht="31.5" hidden="1">
      <c r="A512" s="41" t="str">
        <f>IF(B512&gt;0,VLOOKUP(B512,КВСР!A407:B1572,2),IF(C512&gt;0,VLOOKUP(C512,КФСР!A407:B1919,2),IF(D512&gt;0,VLOOKUP(D512,Программа!A$1:B$5063,2),IF(F512&gt;0,VLOOKUP(F512,КВР!A$1:B$5001,2),IF(E512&gt;0,VLOOKUP(E512,Направление!A$1:B$4755,2))))))</f>
        <v>Социальное обеспечение и иные выплаты населению</v>
      </c>
      <c r="B512" s="83"/>
      <c r="C512" s="76"/>
      <c r="D512" s="77"/>
      <c r="E512" s="607"/>
      <c r="F512" s="77">
        <v>300</v>
      </c>
      <c r="G512" s="346">
        <v>0</v>
      </c>
      <c r="H512" s="338"/>
      <c r="I512" s="42">
        <f t="shared" si="136"/>
        <v>0</v>
      </c>
      <c r="J512" s="338"/>
    </row>
    <row r="513" spans="1:10" s="19" customFormat="1" ht="51" customHeight="1">
      <c r="A513" s="41" t="str">
        <f>IF(B513&gt;0,VLOOKUP(B513,КВСР!A408:B1573,2),IF(C513&gt;0,VLOOKUP(C513,КФСР!A408:B1920,2),IF(D513&gt;0,VLOOKUP(D513,Программа!A$1:B$5063,2),IF(F513&gt;0,VLOOKUP(F513,КВР!A$1:B$5001,2),IF(E513&gt;0,VLOOKUP(E513,Направление!A$1:B$4755,2))))))</f>
        <v>Оплата жилищно-коммунальных услуг отдельным категориям граждан за счет средств федерального бюджета</v>
      </c>
      <c r="B513" s="83"/>
      <c r="C513" s="76"/>
      <c r="D513" s="391"/>
      <c r="E513" s="83">
        <v>52500</v>
      </c>
      <c r="F513" s="77"/>
      <c r="G513" s="75">
        <v>35994000</v>
      </c>
      <c r="H513" s="75">
        <f t="shared" ref="H513:J513" si="169">H515+H514</f>
        <v>-5528000</v>
      </c>
      <c r="I513" s="42">
        <f t="shared" si="136"/>
        <v>30466000</v>
      </c>
      <c r="J513" s="75">
        <f t="shared" si="169"/>
        <v>30466000</v>
      </c>
    </row>
    <row r="514" spans="1:10" s="19" customFormat="1" ht="36.75" customHeight="1">
      <c r="A514" s="41" t="str">
        <f>IF(B514&gt;0,VLOOKUP(B514,КВСР!A409:B1574,2),IF(C514&gt;0,VLOOKUP(C514,КФСР!A409:B1921,2),IF(D514&gt;0,VLOOKUP(D514,Программа!A$1:B$5063,2),IF(F514&gt;0,VLOOKUP(F514,КВР!A$1:B$5001,2),IF(E514&gt;0,VLOOKUP(E514,Направление!A$1:B$4755,2))))))</f>
        <v>Закупка товаров, работ и услуг для государственных нужд</v>
      </c>
      <c r="B514" s="83"/>
      <c r="C514" s="76"/>
      <c r="D514" s="77"/>
      <c r="E514" s="607"/>
      <c r="F514" s="77">
        <v>200</v>
      </c>
      <c r="G514" s="346">
        <v>530000</v>
      </c>
      <c r="H514" s="338">
        <v>-80444.94</v>
      </c>
      <c r="I514" s="42">
        <f t="shared" si="136"/>
        <v>449555.06</v>
      </c>
      <c r="J514" s="338">
        <v>449555</v>
      </c>
    </row>
    <row r="515" spans="1:10" s="19" customFormat="1" ht="31.5">
      <c r="A515" s="41" t="str">
        <f>IF(B515&gt;0,VLOOKUP(B515,КВСР!A410:B1575,2),IF(C515&gt;0,VLOOKUP(C515,КФСР!A410:B1922,2),IF(D515&gt;0,VLOOKUP(D515,Программа!A$1:B$5063,2),IF(F515&gt;0,VLOOKUP(F515,КВР!A$1:B$5001,2),IF(E515&gt;0,VLOOKUP(E515,Направление!A$1:B$4755,2))))))</f>
        <v>Социальное обеспечение и иные выплаты населению</v>
      </c>
      <c r="B515" s="83"/>
      <c r="C515" s="76"/>
      <c r="D515" s="77"/>
      <c r="E515" s="607"/>
      <c r="F515" s="77">
        <v>300</v>
      </c>
      <c r="G515" s="341">
        <v>35464000</v>
      </c>
      <c r="H515" s="337">
        <v>-5447555.0599999996</v>
      </c>
      <c r="I515" s="42">
        <f>SUM(G515:H515)</f>
        <v>30016444.940000001</v>
      </c>
      <c r="J515" s="337">
        <v>30016445</v>
      </c>
    </row>
    <row r="516" spans="1:10" s="19" customFormat="1" ht="126" hidden="1">
      <c r="A516" s="41" t="str">
        <f>IF(B516&gt;0,VLOOKUP(B516,КВСР!A411:B1576,2),IF(C516&gt;0,VLOOKUP(C516,КФСР!A411:B1923,2),IF(D516&gt;0,VLOOKUP(D516,Программа!A$1:B$5063,2),IF(F516&gt;0,VLOOKUP(F516,КВР!A$1:B$5001,2),IF(E516&gt;0,VLOOKUP(E516,Направление!A$1:B$4755,2))))))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516" s="83"/>
      <c r="C516" s="76"/>
      <c r="D516" s="391"/>
      <c r="E516" s="83">
        <v>53810</v>
      </c>
      <c r="F516" s="77"/>
      <c r="G516" s="42">
        <v>0</v>
      </c>
      <c r="H516" s="42">
        <f t="shared" ref="H516:J516" si="170">H517</f>
        <v>0</v>
      </c>
      <c r="I516" s="42">
        <f t="shared" ref="I516:I520" si="171">SUM(G516:H516)</f>
        <v>0</v>
      </c>
      <c r="J516" s="42">
        <f t="shared" si="170"/>
        <v>0</v>
      </c>
    </row>
    <row r="517" spans="1:10" s="19" customFormat="1" ht="31.5" hidden="1">
      <c r="A517" s="41" t="str">
        <f>IF(B517&gt;0,VLOOKUP(B517,КВСР!A412:B1577,2),IF(C517&gt;0,VLOOKUP(C517,КФСР!A412:B1924,2),IF(D517&gt;0,VLOOKUP(D517,Программа!A$1:B$5063,2),IF(F517&gt;0,VLOOKUP(F517,КВР!A$1:B$5001,2),IF(E517&gt;0,VLOOKUP(E517,Направление!A$1:B$4755,2))))))</f>
        <v>Социальное обеспечение и иные выплаты населению</v>
      </c>
      <c r="B517" s="83"/>
      <c r="C517" s="76"/>
      <c r="D517" s="77"/>
      <c r="E517" s="607"/>
      <c r="F517" s="77">
        <v>300</v>
      </c>
      <c r="G517" s="341">
        <v>0</v>
      </c>
      <c r="H517" s="337"/>
      <c r="I517" s="42">
        <f t="shared" si="171"/>
        <v>0</v>
      </c>
      <c r="J517" s="337"/>
    </row>
    <row r="518" spans="1:10" s="19" customFormat="1" ht="110.25" hidden="1">
      <c r="A518" s="41" t="str">
        <f>IF(B518&gt;0,VLOOKUP(B518,КВСР!A413:B1578,2),IF(C518&gt;0,VLOOKUP(C518,КФСР!A413:B1925,2),IF(D518&gt;0,VLOOKUP(D518,Программа!A$1:B$5063,2),IF(F518&gt;0,VLOOKUP(F518,КВР!A$1:B$5001,2),IF(E518&gt;0,VLOOKUP(E518,Направление!A$1:B$4755,2))))))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518" s="83"/>
      <c r="C518" s="76"/>
      <c r="D518" s="391"/>
      <c r="E518" s="83">
        <v>53850</v>
      </c>
      <c r="F518" s="77"/>
      <c r="G518" s="42">
        <v>0</v>
      </c>
      <c r="H518" s="42">
        <f t="shared" ref="H518:J518" si="172">H519</f>
        <v>0</v>
      </c>
      <c r="I518" s="42">
        <f t="shared" si="171"/>
        <v>0</v>
      </c>
      <c r="J518" s="42">
        <f t="shared" si="172"/>
        <v>0</v>
      </c>
    </row>
    <row r="519" spans="1:10" s="19" customFormat="1" ht="31.5" hidden="1">
      <c r="A519" s="41" t="str">
        <f>IF(B519&gt;0,VLOOKUP(B519,КВСР!A414:B1579,2),IF(C519&gt;0,VLOOKUP(C519,КФСР!A414:B1926,2),IF(D519&gt;0,VLOOKUP(D519,Программа!A$1:B$5063,2),IF(F519&gt;0,VLOOKUP(F519,КВР!A$1:B$5001,2),IF(E519&gt;0,VLOOKUP(E519,Направление!A$1:B$4755,2))))))</f>
        <v>Социальное обеспечение и иные выплаты населению</v>
      </c>
      <c r="B519" s="83"/>
      <c r="C519" s="76"/>
      <c r="D519" s="77"/>
      <c r="E519" s="607"/>
      <c r="F519" s="77">
        <v>300</v>
      </c>
      <c r="G519" s="341">
        <v>0</v>
      </c>
      <c r="H519" s="337"/>
      <c r="I519" s="42">
        <f t="shared" si="171"/>
        <v>0</v>
      </c>
      <c r="J519" s="337"/>
    </row>
    <row r="520" spans="1:10" s="19" customFormat="1" ht="85.15" customHeight="1">
      <c r="A520" s="41" t="str">
        <f>IF(B520&gt;0,VLOOKUP(B520,КВСР!A412:B1577,2),IF(C520&gt;0,VLOOKUP(C520,КФСР!A412:B1924,2),IF(D520&gt;0,VLOOKUP(D520,Программа!A$1:B$5063,2),IF(F520&gt;0,VLOOKUP(F520,КВР!A$1:B$5001,2),IF(E520&gt;0,VLOOKUP(E520,Направление!A$1:B$4755,2))))))</f>
        <v>Субвенция на компенсацию отдельным категориям граждан оплаты взноса на капитальный ремонт общего имущества в многоквартирном доме</v>
      </c>
      <c r="B520" s="83"/>
      <c r="C520" s="76"/>
      <c r="D520" s="77"/>
      <c r="E520" s="672">
        <v>54620</v>
      </c>
      <c r="F520" s="77"/>
      <c r="G520" s="341">
        <v>643000</v>
      </c>
      <c r="H520" s="341">
        <f>SUM(H521:H522)</f>
        <v>0</v>
      </c>
      <c r="I520" s="42">
        <f t="shared" si="171"/>
        <v>643000</v>
      </c>
      <c r="J520" s="341">
        <f>SUM(J521:J522)</f>
        <v>642973</v>
      </c>
    </row>
    <row r="521" spans="1:10" s="19" customFormat="1" ht="31.5" hidden="1">
      <c r="A521" s="41" t="str">
        <f>IF(B521&gt;0,VLOOKUP(B521,КВСР!A413:B1578,2),IF(C521&gt;0,VLOOKUP(C521,КФСР!A413:B1925,2),IF(D521&gt;0,VLOOKUP(D521,Программа!A$1:B$5063,2),IF(F521&gt;0,VLOOKUP(F521,КВР!A$1:B$5001,2),IF(E521&gt;0,VLOOKUP(E521,Направление!A$1:B$4755,2))))))</f>
        <v>Закупка товаров, работ и услуг для государственных нужд</v>
      </c>
      <c r="B521" s="83"/>
      <c r="C521" s="76"/>
      <c r="D521" s="77"/>
      <c r="E521" s="607"/>
      <c r="F521" s="77">
        <v>200</v>
      </c>
      <c r="G521" s="341">
        <v>0</v>
      </c>
      <c r="H521" s="337"/>
      <c r="I521" s="42">
        <v>0</v>
      </c>
      <c r="J521" s="337"/>
    </row>
    <row r="522" spans="1:10" s="19" customFormat="1" ht="40.5" customHeight="1">
      <c r="A522" s="41" t="str">
        <f>IF(B522&gt;0,VLOOKUP(B522,КВСР!A414:B1579,2),IF(C522&gt;0,VLOOKUP(C522,КФСР!A414:B1926,2),IF(D522&gt;0,VLOOKUP(D522,Программа!A$1:B$5063,2),IF(F522&gt;0,VLOOKUP(F522,КВР!A$1:B$5001,2),IF(E522&gt;0,VLOOKUP(E522,Направление!A$1:B$4755,2))))))</f>
        <v>Социальное обеспечение и иные выплаты населению</v>
      </c>
      <c r="B522" s="83"/>
      <c r="C522" s="76"/>
      <c r="D522" s="77"/>
      <c r="E522" s="607"/>
      <c r="F522" s="77">
        <v>300</v>
      </c>
      <c r="G522" s="341">
        <v>643000</v>
      </c>
      <c r="H522" s="337"/>
      <c r="I522" s="42">
        <v>643000</v>
      </c>
      <c r="J522" s="337">
        <v>642973</v>
      </c>
    </row>
    <row r="523" spans="1:10" s="19" customFormat="1" ht="63">
      <c r="A523" s="41" t="str">
        <f>IF(B523&gt;0,VLOOKUP(B523,КВСР!A415:B1580,2),IF(C523&gt;0,VLOOKUP(C523,КФСР!A415:B1927,2),IF(D523&gt;0,VLOOKUP(D523,Программа!A$1:B$5063,2),IF(F523&gt;0,VLOOKUP(F523,КВР!A$1:B$5001,2),IF(E523&gt;0,VLOOKUP(E523,Направление!A$1:B$4755,2))))))</f>
        <v>Предоставление гражданам субсидий на оплату жилого помещения и коммунальных услуг за счет средств областного бюджета</v>
      </c>
      <c r="B523" s="83"/>
      <c r="C523" s="76"/>
      <c r="D523" s="391"/>
      <c r="E523" s="83">
        <v>70740</v>
      </c>
      <c r="F523" s="77"/>
      <c r="G523" s="42">
        <v>18160000</v>
      </c>
      <c r="H523" s="42">
        <f t="shared" ref="H523:J523" si="173">SUM(H524:H525)</f>
        <v>3050000</v>
      </c>
      <c r="I523" s="42">
        <f t="shared" ref="I523:I602" si="174">SUM(G523:H523)</f>
        <v>21210000</v>
      </c>
      <c r="J523" s="42">
        <f t="shared" si="173"/>
        <v>21208872</v>
      </c>
    </row>
    <row r="524" spans="1:10" s="19" customFormat="1" ht="39" customHeight="1">
      <c r="A524" s="41" t="str">
        <f>IF(B524&gt;0,VLOOKUP(B524,КВСР!A416:B1581,2),IF(C524&gt;0,VLOOKUP(C524,КФСР!A416:B1928,2),IF(D524&gt;0,VLOOKUP(D524,Программа!A$1:B$5063,2),IF(F524&gt;0,VLOOKUP(F524,КВР!A$1:B$5001,2),IF(E524&gt;0,VLOOKUP(E524,Направление!A$1:B$4755,2))))))</f>
        <v>Закупка товаров, работ и услуг для государственных нужд</v>
      </c>
      <c r="B524" s="83"/>
      <c r="C524" s="76"/>
      <c r="D524" s="77"/>
      <c r="E524" s="607"/>
      <c r="F524" s="77">
        <v>200</v>
      </c>
      <c r="G524" s="341">
        <v>268800</v>
      </c>
      <c r="H524" s="337">
        <v>45216.06</v>
      </c>
      <c r="I524" s="42">
        <f t="shared" si="174"/>
        <v>314016.06</v>
      </c>
      <c r="J524" s="337">
        <v>313988</v>
      </c>
    </row>
    <row r="525" spans="1:10" s="19" customFormat="1" ht="31.5">
      <c r="A525" s="41" t="str">
        <f>IF(B525&gt;0,VLOOKUP(B525,КВСР!A417:B1582,2),IF(C525&gt;0,VLOOKUP(C525,КФСР!A417:B1929,2),IF(D525&gt;0,VLOOKUP(D525,Программа!A$1:B$5063,2),IF(F525&gt;0,VLOOKUP(F525,КВР!A$1:B$5001,2),IF(E525&gt;0,VLOOKUP(E525,Направление!A$1:B$4755,2))))))</f>
        <v>Социальное обеспечение и иные выплаты населению</v>
      </c>
      <c r="B525" s="83"/>
      <c r="C525" s="76"/>
      <c r="D525" s="77"/>
      <c r="E525" s="607"/>
      <c r="F525" s="77">
        <v>300</v>
      </c>
      <c r="G525" s="341">
        <v>17891200</v>
      </c>
      <c r="H525" s="337">
        <v>3004783.94</v>
      </c>
      <c r="I525" s="42">
        <f t="shared" si="174"/>
        <v>20895983.940000001</v>
      </c>
      <c r="J525" s="337">
        <v>20894884</v>
      </c>
    </row>
    <row r="526" spans="1:10" s="19" customFormat="1" ht="81.75" customHeight="1">
      <c r="A526" s="41" t="str">
        <f>IF(B526&gt;0,VLOOKUP(B526,КВСР!A418:B1583,2),IF(C526&gt;0,VLOOKUP(C526,КФСР!A418:B1930,2),IF(D526&gt;0,VLOOKUP(D526,Программа!A$1:B$5063,2),IF(F526&gt;0,VLOOKUP(F526,КВР!A$1:B$5001,2),IF(E526&gt;0,VLOOKUP(E526,Направление!A$1:B$4755,2))))))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526" s="83"/>
      <c r="C526" s="76"/>
      <c r="D526" s="391"/>
      <c r="E526" s="83">
        <v>70750</v>
      </c>
      <c r="F526" s="77"/>
      <c r="G526" s="42">
        <v>37860000</v>
      </c>
      <c r="H526" s="42">
        <f t="shared" ref="H526:J526" si="175">H527+H528</f>
        <v>3336000</v>
      </c>
      <c r="I526" s="42">
        <f t="shared" si="174"/>
        <v>41196000</v>
      </c>
      <c r="J526" s="42">
        <f t="shared" si="175"/>
        <v>41196000</v>
      </c>
    </row>
    <row r="527" spans="1:10" s="19" customFormat="1" ht="31.5">
      <c r="A527" s="41" t="str">
        <f>IF(B527&gt;0,VLOOKUP(B527,КВСР!A419:B1584,2),IF(C527&gt;0,VLOOKUP(C527,КФСР!A419:B1931,2),IF(D527&gt;0,VLOOKUP(D527,Программа!A$1:B$5063,2),IF(F527&gt;0,VLOOKUP(F527,КВР!A$1:B$5001,2),IF(E527&gt;0,VLOOKUP(E527,Направление!A$1:B$4755,2))))))</f>
        <v>Закупка товаров, работ и услуг для государственных нужд</v>
      </c>
      <c r="B527" s="83"/>
      <c r="C527" s="76"/>
      <c r="D527" s="77"/>
      <c r="E527" s="607"/>
      <c r="F527" s="77">
        <v>200</v>
      </c>
      <c r="G527" s="341">
        <v>598200</v>
      </c>
      <c r="H527" s="345">
        <v>57665.16</v>
      </c>
      <c r="I527" s="42">
        <f t="shared" si="174"/>
        <v>655865.16</v>
      </c>
      <c r="J527" s="345">
        <v>655865</v>
      </c>
    </row>
    <row r="528" spans="1:10" s="19" customFormat="1" ht="31.5">
      <c r="A528" s="41" t="str">
        <f>IF(B528&gt;0,VLOOKUP(B528,КВСР!A420:B1585,2),IF(C528&gt;0,VLOOKUP(C528,КФСР!A420:B1932,2),IF(D528&gt;0,VLOOKUP(D528,Программа!A$1:B$5063,2),IF(F528&gt;0,VLOOKUP(F528,КВР!A$1:B$5001,2),IF(E528&gt;0,VLOOKUP(E528,Направление!A$1:B$4755,2))))))</f>
        <v>Социальное обеспечение и иные выплаты населению</v>
      </c>
      <c r="B528" s="83"/>
      <c r="C528" s="76"/>
      <c r="D528" s="77"/>
      <c r="E528" s="607"/>
      <c r="F528" s="77">
        <v>300</v>
      </c>
      <c r="G528" s="341">
        <v>37261800</v>
      </c>
      <c r="H528" s="337">
        <v>3278334.84</v>
      </c>
      <c r="I528" s="42">
        <f t="shared" si="174"/>
        <v>40540134.840000004</v>
      </c>
      <c r="J528" s="337">
        <v>40540135</v>
      </c>
    </row>
    <row r="529" spans="1:10" s="19" customFormat="1" ht="110.25">
      <c r="A529" s="41" t="str">
        <f>IF(B529&gt;0,VLOOKUP(B529,КВСР!A421:B1586,2),IF(C529&gt;0,VLOOKUP(C529,КФСР!A421:B1933,2),IF(D529&gt;0,VLOOKUP(D529,Программа!A$1:B$5063,2),IF(F529&gt;0,VLOOKUP(F529,КВР!A$1:B$5001,2),IF(E529&gt;0,VLOOKUP(E529,Направление!A$1:B$4755,2))))))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529" s="83"/>
      <c r="C529" s="76"/>
      <c r="D529" s="391"/>
      <c r="E529" s="83">
        <v>70840</v>
      </c>
      <c r="F529" s="77"/>
      <c r="G529" s="75">
        <v>57757000</v>
      </c>
      <c r="H529" s="75">
        <f t="shared" ref="H529:J529" si="176">H531+H530</f>
        <v>5114000</v>
      </c>
      <c r="I529" s="42">
        <f t="shared" si="174"/>
        <v>62871000</v>
      </c>
      <c r="J529" s="75">
        <f t="shared" si="176"/>
        <v>62750697</v>
      </c>
    </row>
    <row r="530" spans="1:10" s="19" customFormat="1" ht="31.5">
      <c r="A530" s="41" t="str">
        <f>IF(B530&gt;0,VLOOKUP(B530,КВСР!A422:B1587,2),IF(C530&gt;0,VLOOKUP(C530,КФСР!A422:B1934,2),IF(D530&gt;0,VLOOKUP(D530,Программа!A$1:B$5063,2),IF(F530&gt;0,VLOOKUP(F530,КВР!A$1:B$5001,2),IF(E530&gt;0,VLOOKUP(E530,Направление!A$1:B$4755,2))))))</f>
        <v>Закупка товаров, работ и услуг для государственных нужд</v>
      </c>
      <c r="B530" s="83"/>
      <c r="C530" s="76"/>
      <c r="D530" s="77"/>
      <c r="E530" s="607"/>
      <c r="F530" s="77">
        <v>200</v>
      </c>
      <c r="G530" s="346">
        <v>925000</v>
      </c>
      <c r="H530" s="338">
        <v>101000</v>
      </c>
      <c r="I530" s="42">
        <f t="shared" si="174"/>
        <v>1026000</v>
      </c>
      <c r="J530" s="338">
        <v>1021731</v>
      </c>
    </row>
    <row r="531" spans="1:10" s="19" customFormat="1" ht="31.5">
      <c r="A531" s="41" t="str">
        <f>IF(B531&gt;0,VLOOKUP(B531,КВСР!A423:B1588,2),IF(C531&gt;0,VLOOKUP(C531,КФСР!A423:B1935,2),IF(D531&gt;0,VLOOKUP(D531,Программа!A$1:B$5063,2),IF(F531&gt;0,VLOOKUP(F531,КВР!A$1:B$5001,2),IF(E531&gt;0,VLOOKUP(E531,Направление!A$1:B$4755,2))))))</f>
        <v>Социальное обеспечение и иные выплаты населению</v>
      </c>
      <c r="B531" s="83"/>
      <c r="C531" s="76"/>
      <c r="D531" s="77"/>
      <c r="E531" s="607"/>
      <c r="F531" s="77">
        <v>300</v>
      </c>
      <c r="G531" s="346">
        <v>56832000</v>
      </c>
      <c r="H531" s="338">
        <v>5013000</v>
      </c>
      <c r="I531" s="42">
        <f t="shared" si="174"/>
        <v>61845000</v>
      </c>
      <c r="J531" s="338">
        <v>61728966</v>
      </c>
    </row>
    <row r="532" spans="1:10" s="19" customFormat="1" ht="31.5">
      <c r="A532" s="41" t="str">
        <f>IF(B532&gt;0,VLOOKUP(B532,КВСР!A424:B1589,2),IF(C532&gt;0,VLOOKUP(C532,КФСР!A424:B1936,2),IF(D532&gt;0,VLOOKUP(D532,Программа!A$1:B$5063,2),IF(F532&gt;0,VLOOKUP(F532,КВР!A$1:B$5001,2),IF(E532&gt;0,VLOOKUP(E532,Направление!A$1:B$4755,2))))))</f>
        <v>Денежные выплаты за счет средств областного бюджета</v>
      </c>
      <c r="B532" s="83"/>
      <c r="C532" s="76"/>
      <c r="D532" s="391"/>
      <c r="E532" s="83">
        <v>70860</v>
      </c>
      <c r="F532" s="77"/>
      <c r="G532" s="75">
        <v>18576000</v>
      </c>
      <c r="H532" s="75">
        <f t="shared" ref="H532:J532" si="177">H533+H534</f>
        <v>622000</v>
      </c>
      <c r="I532" s="42">
        <f t="shared" si="174"/>
        <v>19198000</v>
      </c>
      <c r="J532" s="75">
        <f t="shared" si="177"/>
        <v>19197946</v>
      </c>
    </row>
    <row r="533" spans="1:10" s="19" customFormat="1" ht="31.5">
      <c r="A533" s="41" t="str">
        <f>IF(B533&gt;0,VLOOKUP(B533,КВСР!A425:B1590,2),IF(C533&gt;0,VLOOKUP(C533,КФСР!A425:B1937,2),IF(D533&gt;0,VLOOKUP(D533,Программа!A$1:B$5063,2),IF(F533&gt;0,VLOOKUP(F533,КВР!A$1:B$5001,2),IF(E533&gt;0,VLOOKUP(E533,Направление!A$1:B$4755,2))))))</f>
        <v>Закупка товаров, работ и услуг для государственных нужд</v>
      </c>
      <c r="B533" s="83"/>
      <c r="C533" s="76"/>
      <c r="D533" s="77"/>
      <c r="E533" s="607"/>
      <c r="F533" s="77">
        <v>200</v>
      </c>
      <c r="G533" s="346">
        <v>278640</v>
      </c>
      <c r="H533" s="338">
        <v>11900.71</v>
      </c>
      <c r="I533" s="42">
        <f t="shared" si="174"/>
        <v>290540.71000000002</v>
      </c>
      <c r="J533" s="338">
        <v>290487</v>
      </c>
    </row>
    <row r="534" spans="1:10" s="19" customFormat="1" ht="39" customHeight="1">
      <c r="A534" s="41" t="str">
        <f>IF(B534&gt;0,VLOOKUP(B534,КВСР!A426:B1591,2),IF(C534&gt;0,VLOOKUP(C534,КФСР!A426:B1938,2),IF(D534&gt;0,VLOOKUP(D534,Программа!A$1:B$5063,2),IF(F534&gt;0,VLOOKUP(F534,КВР!A$1:B$5001,2),IF(E534&gt;0,VLOOKUP(E534,Направление!A$1:B$4755,2))))))</f>
        <v>Социальное обеспечение и иные выплаты населению</v>
      </c>
      <c r="B534" s="83"/>
      <c r="C534" s="76"/>
      <c r="D534" s="77"/>
      <c r="E534" s="607"/>
      <c r="F534" s="77">
        <v>300</v>
      </c>
      <c r="G534" s="346">
        <v>18297360</v>
      </c>
      <c r="H534" s="338">
        <v>610099.29</v>
      </c>
      <c r="I534" s="42">
        <f t="shared" si="174"/>
        <v>18907459.289999999</v>
      </c>
      <c r="J534" s="338">
        <v>18907459</v>
      </c>
    </row>
    <row r="535" spans="1:10" s="19" customFormat="1" ht="52.5" customHeight="1">
      <c r="A535" s="41" t="str">
        <f>IF(B535&gt;0,VLOOKUP(B535,КВСР!A427:B1592,2),IF(C535&gt;0,VLOOKUP(C535,КФСР!A427:B1939,2),IF(D535&gt;0,VLOOKUP(D535,Программа!A$1:B$5063,2),IF(F535&gt;0,VLOOKUP(F535,КВР!A$1:B$5001,2),IF(E535&gt;0,VLOOKUP(E535,Направление!A$1:B$4755,2))))))</f>
        <v>Оказание социальной помощи отдельным категориям граждан за счет средств областного бюджета</v>
      </c>
      <c r="B535" s="83"/>
      <c r="C535" s="76"/>
      <c r="D535" s="391"/>
      <c r="E535" s="83">
        <v>70890</v>
      </c>
      <c r="F535" s="77"/>
      <c r="G535" s="346">
        <v>4953154</v>
      </c>
      <c r="H535" s="346">
        <f t="shared" ref="H535:J535" si="178">H536+H537</f>
        <v>-221149</v>
      </c>
      <c r="I535" s="42">
        <f t="shared" si="174"/>
        <v>4732005</v>
      </c>
      <c r="J535" s="346">
        <f t="shared" si="178"/>
        <v>4731617</v>
      </c>
    </row>
    <row r="536" spans="1:10" s="19" customFormat="1" ht="31.5">
      <c r="A536" s="41" t="str">
        <f>IF(B536&gt;0,VLOOKUP(B536,КВСР!A428:B1593,2),IF(C536&gt;0,VLOOKUP(C536,КФСР!A428:B1940,2),IF(D536&gt;0,VLOOKUP(D536,Программа!A$1:B$5063,2),IF(F536&gt;0,VLOOKUP(F536,КВР!A$1:B$5001,2),IF(E536&gt;0,VLOOKUP(E536,Направление!A$1:B$4755,2))))))</f>
        <v>Закупка товаров, работ и услуг для государственных нужд</v>
      </c>
      <c r="B536" s="83"/>
      <c r="C536" s="76"/>
      <c r="D536" s="391"/>
      <c r="E536" s="607"/>
      <c r="F536" s="77">
        <v>200</v>
      </c>
      <c r="G536" s="346">
        <v>158097.37</v>
      </c>
      <c r="H536" s="338">
        <v>-3144.58</v>
      </c>
      <c r="I536" s="42">
        <f t="shared" si="174"/>
        <v>154952.79</v>
      </c>
      <c r="J536" s="338">
        <v>154611</v>
      </c>
    </row>
    <row r="537" spans="1:10" s="19" customFormat="1" ht="31.5">
      <c r="A537" s="41" t="str">
        <f>IF(B537&gt;0,VLOOKUP(B537,КВСР!A429:B1594,2),IF(C537&gt;0,VLOOKUP(C537,КФСР!A429:B1941,2),IF(D537&gt;0,VLOOKUP(D537,Программа!A$1:B$5063,2),IF(F537&gt;0,VLOOKUP(F537,КВР!A$1:B$5001,2),IF(E537&gt;0,VLOOKUP(E537,Направление!A$1:B$4755,2))))))</f>
        <v>Социальное обеспечение и иные выплаты населению</v>
      </c>
      <c r="B537" s="83"/>
      <c r="C537" s="76"/>
      <c r="D537" s="391"/>
      <c r="E537" s="607"/>
      <c r="F537" s="77">
        <v>300</v>
      </c>
      <c r="G537" s="346">
        <v>4795056.63</v>
      </c>
      <c r="H537" s="338">
        <v>-218004.42</v>
      </c>
      <c r="I537" s="42">
        <f t="shared" si="174"/>
        <v>4577052.21</v>
      </c>
      <c r="J537" s="338">
        <v>4577006</v>
      </c>
    </row>
    <row r="538" spans="1:10" s="19" customFormat="1" ht="49.5" customHeight="1">
      <c r="A538" s="41" t="str">
        <f>IF(B538&gt;0,VLOOKUP(B538,КВСР!A430:B1595,2),IF(C538&gt;0,VLOOKUP(C538,КФСР!A430:B1942,2),IF(D538&gt;0,VLOOKUP(D538,Программа!A$1:B$5063,2),IF(F538&gt;0,VLOOKUP(F538,КВР!A$1:B$5001,2),IF(E538&gt;0,VLOOKUP(E538,Направление!A$1:B$4755,2))))))</f>
        <v>Расходы на социальную поддержку отдельных категорий граждан в части ежемесячного пособия на ребенка</v>
      </c>
      <c r="B538" s="83"/>
      <c r="C538" s="76"/>
      <c r="D538" s="391"/>
      <c r="E538" s="83">
        <v>73040</v>
      </c>
      <c r="F538" s="77"/>
      <c r="G538" s="42">
        <v>34508000</v>
      </c>
      <c r="H538" s="42">
        <f t="shared" ref="H538:J538" si="179">H540+H539</f>
        <v>708000</v>
      </c>
      <c r="I538" s="42">
        <f t="shared" si="174"/>
        <v>35216000</v>
      </c>
      <c r="J538" s="42">
        <f t="shared" si="179"/>
        <v>35216000</v>
      </c>
    </row>
    <row r="539" spans="1:10" s="19" customFormat="1" ht="31.5">
      <c r="A539" s="41" t="str">
        <f>IF(B539&gt;0,VLOOKUP(B539,КВСР!A431:B1596,2),IF(C539&gt;0,VLOOKUP(C539,КФСР!A431:B1943,2),IF(D539&gt;0,VLOOKUP(D539,Программа!A$1:B$5063,2),IF(F539&gt;0,VLOOKUP(F539,КВР!A$1:B$5001,2),IF(E539&gt;0,VLOOKUP(E539,Направление!A$1:B$4755,2))))))</f>
        <v>Закупка товаров, работ и услуг для государственных нужд</v>
      </c>
      <c r="B539" s="83"/>
      <c r="C539" s="76"/>
      <c r="D539" s="391"/>
      <c r="E539" s="83"/>
      <c r="F539" s="77">
        <v>200</v>
      </c>
      <c r="G539" s="341">
        <v>7000</v>
      </c>
      <c r="H539" s="345">
        <v>-100</v>
      </c>
      <c r="I539" s="42">
        <f t="shared" si="174"/>
        <v>6900</v>
      </c>
      <c r="J539" s="345">
        <v>6900</v>
      </c>
    </row>
    <row r="540" spans="1:10" s="19" customFormat="1" ht="31.5">
      <c r="A540" s="41" t="str">
        <f>IF(B540&gt;0,VLOOKUP(B540,КВСР!A432:B1597,2),IF(C540&gt;0,VLOOKUP(C540,КФСР!A432:B1944,2),IF(D540&gt;0,VLOOKUP(D540,Программа!A$1:B$5063,2),IF(F540&gt;0,VLOOKUP(F540,КВР!A$1:B$5001,2),IF(E540&gt;0,VLOOKUP(E540,Направление!A$1:B$4755,2))))))</f>
        <v>Социальное обеспечение и иные выплаты населению</v>
      </c>
      <c r="B540" s="83"/>
      <c r="C540" s="76"/>
      <c r="D540" s="391"/>
      <c r="E540" s="83"/>
      <c r="F540" s="77">
        <v>300</v>
      </c>
      <c r="G540" s="346">
        <v>34501000</v>
      </c>
      <c r="H540" s="338">
        <v>708100</v>
      </c>
      <c r="I540" s="42">
        <f t="shared" si="174"/>
        <v>35209100</v>
      </c>
      <c r="J540" s="338">
        <v>35209100</v>
      </c>
    </row>
    <row r="541" spans="1:10" s="19" customFormat="1" ht="63">
      <c r="A541" s="41" t="str">
        <f>IF(B541&gt;0,VLOOKUP(B541,КВСР!A433:B1598,2),IF(C541&gt;0,VLOOKUP(C541,КФСР!A433:B1945,2),IF(D541&gt;0,VLOOKUP(D541,Программа!A$1:B$5063,2),IF(F541&gt;0,VLOOKUP(F541,КВР!A$1:B$5001,2),IF(E541&gt;0,VLOOKUP(E541,Направление!A$1:B$4755,2))))))</f>
        <v>Социальная защита семей с детьми, инвалидов, ветеранов, граждан и детей, оказавшихся в трудной жизненной ситуации</v>
      </c>
      <c r="B541" s="83"/>
      <c r="C541" s="76"/>
      <c r="D541" s="391" t="s">
        <v>2821</v>
      </c>
      <c r="E541" s="83"/>
      <c r="F541" s="77"/>
      <c r="G541" s="75">
        <v>603200</v>
      </c>
      <c r="H541" s="75">
        <f t="shared" ref="H541:J541" si="180">H542+H545</f>
        <v>-335.93</v>
      </c>
      <c r="I541" s="42">
        <f t="shared" si="174"/>
        <v>602864.06999999995</v>
      </c>
      <c r="J541" s="75">
        <f t="shared" si="180"/>
        <v>602864</v>
      </c>
    </row>
    <row r="542" spans="1:10" s="19" customFormat="1" ht="47.25">
      <c r="A542" s="41" t="str">
        <f>IF(B542&gt;0,VLOOKUP(B542,КВСР!A434:B1599,2),IF(C542&gt;0,VLOOKUP(C542,КФСР!A434:B1946,2),IF(D542&gt;0,VLOOKUP(D542,Программа!A$1:B$5063,2),IF(F542&gt;0,VLOOKUP(F542,КВР!A$1:B$5001,2),IF(E542&gt;0,VLOOKUP(E542,Направление!A$1:B$4755,2))))))</f>
        <v>Организация перевозок больных, нуждающихся в амбулаторном гемодиализе</v>
      </c>
      <c r="B542" s="83"/>
      <c r="C542" s="76"/>
      <c r="D542" s="391"/>
      <c r="E542" s="83">
        <v>16210</v>
      </c>
      <c r="F542" s="77"/>
      <c r="G542" s="75">
        <v>530000</v>
      </c>
      <c r="H542" s="75">
        <f>H543+H544</f>
        <v>0</v>
      </c>
      <c r="I542" s="42">
        <f t="shared" si="174"/>
        <v>530000</v>
      </c>
      <c r="J542" s="75">
        <f>J543+J544</f>
        <v>530000</v>
      </c>
    </row>
    <row r="543" spans="1:10" s="19" customFormat="1" ht="31.5" hidden="1">
      <c r="A543" s="41" t="str">
        <f>IF(B543&gt;0,VLOOKUP(B543,КВСР!A435:B1600,2),IF(C543&gt;0,VLOOKUP(C543,КФСР!A435:B1947,2),IF(D543&gt;0,VLOOKUP(D543,Программа!A$1:B$5063,2),IF(F543&gt;0,VLOOKUP(F543,КВР!A$1:B$5001,2),IF(E543&gt;0,VLOOKUP(E543,Направление!A$1:B$4755,2))))))</f>
        <v>Закупка товаров, работ и услуг для государственных нужд</v>
      </c>
      <c r="B543" s="83"/>
      <c r="C543" s="76"/>
      <c r="D543" s="391"/>
      <c r="E543" s="607"/>
      <c r="F543" s="77">
        <v>200</v>
      </c>
      <c r="G543" s="346">
        <v>0</v>
      </c>
      <c r="H543" s="338"/>
      <c r="I543" s="42">
        <f t="shared" si="174"/>
        <v>0</v>
      </c>
      <c r="J543" s="338"/>
    </row>
    <row r="544" spans="1:10" s="19" customFormat="1" ht="31.5">
      <c r="A544" s="41" t="str">
        <f>IF(B544&gt;0,VLOOKUP(B544,КВСР!A436:B1601,2),IF(C544&gt;0,VLOOKUP(C544,КФСР!A436:B1948,2),IF(D544&gt;0,VLOOKUP(D544,Программа!A$1:B$5063,2),IF(F544&gt;0,VLOOKUP(F544,КВР!A$1:B$5001,2),IF(E544&gt;0,VLOOKUP(E544,Направление!A$1:B$4755,2))))))</f>
        <v>Социальное обеспечение и иные выплаты населению</v>
      </c>
      <c r="B544" s="83"/>
      <c r="C544" s="76"/>
      <c r="D544" s="391"/>
      <c r="E544" s="607"/>
      <c r="F544" s="77">
        <v>300</v>
      </c>
      <c r="G544" s="346">
        <v>530000</v>
      </c>
      <c r="H544" s="338"/>
      <c r="I544" s="42">
        <f t="shared" si="174"/>
        <v>530000</v>
      </c>
      <c r="J544" s="338">
        <v>530000</v>
      </c>
    </row>
    <row r="545" spans="1:10" s="502" customFormat="1" ht="31.5">
      <c r="A545" s="41" t="str">
        <f>IF(B545&gt;0,VLOOKUP(B545,КВСР!A437:B1602,2),IF(C545&gt;0,VLOOKUP(C545,КФСР!A437:B1949,2),IF(D545&gt;0,VLOOKUP(D545,Программа!A$1:B$5063,2),IF(F545&gt;0,VLOOKUP(F545,КВР!A$1:B$5001,2),IF(E545&gt;0,VLOOKUP(E545,Направление!A$1:B$4755,2))))))</f>
        <v>Оказание адресной материальной помощи</v>
      </c>
      <c r="B545" s="501"/>
      <c r="C545" s="243"/>
      <c r="D545" s="394"/>
      <c r="E545" s="501">
        <v>16220</v>
      </c>
      <c r="F545" s="240"/>
      <c r="G545" s="42">
        <v>73200</v>
      </c>
      <c r="H545" s="42">
        <f t="shared" ref="H545:J545" si="181">H546+H547</f>
        <v>-335.93</v>
      </c>
      <c r="I545" s="42">
        <f t="shared" si="174"/>
        <v>72864.070000000007</v>
      </c>
      <c r="J545" s="42">
        <f t="shared" si="181"/>
        <v>72864</v>
      </c>
    </row>
    <row r="546" spans="1:10" s="19" customFormat="1" ht="31.5">
      <c r="A546" s="41" t="str">
        <f>IF(B546&gt;0,VLOOKUP(B546,КВСР!A438:B1603,2),IF(C546&gt;0,VLOOKUP(C546,КФСР!A438:B1950,2),IF(D546&gt;0,VLOOKUP(D546,Программа!A$1:B$5063,2),IF(F546&gt;0,VLOOKUP(F546,КВР!A$1:B$5001,2),IF(E546&gt;0,VLOOKUP(E546,Направление!A$1:B$4755,2))))))</f>
        <v>Закупка товаров, работ и услуг для государственных нужд</v>
      </c>
      <c r="B546" s="83"/>
      <c r="C546" s="76"/>
      <c r="D546" s="391"/>
      <c r="E546" s="83"/>
      <c r="F546" s="77">
        <v>200</v>
      </c>
      <c r="G546" s="346">
        <v>1155</v>
      </c>
      <c r="H546" s="338">
        <v>-78.180000000000007</v>
      </c>
      <c r="I546" s="42">
        <f t="shared" si="174"/>
        <v>1076.82</v>
      </c>
      <c r="J546" s="338">
        <v>1077</v>
      </c>
    </row>
    <row r="547" spans="1:10" s="19" customFormat="1" ht="31.5">
      <c r="A547" s="41" t="str">
        <f>IF(B547&gt;0,VLOOKUP(B547,КВСР!A439:B1604,2),IF(C547&gt;0,VLOOKUP(C547,КФСР!A439:B1951,2),IF(D547&gt;0,VLOOKUP(D547,Программа!A$1:B$5063,2),IF(F547&gt;0,VLOOKUP(F547,КВР!A$1:B$5001,2),IF(E547&gt;0,VLOOKUP(E547,Направление!A$1:B$4755,2))))))</f>
        <v>Социальное обеспечение и иные выплаты населению</v>
      </c>
      <c r="B547" s="83"/>
      <c r="C547" s="76"/>
      <c r="D547" s="391"/>
      <c r="E547" s="83"/>
      <c r="F547" s="77">
        <v>300</v>
      </c>
      <c r="G547" s="346">
        <v>72045</v>
      </c>
      <c r="H547" s="338">
        <v>-257.75</v>
      </c>
      <c r="I547" s="42">
        <f t="shared" si="174"/>
        <v>71787.25</v>
      </c>
      <c r="J547" s="338">
        <v>71787</v>
      </c>
    </row>
    <row r="548" spans="1:10" s="19" customFormat="1">
      <c r="A548" s="41" t="str">
        <f>IF(B548&gt;0,VLOOKUP(B548,КВСР!A440:B1605,2),IF(C548&gt;0,VLOOKUP(C548,КФСР!A440:B1952,2),IF(D548&gt;0,VLOOKUP(D548,Программа!A$1:B$5063,2),IF(F548&gt;0,VLOOKUP(F548,КВР!A$1:B$5001,2),IF(E548&gt;0,VLOOKUP(E548,Направление!A$1:B$4755,2))))))</f>
        <v>Непрограммные расходы бюджета</v>
      </c>
      <c r="B548" s="83"/>
      <c r="C548" s="76"/>
      <c r="D548" s="391" t="s">
        <v>2808</v>
      </c>
      <c r="E548" s="83"/>
      <c r="F548" s="77"/>
      <c r="G548" s="346">
        <v>333500</v>
      </c>
      <c r="H548" s="346">
        <f>H549+H551</f>
        <v>107350</v>
      </c>
      <c r="I548" s="346">
        <f>SUM(G548:H548)</f>
        <v>440850</v>
      </c>
      <c r="J548" s="346">
        <f>J549+J551</f>
        <v>440850</v>
      </c>
    </row>
    <row r="549" spans="1:10" s="19" customFormat="1" ht="31.5">
      <c r="A549" s="41" t="str">
        <f>IF(B549&gt;0,VLOOKUP(B549,КВСР!A441:B1606,2),IF(C549&gt;0,VLOOKUP(C549,КФСР!A441:B1953,2),IF(D549&gt;0,VLOOKUP(D549,Программа!A$1:B$5063,2),IF(F549&gt;0,VLOOKUP(F549,КВР!A$1:B$5001,2),IF(E549&gt;0,VLOOKUP(E549,Направление!A$1:B$4755,2))))))</f>
        <v>Резервные фонды местных администраций</v>
      </c>
      <c r="B549" s="83"/>
      <c r="C549" s="76"/>
      <c r="D549" s="391"/>
      <c r="E549" s="83">
        <v>12900</v>
      </c>
      <c r="F549" s="77"/>
      <c r="G549" s="346">
        <v>260000</v>
      </c>
      <c r="H549" s="346">
        <f t="shared" ref="H549:J549" si="182">H550</f>
        <v>25000</v>
      </c>
      <c r="I549" s="346">
        <f t="shared" si="182"/>
        <v>285000</v>
      </c>
      <c r="J549" s="346">
        <f t="shared" si="182"/>
        <v>285000</v>
      </c>
    </row>
    <row r="550" spans="1:10" s="19" customFormat="1" ht="31.5">
      <c r="A550" s="41" t="str">
        <f>IF(B550&gt;0,VLOOKUP(B550,КВСР!A442:B1607,2),IF(C550&gt;0,VLOOKUP(C550,КФСР!A442:B1954,2),IF(D550&gt;0,VLOOKUP(D550,Программа!A$1:B$5063,2),IF(F550&gt;0,VLOOKUP(F550,КВР!A$1:B$5001,2),IF(E550&gt;0,VLOOKUP(E550,Направление!A$1:B$4755,2))))))</f>
        <v>Социальное обеспечение и иные выплаты населению</v>
      </c>
      <c r="B550" s="83"/>
      <c r="C550" s="76"/>
      <c r="D550" s="391"/>
      <c r="E550" s="83"/>
      <c r="F550" s="77">
        <v>300</v>
      </c>
      <c r="G550" s="346">
        <v>260000</v>
      </c>
      <c r="H550" s="338">
        <v>25000</v>
      </c>
      <c r="I550" s="42">
        <f>G550+H550</f>
        <v>285000</v>
      </c>
      <c r="J550" s="338">
        <v>285000</v>
      </c>
    </row>
    <row r="551" spans="1:10" s="19" customFormat="1" ht="47.25">
      <c r="A551" s="41" t="str">
        <f>IF(B551&gt;0,VLOOKUP(B551,КВСР!A443:B1608,2),IF(C551&gt;0,VLOOKUP(C551,КФСР!A443:B1955,2),IF(D551&gt;0,VLOOKUP(D551,Программа!A$1:B$5063,2),IF(F551&gt;0,VLOOKUP(F551,КВР!A$1:B$5001,2),IF(E551&gt;0,VLOOKUP(E551,Направление!A$1:B$4755,2))))))</f>
        <v>Резервные фонды исполнительных органов государственной власти субъектов Российской Федерации</v>
      </c>
      <c r="B551" s="83"/>
      <c r="C551" s="76"/>
      <c r="D551" s="391"/>
      <c r="E551" s="83">
        <v>80120</v>
      </c>
      <c r="F551" s="77"/>
      <c r="G551" s="346">
        <v>73500</v>
      </c>
      <c r="H551" s="346">
        <f>H552</f>
        <v>82350</v>
      </c>
      <c r="I551" s="346">
        <f>I552</f>
        <v>155850</v>
      </c>
      <c r="J551" s="346">
        <f>J552</f>
        <v>155850</v>
      </c>
    </row>
    <row r="552" spans="1:10" s="19" customFormat="1" ht="31.5">
      <c r="A552" s="41" t="str">
        <f>IF(B552&gt;0,VLOOKUP(B552,КВСР!A444:B1609,2),IF(C552&gt;0,VLOOKUP(C552,КФСР!A444:B1956,2),IF(D552&gt;0,VLOOKUP(D552,Программа!A$1:B$5063,2),IF(F552&gt;0,VLOOKUP(F552,КВР!A$1:B$5001,2),IF(E552&gt;0,VLOOKUP(E552,Направление!A$1:B$4755,2))))))</f>
        <v>Социальное обеспечение и иные выплаты населению</v>
      </c>
      <c r="B552" s="83"/>
      <c r="C552" s="76"/>
      <c r="D552" s="391"/>
      <c r="E552" s="83"/>
      <c r="F552" s="77">
        <v>300</v>
      </c>
      <c r="G552" s="346">
        <v>73500</v>
      </c>
      <c r="H552" s="338">
        <v>82350</v>
      </c>
      <c r="I552" s="42">
        <f>SUM(G552:H552)</f>
        <v>155850</v>
      </c>
      <c r="J552" s="338">
        <v>155850</v>
      </c>
    </row>
    <row r="553" spans="1:10" s="20" customFormat="1">
      <c r="A553" s="41" t="str">
        <f>IF(B553&gt;0,VLOOKUP(B553,КВСР!A443:B1608,2),IF(C553&gt;0,VLOOKUP(C553,КФСР!A443:B1955,2),IF(D553&gt;0,VLOOKUP(D553,Программа!A$1:B$5063,2),IF(F553&gt;0,VLOOKUP(F553,КВР!A$1:B$5001,2),IF(E553&gt;0,VLOOKUP(E553,Направление!A$1:B$4755,2))))))</f>
        <v>Охрана семьи и детства</v>
      </c>
      <c r="B553" s="83"/>
      <c r="C553" s="76">
        <v>1004</v>
      </c>
      <c r="D553" s="391"/>
      <c r="E553" s="83"/>
      <c r="F553" s="77"/>
      <c r="G553" s="75">
        <v>49968600</v>
      </c>
      <c r="H553" s="75">
        <f t="shared" ref="H553:J554" si="183">H554</f>
        <v>8255462</v>
      </c>
      <c r="I553" s="42">
        <f t="shared" si="174"/>
        <v>58224062</v>
      </c>
      <c r="J553" s="75">
        <f t="shared" si="183"/>
        <v>58221617</v>
      </c>
    </row>
    <row r="554" spans="1:10" s="20" customFormat="1" ht="53.25" customHeight="1">
      <c r="A554" s="41" t="str">
        <f>IF(B554&gt;0,VLOOKUP(B554,КВСР!A444:B1609,2),IF(C554&gt;0,VLOOKUP(C554,КФСР!A444:B1956,2),IF(D554&gt;0,VLOOKUP(D554,Программа!A$1:B$5063,2),IF(F554&gt;0,VLOOKUP(F554,КВР!A$1:B$5001,2),IF(E554&gt;0,VLOOKUP(E554,Направление!A$1:B$4755,2))))))</f>
        <v>Муниципальная программа "Социальная поддержка населения Тутаевского муниципального района"</v>
      </c>
      <c r="B554" s="83"/>
      <c r="C554" s="76"/>
      <c r="D554" s="391" t="s">
        <v>2765</v>
      </c>
      <c r="E554" s="83"/>
      <c r="F554" s="77"/>
      <c r="G554" s="75">
        <v>49968600</v>
      </c>
      <c r="H554" s="75">
        <f t="shared" si="183"/>
        <v>8255462</v>
      </c>
      <c r="I554" s="42">
        <f t="shared" si="174"/>
        <v>58224062</v>
      </c>
      <c r="J554" s="75">
        <f t="shared" si="183"/>
        <v>58221617</v>
      </c>
    </row>
    <row r="555" spans="1:10" s="20" customFormat="1" ht="53.25" customHeight="1">
      <c r="A555" s="41" t="str">
        <f>IF(B555&gt;0,VLOOKUP(B555,КВСР!A445:B1610,2),IF(C555&gt;0,VLOOKUP(C555,КФСР!A445:B1957,2),IF(D555&gt;0,VLOOKUP(D555,Программа!A$1:B$5063,2),IF(F555&gt;0,VLOOKUP(F555,КВР!A$1:B$5001,2),IF(E555&gt;0,VLOOKUP(E555,Направление!A$1:B$4755,2))))))</f>
        <v xml:space="preserve">Ведомственная целевая программа «Социальная поддержка населения Тутаевского муниципального района» </v>
      </c>
      <c r="B555" s="83"/>
      <c r="C555" s="76"/>
      <c r="D555" s="391" t="s">
        <v>2767</v>
      </c>
      <c r="E555" s="83"/>
      <c r="F555" s="77"/>
      <c r="G555" s="75">
        <v>49968600</v>
      </c>
      <c r="H555" s="75">
        <f>H556+H568</f>
        <v>8255462</v>
      </c>
      <c r="I555" s="42">
        <f t="shared" si="174"/>
        <v>58224062</v>
      </c>
      <c r="J555" s="75">
        <f>J556+J568</f>
        <v>58221617</v>
      </c>
    </row>
    <row r="556" spans="1:10" s="20" customFormat="1" ht="47.25">
      <c r="A556" s="41" t="str">
        <f>IF(B556&gt;0,VLOOKUP(B556,КВСР!A446:B1611,2),IF(C556&gt;0,VLOOKUP(C556,КФСР!A446:B1958,2),IF(D556&gt;0,VLOOKUP(D556,Программа!A$1:B$5063,2),IF(F556&gt;0,VLOOKUP(F556,КВР!A$1:B$5001,2),IF(E556&gt;0,VLOOKUP(E556,Направление!A$1:B$4755,2))))))</f>
        <v>Исполнение публичных обязательств по предоставлению выплат, пособий и компенсаций</v>
      </c>
      <c r="B556" s="83"/>
      <c r="C556" s="76"/>
      <c r="D556" s="394" t="s">
        <v>2818</v>
      </c>
      <c r="E556" s="501"/>
      <c r="F556" s="77"/>
      <c r="G556" s="75">
        <v>49965000</v>
      </c>
      <c r="H556" s="75">
        <f>H559+H557+H565+H561+H563</f>
        <v>8259062</v>
      </c>
      <c r="I556" s="75">
        <f>I559+I557+I565+I561+I563</f>
        <v>58224062</v>
      </c>
      <c r="J556" s="75">
        <f>J559+J557+J565+J561+J563</f>
        <v>58221617</v>
      </c>
    </row>
    <row r="557" spans="1:10" s="20" customFormat="1" ht="78.75">
      <c r="A557" s="41" t="str">
        <f>IF(B557&gt;0,VLOOKUP(B557,КВСР!A447:B1612,2),IF(C557&gt;0,VLOOKUP(C557,КФСР!A447:B1959,2),IF(D557&gt;0,VLOOKUP(D557,Программа!A$1:B$5063,2),IF(F557&gt;0,VLOOKUP(F557,КВР!A$1:B$5001,2),IF(E557&gt;0,VLOOKUP(E557,Направление!A$1:B$4755,2))))))</f>
        <v>Ежемесячная денежная выплата, назначаемая в случае рождения третьего ребенка или последующих детей до достижения ребенком возраста трех лет</v>
      </c>
      <c r="B557" s="83"/>
      <c r="C557" s="76"/>
      <c r="D557" s="394"/>
      <c r="E557" s="501">
        <v>50840</v>
      </c>
      <c r="F557" s="77"/>
      <c r="G557" s="75">
        <v>10200000</v>
      </c>
      <c r="H557" s="75">
        <f t="shared" ref="H557:J557" si="184">H558</f>
        <v>4342725</v>
      </c>
      <c r="I557" s="75">
        <f t="shared" si="184"/>
        <v>14542725</v>
      </c>
      <c r="J557" s="75">
        <f t="shared" si="184"/>
        <v>14542725</v>
      </c>
    </row>
    <row r="558" spans="1:10" s="20" customFormat="1" ht="31.5">
      <c r="A558" s="41" t="str">
        <f>IF(B558&gt;0,VLOOKUP(B558,КВСР!A448:B1613,2),IF(C558&gt;0,VLOOKUP(C558,КФСР!A448:B1960,2),IF(D558&gt;0,VLOOKUP(D558,Программа!A$1:B$5063,2),IF(F558&gt;0,VLOOKUP(F558,КВР!A$1:B$5001,2),IF(E558&gt;0,VLOOKUP(E558,Направление!A$1:B$4755,2))))))</f>
        <v>Социальное обеспечение и иные выплаты населению</v>
      </c>
      <c r="B558" s="83"/>
      <c r="C558" s="76"/>
      <c r="D558" s="240"/>
      <c r="E558" s="501"/>
      <c r="F558" s="77">
        <v>300</v>
      </c>
      <c r="G558" s="346">
        <v>10200000</v>
      </c>
      <c r="H558" s="676">
        <v>4342725</v>
      </c>
      <c r="I558" s="42">
        <f t="shared" si="174"/>
        <v>14542725</v>
      </c>
      <c r="J558" s="687">
        <v>14542725</v>
      </c>
    </row>
    <row r="559" spans="1:10" s="20" customFormat="1" ht="128.25" customHeight="1">
      <c r="A559" s="41" t="str">
        <f>IF(B559&gt;0,VLOOKUP(B559,КВСР!A449:B1614,2),IF(C559&gt;0,VLOOKUP(C559,КФСР!A449:B1961,2),IF(D559&gt;0,VLOOKUP(D559,Программа!A$1:B$5063,2),IF(F559&gt;0,VLOOKUP(F559,КВР!A$1:B$5001,2),IF(E559&gt;0,VLOOKUP(E559,Направление!A$1:B$4755,2))))))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559" s="83"/>
      <c r="C559" s="76"/>
      <c r="D559" s="394"/>
      <c r="E559" s="501">
        <v>52700</v>
      </c>
      <c r="F559" s="77"/>
      <c r="G559" s="75">
        <v>511000</v>
      </c>
      <c r="H559" s="75">
        <f t="shared" ref="H559:J559" si="185">H560</f>
        <v>-236946</v>
      </c>
      <c r="I559" s="42">
        <f t="shared" si="174"/>
        <v>274054</v>
      </c>
      <c r="J559" s="75">
        <f t="shared" si="185"/>
        <v>273227</v>
      </c>
    </row>
    <row r="560" spans="1:10" s="20" customFormat="1" ht="31.5">
      <c r="A560" s="41" t="str">
        <f>IF(B560&gt;0,VLOOKUP(B560,КВСР!A450:B1615,2),IF(C560&gt;0,VLOOKUP(C560,КФСР!A450:B1962,2),IF(D560&gt;0,VLOOKUP(D560,Программа!A$1:B$5063,2),IF(F560&gt;0,VLOOKUP(F560,КВР!A$1:B$5001,2),IF(E560&gt;0,VLOOKUP(E560,Направление!A$1:B$4755,2))))))</f>
        <v>Социальное обеспечение и иные выплаты населению</v>
      </c>
      <c r="B560" s="83"/>
      <c r="C560" s="76"/>
      <c r="D560" s="240"/>
      <c r="E560" s="501"/>
      <c r="F560" s="77">
        <v>300</v>
      </c>
      <c r="G560" s="346">
        <v>511000</v>
      </c>
      <c r="H560" s="338">
        <v>-236946</v>
      </c>
      <c r="I560" s="42">
        <f t="shared" si="174"/>
        <v>274054</v>
      </c>
      <c r="J560" s="338">
        <v>273227</v>
      </c>
    </row>
    <row r="561" spans="1:10" s="20" customFormat="1" ht="116.25" customHeight="1">
      <c r="A561" s="41" t="str">
        <f>IF(B561&gt;0,VLOOKUP(B561,КВСР!A451:B1616,2),IF(C561&gt;0,VLOOKUP(C561,КФСР!A451:B1963,2),IF(D561&gt;0,VLOOKUP(D561,Программа!A$1:B$5063,2),IF(F561&gt;0,VLOOKUP(F561,КВР!A$1:B$5001,2),IF(E561&gt;0,VLOOKUP(E561,Направление!A$1:B$4755,2))))))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561" s="83"/>
      <c r="C561" s="76"/>
      <c r="D561" s="240"/>
      <c r="E561" s="501">
        <v>53810</v>
      </c>
      <c r="F561" s="77"/>
      <c r="G561" s="346">
        <v>16045000</v>
      </c>
      <c r="H561" s="346">
        <f t="shared" ref="H561:J561" si="186">H562</f>
        <v>1879518</v>
      </c>
      <c r="I561" s="346">
        <f t="shared" si="186"/>
        <v>17924518</v>
      </c>
      <c r="J561" s="346">
        <f t="shared" si="186"/>
        <v>17924518</v>
      </c>
    </row>
    <row r="562" spans="1:10" s="20" customFormat="1" ht="31.5">
      <c r="A562" s="41" t="str">
        <f>IF(B562&gt;0,VLOOKUP(B562,КВСР!A452:B1617,2),IF(C562&gt;0,VLOOKUP(C562,КФСР!A452:B1964,2),IF(D562&gt;0,VLOOKUP(D562,Программа!A$1:B$5063,2),IF(F562&gt;0,VLOOKUP(F562,КВР!A$1:B$5001,2),IF(E562&gt;0,VLOOKUP(E562,Направление!A$1:B$4755,2))))))</f>
        <v>Социальное обеспечение и иные выплаты населению</v>
      </c>
      <c r="B562" s="83"/>
      <c r="C562" s="76"/>
      <c r="D562" s="240"/>
      <c r="E562" s="501"/>
      <c r="F562" s="77">
        <v>300</v>
      </c>
      <c r="G562" s="346">
        <v>16045000</v>
      </c>
      <c r="H562" s="338">
        <v>1879518</v>
      </c>
      <c r="I562" s="42">
        <f>G562+H562</f>
        <v>17924518</v>
      </c>
      <c r="J562" s="338">
        <v>17924518</v>
      </c>
    </row>
    <row r="563" spans="1:10" s="20" customFormat="1" ht="100.5" customHeight="1">
      <c r="A563" s="41" t="str">
        <f>IF(B563&gt;0,VLOOKUP(B563,КВСР!A453:B1618,2),IF(C563&gt;0,VLOOKUP(C563,КФСР!A453:B1965,2),IF(D563&gt;0,VLOOKUP(D563,Программа!A$1:B$5063,2),IF(F563&gt;0,VLOOKUP(F563,КВР!A$1:B$5001,2),IF(E563&gt;0,VLOOKUP(E563,Направление!A$1:B$4755,2))))))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563" s="83"/>
      <c r="C563" s="76"/>
      <c r="D563" s="240"/>
      <c r="E563" s="501">
        <v>53850</v>
      </c>
      <c r="F563" s="77"/>
      <c r="G563" s="346">
        <v>1825000</v>
      </c>
      <c r="H563" s="346">
        <f t="shared" ref="H563:J563" si="187">H564</f>
        <v>403313</v>
      </c>
      <c r="I563" s="346">
        <f t="shared" si="187"/>
        <v>2228313</v>
      </c>
      <c r="J563" s="346">
        <f t="shared" si="187"/>
        <v>2228312</v>
      </c>
    </row>
    <row r="564" spans="1:10" s="20" customFormat="1" ht="31.5">
      <c r="A564" s="41" t="str">
        <f>IF(B564&gt;0,VLOOKUP(B564,КВСР!A454:B1619,2),IF(C564&gt;0,VLOOKUP(C564,КФСР!A454:B1966,2),IF(D564&gt;0,VLOOKUP(D564,Программа!A$1:B$5063,2),IF(F564&gt;0,VLOOKUP(F564,КВР!A$1:B$5001,2),IF(E564&gt;0,VLOOKUP(E564,Направление!A$1:B$4755,2))))))</f>
        <v>Социальное обеспечение и иные выплаты населению</v>
      </c>
      <c r="B564" s="83"/>
      <c r="C564" s="76"/>
      <c r="D564" s="240"/>
      <c r="E564" s="501"/>
      <c r="F564" s="77">
        <v>300</v>
      </c>
      <c r="G564" s="346">
        <v>1825000</v>
      </c>
      <c r="H564" s="338">
        <v>403313</v>
      </c>
      <c r="I564" s="42">
        <f>G564+H564</f>
        <v>2228313</v>
      </c>
      <c r="J564" s="338">
        <v>2228312</v>
      </c>
    </row>
    <row r="565" spans="1:10" s="20" customFormat="1" ht="78.75">
      <c r="A565" s="41" t="str">
        <f>IF(B565&gt;0,VLOOKUP(B565,КВСР!A455:B1620,2),IF(C565&gt;0,VLOOKUP(C565,КФСР!A455:B1967,2),IF(D565&gt;0,VLOOKUP(D565,Программа!A$1:B$5063,2),IF(F565&gt;0,VLOOKUP(F565,КВР!A$1:B$5001,2),IF(E565&gt;0,VLOOKUP(E565,Направление!A$1:B$4755,2))))))</f>
        <v>Ежемесячная денежная выплата, назначаемая в случае рождения третьего ребенка или последующих детей до достижения ребенком возраста трех лет</v>
      </c>
      <c r="B565" s="83"/>
      <c r="C565" s="76"/>
      <c r="D565" s="394"/>
      <c r="E565" s="501" t="s">
        <v>3090</v>
      </c>
      <c r="F565" s="77"/>
      <c r="G565" s="75">
        <v>21384000</v>
      </c>
      <c r="H565" s="75">
        <f t="shared" ref="H565:J565" si="188">H566+H567</f>
        <v>1870452</v>
      </c>
      <c r="I565" s="42">
        <f t="shared" si="174"/>
        <v>23254452</v>
      </c>
      <c r="J565" s="75">
        <f t="shared" si="188"/>
        <v>23252835</v>
      </c>
    </row>
    <row r="566" spans="1:10" s="20" customFormat="1" ht="31.5">
      <c r="A566" s="41" t="str">
        <f>IF(B566&gt;0,VLOOKUP(B566,КВСР!A456:B1621,2),IF(C566&gt;0,VLOOKUP(C566,КФСР!A456:B1968,2),IF(D566&gt;0,VLOOKUP(D566,Программа!A$1:B$5063,2),IF(F566&gt;0,VLOOKUP(F566,КВР!A$1:B$5001,2),IF(E566&gt;0,VLOOKUP(E566,Направление!A$1:B$4755,2))))))</f>
        <v>Закупка товаров, работ и услуг для государственных нужд</v>
      </c>
      <c r="B566" s="83"/>
      <c r="C566" s="76"/>
      <c r="D566" s="240"/>
      <c r="E566" s="501"/>
      <c r="F566" s="77">
        <v>200</v>
      </c>
      <c r="G566" s="346">
        <v>504000</v>
      </c>
      <c r="H566" s="338">
        <v>54703</v>
      </c>
      <c r="I566" s="42">
        <f t="shared" si="174"/>
        <v>558703</v>
      </c>
      <c r="J566" s="338">
        <v>558703</v>
      </c>
    </row>
    <row r="567" spans="1:10" s="20" customFormat="1" ht="31.5">
      <c r="A567" s="41" t="str">
        <f>IF(B567&gt;0,VLOOKUP(B567,КВСР!A457:B1622,2),IF(C567&gt;0,VLOOKUP(C567,КФСР!A457:B1969,2),IF(D567&gt;0,VLOOKUP(D567,Программа!A$1:B$5063,2),IF(F567&gt;0,VLOOKUP(F567,КВР!A$1:B$5001,2),IF(E567&gt;0,VLOOKUP(E567,Направление!A$1:B$4755,2))))))</f>
        <v>Социальное обеспечение и иные выплаты населению</v>
      </c>
      <c r="B567" s="83"/>
      <c r="C567" s="76"/>
      <c r="D567" s="240"/>
      <c r="E567" s="501"/>
      <c r="F567" s="77">
        <v>300</v>
      </c>
      <c r="G567" s="346">
        <v>20880000</v>
      </c>
      <c r="H567" s="338">
        <v>1815749</v>
      </c>
      <c r="I567" s="42">
        <f t="shared" si="174"/>
        <v>22695749</v>
      </c>
      <c r="J567" s="338">
        <v>22694132</v>
      </c>
    </row>
    <row r="568" spans="1:10" s="20" customFormat="1" ht="63" hidden="1">
      <c r="A568" s="41" t="str">
        <f>IF(B568&gt;0,VLOOKUP(B568,КВСР!A458:B1623,2),IF(C568&gt;0,VLOOKUP(C568,КФСР!A458:B1970,2),IF(D568&gt;0,VLOOKUP(D568,Программа!A$1:B$5063,2),IF(F568&gt;0,VLOOKUP(F568,КВР!A$1:B$5001,2),IF(E568&gt;0,VLOOKUP(E568,Направление!A$1:B$4755,2))))))</f>
        <v>Социальная защита семей с детьми, инвалидов, ветеранов, граждан и детей, оказавшихся в трудной жизненной ситуации</v>
      </c>
      <c r="B568" s="83"/>
      <c r="C568" s="76"/>
      <c r="D568" s="394" t="s">
        <v>2821</v>
      </c>
      <c r="E568" s="501"/>
      <c r="F568" s="77"/>
      <c r="G568" s="42">
        <v>3600</v>
      </c>
      <c r="H568" s="42">
        <f t="shared" ref="H568:J568" si="189">H569+H571</f>
        <v>-3600</v>
      </c>
      <c r="I568" s="42">
        <f t="shared" si="174"/>
        <v>0</v>
      </c>
      <c r="J568" s="42">
        <f t="shared" si="189"/>
        <v>0</v>
      </c>
    </row>
    <row r="569" spans="1:10" s="20" customFormat="1" ht="51" hidden="1" customHeight="1">
      <c r="A569" s="41" t="str">
        <f>IF(B569&gt;0,VLOOKUP(B569,КВСР!A459:B1624,2),IF(C569&gt;0,VLOOKUP(C569,КФСР!A459:B1971,2),IF(D569&gt;0,VLOOKUP(D569,Программа!A$1:B$5063,2),IF(F569&gt;0,VLOOKUP(F569,КВР!A$1:B$5001,2),IF(E569&gt;0,VLOOKUP(E569,Направление!A$1:B$4755,2))))))</f>
        <v xml:space="preserve">Расходы на укрепление института семьи, повышение качества жизни семей с несовершеннолетними детьми </v>
      </c>
      <c r="B569" s="83"/>
      <c r="C569" s="76"/>
      <c r="D569" s="394"/>
      <c r="E569" s="501" t="s">
        <v>2952</v>
      </c>
      <c r="F569" s="77"/>
      <c r="G569" s="42">
        <v>3600</v>
      </c>
      <c r="H569" s="42">
        <f t="shared" ref="H569:J569" si="190">H570</f>
        <v>-3600</v>
      </c>
      <c r="I569" s="42">
        <f t="shared" si="174"/>
        <v>0</v>
      </c>
      <c r="J569" s="42">
        <f t="shared" si="190"/>
        <v>0</v>
      </c>
    </row>
    <row r="570" spans="1:10" s="20" customFormat="1" ht="31.5" hidden="1">
      <c r="A570" s="41" t="str">
        <f>IF(B570&gt;0,VLOOKUP(B570,КВСР!A460:B1625,2),IF(C570&gt;0,VLOOKUP(C570,КФСР!A460:B1972,2),IF(D570&gt;0,VLOOKUP(D570,Программа!A$1:B$5063,2),IF(F570&gt;0,VLOOKUP(F570,КВР!A$1:B$5001,2),IF(E570&gt;0,VLOOKUP(E570,Направление!A$1:B$4755,2))))))</f>
        <v>Закупка товаров, работ и услуг для государственных нужд</v>
      </c>
      <c r="B570" s="83"/>
      <c r="C570" s="76"/>
      <c r="D570" s="240"/>
      <c r="E570" s="501"/>
      <c r="F570" s="77">
        <v>200</v>
      </c>
      <c r="G570" s="341">
        <v>3600</v>
      </c>
      <c r="H570" s="337">
        <v>-3600</v>
      </c>
      <c r="I570" s="42">
        <f t="shared" si="174"/>
        <v>0</v>
      </c>
      <c r="J570" s="337"/>
    </row>
    <row r="571" spans="1:10" s="20" customFormat="1" ht="78.75" hidden="1">
      <c r="A571" s="41" t="str">
        <f>IF(B571&gt;0,VLOOKUP(B571,КВСР!A461:B1626,2),IF(C571&gt;0,VLOOKUP(C571,КФСР!A461:B1973,2),IF(D571&gt;0,VLOOKUP(D571,Программа!A$1:B$5063,2),IF(F571&gt;0,VLOOKUP(F571,КВР!A$1:B$5001,2),IF(E571&gt;0,VLOOKUP(E571,Направление!A$1:B$4755,2))))))</f>
        <v>Расходы на укрепление института семьи, повышение качества жизни семей с несовершеннолетними детьми за счет средств областного бюджета</v>
      </c>
      <c r="B571" s="83"/>
      <c r="C571" s="76"/>
      <c r="D571" s="77"/>
      <c r="E571" s="83">
        <v>70970</v>
      </c>
      <c r="F571" s="77"/>
      <c r="G571" s="42">
        <v>0</v>
      </c>
      <c r="H571" s="42">
        <f t="shared" ref="H571:J571" si="191">H572</f>
        <v>0</v>
      </c>
      <c r="I571" s="42">
        <f t="shared" si="174"/>
        <v>0</v>
      </c>
      <c r="J571" s="42">
        <f t="shared" si="191"/>
        <v>0</v>
      </c>
    </row>
    <row r="572" spans="1:10" s="20" customFormat="1" ht="31.5" hidden="1">
      <c r="A572" s="41" t="str">
        <f>IF(B572&gt;0,VLOOKUP(B572,КВСР!A462:B1627,2),IF(C572&gt;0,VLOOKUP(C572,КФСР!A462:B1974,2),IF(D572&gt;0,VLOOKUP(D572,Программа!A$1:B$5063,2),IF(F572&gt;0,VLOOKUP(F572,КВР!A$1:B$5001,2),IF(E572&gt;0,VLOOKUP(E572,Направление!A$1:B$4755,2))))))</f>
        <v>Закупка товаров, работ и услуг для государственных нужд</v>
      </c>
      <c r="B572" s="83"/>
      <c r="C572" s="76"/>
      <c r="D572" s="77"/>
      <c r="E572" s="83"/>
      <c r="F572" s="77">
        <v>200</v>
      </c>
      <c r="G572" s="341">
        <v>0</v>
      </c>
      <c r="H572" s="337"/>
      <c r="I572" s="42">
        <f t="shared" si="174"/>
        <v>0</v>
      </c>
      <c r="J572" s="337"/>
    </row>
    <row r="573" spans="1:10" s="20" customFormat="1" ht="31.5">
      <c r="A573" s="41" t="str">
        <f>IF(B573&gt;0,VLOOKUP(B573,КВСР!A463:B1628,2),IF(C573&gt;0,VLOOKUP(C573,КФСР!A463:B1975,2),IF(D573&gt;0,VLOOKUP(D573,Программа!A$1:B$5063,2),IF(F573&gt;0,VLOOKUP(F573,КВР!A$1:B$5001,2),IF(E573&gt;0,VLOOKUP(E573,Направление!A$1:B$4755,2))))))</f>
        <v>Другие вопросы в области социальной политики</v>
      </c>
      <c r="B573" s="83"/>
      <c r="C573" s="76">
        <v>1006</v>
      </c>
      <c r="D573" s="69"/>
      <c r="E573" s="82"/>
      <c r="F573" s="77"/>
      <c r="G573" s="75">
        <v>13798111</v>
      </c>
      <c r="H573" s="75">
        <f>H579+H574+H592</f>
        <v>668920</v>
      </c>
      <c r="I573" s="75">
        <f>I579+I574+I592</f>
        <v>14467031</v>
      </c>
      <c r="J573" s="75">
        <f>J579+J574+J592</f>
        <v>14255590</v>
      </c>
    </row>
    <row r="574" spans="1:10" s="20" customFormat="1" ht="63" hidden="1">
      <c r="A574" s="41" t="str">
        <f>IF(B574&gt;0,VLOOKUP(B574,КВСР!A464:B1629,2),IF(C574&gt;0,VLOOKUP(C574,КФСР!A464:B1976,2),IF(D574&gt;0,VLOOKUP(D574,Программа!A$1:B$5063,2),IF(F574&gt;0,VLOOKUP(F574,КВР!A$1:B$5001,2),IF(E574&gt;0,VLOOKUP(E574,Направление!A$1:B$4755,2))))))</f>
        <v>Муниципальная программа "Развитие образования, физической культуры и спорта в Тутаевском муниципальном районе"</v>
      </c>
      <c r="B574" s="83"/>
      <c r="C574" s="76"/>
      <c r="D574" s="69" t="s">
        <v>2695</v>
      </c>
      <c r="E574" s="82"/>
      <c r="F574" s="77"/>
      <c r="G574" s="75">
        <v>0</v>
      </c>
      <c r="H574" s="75">
        <f t="shared" ref="H574:J577" si="192">H575</f>
        <v>0</v>
      </c>
      <c r="I574" s="42">
        <f t="shared" si="174"/>
        <v>0</v>
      </c>
      <c r="J574" s="75">
        <f t="shared" si="192"/>
        <v>0</v>
      </c>
    </row>
    <row r="575" spans="1:10" s="20" customFormat="1" ht="66" hidden="1" customHeight="1">
      <c r="A575" s="41" t="str">
        <f>IF(B575&gt;0,VLOOKUP(B575,КВСР!A465:B1630,2),IF(C575&gt;0,VLOOKUP(C575,КФСР!A465:B1977,2),IF(D575&gt;0,VLOOKUP(D575,Программа!A$1:B$5063,2),IF(F575&gt;0,VLOOKUP(F575,КВР!A$1:B$5001,2),IF(E575&gt;0,VLOOKUP(E575,Направление!A$1:B$4755,2))))))</f>
        <v>Муниципальная целевая программа "Духовно-нравственное воспитание и просвещение населения Тутаевского муниципального района"</v>
      </c>
      <c r="B575" s="83"/>
      <c r="C575" s="76"/>
      <c r="D575" s="69" t="s">
        <v>2811</v>
      </c>
      <c r="E575" s="82"/>
      <c r="F575" s="77"/>
      <c r="G575" s="75">
        <v>0</v>
      </c>
      <c r="H575" s="75">
        <f t="shared" si="192"/>
        <v>0</v>
      </c>
      <c r="I575" s="42">
        <f t="shared" si="174"/>
        <v>0</v>
      </c>
      <c r="J575" s="75">
        <f t="shared" si="192"/>
        <v>0</v>
      </c>
    </row>
    <row r="576" spans="1:10" s="20" customFormat="1" ht="63" hidden="1">
      <c r="A576" s="41" t="str">
        <f>IF(B576&gt;0,VLOOKUP(B576,КВСР!A466:B1631,2),IF(C576&gt;0,VLOOKUP(C576,КФСР!A466:B1978,2),IF(D576&gt;0,VLOOKUP(D576,Программа!A$1:B$5063,2),IF(F576&gt;0,VLOOKUP(F576,КВР!A$1:B$5001,2),IF(E576&gt;0,VLOOKUP(E576,Направление!A$1:B$4755,2))))))</f>
        <v>Реализация мер по созданию целостной системы духовно-нравственного воспитания и просвещения населения</v>
      </c>
      <c r="B576" s="83"/>
      <c r="C576" s="76"/>
      <c r="D576" s="69" t="s">
        <v>2813</v>
      </c>
      <c r="E576" s="82"/>
      <c r="F576" s="77"/>
      <c r="G576" s="75">
        <v>0</v>
      </c>
      <c r="H576" s="75">
        <f t="shared" si="192"/>
        <v>0</v>
      </c>
      <c r="I576" s="42">
        <f t="shared" si="174"/>
        <v>0</v>
      </c>
      <c r="J576" s="75">
        <f t="shared" si="192"/>
        <v>0</v>
      </c>
    </row>
    <row r="577" spans="1:10" s="20" customFormat="1" ht="48" hidden="1" customHeight="1">
      <c r="A577" s="41" t="str">
        <f>IF(B577&gt;0,VLOOKUP(B577,КВСР!A467:B1632,2),IF(C577&gt;0,VLOOKUP(C577,КФСР!A467:B1979,2),IF(D577&gt;0,VLOOKUP(D577,Программа!A$1:B$5063,2),IF(F577&gt;0,VLOOKUP(F577,КВР!A$1:B$5001,2),IF(E577&gt;0,VLOOKUP(E577,Направление!A$1:B$4755,2))))))</f>
        <v>Расходы на реализацию МЦП "Духовно - нравственное воспитание и просвещение населения ТМР"</v>
      </c>
      <c r="B577" s="83"/>
      <c r="C577" s="76"/>
      <c r="D577" s="69"/>
      <c r="E577" s="82">
        <v>13810</v>
      </c>
      <c r="F577" s="77"/>
      <c r="G577" s="75">
        <v>0</v>
      </c>
      <c r="H577" s="75">
        <f t="shared" si="192"/>
        <v>0</v>
      </c>
      <c r="I577" s="42">
        <f t="shared" si="174"/>
        <v>0</v>
      </c>
      <c r="J577" s="75">
        <f t="shared" si="192"/>
        <v>0</v>
      </c>
    </row>
    <row r="578" spans="1:10" s="20" customFormat="1" ht="31.5" hidden="1">
      <c r="A578" s="41" t="str">
        <f>IF(B578&gt;0,VLOOKUP(B578,КВСР!A468:B1633,2),IF(C578&gt;0,VLOOKUP(C578,КФСР!A468:B1980,2),IF(D578&gt;0,VLOOKUP(D578,Программа!A$1:B$5063,2),IF(F578&gt;0,VLOOKUP(F578,КВР!A$1:B$5001,2),IF(E578&gt;0,VLOOKUP(E578,Направление!A$1:B$4755,2))))))</f>
        <v>Закупка товаров, работ и услуг для государственных нужд</v>
      </c>
      <c r="B578" s="83"/>
      <c r="C578" s="76"/>
      <c r="D578" s="69"/>
      <c r="E578" s="82"/>
      <c r="F578" s="77">
        <v>200</v>
      </c>
      <c r="G578" s="346">
        <v>0</v>
      </c>
      <c r="H578" s="344"/>
      <c r="I578" s="42">
        <f t="shared" si="174"/>
        <v>0</v>
      </c>
      <c r="J578" s="344"/>
    </row>
    <row r="579" spans="1:10" s="20" customFormat="1" ht="49.5" customHeight="1">
      <c r="A579" s="41" t="str">
        <f>IF(B579&gt;0,VLOOKUP(B579,КВСР!A469:B1634,2),IF(C579&gt;0,VLOOKUP(C579,КФСР!A469:B1981,2),IF(D579&gt;0,VLOOKUP(D579,Программа!A$1:B$5063,2),IF(F579&gt;0,VLOOKUP(F579,КВР!A$1:B$5001,2),IF(E579&gt;0,VLOOKUP(E579,Направление!A$1:B$4755,2))))))</f>
        <v>Муниципальная программа "Социальная поддержка населения Тутаевского муниципального района"</v>
      </c>
      <c r="B579" s="83"/>
      <c r="C579" s="76"/>
      <c r="D579" s="69" t="s">
        <v>2765</v>
      </c>
      <c r="E579" s="82"/>
      <c r="F579" s="77"/>
      <c r="G579" s="75">
        <v>13792111</v>
      </c>
      <c r="H579" s="75">
        <f t="shared" ref="H579:J579" si="193">H581</f>
        <v>671520</v>
      </c>
      <c r="I579" s="42">
        <f t="shared" si="174"/>
        <v>14463631</v>
      </c>
      <c r="J579" s="75">
        <f t="shared" si="193"/>
        <v>14252190</v>
      </c>
    </row>
    <row r="580" spans="1:10" s="20" customFormat="1" ht="48" customHeight="1">
      <c r="A580" s="41" t="str">
        <f>IF(B580&gt;0,VLOOKUP(B580,КВСР!A470:B1635,2),IF(C580&gt;0,VLOOKUP(C580,КФСР!A470:B1982,2),IF(D580&gt;0,VLOOKUP(D580,Программа!A$1:B$5063,2),IF(F580&gt;0,VLOOKUP(F580,КВР!A$1:B$5001,2),IF(E580&gt;0,VLOOKUP(E580,Направление!A$1:B$4755,2))))))</f>
        <v xml:space="preserve">Ведомственная целевая программа «Социальная поддержка населения Тутаевского муниципального района» </v>
      </c>
      <c r="B580" s="83"/>
      <c r="C580" s="76"/>
      <c r="D580" s="69" t="s">
        <v>2767</v>
      </c>
      <c r="E580" s="82"/>
      <c r="F580" s="77"/>
      <c r="G580" s="75">
        <v>13792111</v>
      </c>
      <c r="H580" s="75">
        <f t="shared" ref="H580:J580" si="194">H581</f>
        <v>671520</v>
      </c>
      <c r="I580" s="42">
        <f t="shared" si="174"/>
        <v>14463631</v>
      </c>
      <c r="J580" s="75">
        <f t="shared" si="194"/>
        <v>14252190</v>
      </c>
    </row>
    <row r="581" spans="1:10" s="20" customFormat="1" ht="47.25">
      <c r="A581" s="41" t="str">
        <f>IF(B581&gt;0,VLOOKUP(B581,КВСР!A471:B1636,2),IF(C581&gt;0,VLOOKUP(C581,КФСР!A471:B1983,2),IF(D581&gt;0,VLOOKUP(D581,Программа!A$1:B$5063,2),IF(F581&gt;0,VLOOKUP(F581,КВР!A$1:B$5001,2),IF(E581&gt;0,VLOOKUP(E581,Направление!A$1:B$4755,2))))))</f>
        <v>Исполнение публичных обязательств по предоставлению выплат, пособий и компенсаций</v>
      </c>
      <c r="B581" s="83"/>
      <c r="C581" s="76"/>
      <c r="D581" s="69" t="s">
        <v>2818</v>
      </c>
      <c r="E581" s="82"/>
      <c r="F581" s="77"/>
      <c r="G581" s="75">
        <v>13792111</v>
      </c>
      <c r="H581" s="75">
        <f>H582+H588+H586</f>
        <v>671520</v>
      </c>
      <c r="I581" s="42">
        <f t="shared" si="174"/>
        <v>14463631</v>
      </c>
      <c r="J581" s="75">
        <f>J582+J588+J586</f>
        <v>14252190</v>
      </c>
    </row>
    <row r="582" spans="1:10" s="20" customFormat="1">
      <c r="A582" s="41" t="str">
        <f>IF(B582&gt;0,VLOOKUP(B582,КВСР!A472:B1637,2),IF(C582&gt;0,VLOOKUP(C582,КФСР!A472:B1984,2),IF(D582&gt;0,VLOOKUP(D582,Программа!A$1:B$5063,2),IF(F582&gt;0,VLOOKUP(F582,КВР!A$1:B$5001,2),IF(E582&gt;0,VLOOKUP(E582,Направление!A$1:B$4755,2))))))</f>
        <v>Содержание центрального аппарата</v>
      </c>
      <c r="B582" s="83"/>
      <c r="C582" s="76"/>
      <c r="D582" s="69"/>
      <c r="E582" s="82">
        <v>12010</v>
      </c>
      <c r="F582" s="77"/>
      <c r="G582" s="75">
        <v>392619</v>
      </c>
      <c r="H582" s="75">
        <f>H583+H584+H585</f>
        <v>-22068</v>
      </c>
      <c r="I582" s="75">
        <f>I583+I584+I585</f>
        <v>370551</v>
      </c>
      <c r="J582" s="75">
        <f>J583+J584+J585</f>
        <v>367110</v>
      </c>
    </row>
    <row r="583" spans="1:10" s="20" customFormat="1" ht="92.25" customHeight="1">
      <c r="A583" s="41" t="str">
        <f>IF(B583&gt;0,VLOOKUP(B583,КВСР!A473:B1638,2),IF(C583&gt;0,VLOOKUP(C583,КФСР!A473:B1985,2),IF(D583&gt;0,VLOOKUP(D583,Программа!A$1:B$5063,2),IF(F583&gt;0,VLOOKUP(F583,КВР!A$1:B$5001,2),IF(E583&gt;0,VLOOKUP(E583,Направление!A$1:B$4755,2))))))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3" s="83"/>
      <c r="C583" s="76"/>
      <c r="D583" s="81"/>
      <c r="E583" s="82"/>
      <c r="F583" s="77">
        <v>100</v>
      </c>
      <c r="G583" s="346">
        <v>322900</v>
      </c>
      <c r="H583" s="338">
        <v>-20574</v>
      </c>
      <c r="I583" s="42">
        <f t="shared" si="174"/>
        <v>302326</v>
      </c>
      <c r="J583" s="338">
        <v>298885</v>
      </c>
    </row>
    <row r="584" spans="1:10" s="20" customFormat="1" ht="31.5">
      <c r="A584" s="41" t="str">
        <f>IF(B584&gt;0,VLOOKUP(B584,КВСР!A474:B1639,2),IF(C584&gt;0,VLOOKUP(C584,КФСР!A474:B1986,2),IF(D584&gt;0,VLOOKUP(D584,Программа!A$1:B$5063,2),IF(F584&gt;0,VLOOKUP(F584,КВР!A$1:B$5001,2),IF(E584&gt;0,VLOOKUP(E584,Направление!A$1:B$4755,2))))))</f>
        <v>Закупка товаров, работ и услуг для государственных нужд</v>
      </c>
      <c r="B584" s="83"/>
      <c r="C584" s="76"/>
      <c r="D584" s="81"/>
      <c r="E584" s="82"/>
      <c r="F584" s="77">
        <v>200</v>
      </c>
      <c r="G584" s="346">
        <v>12999</v>
      </c>
      <c r="H584" s="338">
        <v>-1494</v>
      </c>
      <c r="I584" s="42">
        <f t="shared" si="174"/>
        <v>11505</v>
      </c>
      <c r="J584" s="338">
        <v>11505</v>
      </c>
    </row>
    <row r="585" spans="1:10" s="20" customFormat="1">
      <c r="A585" s="41" t="str">
        <f>IF(B585&gt;0,VLOOKUP(B585,КВСР!A475:B1640,2),IF(C585&gt;0,VLOOKUP(C585,КФСР!A475:B1987,2),IF(D585&gt;0,VLOOKUP(D585,Программа!A$1:B$5063,2),IF(F585&gt;0,VLOOKUP(F585,КВР!A$1:B$5001,2),IF(E585&gt;0,VLOOKUP(E585,Направление!A$1:B$4755,2))))))</f>
        <v>Иные бюджетные ассигнования</v>
      </c>
      <c r="B585" s="83"/>
      <c r="C585" s="76"/>
      <c r="D585" s="81"/>
      <c r="E585" s="82"/>
      <c r="F585" s="77">
        <v>800</v>
      </c>
      <c r="G585" s="346">
        <v>56720</v>
      </c>
      <c r="H585" s="338"/>
      <c r="I585" s="42">
        <f>G585+H585</f>
        <v>56720</v>
      </c>
      <c r="J585" s="338">
        <v>56720</v>
      </c>
    </row>
    <row r="586" spans="1:10" s="20" customFormat="1" ht="47.25" hidden="1">
      <c r="A586" s="41" t="str">
        <f>IF(B586&gt;0,VLOOKUP(B586,КВСР!A476:B1641,2),IF(C586&gt;0,VLOOKUP(C586,КФСР!A476:B1988,2),IF(D586&gt;0,VLOOKUP(D586,Программа!A$1:B$5063,2),IF(F586&gt;0,VLOOKUP(F586,КВР!A$1:B$5001,2),IF(E586&gt;0,VLOOKUP(E586,Направление!A$1:B$4755,2))))))</f>
        <v>Исполнение судебных актов, актов других органов и должностных лиц, иных документов</v>
      </c>
      <c r="B586" s="83"/>
      <c r="C586" s="76"/>
      <c r="D586" s="81"/>
      <c r="E586" s="82">
        <v>12130</v>
      </c>
      <c r="F586" s="77"/>
      <c r="G586" s="346">
        <v>0</v>
      </c>
      <c r="H586" s="346">
        <f t="shared" ref="H586:J586" si="195">H587</f>
        <v>0</v>
      </c>
      <c r="I586" s="346">
        <f t="shared" si="195"/>
        <v>0</v>
      </c>
      <c r="J586" s="346">
        <f t="shared" si="195"/>
        <v>0</v>
      </c>
    </row>
    <row r="587" spans="1:10" s="20" customFormat="1" hidden="1">
      <c r="A587" s="41" t="str">
        <f>IF(B587&gt;0,VLOOKUP(B587,КВСР!A477:B1642,2),IF(C587&gt;0,VLOOKUP(C587,КФСР!A477:B1989,2),IF(D587&gt;0,VLOOKUP(D587,Программа!A$1:B$5063,2),IF(F587&gt;0,VLOOKUP(F587,КВР!A$1:B$5001,2),IF(E587&gt;0,VLOOKUP(E587,Направление!A$1:B$4755,2))))))</f>
        <v>Иные бюджетные ассигнования</v>
      </c>
      <c r="B587" s="83"/>
      <c r="C587" s="76"/>
      <c r="D587" s="81"/>
      <c r="E587" s="82"/>
      <c r="F587" s="77">
        <v>800</v>
      </c>
      <c r="G587" s="346">
        <v>0</v>
      </c>
      <c r="H587" s="338"/>
      <c r="I587" s="42">
        <f>+H587+G587</f>
        <v>0</v>
      </c>
      <c r="J587" s="338"/>
    </row>
    <row r="588" spans="1:10" s="20" customFormat="1" ht="69.75" customHeight="1">
      <c r="A588" s="41" t="str">
        <f>IF(B588&gt;0,VLOOKUP(B588,КВСР!A478:B1643,2),IF(C588&gt;0,VLOOKUP(C588,КФСР!A478:B1990,2),IF(D588&gt;0,VLOOKUP(D588,Программа!A$1:B$5063,2),IF(F588&gt;0,VLOOKUP(F588,КВР!A$1:B$5001,2),IF(E588&gt;0,VLOOKUP(E588,Направление!A$1:B$4755,2))))))</f>
        <v>Расходы на обеспечение деятельности органов местного самоуправления в сфере социальной защиты населения за счет средств областного бюджета</v>
      </c>
      <c r="B588" s="83"/>
      <c r="C588" s="76"/>
      <c r="D588" s="391"/>
      <c r="E588" s="83">
        <v>70870</v>
      </c>
      <c r="F588" s="77"/>
      <c r="G588" s="75">
        <v>13399492</v>
      </c>
      <c r="H588" s="75">
        <f t="shared" ref="H588:J588" si="196">H589+H590+H591</f>
        <v>693588</v>
      </c>
      <c r="I588" s="42">
        <f t="shared" si="174"/>
        <v>14093080</v>
      </c>
      <c r="J588" s="75">
        <f t="shared" si="196"/>
        <v>13885080</v>
      </c>
    </row>
    <row r="589" spans="1:10" s="20" customFormat="1" ht="98.25" customHeight="1">
      <c r="A589" s="41" t="str">
        <f>IF(B589&gt;0,VLOOKUP(B589,КВСР!A479:B1644,2),IF(C589&gt;0,VLOOKUP(C589,КФСР!A479:B1991,2),IF(D589&gt;0,VLOOKUP(D589,Программа!A$1:B$5063,2),IF(F589&gt;0,VLOOKUP(F589,КВР!A$1:B$5001,2),IF(E589&gt;0,VLOOKUP(E589,Направление!A$1:B$4755,2))))))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9" s="83"/>
      <c r="C589" s="76"/>
      <c r="D589" s="77"/>
      <c r="E589" s="83"/>
      <c r="F589" s="77">
        <v>100</v>
      </c>
      <c r="G589" s="346">
        <v>11663392</v>
      </c>
      <c r="H589" s="338">
        <v>637208</v>
      </c>
      <c r="I589" s="42">
        <f t="shared" si="174"/>
        <v>12300600</v>
      </c>
      <c r="J589" s="338">
        <v>12092600</v>
      </c>
    </row>
    <row r="590" spans="1:10" s="20" customFormat="1" ht="31.5">
      <c r="A590" s="41" t="str">
        <f>IF(B590&gt;0,VLOOKUP(B590,КВСР!A480:B1645,2),IF(C590&gt;0,VLOOKUP(C590,КФСР!A480:B1992,2),IF(D590&gt;0,VLOOKUP(D590,Программа!A$1:B$5063,2),IF(F590&gt;0,VLOOKUP(F590,КВР!A$1:B$5001,2),IF(E590&gt;0,VLOOKUP(E590,Направление!A$1:B$4755,2))))))</f>
        <v>Закупка товаров, работ и услуг для государственных нужд</v>
      </c>
      <c r="B590" s="83"/>
      <c r="C590" s="76"/>
      <c r="D590" s="77"/>
      <c r="E590" s="83"/>
      <c r="F590" s="77">
        <v>200</v>
      </c>
      <c r="G590" s="346">
        <v>1721223</v>
      </c>
      <c r="H590" s="338">
        <v>56380</v>
      </c>
      <c r="I590" s="42">
        <f t="shared" si="174"/>
        <v>1777603</v>
      </c>
      <c r="J590" s="338">
        <v>1777603</v>
      </c>
    </row>
    <row r="591" spans="1:10" s="20" customFormat="1">
      <c r="A591" s="41" t="str">
        <f>IF(B591&gt;0,VLOOKUP(B591,КВСР!A481:B1646,2),IF(C591&gt;0,VLOOKUP(C591,КФСР!A481:B1993,2),IF(D591&gt;0,VLOOKUP(D591,Программа!A$1:B$5063,2),IF(F591&gt;0,VLOOKUP(F591,КВР!A$1:B$5001,2),IF(E591&gt;0,VLOOKUP(E591,Направление!A$1:B$4755,2))))))</f>
        <v>Иные бюджетные ассигнования</v>
      </c>
      <c r="B591" s="83"/>
      <c r="C591" s="76"/>
      <c r="D591" s="77"/>
      <c r="E591" s="83"/>
      <c r="F591" s="77">
        <v>800</v>
      </c>
      <c r="G591" s="346">
        <v>14877</v>
      </c>
      <c r="H591" s="338"/>
      <c r="I591" s="42">
        <f t="shared" si="174"/>
        <v>14877</v>
      </c>
      <c r="J591" s="338">
        <v>14877</v>
      </c>
    </row>
    <row r="592" spans="1:10" s="20" customFormat="1" ht="63">
      <c r="A592" s="41" t="str">
        <f>IF(B592&gt;0,VLOOKUP(B592,КВСР!A482:B1647,2),IF(C592&gt;0,VLOOKUP(C592,КФСР!A482:B1994,2),IF(D592&gt;0,VLOOKUP(D592,Программа!A$1:B$5063,2),IF(F592&gt;0,VLOOKUP(F592,КВР!A$1:B$5001,2),IF(E592&gt;0,VLOOKUP(E592,Направление!A$1:B$4755,2))))))</f>
        <v>Муниципальная программа "Профилактика правонарушений и усиление борьбы с преступностью в Тутаевском муниципальном районе"</v>
      </c>
      <c r="B592" s="83"/>
      <c r="C592" s="76"/>
      <c r="D592" s="77" t="s">
        <v>2833</v>
      </c>
      <c r="E592" s="83"/>
      <c r="F592" s="77"/>
      <c r="G592" s="346">
        <v>6000</v>
      </c>
      <c r="H592" s="346">
        <f t="shared" ref="H592:J592" si="197">H593</f>
        <v>-2600</v>
      </c>
      <c r="I592" s="346">
        <f t="shared" si="197"/>
        <v>3400</v>
      </c>
      <c r="J592" s="346">
        <f t="shared" si="197"/>
        <v>3400</v>
      </c>
    </row>
    <row r="593" spans="1:10" s="20" customFormat="1" ht="31.5">
      <c r="A593" s="41" t="str">
        <f>IF(B593&gt;0,VLOOKUP(B593,КВСР!A483:B1648,2),IF(C593&gt;0,VLOOKUP(C593,КФСР!A483:B1995,2),IF(D593&gt;0,VLOOKUP(D593,Программа!A$1:B$5063,2),IF(F593&gt;0,VLOOKUP(F593,КВР!A$1:B$5001,2),IF(E593&gt;0,VLOOKUP(E593,Направление!A$1:B$4755,2))))))</f>
        <v>Реализация мероприятий по профилактике правонарушений</v>
      </c>
      <c r="B593" s="83"/>
      <c r="C593" s="76"/>
      <c r="D593" s="77" t="s">
        <v>2835</v>
      </c>
      <c r="E593" s="83"/>
      <c r="F593" s="77"/>
      <c r="G593" s="346">
        <v>6000</v>
      </c>
      <c r="H593" s="346">
        <f t="shared" ref="H593:J593" si="198">H594</f>
        <v>-2600</v>
      </c>
      <c r="I593" s="346">
        <f t="shared" si="198"/>
        <v>3400</v>
      </c>
      <c r="J593" s="346">
        <f t="shared" si="198"/>
        <v>3400</v>
      </c>
    </row>
    <row r="594" spans="1:10" s="20" customFormat="1" ht="47.25">
      <c r="A594" s="41" t="str">
        <f>IF(B594&gt;0,VLOOKUP(B594,КВСР!A484:B1649,2),IF(C594&gt;0,VLOOKUP(C594,КФСР!A484:B1996,2),IF(D594&gt;0,VLOOKUP(D594,Программа!A$1:B$5063,2),IF(F594&gt;0,VLOOKUP(F594,КВР!A$1:B$5001,2),IF(E594&gt;0,VLOOKUP(E594,Направление!A$1:B$4755,2))))))</f>
        <v>Расходы на профилактику правонарушений и усиления борьбы с преступностью</v>
      </c>
      <c r="B594" s="83"/>
      <c r="C594" s="76"/>
      <c r="D594" s="77"/>
      <c r="E594" s="83">
        <v>12250</v>
      </c>
      <c r="F594" s="77"/>
      <c r="G594" s="346">
        <v>6000</v>
      </c>
      <c r="H594" s="346">
        <f t="shared" ref="H594:J594" si="199">H595</f>
        <v>-2600</v>
      </c>
      <c r="I594" s="346">
        <f t="shared" si="199"/>
        <v>3400</v>
      </c>
      <c r="J594" s="346">
        <f t="shared" si="199"/>
        <v>3400</v>
      </c>
    </row>
    <row r="595" spans="1:10" s="20" customFormat="1" ht="63">
      <c r="A595" s="41" t="str">
        <f>IF(B595&gt;0,VLOOKUP(B595,КВСР!A485:B1650,2),IF(C595&gt;0,VLOOKUP(C595,КФСР!A485:B1997,2),IF(D595&gt;0,VLOOKUP(D595,Программа!A$1:B$5063,2),IF(F595&gt;0,VLOOKUP(F595,КВР!A$1:B$5001,2),IF(E595&gt;0,VLOOKUP(E595,Направление!A$1:B$4755,2))))))</f>
        <v>Предоставление субсидий бюджетным, автономным учреждениям и иным некоммерческим организациям</v>
      </c>
      <c r="B595" s="83"/>
      <c r="C595" s="76"/>
      <c r="D595" s="77"/>
      <c r="E595" s="83"/>
      <c r="F595" s="77">
        <v>600</v>
      </c>
      <c r="G595" s="346">
        <v>6000</v>
      </c>
      <c r="H595" s="338">
        <v>-2600</v>
      </c>
      <c r="I595" s="42">
        <f>G595+H595</f>
        <v>3400</v>
      </c>
      <c r="J595" s="338">
        <v>3400</v>
      </c>
    </row>
    <row r="596" spans="1:10" s="20" customFormat="1" ht="31.5">
      <c r="A596" s="41" t="str">
        <f>IF(B596&gt;0,VLOOKUP(B596,КВСР!A482:B1647,2),IF(C596&gt;0,VLOOKUP(C596,КФСР!A482:B1994,2),IF(D596&gt;0,VLOOKUP(D596,Программа!A$1:B$5063,2),IF(F596&gt;0,VLOOKUP(F596,КВР!A$1:B$5001,2),IF(E596&gt;0,VLOOKUP(E596,Направление!A$1:B$4755,2))))))</f>
        <v>Департамент финансов администрации ТМР</v>
      </c>
      <c r="B596" s="79">
        <v>955</v>
      </c>
      <c r="C596" s="80"/>
      <c r="D596" s="69"/>
      <c r="E596" s="82"/>
      <c r="F596" s="81"/>
      <c r="G596" s="47">
        <v>42916177</v>
      </c>
      <c r="H596" s="47">
        <f>H597+H608+H626+H630+H635</f>
        <v>-258461</v>
      </c>
      <c r="I596" s="78">
        <f t="shared" si="174"/>
        <v>42657716</v>
      </c>
      <c r="J596" s="47">
        <f>J597+J608+J626+J630+J635</f>
        <v>40651857</v>
      </c>
    </row>
    <row r="597" spans="1:10" s="20" customFormat="1" ht="78.75">
      <c r="A597" s="41" t="str">
        <f>IF(B597&gt;0,VLOOKUP(B597,КВСР!A483:B1648,2),IF(C597&gt;0,VLOOKUP(C597,КФСР!A483:B1995,2),IF(D597&gt;0,VLOOKUP(D597,Программа!A$1:B$5063,2),IF(F597&gt;0,VLOOKUP(F597,КВР!A$1:B$5001,2),IF(E597&gt;0,VLOOKUP(E597,Направление!A$1:B$4755,2))))))</f>
        <v>Обеспечение деятельности финансовых, налоговых и таможенных органов и органов финансового (финансово-бюджетного) надзора</v>
      </c>
      <c r="B597" s="83"/>
      <c r="C597" s="76">
        <v>106</v>
      </c>
      <c r="D597" s="391"/>
      <c r="E597" s="83"/>
      <c r="F597" s="77"/>
      <c r="G597" s="43">
        <v>16186025</v>
      </c>
      <c r="H597" s="43">
        <f t="shared" ref="H597:J597" si="200">H598</f>
        <v>-204907</v>
      </c>
      <c r="I597" s="42">
        <f t="shared" si="174"/>
        <v>15981118</v>
      </c>
      <c r="J597" s="43">
        <f t="shared" si="200"/>
        <v>15906686</v>
      </c>
    </row>
    <row r="598" spans="1:10" s="20" customFormat="1" ht="63">
      <c r="A598" s="41" t="str">
        <f>IF(B598&gt;0,VLOOKUP(B598,КВСР!A484:B1649,2),IF(C598&gt;0,VLOOKUP(C598,КФСР!A484:B1996,2),IF(D598&gt;0,VLOOKUP(D598,Программа!A$1:B$5063,2),IF(F598&gt;0,VLOOKUP(F598,КВР!A$1:B$5001,2),IF(E598&gt;0,VLOOKUP(E598,Направление!A$1:B$4755,2))))))</f>
        <v>Муниципальная программа "Повышение эффективности управления муниципальными финансами"</v>
      </c>
      <c r="B598" s="83"/>
      <c r="C598" s="76"/>
      <c r="D598" s="391" t="s">
        <v>2795</v>
      </c>
      <c r="E598" s="83"/>
      <c r="F598" s="77"/>
      <c r="G598" s="43">
        <v>16186025</v>
      </c>
      <c r="H598" s="43">
        <f t="shared" ref="H598:J598" si="201">H601+H605</f>
        <v>-204907</v>
      </c>
      <c r="I598" s="42">
        <f t="shared" si="174"/>
        <v>15981118</v>
      </c>
      <c r="J598" s="43">
        <f t="shared" si="201"/>
        <v>15906686</v>
      </c>
    </row>
    <row r="599" spans="1:10" s="20" customFormat="1" ht="54" customHeight="1">
      <c r="A599" s="41" t="str">
        <f>IF(B599&gt;0,VLOOKUP(B599,КВСР!A485:B1650,2),IF(C599&gt;0,VLOOKUP(C599,КФСР!A485:B1997,2),IF(D599&gt;0,VLOOKUP(D599,Программа!A$1:B$5063,2),IF(F599&gt;0,VLOOKUP(F599,КВР!A$1:B$5001,2),IF(E599&gt;0,VLOOKUP(E599,Направление!A$1:B$4755,2))))))</f>
        <v>Ведомственная целевая программа департамента финансов администрации Тутаевского муниципального района</v>
      </c>
      <c r="B599" s="83"/>
      <c r="C599" s="76"/>
      <c r="D599" s="391" t="s">
        <v>2800</v>
      </c>
      <c r="E599" s="83"/>
      <c r="F599" s="77"/>
      <c r="G599" s="43">
        <v>16186025</v>
      </c>
      <c r="H599" s="43">
        <f t="shared" ref="H599:J599" si="202">H600</f>
        <v>-204907</v>
      </c>
      <c r="I599" s="42">
        <f t="shared" si="174"/>
        <v>15981118</v>
      </c>
      <c r="J599" s="43">
        <f t="shared" si="202"/>
        <v>15906686</v>
      </c>
    </row>
    <row r="600" spans="1:10" s="20" customFormat="1" ht="31.5">
      <c r="A600" s="41" t="str">
        <f>IF(B600&gt;0,VLOOKUP(B600,КВСР!A486:B1651,2),IF(C600&gt;0,VLOOKUP(C600,КФСР!A486:B1998,2),IF(D600&gt;0,VLOOKUP(D600,Программа!A$1:B$5063,2),IF(F600&gt;0,VLOOKUP(F600,КВР!A$1:B$5001,2),IF(E600&gt;0,VLOOKUP(E600,Направление!A$1:B$4755,2))))))</f>
        <v>Обеспечение деятельности финансового органа</v>
      </c>
      <c r="B600" s="83"/>
      <c r="C600" s="76"/>
      <c r="D600" s="391" t="s">
        <v>2829</v>
      </c>
      <c r="E600" s="83"/>
      <c r="F600" s="77"/>
      <c r="G600" s="43">
        <v>16186025</v>
      </c>
      <c r="H600" s="43">
        <f t="shared" ref="H600:J600" si="203">H601+H605</f>
        <v>-204907</v>
      </c>
      <c r="I600" s="42">
        <f t="shared" si="174"/>
        <v>15981118</v>
      </c>
      <c r="J600" s="43">
        <f t="shared" si="203"/>
        <v>15906686</v>
      </c>
    </row>
    <row r="601" spans="1:10" s="20" customFormat="1">
      <c r="A601" s="41" t="str">
        <f>IF(B601&gt;0,VLOOKUP(B601,КВСР!A487:B1652,2),IF(C601&gt;0,VLOOKUP(C601,КФСР!A487:B1999,2),IF(D601&gt;0,VLOOKUP(D601,Программа!A$1:B$5063,2),IF(F601&gt;0,VLOOKUP(F601,КВР!A$1:B$5001,2),IF(E601&gt;0,VLOOKUP(E601,Направление!A$1:B$4755,2))))))</f>
        <v>Содержание центрального аппарата</v>
      </c>
      <c r="B601" s="83"/>
      <c r="C601" s="76"/>
      <c r="D601" s="69"/>
      <c r="E601" s="82">
        <v>12010</v>
      </c>
      <c r="F601" s="77"/>
      <c r="G601" s="75">
        <v>13770069</v>
      </c>
      <c r="H601" s="75">
        <f t="shared" ref="H601:J601" si="204">H602+H603+H604</f>
        <v>-204907</v>
      </c>
      <c r="I601" s="42">
        <f t="shared" si="174"/>
        <v>13565162</v>
      </c>
      <c r="J601" s="75">
        <f t="shared" si="204"/>
        <v>13490730</v>
      </c>
    </row>
    <row r="602" spans="1:10" ht="98.25" customHeight="1">
      <c r="A602" s="41" t="str">
        <f>IF(B602&gt;0,VLOOKUP(B602,КВСР!A488:B1653,2),IF(C602&gt;0,VLOOKUP(C602,КФСР!A488:B2000,2),IF(D602&gt;0,VLOOKUP(D602,Программа!A$1:B$5063,2),IF(F602&gt;0,VLOOKUP(F602,КВР!A$1:B$5001,2),IF(E602&gt;0,VLOOKUP(E602,Направление!A$1:B$4755,2))))))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02" s="83"/>
      <c r="C602" s="76"/>
      <c r="D602" s="77"/>
      <c r="E602" s="83"/>
      <c r="F602" s="77">
        <v>100</v>
      </c>
      <c r="G602" s="341">
        <v>12245414</v>
      </c>
      <c r="H602" s="337"/>
      <c r="I602" s="42">
        <f t="shared" si="174"/>
        <v>12245414</v>
      </c>
      <c r="J602" s="337">
        <v>12194733</v>
      </c>
    </row>
    <row r="603" spans="1:10" ht="31.5">
      <c r="A603" s="41" t="str">
        <f>IF(B603&gt;0,VLOOKUP(B603,КВСР!A489:B1654,2),IF(C603&gt;0,VLOOKUP(C603,КФСР!A489:B2001,2),IF(D603&gt;0,VLOOKUP(D603,Программа!A$1:B$5063,2),IF(F603&gt;0,VLOOKUP(F603,КВР!A$1:B$5001,2),IF(E603&gt;0,VLOOKUP(E603,Направление!A$1:B$4755,2))))))</f>
        <v>Закупка товаров, работ и услуг для государственных нужд</v>
      </c>
      <c r="B603" s="83"/>
      <c r="C603" s="76"/>
      <c r="D603" s="77"/>
      <c r="E603" s="83"/>
      <c r="F603" s="77">
        <v>200</v>
      </c>
      <c r="G603" s="341">
        <v>1450155</v>
      </c>
      <c r="H603" s="337">
        <f>-140000-25020</f>
        <v>-165020</v>
      </c>
      <c r="I603" s="42">
        <f t="shared" ref="I603:I700" si="205">SUM(G603:H603)</f>
        <v>1285135</v>
      </c>
      <c r="J603" s="337">
        <v>1261384</v>
      </c>
    </row>
    <row r="604" spans="1:10">
      <c r="A604" s="41" t="str">
        <f>IF(B604&gt;0,VLOOKUP(B604,КВСР!A490:B1655,2),IF(C604&gt;0,VLOOKUP(C604,КФСР!A490:B2002,2),IF(D604&gt;0,VLOOKUP(D604,Программа!A$1:B$5063,2),IF(F604&gt;0,VLOOKUP(F604,КВР!A$1:B$5001,2),IF(E604&gt;0,VLOOKUP(E604,Направление!A$1:B$4755,2))))))</f>
        <v>Иные бюджетные ассигнования</v>
      </c>
      <c r="B604" s="83"/>
      <c r="C604" s="76"/>
      <c r="D604" s="77"/>
      <c r="E604" s="83"/>
      <c r="F604" s="77">
        <v>800</v>
      </c>
      <c r="G604" s="341">
        <v>74500</v>
      </c>
      <c r="H604" s="337">
        <v>-39887</v>
      </c>
      <c r="I604" s="42">
        <f t="shared" si="205"/>
        <v>34613</v>
      </c>
      <c r="J604" s="337">
        <v>34613</v>
      </c>
    </row>
    <row r="605" spans="1:10" ht="47.25">
      <c r="A605" s="41" t="str">
        <f>IF(B605&gt;0,VLOOKUP(B605,КВСР!A491:B1656,2),IF(C605&gt;0,VLOOKUP(C605,КФСР!A491:B2003,2),IF(D605&gt;0,VLOOKUP(D605,Программа!A$1:B$5063,2),IF(F605&gt;0,VLOOKUP(F605,КВР!A$1:B$5001,2),IF(E605&gt;0,VLOOKUP(E605,Направление!A$1:B$4755,2))))))</f>
        <v>Содержание органов местного самоуправления за счет средств поселений</v>
      </c>
      <c r="B605" s="83"/>
      <c r="C605" s="76"/>
      <c r="D605" s="391"/>
      <c r="E605" s="83">
        <v>29016</v>
      </c>
      <c r="F605" s="77"/>
      <c r="G605" s="42">
        <v>2415956</v>
      </c>
      <c r="H605" s="42">
        <f t="shared" ref="H605:J605" si="206">H607+H606</f>
        <v>0</v>
      </c>
      <c r="I605" s="42">
        <f t="shared" si="205"/>
        <v>2415956</v>
      </c>
      <c r="J605" s="42">
        <f t="shared" si="206"/>
        <v>2415956</v>
      </c>
    </row>
    <row r="606" spans="1:10" ht="96" customHeight="1">
      <c r="A606" s="41" t="str">
        <f>IF(B606&gt;0,VLOOKUP(B606,КВСР!A492:B1657,2),IF(C606&gt;0,VLOOKUP(C606,КФСР!A492:B2004,2),IF(D606&gt;0,VLOOKUP(D606,Программа!A$1:B$5063,2),IF(F606&gt;0,VLOOKUP(F606,КВР!A$1:B$5001,2),IF(E606&gt;0,VLOOKUP(E606,Направление!A$1:B$4755,2))))))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06" s="83"/>
      <c r="C606" s="76"/>
      <c r="D606" s="391"/>
      <c r="E606" s="83"/>
      <c r="F606" s="77">
        <v>100</v>
      </c>
      <c r="G606" s="341">
        <v>2196323</v>
      </c>
      <c r="H606" s="345"/>
      <c r="I606" s="42">
        <f t="shared" si="205"/>
        <v>2196323</v>
      </c>
      <c r="J606" s="345">
        <v>2196323</v>
      </c>
    </row>
    <row r="607" spans="1:10" ht="31.5">
      <c r="A607" s="41" t="str">
        <f>IF(B607&gt;0,VLOOKUP(B607,КВСР!A493:B1658,2),IF(C607&gt;0,VLOOKUP(C607,КФСР!A493:B2005,2),IF(D607&gt;0,VLOOKUP(D607,Программа!A$1:B$5063,2),IF(F607&gt;0,VLOOKUP(F607,КВР!A$1:B$5001,2),IF(E607&gt;0,VLOOKUP(E607,Направление!A$1:B$4755,2))))))</f>
        <v>Закупка товаров, работ и услуг для государственных нужд</v>
      </c>
      <c r="B607" s="83"/>
      <c r="C607" s="76"/>
      <c r="D607" s="77"/>
      <c r="E607" s="83"/>
      <c r="F607" s="77">
        <v>200</v>
      </c>
      <c r="G607" s="341">
        <v>219633</v>
      </c>
      <c r="H607" s="337"/>
      <c r="I607" s="42">
        <f t="shared" si="205"/>
        <v>219633</v>
      </c>
      <c r="J607" s="337">
        <v>219633</v>
      </c>
    </row>
    <row r="608" spans="1:10" ht="31.5">
      <c r="A608" s="41" t="str">
        <f>IF(B608&gt;0,VLOOKUP(B608,КВСР!A494:B1659,2),IF(C608&gt;0,VLOOKUP(C608,КФСР!A494:B2006,2),IF(D608&gt;0,VLOOKUP(D608,Программа!A$1:B$5063,2),IF(F608&gt;0,VLOOKUP(F608,КВР!A$1:B$5001,2),IF(E608&gt;0,VLOOKUP(E608,Направление!A$1:B$4755,2))))))</f>
        <v>Другие общегосударственные вопросы</v>
      </c>
      <c r="B608" s="83"/>
      <c r="C608" s="76">
        <v>113</v>
      </c>
      <c r="D608" s="77"/>
      <c r="E608" s="83"/>
      <c r="F608" s="77"/>
      <c r="G608" s="42">
        <v>3499250</v>
      </c>
      <c r="H608" s="42">
        <f>H614+H621+H609</f>
        <v>-53554</v>
      </c>
      <c r="I608" s="42">
        <f>I614+I621+I609</f>
        <v>3445696</v>
      </c>
      <c r="J608" s="42">
        <f>J614+J621+J609</f>
        <v>2294942</v>
      </c>
    </row>
    <row r="609" spans="1:10" ht="63">
      <c r="A609" s="41" t="str">
        <f>IF(B609&gt;0,VLOOKUP(B609,КВСР!A495:B1660,2),IF(C609&gt;0,VLOOKUP(C609,КФСР!A495:B2007,2),IF(D609&gt;0,VLOOKUP(D609,Программа!A$1:B$5063,2),IF(F609&gt;0,VLOOKUP(F609,КВР!A$1:B$5001,2),IF(E609&gt;0,VLOOKUP(E609,Направление!A$1:B$4755,2))))))</f>
        <v>Муниципальная программа "Социальная поддержка населения Тутаевского муниципального района"</v>
      </c>
      <c r="B609" s="83"/>
      <c r="C609" s="76"/>
      <c r="D609" s="77" t="s">
        <v>2765</v>
      </c>
      <c r="E609" s="83"/>
      <c r="F609" s="77"/>
      <c r="G609" s="42">
        <f>G610</f>
        <v>0</v>
      </c>
      <c r="H609" s="42">
        <f t="shared" ref="H609:J609" si="207">H610</f>
        <v>25020</v>
      </c>
      <c r="I609" s="42">
        <f t="shared" si="207"/>
        <v>25020</v>
      </c>
      <c r="J609" s="42">
        <f t="shared" si="207"/>
        <v>25020</v>
      </c>
    </row>
    <row r="610" spans="1:10" ht="63">
      <c r="A610" s="41" t="str">
        <f>IF(B610&gt;0,VLOOKUP(B610,КВСР!A496:B1661,2),IF(C610&gt;0,VLOOKUP(C610,КФСР!A496:B2008,2),IF(D610&gt;0,VLOOKUP(D610,Программа!A$1:B$5063,2),IF(F610&gt;0,VLOOKUP(F610,КВР!A$1:B$5001,2),IF(E610&gt;0,VLOOKUP(E610,Направление!A$1:B$4755,2))))))</f>
        <v>Муниципальная целевая программа "Улучшение условий и охраны труда" по Тутаевскому муниципальному району</v>
      </c>
      <c r="B610" s="83"/>
      <c r="C610" s="76"/>
      <c r="D610" s="391" t="s">
        <v>2807</v>
      </c>
      <c r="E610" s="83"/>
      <c r="F610" s="77"/>
      <c r="G610" s="42">
        <f>G611</f>
        <v>0</v>
      </c>
      <c r="H610" s="42">
        <f t="shared" ref="H610:J610" si="208">H611</f>
        <v>25020</v>
      </c>
      <c r="I610" s="42">
        <f t="shared" si="208"/>
        <v>25020</v>
      </c>
      <c r="J610" s="42">
        <f t="shared" si="208"/>
        <v>25020</v>
      </c>
    </row>
    <row r="611" spans="1:10" ht="78.75">
      <c r="A611" s="41" t="str">
        <f>IF(B611&gt;0,VLOOKUP(B611,КВСР!A497:B1662,2),IF(C611&gt;0,VLOOKUP(C611,КФСР!A497:B2009,2),IF(D611&gt;0,VLOOKUP(D611,Программа!A$1:B$5063,2),IF(F611&gt;0,VLOOKUP(F611,КВР!A$1:B$5001,2),IF(E611&gt;0,VLOOKUP(E611,Направление!A$1:B$4755,2))))))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611" s="83"/>
      <c r="C611" s="76"/>
      <c r="D611" s="391" t="s">
        <v>2926</v>
      </c>
      <c r="E611" s="83"/>
      <c r="F611" s="77"/>
      <c r="G611" s="42">
        <f>G612</f>
        <v>0</v>
      </c>
      <c r="H611" s="42">
        <f>H612</f>
        <v>25020</v>
      </c>
      <c r="I611" s="42">
        <f>I612</f>
        <v>25020</v>
      </c>
      <c r="J611" s="42">
        <f>J612</f>
        <v>25020</v>
      </c>
    </row>
    <row r="612" spans="1:10" ht="47.25">
      <c r="A612" s="41" t="str">
        <f>IF(B612&gt;0,VLOOKUP(B612,КВСР!A498:B1663,2),IF(C612&gt;0,VLOOKUP(C612,КФСР!A498:B2010,2),IF(D612&gt;0,VLOOKUP(D612,Программа!A$1:B$5063,2),IF(F612&gt;0,VLOOKUP(F612,КВР!A$1:B$5001,2),IF(E612&gt;0,VLOOKUP(E612,Направление!A$1:B$4755,2))))))</f>
        <v>Расходы на реализацию МЦП "Улучшение условий и охраны труда"</v>
      </c>
      <c r="B612" s="83"/>
      <c r="C612" s="76"/>
      <c r="D612" s="77"/>
      <c r="E612" s="83">
        <v>16150</v>
      </c>
      <c r="F612" s="77"/>
      <c r="G612" s="42">
        <f>G613</f>
        <v>0</v>
      </c>
      <c r="H612" s="42">
        <f t="shared" ref="H612:J612" si="209">H613</f>
        <v>25020</v>
      </c>
      <c r="I612" s="42">
        <f t="shared" si="209"/>
        <v>25020</v>
      </c>
      <c r="J612" s="42">
        <f t="shared" si="209"/>
        <v>25020</v>
      </c>
    </row>
    <row r="613" spans="1:10" ht="31.5">
      <c r="A613" s="41" t="str">
        <f>IF(B613&gt;0,VLOOKUP(B613,КВСР!A499:B1664,2),IF(C613&gt;0,VLOOKUP(C613,КФСР!A499:B2011,2),IF(D613&gt;0,VLOOKUP(D613,Программа!A$1:B$5063,2),IF(F613&gt;0,VLOOKUP(F613,КВР!A$1:B$5001,2),IF(E613&gt;0,VLOOKUP(E613,Направление!A$1:B$4755,2))))))</f>
        <v>Закупка товаров, работ и услуг для государственных нужд</v>
      </c>
      <c r="B613" s="83"/>
      <c r="C613" s="76"/>
      <c r="D613" s="77"/>
      <c r="E613" s="83"/>
      <c r="F613" s="77">
        <v>200</v>
      </c>
      <c r="G613" s="42"/>
      <c r="H613" s="42">
        <v>25020</v>
      </c>
      <c r="I613" s="42">
        <f>G613+H613</f>
        <v>25020</v>
      </c>
      <c r="J613" s="42">
        <v>25020</v>
      </c>
    </row>
    <row r="614" spans="1:10" ht="78.75">
      <c r="A614" s="41" t="str">
        <f>IF(B614&gt;0,VLOOKUP(B614,КВСР!A495:B1660,2),IF(C614&gt;0,VLOOKUP(C614,КФСР!A495:B2007,2),IF(D614&gt;0,VLOOKUP(D614,Программа!A$1:B$5063,2),IF(F614&gt;0,VLOOKUP(F614,КВР!A$1:B$5001,2),IF(E614&gt;0,VLOOKUP(E614,Направление!A$1:B$4755,2))))))</f>
        <v>Муниципальная программа "Информатизация управленческой деятельности Администрации Тутаевского муниципального района"</v>
      </c>
      <c r="B614" s="83"/>
      <c r="C614" s="76"/>
      <c r="D614" s="77" t="s">
        <v>2838</v>
      </c>
      <c r="E614" s="83"/>
      <c r="F614" s="77"/>
      <c r="G614" s="42">
        <v>1412400</v>
      </c>
      <c r="H614" s="42">
        <f t="shared" ref="H614:J614" si="210">H615+H618</f>
        <v>-78574</v>
      </c>
      <c r="I614" s="42">
        <f t="shared" si="205"/>
        <v>1333826</v>
      </c>
      <c r="J614" s="42">
        <f t="shared" si="210"/>
        <v>1248813</v>
      </c>
    </row>
    <row r="615" spans="1:10" ht="47.25">
      <c r="A615" s="41" t="str">
        <f>IF(B615&gt;0,VLOOKUP(B615,КВСР!A496:B1661,2),IF(C615&gt;0,VLOOKUP(C615,КФСР!A496:B2008,2),IF(D615&gt;0,VLOOKUP(D615,Программа!A$1:B$5063,2),IF(F615&gt;0,VLOOKUP(F615,КВР!A$1:B$5001,2),IF(E615&gt;0,VLOOKUP(E615,Направление!A$1:B$4755,2))))))</f>
        <v>Обеспечение бесперебойного функционирования  программного обеспечения</v>
      </c>
      <c r="B615" s="83"/>
      <c r="C615" s="76"/>
      <c r="D615" s="77" t="s">
        <v>2839</v>
      </c>
      <c r="E615" s="83"/>
      <c r="F615" s="77"/>
      <c r="G615" s="42">
        <v>1200400</v>
      </c>
      <c r="H615" s="42">
        <f t="shared" ref="H615:J616" si="211">H616</f>
        <v>-92964</v>
      </c>
      <c r="I615" s="42">
        <f t="shared" si="205"/>
        <v>1107436</v>
      </c>
      <c r="J615" s="42">
        <f t="shared" si="211"/>
        <v>1022423</v>
      </c>
    </row>
    <row r="616" spans="1:10" ht="31.5">
      <c r="A616" s="41" t="str">
        <f>IF(B616&gt;0,VLOOKUP(B616,КВСР!A497:B1662,2),IF(C616&gt;0,VLOOKUP(C616,КФСР!A497:B2009,2),IF(D616&gt;0,VLOOKUP(D616,Программа!A$1:B$5063,2),IF(F616&gt;0,VLOOKUP(F616,КВР!A$1:B$5001,2),IF(E616&gt;0,VLOOKUP(E616,Направление!A$1:B$4755,2))))))</f>
        <v>Расходы на проведение мероприятий по информатизации</v>
      </c>
      <c r="B616" s="83"/>
      <c r="C616" s="76"/>
      <c r="D616" s="77"/>
      <c r="E616" s="83">
        <v>12210</v>
      </c>
      <c r="F616" s="77"/>
      <c r="G616" s="42">
        <v>1200400</v>
      </c>
      <c r="H616" s="42">
        <f t="shared" si="211"/>
        <v>-92964</v>
      </c>
      <c r="I616" s="42">
        <f t="shared" si="205"/>
        <v>1107436</v>
      </c>
      <c r="J616" s="42">
        <f t="shared" si="211"/>
        <v>1022423</v>
      </c>
    </row>
    <row r="617" spans="1:10" ht="31.5">
      <c r="A617" s="41" t="str">
        <f>IF(B617&gt;0,VLOOKUP(B617,КВСР!A498:B1663,2),IF(C617&gt;0,VLOOKUP(C617,КФСР!A498:B2010,2),IF(D617&gt;0,VLOOKUP(D617,Программа!A$1:B$5063,2),IF(F617&gt;0,VLOOKUP(F617,КВР!A$1:B$5001,2),IF(E617&gt;0,VLOOKUP(E617,Направление!A$1:B$4755,2))))))</f>
        <v>Закупка товаров, работ и услуг для государственных нужд</v>
      </c>
      <c r="B617" s="83"/>
      <c r="C617" s="76"/>
      <c r="D617" s="77"/>
      <c r="E617" s="83"/>
      <c r="F617" s="77">
        <v>200</v>
      </c>
      <c r="G617" s="341">
        <v>1200400</v>
      </c>
      <c r="H617" s="337">
        <f>-78574-14390</f>
        <v>-92964</v>
      </c>
      <c r="I617" s="42">
        <f t="shared" si="205"/>
        <v>1107436</v>
      </c>
      <c r="J617" s="337">
        <v>1022423</v>
      </c>
    </row>
    <row r="618" spans="1:10" ht="66" customHeight="1">
      <c r="A618" s="41" t="str">
        <f>IF(B618&gt;0,VLOOKUP(B618,КВСР!A499:B1664,2),IF(C618&gt;0,VLOOKUP(C618,КФСР!A499:B2011,2),IF(D618&gt;0,VLOOKUP(D618,Программа!A$1:B$5063,2),IF(F618&gt;0,VLOOKUP(F618,КВР!A$1:B$5001,2),IF(E618&gt;0,VLOOKUP(E618,Направление!A$1:B$4755,2))))))</f>
        <v>Закупка компьютерного оборудования  и оргтехники для бесперебойного обеспечения деятельности органов местного самоуправления</v>
      </c>
      <c r="B618" s="83"/>
      <c r="C618" s="76"/>
      <c r="D618" s="77" t="s">
        <v>2847</v>
      </c>
      <c r="E618" s="83"/>
      <c r="F618" s="77"/>
      <c r="G618" s="42">
        <v>212000</v>
      </c>
      <c r="H618" s="42">
        <f t="shared" ref="H618:J619" si="212">H619</f>
        <v>14390</v>
      </c>
      <c r="I618" s="42">
        <f t="shared" si="205"/>
        <v>226390</v>
      </c>
      <c r="J618" s="42">
        <f t="shared" si="212"/>
        <v>226390</v>
      </c>
    </row>
    <row r="619" spans="1:10" ht="31.5">
      <c r="A619" s="41" t="str">
        <f>IF(B619&gt;0,VLOOKUP(B619,КВСР!A500:B1665,2),IF(C619&gt;0,VLOOKUP(C619,КФСР!A500:B2012,2),IF(D619&gt;0,VLOOKUP(D619,Программа!A$1:B$5063,2),IF(F619&gt;0,VLOOKUP(F619,КВР!A$1:B$5001,2),IF(E619&gt;0,VLOOKUP(E619,Направление!A$1:B$4755,2))))))</f>
        <v>Расходы на проведение мероприятий по информатизации</v>
      </c>
      <c r="B619" s="83"/>
      <c r="C619" s="76"/>
      <c r="D619" s="77"/>
      <c r="E619" s="83">
        <v>12210</v>
      </c>
      <c r="F619" s="77"/>
      <c r="G619" s="42">
        <v>212000</v>
      </c>
      <c r="H619" s="42">
        <f t="shared" si="212"/>
        <v>14390</v>
      </c>
      <c r="I619" s="42">
        <f t="shared" si="205"/>
        <v>226390</v>
      </c>
      <c r="J619" s="42">
        <f t="shared" si="212"/>
        <v>226390</v>
      </c>
    </row>
    <row r="620" spans="1:10" ht="31.5">
      <c r="A620" s="41" t="str">
        <f>IF(B620&gt;0,VLOOKUP(B620,КВСР!A501:B1666,2),IF(C620&gt;0,VLOOKUP(C620,КФСР!A501:B2013,2),IF(D620&gt;0,VLOOKUP(D620,Программа!A$1:B$5063,2),IF(F620&gt;0,VLOOKUP(F620,КВР!A$1:B$5001,2),IF(E620&gt;0,VLOOKUP(E620,Направление!A$1:B$4755,2))))))</f>
        <v>Закупка товаров, работ и услуг для государственных нужд</v>
      </c>
      <c r="B620" s="83"/>
      <c r="C620" s="76"/>
      <c r="D620" s="77"/>
      <c r="E620" s="83"/>
      <c r="F620" s="77">
        <v>200</v>
      </c>
      <c r="G620" s="341">
        <v>212000</v>
      </c>
      <c r="H620" s="337">
        <v>14390</v>
      </c>
      <c r="I620" s="42">
        <f t="shared" si="205"/>
        <v>226390</v>
      </c>
      <c r="J620" s="337">
        <v>226390</v>
      </c>
    </row>
    <row r="621" spans="1:10" ht="31.5">
      <c r="A621" s="41" t="str">
        <f>IF(B621&gt;0,VLOOKUP(B621,КВСР!A502:B1667,2),IF(C621&gt;0,VLOOKUP(C621,КФСР!A502:B2014,2),IF(D621&gt;0,VLOOKUP(D621,Программа!A$1:B$5063,2),IF(F621&gt;0,VLOOKUP(F621,КВР!A$1:B$5001,2),IF(E621&gt;0,VLOOKUP(E621,Направление!A$1:B$4755,2))))))</f>
        <v>Межбюджетные трансферты  поселениям района</v>
      </c>
      <c r="B621" s="83"/>
      <c r="C621" s="76"/>
      <c r="D621" s="77" t="s">
        <v>2809</v>
      </c>
      <c r="E621" s="83"/>
      <c r="F621" s="77"/>
      <c r="G621" s="341">
        <v>2086850</v>
      </c>
      <c r="H621" s="341">
        <f>H622+H624</f>
        <v>0</v>
      </c>
      <c r="I621" s="341">
        <f>I622+I624</f>
        <v>2086850</v>
      </c>
      <c r="J621" s="341">
        <f>J622+J624</f>
        <v>1021109</v>
      </c>
    </row>
    <row r="622" spans="1:10" ht="47.25">
      <c r="A622" s="41" t="str">
        <f>IF(B622&gt;0,VLOOKUP(B622,КВСР!A503:B1668,2),IF(C622&gt;0,VLOOKUP(C622,КФСР!A503:B2015,2),IF(D622&gt;0,VLOOKUP(D622,Программа!A$1:B$5063,2),IF(F622&gt;0,VLOOKUP(F622,КВР!A$1:B$5001,2),IF(E622&gt;0,VLOOKUP(E622,Направление!A$1:B$4755,2))))))</f>
        <v>Расходы на развитие органов местного самоуправления на территории ЯО</v>
      </c>
      <c r="B622" s="83"/>
      <c r="C622" s="76"/>
      <c r="D622" s="77"/>
      <c r="E622" s="83">
        <v>72280</v>
      </c>
      <c r="F622" s="77"/>
      <c r="G622" s="341">
        <v>1697000</v>
      </c>
      <c r="H622" s="341">
        <f t="shared" ref="H622:J622" si="213">H623</f>
        <v>0</v>
      </c>
      <c r="I622" s="341">
        <f t="shared" si="213"/>
        <v>1697000</v>
      </c>
      <c r="J622" s="341">
        <f t="shared" si="213"/>
        <v>684000</v>
      </c>
    </row>
    <row r="623" spans="1:10">
      <c r="A623" s="41" t="str">
        <f>IF(B623&gt;0,VLOOKUP(B623,КВСР!A504:B1669,2),IF(C623&gt;0,VLOOKUP(C623,КФСР!A504:B2016,2),IF(D623&gt;0,VLOOKUP(D623,Программа!A$1:B$5063,2),IF(F623&gt;0,VLOOKUP(F623,КВР!A$1:B$5001,2),IF(E623&gt;0,VLOOKUP(E623,Направление!A$1:B$4755,2))))))</f>
        <v xml:space="preserve"> Межбюджетные трансферты</v>
      </c>
      <c r="B623" s="83"/>
      <c r="C623" s="76"/>
      <c r="D623" s="77"/>
      <c r="E623" s="83"/>
      <c r="F623" s="77">
        <v>500</v>
      </c>
      <c r="G623" s="341">
        <v>1697000</v>
      </c>
      <c r="H623" s="337"/>
      <c r="I623" s="42">
        <f>G623+H623</f>
        <v>1697000</v>
      </c>
      <c r="J623" s="337">
        <v>684000</v>
      </c>
    </row>
    <row r="624" spans="1:10" ht="63">
      <c r="A624" s="41" t="str">
        <f>IF(B624&gt;0,VLOOKUP(B624,КВСР!A505:B1670,2),IF(C624&gt;0,VLOOKUP(C624,КФСР!A505:B2017,2),IF(D624&gt;0,VLOOKUP(D624,Программа!A$1:B$5063,2),IF(F624&gt;0,VLOOKUP(F624,КВР!A$1:B$5001,2),IF(E624&gt;0,VLOOKUP(E624,Направление!A$1:B$4755,2))))))</f>
        <v>Мероприятия по содействию решению вопросов местного значения по обращению депутатов Ярославской областной Думы</v>
      </c>
      <c r="B624" s="83"/>
      <c r="C624" s="76"/>
      <c r="D624" s="77"/>
      <c r="E624" s="83">
        <v>74430</v>
      </c>
      <c r="F624" s="77"/>
      <c r="G624" s="341">
        <v>389850</v>
      </c>
      <c r="H624" s="341">
        <f t="shared" ref="H624:J624" si="214">H625</f>
        <v>0</v>
      </c>
      <c r="I624" s="341">
        <f t="shared" si="214"/>
        <v>389850</v>
      </c>
      <c r="J624" s="341">
        <f t="shared" si="214"/>
        <v>337109</v>
      </c>
    </row>
    <row r="625" spans="1:10">
      <c r="A625" s="41" t="str">
        <f>IF(B625&gt;0,VLOOKUP(B625,КВСР!A506:B1671,2),IF(C625&gt;0,VLOOKUP(C625,КФСР!A506:B2018,2),IF(D625&gt;0,VLOOKUP(D625,Программа!A$1:B$5063,2),IF(F625&gt;0,VLOOKUP(F625,КВР!A$1:B$5001,2),IF(E625&gt;0,VLOOKUP(E625,Направление!A$1:B$4755,2))))))</f>
        <v xml:space="preserve"> Межбюджетные трансферты</v>
      </c>
      <c r="B625" s="83"/>
      <c r="C625" s="76"/>
      <c r="D625" s="77"/>
      <c r="E625" s="83"/>
      <c r="F625" s="77">
        <v>500</v>
      </c>
      <c r="G625" s="341">
        <v>389850</v>
      </c>
      <c r="H625" s="337"/>
      <c r="I625" s="42">
        <f>G625+H625</f>
        <v>389850</v>
      </c>
      <c r="J625" s="337">
        <v>337109</v>
      </c>
    </row>
    <row r="626" spans="1:10" ht="31.5">
      <c r="A626" s="41" t="str">
        <f>IF(B626&gt;0,VLOOKUP(B626,КВСР!A505:B1670,2),IF(C626&gt;0,VLOOKUP(C626,КФСР!A505:B2017,2),IF(D626&gt;0,VLOOKUP(D626,Программа!A$1:B$5063,2),IF(F626&gt;0,VLOOKUP(F626,КВР!A$1:B$5001,2),IF(E626&gt;0,VLOOKUP(E626,Направление!A$1:B$4755,2))))))</f>
        <v>Мобилизационная и вневойсковая подготовка</v>
      </c>
      <c r="B626" s="83"/>
      <c r="C626" s="76">
        <v>203</v>
      </c>
      <c r="D626" s="391"/>
      <c r="E626" s="83"/>
      <c r="F626" s="77"/>
      <c r="G626" s="42">
        <v>682902</v>
      </c>
      <c r="H626" s="42">
        <f t="shared" ref="H626:J628" si="215">H627</f>
        <v>0</v>
      </c>
      <c r="I626" s="42">
        <f t="shared" si="205"/>
        <v>682902</v>
      </c>
      <c r="J626" s="42">
        <f t="shared" si="215"/>
        <v>682902</v>
      </c>
    </row>
    <row r="627" spans="1:10" ht="31.5">
      <c r="A627" s="41" t="str">
        <f>IF(B627&gt;0,VLOOKUP(B627,КВСР!A506:B1671,2),IF(C627&gt;0,VLOOKUP(C627,КФСР!A506:B2018,2),IF(D627&gt;0,VLOOKUP(D627,Программа!A$1:B$5063,2),IF(F627&gt;0,VLOOKUP(F627,КВР!A$1:B$5001,2),IF(E627&gt;0,VLOOKUP(E627,Направление!A$1:B$4755,2))))))</f>
        <v>Межбюджетные трансферты  поселениям района</v>
      </c>
      <c r="B627" s="83"/>
      <c r="C627" s="76"/>
      <c r="D627" s="391" t="s">
        <v>2809</v>
      </c>
      <c r="E627" s="83"/>
      <c r="F627" s="77"/>
      <c r="G627" s="42">
        <v>682902</v>
      </c>
      <c r="H627" s="42">
        <f t="shared" si="215"/>
        <v>0</v>
      </c>
      <c r="I627" s="42">
        <f t="shared" si="205"/>
        <v>682902</v>
      </c>
      <c r="J627" s="42">
        <f t="shared" si="215"/>
        <v>682902</v>
      </c>
    </row>
    <row r="628" spans="1:10" ht="63">
      <c r="A628" s="41" t="str">
        <f>IF(B628&gt;0,VLOOKUP(B628,КВСР!A507:B1672,2),IF(C628&gt;0,VLOOKUP(C628,КФСР!A507:B2019,2),IF(D628&gt;0,VLOOKUP(D628,Программа!A$1:B$5063,2),IF(F628&gt;0,VLOOKUP(F628,КВР!A$1:B$5001,2),IF(E628&gt;0,VLOOKUP(E628,Направление!A$1:B$4755,2))))))</f>
        <v>Субвенция  на осуществление первичного воинского учета на территориях, где отсутствуют военные комиссариаты</v>
      </c>
      <c r="B628" s="83"/>
      <c r="C628" s="76"/>
      <c r="D628" s="391"/>
      <c r="E628" s="83">
        <v>51180</v>
      </c>
      <c r="F628" s="77"/>
      <c r="G628" s="42">
        <v>682902</v>
      </c>
      <c r="H628" s="42">
        <f t="shared" si="215"/>
        <v>0</v>
      </c>
      <c r="I628" s="42">
        <f t="shared" si="205"/>
        <v>682902</v>
      </c>
      <c r="J628" s="42">
        <f t="shared" si="215"/>
        <v>682902</v>
      </c>
    </row>
    <row r="629" spans="1:10">
      <c r="A629" s="41" t="str">
        <f>IF(B629&gt;0,VLOOKUP(B629,КВСР!A508:B1673,2),IF(C629&gt;0,VLOOKUP(C629,КФСР!A508:B2020,2),IF(D629&gt;0,VLOOKUP(D629,Программа!A$1:B$5063,2),IF(F629&gt;0,VLOOKUP(F629,КВР!A$1:B$5001,2),IF(E629&gt;0,VLOOKUP(E629,Направление!A$1:B$4755,2))))))</f>
        <v xml:space="preserve"> Межбюджетные трансферты</v>
      </c>
      <c r="B629" s="83"/>
      <c r="C629" s="76"/>
      <c r="D629" s="77"/>
      <c r="E629" s="83"/>
      <c r="F629" s="77">
        <v>500</v>
      </c>
      <c r="G629" s="341">
        <v>682902</v>
      </c>
      <c r="H629" s="337"/>
      <c r="I629" s="42">
        <f t="shared" si="205"/>
        <v>682902</v>
      </c>
      <c r="J629" s="337">
        <v>682902</v>
      </c>
    </row>
    <row r="630" spans="1:10" ht="47.25">
      <c r="A630" s="41" t="str">
        <f>IF(B630&gt;0,VLOOKUP(B630,КВСР!A509:B1674,2),IF(C630&gt;0,VLOOKUP(C630,КФСР!A509:B2021,2),IF(D630&gt;0,VLOOKUP(D630,Программа!A$1:B$5063,2),IF(F630&gt;0,VLOOKUP(F630,КВР!A$1:B$5001,2),IF(E630&gt;0,VLOOKUP(E630,Направление!A$1:B$4755,2))))))</f>
        <v>Обслуживание внутреннего государственного и муниципального долга</v>
      </c>
      <c r="B630" s="83"/>
      <c r="C630" s="76">
        <v>1301</v>
      </c>
      <c r="D630" s="391"/>
      <c r="E630" s="83"/>
      <c r="F630" s="77"/>
      <c r="G630" s="43">
        <v>1800000</v>
      </c>
      <c r="H630" s="43">
        <f t="shared" ref="H630:J630" si="216">H632</f>
        <v>0</v>
      </c>
      <c r="I630" s="42">
        <f t="shared" si="205"/>
        <v>1800000</v>
      </c>
      <c r="J630" s="43">
        <f t="shared" si="216"/>
        <v>1760327</v>
      </c>
    </row>
    <row r="631" spans="1:10" ht="63">
      <c r="A631" s="41" t="str">
        <f>IF(B631&gt;0,VLOOKUP(B631,КВСР!A510:B1675,2),IF(C631&gt;0,VLOOKUP(C631,КФСР!A510:B2022,2),IF(D631&gt;0,VLOOKUP(D631,Программа!A$1:B$5063,2),IF(F631&gt;0,VLOOKUP(F631,КВР!A$1:B$5001,2),IF(E631&gt;0,VLOOKUP(E631,Направление!A$1:B$4755,2))))))</f>
        <v>Муниципальная программа "Повышение эффективности управления муниципальными финансами"</v>
      </c>
      <c r="B631" s="83"/>
      <c r="C631" s="76"/>
      <c r="D631" s="391" t="s">
        <v>2795</v>
      </c>
      <c r="E631" s="83"/>
      <c r="F631" s="77"/>
      <c r="G631" s="43">
        <v>1800000</v>
      </c>
      <c r="H631" s="43">
        <f t="shared" ref="H631:J631" si="217">H632</f>
        <v>0</v>
      </c>
      <c r="I631" s="42">
        <f t="shared" si="205"/>
        <v>1800000</v>
      </c>
      <c r="J631" s="43">
        <f t="shared" si="217"/>
        <v>1760327</v>
      </c>
    </row>
    <row r="632" spans="1:10" ht="31.5">
      <c r="A632" s="41" t="str">
        <f>IF(B632&gt;0,VLOOKUP(B632,КВСР!A511:B1676,2),IF(C632&gt;0,VLOOKUP(C632,КФСР!A511:B2023,2),IF(D632&gt;0,VLOOKUP(D632,Программа!A$1:B$5063,2),IF(F632&gt;0,VLOOKUP(F632,КВР!A$1:B$5001,2),IF(E632&gt;0,VLOOKUP(E632,Направление!A$1:B$4755,2))))))</f>
        <v xml:space="preserve">Повышение эффективности управления муниципальным долгом </v>
      </c>
      <c r="B632" s="83"/>
      <c r="C632" s="76"/>
      <c r="D632" s="391" t="s">
        <v>2798</v>
      </c>
      <c r="E632" s="83"/>
      <c r="F632" s="77"/>
      <c r="G632" s="43">
        <v>1800000</v>
      </c>
      <c r="H632" s="43">
        <f t="shared" ref="H632:J633" si="218">H633</f>
        <v>0</v>
      </c>
      <c r="I632" s="42">
        <f t="shared" si="205"/>
        <v>1800000</v>
      </c>
      <c r="J632" s="43">
        <f t="shared" si="218"/>
        <v>1760327</v>
      </c>
    </row>
    <row r="633" spans="1:10" ht="38.25" customHeight="1">
      <c r="A633" s="41" t="str">
        <f>IF(B633&gt;0,VLOOKUP(B633,КВСР!A512:B1677,2),IF(C633&gt;0,VLOOKUP(C633,КФСР!A512:B2024,2),IF(D633&gt;0,VLOOKUP(D633,Программа!A$1:B$5063,2),IF(F633&gt;0,VLOOKUP(F633,КВР!A$1:B$5001,2),IF(E633&gt;0,VLOOKUP(E633,Направление!A$1:B$4755,2))))))</f>
        <v>Процентные платежи по обслуживанию муниципального долга</v>
      </c>
      <c r="B633" s="83"/>
      <c r="C633" s="76"/>
      <c r="D633" s="391"/>
      <c r="E633" s="83">
        <v>12800</v>
      </c>
      <c r="F633" s="77"/>
      <c r="G633" s="43">
        <v>1800000</v>
      </c>
      <c r="H633" s="43">
        <f t="shared" si="218"/>
        <v>0</v>
      </c>
      <c r="I633" s="42">
        <f t="shared" si="205"/>
        <v>1800000</v>
      </c>
      <c r="J633" s="43">
        <f t="shared" si="218"/>
        <v>1760327</v>
      </c>
    </row>
    <row r="634" spans="1:10" ht="31.5">
      <c r="A634" s="41" t="str">
        <f>IF(B634&gt;0,VLOOKUP(B634,КВСР!A513:B1678,2),IF(C634&gt;0,VLOOKUP(C634,КФСР!A513:B2025,2),IF(D634&gt;0,VLOOKUP(D634,Программа!A$1:B$5063,2),IF(F634&gt;0,VLOOKUP(F634,КВР!A$1:B$5001,2),IF(E634&gt;0,VLOOKUP(E634,Направление!A$1:B$4755,2))))))</f>
        <v>Обслуживание государственного долга Российской Федерации</v>
      </c>
      <c r="B634" s="83"/>
      <c r="C634" s="76"/>
      <c r="D634" s="77"/>
      <c r="E634" s="83"/>
      <c r="F634" s="77">
        <v>700</v>
      </c>
      <c r="G634" s="341">
        <v>1800000</v>
      </c>
      <c r="H634" s="337"/>
      <c r="I634" s="42">
        <f t="shared" si="205"/>
        <v>1800000</v>
      </c>
      <c r="J634" s="337">
        <v>1760327</v>
      </c>
    </row>
    <row r="635" spans="1:10" ht="63">
      <c r="A635" s="41" t="str">
        <f>IF(B635&gt;0,VLOOKUP(B635,КВСР!A514:B1679,2),IF(C635&gt;0,VLOOKUP(C635,КФСР!A514:B2026,2),IF(D635&gt;0,VLOOKUP(D635,Программа!A$1:B$5063,2),IF(F635&gt;0,VLOOKUP(F635,КВР!A$1:B$5001,2),IF(E635&gt;0,VLOOKUP(E635,Направление!A$1:B$4755,2))))))</f>
        <v>Дотации на выравнивание бюджетной обеспеченности субъектов Российской Федерации и муниципальных образований</v>
      </c>
      <c r="B635" s="83"/>
      <c r="C635" s="76">
        <v>1401</v>
      </c>
      <c r="D635" s="391"/>
      <c r="E635" s="83"/>
      <c r="F635" s="77"/>
      <c r="G635" s="43">
        <v>20748000</v>
      </c>
      <c r="H635" s="43">
        <f t="shared" ref="H635:J635" si="219">H637</f>
        <v>0</v>
      </c>
      <c r="I635" s="42">
        <f t="shared" si="205"/>
        <v>20748000</v>
      </c>
      <c r="J635" s="43">
        <f t="shared" si="219"/>
        <v>20007000</v>
      </c>
    </row>
    <row r="636" spans="1:10" ht="63">
      <c r="A636" s="41" t="str">
        <f>IF(B636&gt;0,VLOOKUP(B636,КВСР!A515:B1680,2),IF(C636&gt;0,VLOOKUP(C636,КФСР!A515:B2027,2),IF(D636&gt;0,VLOOKUP(D636,Программа!A$1:B$5063,2),IF(F636&gt;0,VLOOKUP(F636,КВР!A$1:B$5001,2),IF(E636&gt;0,VLOOKUP(E636,Направление!A$1:B$4755,2))))))</f>
        <v>Муниципальная программа "Повышение эффективности управления муниципальными финансами"</v>
      </c>
      <c r="B636" s="83"/>
      <c r="C636" s="76"/>
      <c r="D636" s="391" t="s">
        <v>2795</v>
      </c>
      <c r="E636" s="83"/>
      <c r="F636" s="77"/>
      <c r="G636" s="43">
        <v>20748000</v>
      </c>
      <c r="H636" s="43">
        <f t="shared" ref="H636:J636" si="220">H637</f>
        <v>0</v>
      </c>
      <c r="I636" s="42">
        <f t="shared" si="205"/>
        <v>20748000</v>
      </c>
      <c r="J636" s="43">
        <f t="shared" si="220"/>
        <v>20007000</v>
      </c>
    </row>
    <row r="637" spans="1:10" ht="31.5">
      <c r="A637" s="41" t="str">
        <f>IF(B637&gt;0,VLOOKUP(B637,КВСР!A516:B1681,2),IF(C637&gt;0,VLOOKUP(C637,КФСР!A516:B2028,2),IF(D637&gt;0,VLOOKUP(D637,Программа!A$1:B$5063,2),IF(F637&gt;0,VLOOKUP(F637,КВР!A$1:B$5001,2),IF(E637&gt;0,VLOOKUP(E637,Направление!A$1:B$4755,2))))))</f>
        <v>Совершенствование межбюджетных отношений</v>
      </c>
      <c r="B637" s="83"/>
      <c r="C637" s="76"/>
      <c r="D637" s="391" t="s">
        <v>2796</v>
      </c>
      <c r="E637" s="83"/>
      <c r="F637" s="77"/>
      <c r="G637" s="42">
        <v>20748000</v>
      </c>
      <c r="H637" s="42">
        <f t="shared" ref="H637:J637" si="221">H638+H640</f>
        <v>0</v>
      </c>
      <c r="I637" s="42">
        <f t="shared" si="205"/>
        <v>20748000</v>
      </c>
      <c r="J637" s="42">
        <f t="shared" si="221"/>
        <v>20007000</v>
      </c>
    </row>
    <row r="638" spans="1:10" ht="47.25">
      <c r="A638" s="41" t="str">
        <f>IF(B638&gt;0,VLOOKUP(B638,КВСР!A517:B1682,2),IF(C638&gt;0,VLOOKUP(C638,КФСР!A517:B2029,2),IF(D638&gt;0,VLOOKUP(D638,Программа!A$1:B$5063,2),IF(F638&gt;0,VLOOKUP(F638,КВР!A$1:B$5001,2),IF(E638&gt;0,VLOOKUP(E638,Направление!A$1:B$4755,2))))))</f>
        <v>Дотации поселениям района  на выравнивание бюджетной обеспеченности</v>
      </c>
      <c r="B638" s="83"/>
      <c r="C638" s="76"/>
      <c r="D638" s="391"/>
      <c r="E638" s="83">
        <v>10800</v>
      </c>
      <c r="F638" s="77"/>
      <c r="G638" s="93">
        <v>400000</v>
      </c>
      <c r="H638" s="93">
        <f t="shared" ref="H638:J638" si="222">H639</f>
        <v>0</v>
      </c>
      <c r="I638" s="42">
        <f t="shared" si="205"/>
        <v>400000</v>
      </c>
      <c r="J638" s="93">
        <f t="shared" si="222"/>
        <v>400000</v>
      </c>
    </row>
    <row r="639" spans="1:10">
      <c r="A639" s="41" t="str">
        <f>IF(B639&gt;0,VLOOKUP(B639,КВСР!A518:B1683,2),IF(C639&gt;0,VLOOKUP(C639,КФСР!A518:B2030,2),IF(D639&gt;0,VLOOKUP(D639,Программа!A$1:B$5063,2),IF(F639&gt;0,VLOOKUP(F639,КВР!A$1:B$5001,2),IF(E639&gt;0,VLOOKUP(E639,Направление!A$1:B$4755,2))))))</f>
        <v xml:space="preserve"> Межбюджетные трансферты</v>
      </c>
      <c r="B639" s="83"/>
      <c r="C639" s="76"/>
      <c r="D639" s="77"/>
      <c r="E639" s="83"/>
      <c r="F639" s="77">
        <v>500</v>
      </c>
      <c r="G639" s="494">
        <v>400000</v>
      </c>
      <c r="H639" s="339"/>
      <c r="I639" s="42">
        <f t="shared" si="205"/>
        <v>400000</v>
      </c>
      <c r="J639" s="339">
        <v>400000</v>
      </c>
    </row>
    <row r="640" spans="1:10" ht="47.25">
      <c r="A640" s="41" t="str">
        <f>IF(B640&gt;0,VLOOKUP(B640,КВСР!A519:B1684,2),IF(C640&gt;0,VLOOKUP(C640,КФСР!A519:B2031,2),IF(D640&gt;0,VLOOKUP(D640,Программа!A$1:B$5063,2),IF(F640&gt;0,VLOOKUP(F640,КВР!A$1:B$5001,2),IF(E640&gt;0,VLOOKUP(E640,Направление!A$1:B$4755,2))))))</f>
        <v>Дотации поселениям Ярославской области на выравнивание бюджетной обеспеченности</v>
      </c>
      <c r="B640" s="83"/>
      <c r="C640" s="76"/>
      <c r="D640" s="391"/>
      <c r="E640" s="83">
        <v>72970</v>
      </c>
      <c r="F640" s="77"/>
      <c r="G640" s="93">
        <v>20348000</v>
      </c>
      <c r="H640" s="93">
        <f t="shared" ref="H640:J640" si="223">H641</f>
        <v>0</v>
      </c>
      <c r="I640" s="42">
        <f t="shared" si="205"/>
        <v>20348000</v>
      </c>
      <c r="J640" s="93">
        <f t="shared" si="223"/>
        <v>19607000</v>
      </c>
    </row>
    <row r="641" spans="1:10">
      <c r="A641" s="41" t="str">
        <f>IF(B641&gt;0,VLOOKUP(B641,КВСР!A520:B1685,2),IF(C641&gt;0,VLOOKUP(C641,КФСР!A520:B2032,2),IF(D641&gt;0,VLOOKUP(D641,Программа!A$1:B$5063,2),IF(F641&gt;0,VLOOKUP(F641,КВР!A$1:B$5001,2),IF(E641&gt;0,VLOOKUP(E641,Направление!A$1:B$4755,2))))))</f>
        <v xml:space="preserve"> Межбюджетные трансферты</v>
      </c>
      <c r="B641" s="83"/>
      <c r="C641" s="76"/>
      <c r="D641" s="77"/>
      <c r="E641" s="83"/>
      <c r="F641" s="77">
        <v>500</v>
      </c>
      <c r="G641" s="494">
        <v>20348000</v>
      </c>
      <c r="H641" s="339"/>
      <c r="I641" s="42">
        <f t="shared" si="205"/>
        <v>20348000</v>
      </c>
      <c r="J641" s="339">
        <v>19607000</v>
      </c>
    </row>
    <row r="642" spans="1:10" ht="47.25">
      <c r="A642" s="41" t="str">
        <f>IF(B642&gt;0,VLOOKUP(B642,КВСР!A521:B1686,2),IF(C642&gt;0,VLOOKUP(C642,КФСР!A521:B2033,2),IF(D642&gt;0,VLOOKUP(D642,Программа!A$1:B$5063,2),IF(F642&gt;0,VLOOKUP(F642,КВР!A$1:B$5001,2),IF(E642&gt;0,VLOOKUP(E642,Направление!A$1:B$4755,2))))))</f>
        <v>Департамент культуры, туризма и молодежной политики Администрации ТМР</v>
      </c>
      <c r="B642" s="79">
        <v>956</v>
      </c>
      <c r="C642" s="80"/>
      <c r="D642" s="69"/>
      <c r="E642" s="82"/>
      <c r="F642" s="81"/>
      <c r="G642" s="47">
        <v>171349015</v>
      </c>
      <c r="H642" s="47">
        <f>H652+H671+H681+H713+H758+H794+H643+H660+H648</f>
        <v>-1018725</v>
      </c>
      <c r="I642" s="47">
        <f>I652+I671+I681+I713+I758+I794+I643+I660+I648</f>
        <v>170330290</v>
      </c>
      <c r="J642" s="47">
        <f>J652+J671+J681+J713+J758+J794+J643+J660+J648</f>
        <v>160725645</v>
      </c>
    </row>
    <row r="643" spans="1:10" ht="47.25">
      <c r="A643" s="41" t="str">
        <f>IF(B643&gt;0,VLOOKUP(B643,КВСР!A522:B1687,2),IF(C643&gt;0,VLOOKUP(C643,КФСР!A522:B2034,2),IF(D643&gt;0,VLOOKUP(D643,Программа!A$1:B$5063,2),IF(F643&gt;0,VLOOKUP(F643,КВР!A$1:B$5001,2),IF(E643&gt;0,VLOOKUP(E643,Направление!A$1:B$4755,2))))))</f>
        <v>Другие вопросы в области национальной безопасности и правоохранительной деятельности</v>
      </c>
      <c r="B643" s="79"/>
      <c r="C643" s="80">
        <v>314</v>
      </c>
      <c r="D643" s="69"/>
      <c r="E643" s="82"/>
      <c r="F643" s="81"/>
      <c r="G643" s="42">
        <v>150000</v>
      </c>
      <c r="H643" s="42">
        <f t="shared" ref="H643:J645" si="224">H644</f>
        <v>0</v>
      </c>
      <c r="I643" s="42">
        <f t="shared" si="205"/>
        <v>150000</v>
      </c>
      <c r="J643" s="42">
        <f t="shared" si="224"/>
        <v>148515</v>
      </c>
    </row>
    <row r="644" spans="1:10" ht="63">
      <c r="A644" s="41" t="str">
        <f>IF(B644&gt;0,VLOOKUP(B644,КВСР!A523:B1688,2),IF(C644&gt;0,VLOOKUP(C644,КФСР!A523:B2035,2),IF(D644&gt;0,VLOOKUP(D644,Программа!A$1:B$5063,2),IF(F644&gt;0,VLOOKUP(F644,КВР!A$1:B$5001,2),IF(E644&gt;0,VLOOKUP(E644,Направление!A$1:B$4755,2))))))</f>
        <v>Муниципальная программа "Профилактика правонарушений и усиление борьбы с преступностью в Тутаевском муниципальном районе"</v>
      </c>
      <c r="B644" s="79"/>
      <c r="C644" s="80"/>
      <c r="D644" s="69" t="s">
        <v>2833</v>
      </c>
      <c r="E644" s="82"/>
      <c r="F644" s="81"/>
      <c r="G644" s="42">
        <v>150000</v>
      </c>
      <c r="H644" s="42">
        <f t="shared" si="224"/>
        <v>0</v>
      </c>
      <c r="I644" s="42">
        <f t="shared" si="205"/>
        <v>150000</v>
      </c>
      <c r="J644" s="42">
        <f t="shared" si="224"/>
        <v>148515</v>
      </c>
    </row>
    <row r="645" spans="1:10" ht="31.5">
      <c r="A645" s="41" t="str">
        <f>IF(B645&gt;0,VLOOKUP(B645,КВСР!A524:B1689,2),IF(C645&gt;0,VLOOKUP(C645,КФСР!A524:B2036,2),IF(D645&gt;0,VLOOKUP(D645,Программа!A$1:B$5063,2),IF(F645&gt;0,VLOOKUP(F645,КВР!A$1:B$5001,2),IF(E645&gt;0,VLOOKUP(E645,Направление!A$1:B$4755,2))))))</f>
        <v>Реализация мероприятий по деятельности народных дружин</v>
      </c>
      <c r="B645" s="79"/>
      <c r="C645" s="80"/>
      <c r="D645" s="69" t="s">
        <v>3016</v>
      </c>
      <c r="E645" s="82"/>
      <c r="F645" s="81"/>
      <c r="G645" s="42">
        <v>150000</v>
      </c>
      <c r="H645" s="42">
        <f t="shared" si="224"/>
        <v>0</v>
      </c>
      <c r="I645" s="42">
        <f t="shared" si="205"/>
        <v>150000</v>
      </c>
      <c r="J645" s="42">
        <f t="shared" si="224"/>
        <v>148515</v>
      </c>
    </row>
    <row r="646" spans="1:10" ht="31.5">
      <c r="A646" s="41" t="str">
        <f>IF(B646&gt;0,VLOOKUP(B646,КВСР!A525:B1690,2),IF(C646&gt;0,VLOOKUP(C646,КФСР!A525:B2037,2),IF(D646&gt;0,VLOOKUP(D646,Программа!A$1:B$5063,2),IF(F646&gt;0,VLOOKUP(F646,КВР!A$1:B$5001,2),IF(E646&gt;0,VLOOKUP(E646,Направление!A$1:B$4755,2))))))</f>
        <v>Расходы на обеспечение деятельности народных дружин</v>
      </c>
      <c r="B646" s="79"/>
      <c r="C646" s="80"/>
      <c r="D646" s="69"/>
      <c r="E646" s="82">
        <v>29486</v>
      </c>
      <c r="F646" s="81"/>
      <c r="G646" s="42">
        <v>150000</v>
      </c>
      <c r="H646" s="42">
        <f>H647</f>
        <v>0</v>
      </c>
      <c r="I646" s="42">
        <f t="shared" si="205"/>
        <v>150000</v>
      </c>
      <c r="J646" s="42">
        <f>J647</f>
        <v>148515</v>
      </c>
    </row>
    <row r="647" spans="1:10" ht="63">
      <c r="A647" s="41" t="str">
        <f>IF(B647&gt;0,VLOOKUP(B647,КВСР!A526:B1691,2),IF(C647&gt;0,VLOOKUP(C647,КФСР!A526:B2038,2),IF(D647&gt;0,VLOOKUP(D647,Программа!A$1:B$5063,2),IF(F647&gt;0,VLOOKUP(F647,КВР!A$1:B$5001,2),IF(E647&gt;0,VLOOKUP(E647,Направление!A$1:B$4755,2))))))</f>
        <v>Предоставление субсидий бюджетным, автономным учреждениям и иным некоммерческим организациям</v>
      </c>
      <c r="B647" s="79"/>
      <c r="C647" s="80"/>
      <c r="D647" s="69"/>
      <c r="E647" s="82"/>
      <c r="F647" s="81">
        <v>600</v>
      </c>
      <c r="G647" s="42">
        <v>150000</v>
      </c>
      <c r="H647" s="515"/>
      <c r="I647" s="42">
        <f t="shared" si="205"/>
        <v>150000</v>
      </c>
      <c r="J647" s="515">
        <v>148515</v>
      </c>
    </row>
    <row r="648" spans="1:10" ht="18" customHeight="1">
      <c r="A648" s="41" t="str">
        <f>IF(B648&gt;0,VLOOKUP(B648,КВСР!A527:B1692,2),IF(C648&gt;0,VLOOKUP(C648,КФСР!A527:B2039,2),IF(D648&gt;0,VLOOKUP(D648,Программа!A$1:B$5063,2),IF(F648&gt;0,VLOOKUP(F648,КВР!A$1:B$5001,2),IF(E648&gt;0,VLOOKUP(E648,Направление!A$1:B$4755,2))))))</f>
        <v>Водные ресурсы</v>
      </c>
      <c r="B648" s="79"/>
      <c r="C648" s="80">
        <v>406</v>
      </c>
      <c r="D648" s="69"/>
      <c r="E648" s="82"/>
      <c r="F648" s="81"/>
      <c r="G648" s="42">
        <f>G649</f>
        <v>0</v>
      </c>
      <c r="H648" s="42">
        <f t="shared" ref="H648:J648" si="225">H649</f>
        <v>98017</v>
      </c>
      <c r="I648" s="42">
        <f t="shared" si="225"/>
        <v>98017</v>
      </c>
      <c r="J648" s="42">
        <f t="shared" si="225"/>
        <v>98017</v>
      </c>
    </row>
    <row r="649" spans="1:10" ht="19.5" customHeight="1">
      <c r="A649" s="41" t="str">
        <f>IF(B649&gt;0,VLOOKUP(B649,КВСР!A528:B1693,2),IF(C649&gt;0,VLOOKUP(C649,КФСР!A528:B2040,2),IF(D649&gt;0,VLOOKUP(D649,Программа!A$1:B$5063,2),IF(F649&gt;0,VLOOKUP(F649,КВР!A$1:B$5001,2),IF(E649&gt;0,VLOOKUP(E649,Направление!A$1:B$4755,2))))))</f>
        <v>Непрограммные расходы бюджета</v>
      </c>
      <c r="B649" s="79"/>
      <c r="C649" s="80"/>
      <c r="D649" s="69" t="s">
        <v>2808</v>
      </c>
      <c r="E649" s="82"/>
      <c r="F649" s="81"/>
      <c r="G649" s="42"/>
      <c r="H649" s="341">
        <f>H650</f>
        <v>98017</v>
      </c>
      <c r="I649" s="42">
        <f>SUM(G649:H649)</f>
        <v>98017</v>
      </c>
      <c r="J649" s="341">
        <f>J650</f>
        <v>98017</v>
      </c>
    </row>
    <row r="650" spans="1:10" ht="67.5" customHeight="1">
      <c r="A650" s="41" t="str">
        <f>IF(B650&gt;0,VLOOKUP(B650,КВСР!A529:B1694,2),IF(C650&gt;0,VLOOKUP(C650,КФСР!A529:B2041,2),IF(D650&gt;0,VLOOKUP(D650,Программа!A$1:B$5063,2),IF(F650&gt;0,VLOOKUP(F650,КВР!A$1:B$5001,2),IF(E650&gt;0,VLOOKUP(E650,Направление!A$1:B$4755,2))))))</f>
        <v xml:space="preserve">Обеспечение мероприятий в рамках реализации проекта"Сохранение и развитие малых исторических городов и поселений" </v>
      </c>
      <c r="B650" s="79"/>
      <c r="C650" s="80"/>
      <c r="D650" s="69"/>
      <c r="E650" s="82">
        <v>29586</v>
      </c>
      <c r="F650" s="81"/>
      <c r="G650" s="42"/>
      <c r="H650" s="341">
        <f>H651</f>
        <v>98017</v>
      </c>
      <c r="I650" s="42">
        <f>SUM(G650:H650)</f>
        <v>98017</v>
      </c>
      <c r="J650" s="341">
        <f>J651</f>
        <v>98017</v>
      </c>
    </row>
    <row r="651" spans="1:10" ht="63">
      <c r="A651" s="41" t="str">
        <f>IF(B651&gt;0,VLOOKUP(B651,КВСР!A530:B1695,2),IF(C651&gt;0,VLOOKUP(C651,КФСР!A530:B2042,2),IF(D651&gt;0,VLOOKUP(D651,Программа!A$1:B$5063,2),IF(F651&gt;0,VLOOKUP(F651,КВР!A$1:B$5001,2),IF(E651&gt;0,VLOOKUP(E651,Направление!A$1:B$4755,2))))))</f>
        <v>Предоставление субсидий бюджетным, автономным учреждениям и иным некоммерческим организациям</v>
      </c>
      <c r="B651" s="79"/>
      <c r="C651" s="80"/>
      <c r="D651" s="69"/>
      <c r="E651" s="82"/>
      <c r="F651" s="81">
        <v>600</v>
      </c>
      <c r="G651" s="42"/>
      <c r="H651" s="515">
        <v>98017</v>
      </c>
      <c r="I651" s="42">
        <f>SUM(G651:H651)</f>
        <v>98017</v>
      </c>
      <c r="J651" s="515">
        <v>98017</v>
      </c>
    </row>
    <row r="652" spans="1:10" ht="31.5">
      <c r="A652" s="41" t="str">
        <f>IF(B652&gt;0,VLOOKUP(B652,КВСР!A527:B1692,2),IF(C652&gt;0,VLOOKUP(C652,КФСР!A527:B2039,2),IF(D652&gt;0,VLOOKUP(D652,Программа!A$1:B$5063,2),IF(F652&gt;0,VLOOKUP(F652,КВР!A$1:B$5001,2),IF(E652&gt;0,VLOOKUP(E652,Направление!A$1:B$4755,2))))))</f>
        <v>Другие вопросы в области национальной экономики</v>
      </c>
      <c r="B652" s="79"/>
      <c r="C652" s="80">
        <v>412</v>
      </c>
      <c r="D652" s="81"/>
      <c r="E652" s="82"/>
      <c r="F652" s="81"/>
      <c r="G652" s="177">
        <v>691363</v>
      </c>
      <c r="H652" s="177">
        <f>H653</f>
        <v>-69250</v>
      </c>
      <c r="I652" s="42">
        <f>SUM(G652:H652)</f>
        <v>622113</v>
      </c>
      <c r="J652" s="177">
        <f>J653</f>
        <v>555750</v>
      </c>
    </row>
    <row r="653" spans="1:10" ht="63">
      <c r="A653" s="41" t="str">
        <f>IF(B653&gt;0,VLOOKUP(B653,КВСР!A528:B1693,2),IF(C653&gt;0,VLOOKUP(C653,КФСР!A528:B2040,2),IF(D653&gt;0,VLOOKUP(D653,Программа!A$1:B$5063,2),IF(F653&gt;0,VLOOKUP(F653,КВР!A$1:B$5001,2),IF(E653&gt;0,VLOOKUP(E653,Направление!A$1:B$4755,2))))))</f>
        <v>Муниципальная программа  "Развитие культуры, туризма и молодежной политики в Тутаевском муниципальном районе"</v>
      </c>
      <c r="B653" s="79"/>
      <c r="C653" s="80"/>
      <c r="D653" s="69" t="s">
        <v>2677</v>
      </c>
      <c r="E653" s="82"/>
      <c r="F653" s="81"/>
      <c r="G653" s="177">
        <v>691363</v>
      </c>
      <c r="H653" s="177">
        <f t="shared" ref="H653:J654" si="226">H654</f>
        <v>-69250</v>
      </c>
      <c r="I653" s="42">
        <f t="shared" si="205"/>
        <v>622113</v>
      </c>
      <c r="J653" s="177">
        <f t="shared" si="226"/>
        <v>555750</v>
      </c>
    </row>
    <row r="654" spans="1:10" ht="63">
      <c r="A654" s="41" t="str">
        <f>IF(B654&gt;0,VLOOKUP(B654,КВСР!A529:B1694,2),IF(C654&gt;0,VLOOKUP(C654,КФСР!A529:B2041,2),IF(D654&gt;0,VLOOKUP(D654,Программа!A$1:B$5063,2),IF(F654&gt;0,VLOOKUP(F654,КВР!A$1:B$5001,2),IF(E654&gt;0,VLOOKUP(E654,Направление!A$1:B$4755,2))))))</f>
        <v>Муниципальная целевая программа «Развитие въездного и внутреннего туризма на территории Тутаевского муниципального района»</v>
      </c>
      <c r="B654" s="79"/>
      <c r="C654" s="80"/>
      <c r="D654" s="69" t="s">
        <v>2692</v>
      </c>
      <c r="E654" s="82"/>
      <c r="F654" s="81"/>
      <c r="G654" s="177">
        <v>691363</v>
      </c>
      <c r="H654" s="177">
        <f t="shared" si="226"/>
        <v>-69250</v>
      </c>
      <c r="I654" s="42">
        <f t="shared" si="205"/>
        <v>622113</v>
      </c>
      <c r="J654" s="177">
        <f t="shared" si="226"/>
        <v>555750</v>
      </c>
    </row>
    <row r="655" spans="1:10" ht="31.5">
      <c r="A655" s="41" t="str">
        <f>IF(B655&gt;0,VLOOKUP(B655,КВСР!A530:B1695,2),IF(C655&gt;0,VLOOKUP(C655,КФСР!A530:B2042,2),IF(D655&gt;0,VLOOKUP(D655,Программа!A$1:B$5063,2),IF(F655&gt;0,VLOOKUP(F655,КВР!A$1:B$5001,2),IF(E655&gt;0,VLOOKUP(E655,Направление!A$1:B$4755,2))))))</f>
        <v>Создание благоприятных условий для развития туризма</v>
      </c>
      <c r="B655" s="79"/>
      <c r="C655" s="80"/>
      <c r="D655" s="69" t="s">
        <v>2693</v>
      </c>
      <c r="E655" s="82"/>
      <c r="F655" s="81"/>
      <c r="G655" s="177">
        <v>691363</v>
      </c>
      <c r="H655" s="177">
        <f>H656+H658</f>
        <v>-69250</v>
      </c>
      <c r="I655" s="42">
        <f t="shared" si="205"/>
        <v>622113</v>
      </c>
      <c r="J655" s="177">
        <f>J656+J658</f>
        <v>555750</v>
      </c>
    </row>
    <row r="656" spans="1:10" ht="31.5">
      <c r="A656" s="41" t="str">
        <f>IF(B656&gt;0,VLOOKUP(B656,КВСР!A531:B1696,2),IF(C656&gt;0,VLOOKUP(C656,КФСР!A531:B2043,2),IF(D656&gt;0,VLOOKUP(D656,Программа!A$1:B$5063,2),IF(F656&gt;0,VLOOKUP(F656,КВР!A$1:B$5001,2),IF(E656&gt;0,VLOOKUP(E656,Направление!A$1:B$4755,2))))))</f>
        <v>Мероприятия по развитию въездного и внутреннего туризма</v>
      </c>
      <c r="B656" s="79"/>
      <c r="C656" s="80"/>
      <c r="D656" s="81"/>
      <c r="E656" s="82">
        <v>10900</v>
      </c>
      <c r="F656" s="81"/>
      <c r="G656" s="177">
        <v>650000</v>
      </c>
      <c r="H656" s="177">
        <f t="shared" ref="H656:J656" si="227">SUM(H657:H657)</f>
        <v>-69250</v>
      </c>
      <c r="I656" s="42">
        <f t="shared" si="205"/>
        <v>580750</v>
      </c>
      <c r="J656" s="177">
        <f t="shared" si="227"/>
        <v>555750</v>
      </c>
    </row>
    <row r="657" spans="1:10" ht="63">
      <c r="A657" s="41" t="str">
        <f>IF(B657&gt;0,VLOOKUP(B657,КВСР!A532:B1697,2),IF(C657&gt;0,VLOOKUP(C657,КФСР!A532:B2044,2),IF(D657&gt;0,VLOOKUP(D657,Программа!A$1:B$5063,2),IF(F657&gt;0,VLOOKUP(F657,КВР!A$1:B$5001,2),IF(E657&gt;0,VLOOKUP(E657,Направление!A$1:B$4755,2))))))</f>
        <v>Предоставление субсидий бюджетным, автономным учреждениям и иным некоммерческим организациям</v>
      </c>
      <c r="B657" s="79"/>
      <c r="C657" s="80"/>
      <c r="D657" s="81"/>
      <c r="E657" s="82"/>
      <c r="F657" s="81">
        <v>600</v>
      </c>
      <c r="G657" s="341">
        <v>650000</v>
      </c>
      <c r="H657" s="337">
        <v>-69250</v>
      </c>
      <c r="I657" s="42">
        <f t="shared" si="205"/>
        <v>580750</v>
      </c>
      <c r="J657" s="337">
        <v>555750</v>
      </c>
    </row>
    <row r="658" spans="1:10" ht="63" hidden="1">
      <c r="A658" s="41" t="str">
        <f>IF(B658&gt;0,VLOOKUP(B658,КВСР!A531:B1696,2),IF(C658&gt;0,VLOOKUP(C658,КФСР!A531:B2043,2),IF(D658&gt;0,VLOOKUP(D658,Программа!A$1:B$5063,2),IF(F658&gt;0,VLOOKUP(F658,КВР!A$1:B$5001,2),IF(E658&gt;0,VLOOKUP(E658,Направление!A$1:B$4755,2))))))</f>
        <v>Субсидия на реализацию мероприятий по созданию условий для развития инфраструктуры досуга и отдыха</v>
      </c>
      <c r="B658" s="79"/>
      <c r="C658" s="80"/>
      <c r="D658" s="81"/>
      <c r="E658" s="82">
        <v>71750</v>
      </c>
      <c r="F658" s="81"/>
      <c r="G658" s="341">
        <v>41363</v>
      </c>
      <c r="H658" s="341">
        <f>H659</f>
        <v>0</v>
      </c>
      <c r="I658" s="42">
        <f t="shared" si="205"/>
        <v>41363</v>
      </c>
      <c r="J658" s="341">
        <f>J659</f>
        <v>0</v>
      </c>
    </row>
    <row r="659" spans="1:10" ht="63" hidden="1">
      <c r="A659" s="41" t="str">
        <f>IF(B659&gt;0,VLOOKUP(B659,КВСР!A532:B1697,2),IF(C659&gt;0,VLOOKUP(C659,КФСР!A532:B2044,2),IF(D659&gt;0,VLOOKUP(D659,Программа!A$1:B$5063,2),IF(F659&gt;0,VLOOKUP(F659,КВР!A$1:B$5001,2),IF(E659&gt;0,VLOOKUP(E659,Направление!A$1:B$4755,2))))))</f>
        <v>Предоставление субсидий бюджетным, автономным учреждениям и иным некоммерческим организациям</v>
      </c>
      <c r="B659" s="79"/>
      <c r="C659" s="80"/>
      <c r="D659" s="81"/>
      <c r="E659" s="82"/>
      <c r="F659" s="81">
        <v>600</v>
      </c>
      <c r="G659" s="341">
        <v>41363</v>
      </c>
      <c r="H659" s="337"/>
      <c r="I659" s="42">
        <f t="shared" si="205"/>
        <v>41363</v>
      </c>
      <c r="J659" s="337">
        <v>0</v>
      </c>
    </row>
    <row r="660" spans="1:10" ht="21" customHeight="1">
      <c r="A660" s="41" t="str">
        <f>IF(B660&gt;0,VLOOKUP(B660,КВСР!A533:B1698,2),IF(C660&gt;0,VLOOKUP(C660,КФСР!A533:B2045,2),IF(D660&gt;0,VLOOKUP(D660,Программа!A$1:B$5063,2),IF(F660&gt;0,VLOOKUP(F660,КВР!A$1:B$5001,2),IF(E660&gt;0,VLOOKUP(E660,Направление!A$1:B$4755,2))))))</f>
        <v>Благоустройство</v>
      </c>
      <c r="B660" s="79"/>
      <c r="C660" s="80">
        <v>503</v>
      </c>
      <c r="D660" s="81"/>
      <c r="E660" s="82"/>
      <c r="F660" s="81"/>
      <c r="G660" s="341">
        <v>2100000</v>
      </c>
      <c r="H660" s="341">
        <f>H661</f>
        <v>0</v>
      </c>
      <c r="I660" s="42">
        <f>SUM(G660:H660)</f>
        <v>2100000</v>
      </c>
      <c r="J660" s="341">
        <f>J661</f>
        <v>1787744</v>
      </c>
    </row>
    <row r="661" spans="1:10" ht="63">
      <c r="A661" s="41" t="str">
        <f>IF(B661&gt;0,VLOOKUP(B661,КВСР!A534:B1699,2),IF(C661&gt;0,VLOOKUP(C661,КФСР!A534:B2046,2),IF(D661&gt;0,VLOOKUP(D661,Программа!A$1:B$5063,2),IF(F661&gt;0,VLOOKUP(F661,КВР!A$1:B$5001,2),IF(E661&gt;0,VLOOKUP(E661,Направление!A$1:B$4755,2))))))</f>
        <v>Муниципальная программа  "Развитие культуры, туризма и молодежной политики в Тутаевском муниципальном районе"</v>
      </c>
      <c r="B661" s="79"/>
      <c r="C661" s="80"/>
      <c r="D661" s="69" t="s">
        <v>2677</v>
      </c>
      <c r="E661" s="82"/>
      <c r="F661" s="81"/>
      <c r="G661" s="341">
        <v>2100000</v>
      </c>
      <c r="H661" s="341">
        <f>H662+H667</f>
        <v>0</v>
      </c>
      <c r="I661" s="341">
        <f>I662+I667</f>
        <v>2100000</v>
      </c>
      <c r="J661" s="341">
        <f>J662+J667</f>
        <v>1787744</v>
      </c>
    </row>
    <row r="662" spans="1:10" ht="101.25" customHeight="1">
      <c r="A662" s="41" t="str">
        <f>IF(B662&gt;0,VLOOKUP(B662,КВСР!A535:B1700,2),IF(C662&gt;0,VLOOKUP(C662,КФСР!A535:B2047,2),IF(D662&gt;0,VLOOKUP(D662,Программа!A$1:B$5063,2),IF(F662&gt;0,VLOOKUP(F662,КВР!A$1:B$5001,2),IF(E662&gt;0,VLOOKUP(E662,Направление!A$1:B$4755,2))))))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62" s="79"/>
      <c r="C662" s="80"/>
      <c r="D662" s="69" t="s">
        <v>2680</v>
      </c>
      <c r="E662" s="82"/>
      <c r="F662" s="81"/>
      <c r="G662" s="341">
        <v>1500000</v>
      </c>
      <c r="H662" s="341">
        <f>H664</f>
        <v>0</v>
      </c>
      <c r="I662" s="42">
        <f>I664</f>
        <v>1500000</v>
      </c>
      <c r="J662" s="341">
        <f>J664</f>
        <v>1500000</v>
      </c>
    </row>
    <row r="663" spans="1:10" ht="99.6" customHeight="1">
      <c r="A663" s="41" t="str">
        <f>IF(B663&gt;0,VLOOKUP(B663,КВСР!A536:B1701,2),IF(C663&gt;0,VLOOKUP(C663,КФСР!A536:B2048,2),IF(D663&gt;0,VLOOKUP(D663,Программа!A$1:B$5063,2),IF(F663&gt;0,VLOOKUP(F663,КВР!A$1:B$5001,2),IF(E663&gt;0,VLOOKUP(E663,Направление!A$1:B$4755,2))))))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63" s="79"/>
      <c r="C663" s="80"/>
      <c r="D663" s="69" t="s">
        <v>2681</v>
      </c>
      <c r="E663" s="82"/>
      <c r="F663" s="81"/>
      <c r="G663" s="341">
        <v>1500000</v>
      </c>
      <c r="H663" s="341">
        <f>H664</f>
        <v>0</v>
      </c>
      <c r="I663" s="341">
        <f>I664</f>
        <v>1500000</v>
      </c>
      <c r="J663" s="341">
        <f>J664</f>
        <v>1500000</v>
      </c>
    </row>
    <row r="664" spans="1:10" ht="47.25">
      <c r="A664" s="41" t="str">
        <f>IF(B664&gt;0,VLOOKUP(B664,КВСР!A537:B1702,2),IF(C664&gt;0,VLOOKUP(C664,КФСР!A537:B2049,2),IF(D664&gt;0,VLOOKUP(D664,Программа!A$1:B$5063,2),IF(F664&gt;0,VLOOKUP(F664,КВР!A$1:B$5001,2),IF(E664&gt;0,VLOOKUP(E664,Направление!A$1:B$4755,2))))))</f>
        <v>Обеспечение мероприятий по строительству, реконструкции и ремонту памятников</v>
      </c>
      <c r="B664" s="79"/>
      <c r="C664" s="80"/>
      <c r="D664" s="69"/>
      <c r="E664" s="82">
        <v>29476</v>
      </c>
      <c r="F664" s="81"/>
      <c r="G664" s="341">
        <v>1500000</v>
      </c>
      <c r="H664" s="341">
        <f>SUM(H665:H666)</f>
        <v>0</v>
      </c>
      <c r="I664" s="42">
        <f>SUM(G664:H664)</f>
        <v>1500000</v>
      </c>
      <c r="J664" s="341">
        <f>SUM(J665:J666)</f>
        <v>1500000</v>
      </c>
    </row>
    <row r="665" spans="1:10" ht="24.75" customHeight="1">
      <c r="A665" s="41" t="str">
        <f>IF(B665&gt;0,VLOOKUP(B665,КВСР!A538:B1703,2),IF(C665&gt;0,VLOOKUP(C665,КФСР!A538:B2050,2),IF(D665&gt;0,VLOOKUP(D665,Программа!A$1:B$5063,2),IF(F665&gt;0,VLOOKUP(F665,КВР!A$1:B$5001,2),IF(E665&gt;0,VLOOKUP(E665,Направление!A$1:B$4755,2))))))</f>
        <v>Бюджетные инвестиции</v>
      </c>
      <c r="B665" s="79"/>
      <c r="C665" s="80"/>
      <c r="D665" s="69"/>
      <c r="E665" s="82"/>
      <c r="F665" s="81">
        <v>400</v>
      </c>
      <c r="G665" s="341"/>
      <c r="H665" s="337">
        <v>1500000</v>
      </c>
      <c r="I665" s="42">
        <f>SUM(G665:H665)</f>
        <v>1500000</v>
      </c>
      <c r="J665" s="337">
        <v>1500000</v>
      </c>
    </row>
    <row r="666" spans="1:10" ht="63" hidden="1">
      <c r="A666" s="41" t="str">
        <f>IF(B666&gt;0,VLOOKUP(B666,КВСР!A538:B1703,2),IF(C666&gt;0,VLOOKUP(C666,КФСР!A538:B2050,2),IF(D666&gt;0,VLOOKUP(D666,Программа!A$1:B$5063,2),IF(F666&gt;0,VLOOKUP(F666,КВР!A$1:B$5001,2),IF(E666&gt;0,VLOOKUP(E666,Направление!A$1:B$4755,2))))))</f>
        <v>Предоставление субсидий бюджетным, автономным учреждениям и иным некоммерческим организациям</v>
      </c>
      <c r="B666" s="79"/>
      <c r="C666" s="80"/>
      <c r="D666" s="69"/>
      <c r="E666" s="82"/>
      <c r="F666" s="81">
        <v>600</v>
      </c>
      <c r="G666" s="341">
        <v>1500000</v>
      </c>
      <c r="H666" s="337">
        <v>-1500000</v>
      </c>
      <c r="I666" s="42">
        <f>SUM(G666:H666)</f>
        <v>0</v>
      </c>
      <c r="J666" s="337"/>
    </row>
    <row r="667" spans="1:10" ht="63">
      <c r="A667" s="41" t="str">
        <f>IF(B667&gt;0,VLOOKUP(B667,КВСР!A539:B1704,2),IF(C667&gt;0,VLOOKUP(C667,КФСР!A539:B2051,2),IF(D667&gt;0,VLOOKUP(D667,Программа!A$1:B$5063,2),IF(F667&gt;0,VLOOKUP(F667,КВР!A$1:B$5001,2),IF(E667&gt;0,VLOOKUP(E667,Направление!A$1:B$4755,2))))))</f>
        <v>Муниципальная целевая программа «Развитие въездного и внутреннего туризма на территории Тутаевского муниципального района»</v>
      </c>
      <c r="B667" s="79"/>
      <c r="C667" s="80"/>
      <c r="D667" s="69" t="s">
        <v>2692</v>
      </c>
      <c r="E667" s="82"/>
      <c r="F667" s="81"/>
      <c r="G667" s="341">
        <v>600000</v>
      </c>
      <c r="H667" s="341">
        <f>H669</f>
        <v>0</v>
      </c>
      <c r="I667" s="341">
        <f>I669</f>
        <v>600000</v>
      </c>
      <c r="J667" s="341">
        <f>J669</f>
        <v>287744</v>
      </c>
    </row>
    <row r="668" spans="1:10" ht="31.5">
      <c r="A668" s="41" t="str">
        <f>IF(B668&gt;0,VLOOKUP(B668,КВСР!A540:B1705,2),IF(C668&gt;0,VLOOKUP(C668,КФСР!A540:B2052,2),IF(D668&gt;0,VLOOKUP(D668,Программа!A$1:B$5063,2),IF(F668&gt;0,VLOOKUP(F668,КВР!A$1:B$5001,2),IF(E668&gt;0,VLOOKUP(E668,Направление!A$1:B$4755,2))))))</f>
        <v>Создание благоприятных условий для развития туризма</v>
      </c>
      <c r="B668" s="79"/>
      <c r="C668" s="80"/>
      <c r="D668" s="69" t="s">
        <v>2693</v>
      </c>
      <c r="E668" s="82"/>
      <c r="F668" s="81"/>
      <c r="G668" s="341">
        <v>600000</v>
      </c>
      <c r="H668" s="341">
        <f t="shared" ref="H668:J669" si="228">H669</f>
        <v>0</v>
      </c>
      <c r="I668" s="341">
        <f t="shared" si="228"/>
        <v>600000</v>
      </c>
      <c r="J668" s="341">
        <f t="shared" si="228"/>
        <v>287744</v>
      </c>
    </row>
    <row r="669" spans="1:10" ht="53.25" customHeight="1">
      <c r="A669" s="41" t="str">
        <f>IF(B669&gt;0,VLOOKUP(B669,КВСР!A541:B1706,2),IF(C669&gt;0,VLOOKUP(C669,КФСР!A541:B2053,2),IF(D669&gt;0,VLOOKUP(D669,Программа!A$1:B$5063,2),IF(F669&gt;0,VLOOKUP(F669,КВР!A$1:B$5001,2),IF(E669&gt;0,VLOOKUP(E669,Направление!A$1:B$4755,2))))))</f>
        <v>Обеспечение мероприятий по строительству, реконструкции и ремонту общественных туалетов</v>
      </c>
      <c r="B669" s="79"/>
      <c r="C669" s="80"/>
      <c r="D669" s="69"/>
      <c r="E669" s="82">
        <v>29506</v>
      </c>
      <c r="F669" s="81"/>
      <c r="G669" s="341">
        <v>600000</v>
      </c>
      <c r="H669" s="341">
        <f t="shared" si="228"/>
        <v>0</v>
      </c>
      <c r="I669" s="341">
        <f t="shared" si="228"/>
        <v>600000</v>
      </c>
      <c r="J669" s="341">
        <f t="shared" si="228"/>
        <v>287744</v>
      </c>
    </row>
    <row r="670" spans="1:10" ht="63">
      <c r="A670" s="41" t="str">
        <f>IF(B670&gt;0,VLOOKUP(B670,КВСР!A542:B1707,2),IF(C670&gt;0,VLOOKUP(C670,КФСР!A542:B2054,2),IF(D670&gt;0,VLOOKUP(D670,Программа!A$1:B$5063,2),IF(F670&gt;0,VLOOKUP(F670,КВР!A$1:B$5001,2),IF(E670&gt;0,VLOOKUP(E670,Направление!A$1:B$4755,2))))))</f>
        <v>Предоставление субсидий бюджетным, автономным учреждениям и иным некоммерческим организациям</v>
      </c>
      <c r="B670" s="79"/>
      <c r="C670" s="80"/>
      <c r="D670" s="69"/>
      <c r="E670" s="82"/>
      <c r="F670" s="81">
        <v>600</v>
      </c>
      <c r="G670" s="341">
        <v>600000</v>
      </c>
      <c r="H670" s="337"/>
      <c r="I670" s="42">
        <f>SUM(G670:H670)</f>
        <v>600000</v>
      </c>
      <c r="J670" s="337">
        <v>287744</v>
      </c>
    </row>
    <row r="671" spans="1:10" s="19" customFormat="1">
      <c r="A671" s="41" t="str">
        <f>IF(B671&gt;0,VLOOKUP(B671,КВСР!A543:B1708,2),IF(C671&gt;0,VLOOKUP(C671,КФСР!A543:B2055,2),IF(D671&gt;0,VLOOKUP(D671,Программа!A$1:B$5063,2),IF(F671&gt;0,VLOOKUP(F671,КВР!A$1:B$5001,2),IF(E671&gt;0,VLOOKUP(E671,Направление!A$1:B$4755,2))))))</f>
        <v>Общее образование</v>
      </c>
      <c r="B671" s="83"/>
      <c r="C671" s="76">
        <v>702</v>
      </c>
      <c r="D671" s="391"/>
      <c r="E671" s="83"/>
      <c r="F671" s="77"/>
      <c r="G671" s="43">
        <v>29516453</v>
      </c>
      <c r="H671" s="43">
        <f t="shared" ref="H671:J671" si="229">H672</f>
        <v>-47368</v>
      </c>
      <c r="I671" s="42">
        <f t="shared" si="205"/>
        <v>29469085</v>
      </c>
      <c r="J671" s="43">
        <f t="shared" si="229"/>
        <v>28766281</v>
      </c>
    </row>
    <row r="672" spans="1:10" s="19" customFormat="1" ht="63">
      <c r="A672" s="41" t="str">
        <f>IF(B672&gt;0,VLOOKUP(B672,КВСР!A544:B1709,2),IF(C672&gt;0,VLOOKUP(C672,КФСР!A544:B2056,2),IF(D672&gt;0,VLOOKUP(D672,Программа!A$1:B$5063,2),IF(F672&gt;0,VLOOKUP(F672,КВР!A$1:B$5001,2),IF(E672&gt;0,VLOOKUP(E672,Направление!A$1:B$4755,2))))))</f>
        <v>Муниципальная программа  "Развитие культуры, туризма и молодежной политики в Тутаевском муниципальном районе"</v>
      </c>
      <c r="B672" s="83"/>
      <c r="C672" s="76"/>
      <c r="D672" s="392" t="s">
        <v>2677</v>
      </c>
      <c r="E672" s="84"/>
      <c r="F672" s="77"/>
      <c r="G672" s="43">
        <v>29516453</v>
      </c>
      <c r="H672" s="43">
        <f t="shared" ref="H672:J672" si="230">H674</f>
        <v>-47368</v>
      </c>
      <c r="I672" s="42">
        <f t="shared" si="205"/>
        <v>29469085</v>
      </c>
      <c r="J672" s="43">
        <f t="shared" si="230"/>
        <v>28766281</v>
      </c>
    </row>
    <row r="673" spans="1:10" s="19" customFormat="1" ht="57.75" customHeight="1">
      <c r="A673" s="41" t="str">
        <f>IF(B673&gt;0,VLOOKUP(B673,КВСР!A545:B1710,2),IF(C673&gt;0,VLOOKUP(C673,КФСР!A545:B2057,2),IF(D673&gt;0,VLOOKUP(D673,Программа!A$1:B$5063,2),IF(F673&gt;0,VLOOKUP(F673,КВР!A$1:B$5001,2),IF(E673&gt;0,VLOOKUP(E673,Направление!A$1:B$4755,2))))))</f>
        <v>Ведомственная целевая программа «Сохранение и развитие культуры Тутаевского муниципального района»</v>
      </c>
      <c r="B673" s="83"/>
      <c r="C673" s="76"/>
      <c r="D673" s="392" t="s">
        <v>2684</v>
      </c>
      <c r="E673" s="84"/>
      <c r="F673" s="77"/>
      <c r="G673" s="43">
        <v>29516453</v>
      </c>
      <c r="H673" s="43">
        <f t="shared" ref="H673:J673" si="231">H674</f>
        <v>-47368</v>
      </c>
      <c r="I673" s="42">
        <f t="shared" si="205"/>
        <v>29469085</v>
      </c>
      <c r="J673" s="43">
        <f t="shared" si="231"/>
        <v>28766281</v>
      </c>
    </row>
    <row r="674" spans="1:10" s="19" customFormat="1" ht="47.25">
      <c r="A674" s="41" t="str">
        <f>IF(B674&gt;0,VLOOKUP(B674,КВСР!A546:B1711,2),IF(C674&gt;0,VLOOKUP(C674,КФСР!A546:B2058,2),IF(D674&gt;0,VLOOKUP(D674,Программа!A$1:B$5063,2),IF(F674&gt;0,VLOOKUP(F674,КВР!A$1:B$5001,2),IF(E674&gt;0,VLOOKUP(E674,Направление!A$1:B$4755,2))))))</f>
        <v>Реализация дополнительных образовательных программ в сфере культуры</v>
      </c>
      <c r="B674" s="83"/>
      <c r="C674" s="76"/>
      <c r="D674" s="391" t="s">
        <v>2685</v>
      </c>
      <c r="E674" s="83"/>
      <c r="F674" s="77"/>
      <c r="G674" s="43">
        <v>29516453</v>
      </c>
      <c r="H674" s="43">
        <f t="shared" ref="H674:J674" si="232">H677+H679+H675</f>
        <v>-47368</v>
      </c>
      <c r="I674" s="42">
        <f t="shared" si="205"/>
        <v>29469085</v>
      </c>
      <c r="J674" s="43">
        <f t="shared" si="232"/>
        <v>28766281</v>
      </c>
    </row>
    <row r="675" spans="1:10" s="19" customFormat="1" ht="31.5">
      <c r="A675" s="41" t="str">
        <f>IF(B675&gt;0,VLOOKUP(B675,КВСР!A547:B1712,2),IF(C675&gt;0,VLOOKUP(C675,КФСР!A547:B2059,2),IF(D675&gt;0,VLOOKUP(D675,Программа!A$1:B$5063,2),IF(F675&gt;0,VLOOKUP(F675,КВР!A$1:B$5001,2),IF(E675&gt;0,VLOOKUP(E675,Направление!A$1:B$4755,2))))))</f>
        <v xml:space="preserve">Выплата ежемесячных и разовых стипендий главы </v>
      </c>
      <c r="B675" s="83"/>
      <c r="C675" s="76"/>
      <c r="D675" s="391"/>
      <c r="E675" s="83">
        <v>12700</v>
      </c>
      <c r="F675" s="77"/>
      <c r="G675" s="43">
        <v>40000</v>
      </c>
      <c r="H675" s="43">
        <f t="shared" ref="H675:J675" si="233">H676</f>
        <v>0</v>
      </c>
      <c r="I675" s="42">
        <f t="shared" si="205"/>
        <v>40000</v>
      </c>
      <c r="J675" s="43">
        <f t="shared" si="233"/>
        <v>40000</v>
      </c>
    </row>
    <row r="676" spans="1:10" s="19" customFormat="1" ht="63">
      <c r="A676" s="41" t="str">
        <f>IF(B676&gt;0,VLOOKUP(B676,КВСР!A548:B1713,2),IF(C676&gt;0,VLOOKUP(C676,КФСР!A548:B2060,2),IF(D676&gt;0,VLOOKUP(D676,Программа!A$1:B$5063,2),IF(F676&gt;0,VLOOKUP(F676,КВР!A$1:B$5001,2),IF(E676&gt;0,VLOOKUP(E676,Направление!A$1:B$4755,2))))))</f>
        <v>Предоставление субсидий бюджетным, автономным учреждениям и иным некоммерческим организациям</v>
      </c>
      <c r="B676" s="83"/>
      <c r="C676" s="76"/>
      <c r="D676" s="77"/>
      <c r="E676" s="83"/>
      <c r="F676" s="77">
        <v>600</v>
      </c>
      <c r="G676" s="346">
        <v>40000</v>
      </c>
      <c r="H676" s="344"/>
      <c r="I676" s="42">
        <f t="shared" si="205"/>
        <v>40000</v>
      </c>
      <c r="J676" s="344">
        <v>40000</v>
      </c>
    </row>
    <row r="677" spans="1:10" s="19" customFormat="1" ht="34.5" customHeight="1">
      <c r="A677" s="41" t="str">
        <f>IF(B677&gt;0,VLOOKUP(B677,КВСР!A549:B1714,2),IF(C677&gt;0,VLOOKUP(C677,КФСР!A549:B2061,2),IF(D677&gt;0,VLOOKUP(D677,Программа!A$1:B$5063,2),IF(F677&gt;0,VLOOKUP(F677,КВР!A$1:B$5001,2),IF(E677&gt;0,VLOOKUP(E677,Направление!A$1:B$4755,2))))))</f>
        <v>Обеспечение деятельности учреждений дополнительного образования</v>
      </c>
      <c r="B677" s="83"/>
      <c r="C677" s="76"/>
      <c r="D677" s="391"/>
      <c r="E677" s="83">
        <v>13210</v>
      </c>
      <c r="F677" s="77"/>
      <c r="G677" s="42">
        <v>29171453</v>
      </c>
      <c r="H677" s="42">
        <f t="shared" ref="H677:J677" si="234">H678</f>
        <v>-47368</v>
      </c>
      <c r="I677" s="42">
        <f t="shared" si="205"/>
        <v>29124085</v>
      </c>
      <c r="J677" s="42">
        <f t="shared" si="234"/>
        <v>28421281</v>
      </c>
    </row>
    <row r="678" spans="1:10" s="19" customFormat="1" ht="63">
      <c r="A678" s="41" t="str">
        <f>IF(B678&gt;0,VLOOKUP(B678,КВСР!A550:B1715,2),IF(C678&gt;0,VLOOKUP(C678,КФСР!A550:B2062,2),IF(D678&gt;0,VLOOKUP(D678,Программа!A$1:B$5063,2),IF(F678&gt;0,VLOOKUP(F678,КВР!A$1:B$5001,2),IF(E678&gt;0,VLOOKUP(E678,Направление!A$1:B$4755,2))))))</f>
        <v>Предоставление субсидий бюджетным, автономным учреждениям и иным некоммерческим организациям</v>
      </c>
      <c r="B678" s="83"/>
      <c r="C678" s="76"/>
      <c r="D678" s="77"/>
      <c r="E678" s="83"/>
      <c r="F678" s="77">
        <v>600</v>
      </c>
      <c r="G678" s="341">
        <v>29171453</v>
      </c>
      <c r="H678" s="337">
        <f>-4855-42513</f>
        <v>-47368</v>
      </c>
      <c r="I678" s="42">
        <f t="shared" si="205"/>
        <v>29124085</v>
      </c>
      <c r="J678" s="337">
        <v>28421281</v>
      </c>
    </row>
    <row r="679" spans="1:10" s="19" customFormat="1">
      <c r="A679" s="41" t="str">
        <f>IF(B679&gt;0,VLOOKUP(B679,КВСР!A551:B1716,2),IF(C679&gt;0,VLOOKUP(C679,КФСР!A551:B2063,2),IF(D679&gt;0,VLOOKUP(D679,Программа!A$1:B$5063,2),IF(F679&gt;0,VLOOKUP(F679,КВР!A$1:B$5001,2),IF(E679&gt;0,VLOOKUP(E679,Направление!A$1:B$4755,2))))))</f>
        <v>Мероприятия в сфере культуры</v>
      </c>
      <c r="B679" s="83"/>
      <c r="C679" s="76"/>
      <c r="D679" s="391"/>
      <c r="E679" s="83">
        <v>15220</v>
      </c>
      <c r="F679" s="77"/>
      <c r="G679" s="42">
        <v>305000</v>
      </c>
      <c r="H679" s="42">
        <f t="shared" ref="H679:J679" si="235">H680</f>
        <v>0</v>
      </c>
      <c r="I679" s="42">
        <f t="shared" si="205"/>
        <v>305000</v>
      </c>
      <c r="J679" s="42">
        <f t="shared" si="235"/>
        <v>305000</v>
      </c>
    </row>
    <row r="680" spans="1:10" s="19" customFormat="1" ht="63">
      <c r="A680" s="41" t="str">
        <f>IF(B680&gt;0,VLOOKUP(B680,КВСР!A552:B1717,2),IF(C680&gt;0,VLOOKUP(C680,КФСР!A552:B2064,2),IF(D680&gt;0,VLOOKUP(D680,Программа!A$1:B$5063,2),IF(F680&gt;0,VLOOKUP(F680,КВР!A$1:B$5001,2),IF(E680&gt;0,VLOOKUP(E680,Направление!A$1:B$4755,2))))))</f>
        <v>Предоставление субсидий бюджетным, автономным учреждениям и иным некоммерческим организациям</v>
      </c>
      <c r="B680" s="83"/>
      <c r="C680" s="76"/>
      <c r="D680" s="77"/>
      <c r="E680" s="83"/>
      <c r="F680" s="77">
        <v>600</v>
      </c>
      <c r="G680" s="341">
        <v>305000</v>
      </c>
      <c r="H680" s="337"/>
      <c r="I680" s="42">
        <f t="shared" si="205"/>
        <v>305000</v>
      </c>
      <c r="J680" s="337">
        <v>305000</v>
      </c>
    </row>
    <row r="681" spans="1:10" s="19" customFormat="1" ht="31.5">
      <c r="A681" s="41" t="str">
        <f>IF(B681&gt;0,VLOOKUP(B681,КВСР!A553:B1718,2),IF(C681&gt;0,VLOOKUP(C681,КФСР!A553:B2065,2),IF(D681&gt;0,VLOOKUP(D681,Программа!A$1:B$5063,2),IF(F681&gt;0,VLOOKUP(F681,КВР!A$1:B$5001,2),IF(E681&gt;0,VLOOKUP(E681,Направление!A$1:B$4755,2))))))</f>
        <v>Молодежная политика и оздоровление детей</v>
      </c>
      <c r="B681" s="83"/>
      <c r="C681" s="76">
        <v>707</v>
      </c>
      <c r="D681" s="391"/>
      <c r="E681" s="83"/>
      <c r="F681" s="77"/>
      <c r="G681" s="75">
        <v>12671724</v>
      </c>
      <c r="H681" s="75">
        <f>H682+H709</f>
        <v>-21444</v>
      </c>
      <c r="I681" s="42">
        <f t="shared" si="205"/>
        <v>12650280</v>
      </c>
      <c r="J681" s="75">
        <f>J682+J709</f>
        <v>12059673</v>
      </c>
    </row>
    <row r="682" spans="1:10" s="19" customFormat="1" ht="63">
      <c r="A682" s="41" t="str">
        <f>IF(B682&gt;0,VLOOKUP(B682,КВСР!A554:B1719,2),IF(C682&gt;0,VLOOKUP(C682,КФСР!A554:B2066,2),IF(D682&gt;0,VLOOKUP(D682,Программа!A$1:B$5063,2),IF(F682&gt;0,VLOOKUP(F682,КВР!A$1:B$5001,2),IF(E682&gt;0,VLOOKUP(E682,Направление!A$1:B$4755,2))))))</f>
        <v>Муниципальная программа  "Развитие культуры, туризма и молодежной политики в Тутаевском муниципальном районе"</v>
      </c>
      <c r="B682" s="83"/>
      <c r="C682" s="76"/>
      <c r="D682" s="391" t="s">
        <v>2677</v>
      </c>
      <c r="E682" s="83"/>
      <c r="F682" s="77"/>
      <c r="G682" s="75">
        <v>12642224</v>
      </c>
      <c r="H682" s="75">
        <f>H683+H697+H705</f>
        <v>8056</v>
      </c>
      <c r="I682" s="42">
        <f t="shared" si="205"/>
        <v>12650280</v>
      </c>
      <c r="J682" s="75">
        <f>J683+J697+J705</f>
        <v>12059673</v>
      </c>
    </row>
    <row r="683" spans="1:10" s="19" customFormat="1" ht="31.5">
      <c r="A683" s="41" t="str">
        <f>IF(B683&gt;0,VLOOKUP(B683,КВСР!A555:B1720,2),IF(C683&gt;0,VLOOKUP(C683,КФСР!A555:B2067,2),IF(D683&gt;0,VLOOKUP(D683,Программа!A$1:B$5063,2),IF(F683&gt;0,VLOOKUP(F683,КВР!A$1:B$5001,2),IF(E683&gt;0,VLOOKUP(E683,Направление!A$1:B$4755,2))))))</f>
        <v>Ведомственная целевая программа «Молодежь»</v>
      </c>
      <c r="B683" s="83"/>
      <c r="C683" s="76"/>
      <c r="D683" s="391" t="s">
        <v>2678</v>
      </c>
      <c r="E683" s="83"/>
      <c r="F683" s="77"/>
      <c r="G683" s="75">
        <v>12522749</v>
      </c>
      <c r="H683" s="75">
        <f t="shared" ref="H683:J683" si="236">H684</f>
        <v>8056</v>
      </c>
      <c r="I683" s="42">
        <f t="shared" si="205"/>
        <v>12530805</v>
      </c>
      <c r="J683" s="75">
        <f t="shared" si="236"/>
        <v>11940198</v>
      </c>
    </row>
    <row r="684" spans="1:10" s="19" customFormat="1" ht="69" customHeight="1">
      <c r="A684" s="41" t="str">
        <f>IF(B684&gt;0,VLOOKUP(B684,КВСР!A556:B1721,2),IF(C684&gt;0,VLOOKUP(C684,КФСР!A556:B2068,2),IF(D684&gt;0,VLOOKUP(D684,Программа!A$1:B$5063,2),IF(F684&gt;0,VLOOKUP(F684,КВР!A$1:B$5001,2),IF(E684&gt;0,VLOOKUP(E684,Направление!A$1:B$4755,2))))))</f>
        <v>Обеспечение условий для выполнения муниципального задания на оказание услуг, выполнение работ в сфере молодежной политики</v>
      </c>
      <c r="B684" s="83"/>
      <c r="C684" s="76"/>
      <c r="D684" s="391" t="s">
        <v>2679</v>
      </c>
      <c r="E684" s="83"/>
      <c r="F684" s="77"/>
      <c r="G684" s="43">
        <v>12522749</v>
      </c>
      <c r="H684" s="43">
        <f>H685+H687+H689+H693+H691+H695</f>
        <v>8056</v>
      </c>
      <c r="I684" s="43">
        <f>I685+I687+I689+I693+I691+I695</f>
        <v>12530805</v>
      </c>
      <c r="J684" s="43">
        <f>J685+J687+J689+J693+J691+J695</f>
        <v>11940198</v>
      </c>
    </row>
    <row r="685" spans="1:10" s="19" customFormat="1" ht="31.5">
      <c r="A685" s="41" t="str">
        <f>IF(B685&gt;0,VLOOKUP(B685,КВСР!A557:B1722,2),IF(C685&gt;0,VLOOKUP(C685,КФСР!A557:B2069,2),IF(D685&gt;0,VLOOKUP(D685,Программа!A$1:B$5063,2),IF(F685&gt;0,VLOOKUP(F685,КВР!A$1:B$5001,2),IF(E685&gt;0,VLOOKUP(E685,Направление!A$1:B$4755,2))))))</f>
        <v xml:space="preserve">Выплата ежемесячных и разовых стипендий главы </v>
      </c>
      <c r="B685" s="83"/>
      <c r="C685" s="76"/>
      <c r="D685" s="391"/>
      <c r="E685" s="83">
        <v>12700</v>
      </c>
      <c r="F685" s="77"/>
      <c r="G685" s="43">
        <v>90000</v>
      </c>
      <c r="H685" s="43">
        <f t="shared" ref="H685:J685" si="237">H686</f>
        <v>0</v>
      </c>
      <c r="I685" s="42">
        <f t="shared" si="205"/>
        <v>90000</v>
      </c>
      <c r="J685" s="43">
        <f t="shared" si="237"/>
        <v>90000</v>
      </c>
    </row>
    <row r="686" spans="1:10" s="19" customFormat="1" ht="63">
      <c r="A686" s="41" t="str">
        <f>IF(B686&gt;0,VLOOKUP(B686,КВСР!A558:B1723,2),IF(C686&gt;0,VLOOKUP(C686,КФСР!A558:B2070,2),IF(D686&gt;0,VLOOKUP(D686,Программа!A$1:B$5063,2),IF(F686&gt;0,VLOOKUP(F686,КВР!A$1:B$5001,2),IF(E686&gt;0,VLOOKUP(E686,Направление!A$1:B$4755,2))))))</f>
        <v>Предоставление субсидий бюджетным, автономным учреждениям и иным некоммерческим организациям</v>
      </c>
      <c r="B686" s="83"/>
      <c r="C686" s="76"/>
      <c r="D686" s="77"/>
      <c r="E686" s="83"/>
      <c r="F686" s="77">
        <v>600</v>
      </c>
      <c r="G686" s="346">
        <v>90000</v>
      </c>
      <c r="H686" s="344"/>
      <c r="I686" s="42">
        <f t="shared" si="205"/>
        <v>90000</v>
      </c>
      <c r="J686" s="344">
        <v>90000</v>
      </c>
    </row>
    <row r="687" spans="1:10" s="19" customFormat="1" ht="34.5" customHeight="1">
      <c r="A687" s="41" t="str">
        <f>IF(B687&gt;0,VLOOKUP(B687,КВСР!A559:B1724,2),IF(C687&gt;0,VLOOKUP(C687,КФСР!A559:B2071,2),IF(D687&gt;0,VLOOKUP(D687,Программа!A$1:B$5063,2),IF(F687&gt;0,VLOOKUP(F687,КВР!A$1:B$5001,2),IF(E687&gt;0,VLOOKUP(E687,Направление!A$1:B$4755,2))))))</f>
        <v xml:space="preserve">Обеспечение деятельности учреждений в сфере молодежной политики </v>
      </c>
      <c r="B687" s="83"/>
      <c r="C687" s="76"/>
      <c r="D687" s="391"/>
      <c r="E687" s="83">
        <v>14510</v>
      </c>
      <c r="F687" s="77"/>
      <c r="G687" s="42">
        <v>8357541</v>
      </c>
      <c r="H687" s="42">
        <f t="shared" ref="H687:J687" si="238">H688</f>
        <v>-12944</v>
      </c>
      <c r="I687" s="42">
        <f t="shared" si="205"/>
        <v>8344597</v>
      </c>
      <c r="J687" s="42">
        <f t="shared" si="238"/>
        <v>8090656</v>
      </c>
    </row>
    <row r="688" spans="1:10" s="19" customFormat="1" ht="63">
      <c r="A688" s="41" t="str">
        <f>IF(B688&gt;0,VLOOKUP(B688,КВСР!A560:B1725,2),IF(C688&gt;0,VLOOKUP(C688,КФСР!A560:B2072,2),IF(D688&gt;0,VLOOKUP(D688,Программа!A$1:B$5063,2),IF(F688&gt;0,VLOOKUP(F688,КВР!A$1:B$5001,2),IF(E688&gt;0,VLOOKUP(E688,Направление!A$1:B$4755,2))))))</f>
        <v>Предоставление субсидий бюджетным, автономным учреждениям и иным некоммерческим организациям</v>
      </c>
      <c r="B688" s="83"/>
      <c r="C688" s="76"/>
      <c r="D688" s="77"/>
      <c r="E688" s="83"/>
      <c r="F688" s="77">
        <v>600</v>
      </c>
      <c r="G688" s="341">
        <v>8357541</v>
      </c>
      <c r="H688" s="337">
        <f>-12944</f>
        <v>-12944</v>
      </c>
      <c r="I688" s="42">
        <f t="shared" si="205"/>
        <v>8344597</v>
      </c>
      <c r="J688" s="337">
        <v>8090656</v>
      </c>
    </row>
    <row r="689" spans="1:10" s="19" customFormat="1" ht="31.5">
      <c r="A689" s="41" t="str">
        <f>IF(B689&gt;0,VLOOKUP(B689,КВСР!A561:B1726,2),IF(C689&gt;0,VLOOKUP(C689,КФСР!A561:B2073,2),IF(D689&gt;0,VLOOKUP(D689,Программа!A$1:B$5063,2),IF(F689&gt;0,VLOOKUP(F689,КВР!A$1:B$5001,2),IF(E689&gt;0,VLOOKUP(E689,Направление!A$1:B$4755,2))))))</f>
        <v>Мероприятия в сфере молодежной политики</v>
      </c>
      <c r="B689" s="83"/>
      <c r="C689" s="76"/>
      <c r="D689" s="391"/>
      <c r="E689" s="83">
        <v>14530</v>
      </c>
      <c r="F689" s="77"/>
      <c r="G689" s="93">
        <v>136642</v>
      </c>
      <c r="H689" s="93">
        <f t="shared" ref="H689:J689" si="239">H690</f>
        <v>0</v>
      </c>
      <c r="I689" s="42">
        <f t="shared" si="205"/>
        <v>136642</v>
      </c>
      <c r="J689" s="93">
        <f t="shared" si="239"/>
        <v>80300</v>
      </c>
    </row>
    <row r="690" spans="1:10" s="19" customFormat="1" ht="63">
      <c r="A690" s="41" t="str">
        <f>IF(B690&gt;0,VLOOKUP(B690,КВСР!A562:B1727,2),IF(C690&gt;0,VLOOKUP(C690,КФСР!A562:B2074,2),IF(D690&gt;0,VLOOKUP(D690,Программа!A$1:B$5063,2),IF(F690&gt;0,VLOOKUP(F690,КВР!A$1:B$5001,2),IF(E690&gt;0,VLOOKUP(E690,Направление!A$1:B$4755,2))))))</f>
        <v>Предоставление субсидий бюджетным, автономным учреждениям и иным некоммерческим организациям</v>
      </c>
      <c r="B690" s="83"/>
      <c r="C690" s="76"/>
      <c r="D690" s="77"/>
      <c r="E690" s="83"/>
      <c r="F690" s="77">
        <v>600</v>
      </c>
      <c r="G690" s="341">
        <v>136642</v>
      </c>
      <c r="H690" s="337"/>
      <c r="I690" s="42">
        <f t="shared" si="205"/>
        <v>136642</v>
      </c>
      <c r="J690" s="337">
        <v>80300</v>
      </c>
    </row>
    <row r="691" spans="1:10" s="19" customFormat="1" ht="69.75" customHeight="1">
      <c r="A691" s="41" t="str">
        <f>IF(B691&gt;0,VLOOKUP(B691,КВСР!A563:B1728,2),IF(C691&gt;0,VLOOKUP(C691,КФСР!A563:B2075,2),IF(D691&gt;0,VLOOKUP(D691,Программа!A$1:B$5063,2),IF(F691&gt;0,VLOOKUP(F691,КВР!A$1:B$5001,2),IF(E691&gt;0,VLOOKUP(E691,Направление!A$1:B$4755,2))))))</f>
        <v>Расходы на оказание (выполнение) муниципальными учреждениями услуг (работ) в сфере молодежной политики за счет средств областного бюджета</v>
      </c>
      <c r="B691" s="83"/>
      <c r="C691" s="76"/>
      <c r="D691" s="77"/>
      <c r="E691" s="83" t="s">
        <v>2964</v>
      </c>
      <c r="F691" s="77"/>
      <c r="G691" s="42">
        <v>1771606</v>
      </c>
      <c r="H691" s="42">
        <f t="shared" ref="H691:J691" si="240">H692</f>
        <v>0</v>
      </c>
      <c r="I691" s="42">
        <f t="shared" si="205"/>
        <v>1771606</v>
      </c>
      <c r="J691" s="42">
        <f t="shared" si="240"/>
        <v>1491282</v>
      </c>
    </row>
    <row r="692" spans="1:10" s="19" customFormat="1" ht="63">
      <c r="A692" s="41" t="str">
        <f>IF(B692&gt;0,VLOOKUP(B692,КВСР!A564:B1729,2),IF(C692&gt;0,VLOOKUP(C692,КФСР!A564:B2076,2),IF(D692&gt;0,VLOOKUP(D692,Программа!A$1:B$5063,2),IF(F692&gt;0,VLOOKUP(F692,КВР!A$1:B$5001,2),IF(E692&gt;0,VLOOKUP(E692,Направление!A$1:B$4755,2))))))</f>
        <v>Предоставление субсидий бюджетным, автономным учреждениям и иным некоммерческим организациям</v>
      </c>
      <c r="B692" s="83"/>
      <c r="C692" s="76"/>
      <c r="D692" s="391"/>
      <c r="E692" s="83"/>
      <c r="F692" s="77">
        <v>600</v>
      </c>
      <c r="G692" s="341">
        <v>1771606</v>
      </c>
      <c r="H692" s="337"/>
      <c r="I692" s="42">
        <f t="shared" si="205"/>
        <v>1771606</v>
      </c>
      <c r="J692" s="337">
        <v>1491282</v>
      </c>
    </row>
    <row r="693" spans="1:10" s="19" customFormat="1" ht="66" customHeight="1">
      <c r="A693" s="41" t="str">
        <f>IF(B693&gt;0,VLOOKUP(B693,КВСР!A565:B1730,2),IF(C693&gt;0,VLOOKUP(C693,КФСР!A565:B2077,2),IF(D693&gt;0,VLOOKUP(D693,Программа!A$1:B$5063,2),IF(F693&gt;0,VLOOKUP(F693,КВР!A$1:B$5001,2),IF(E693&gt;0,VLOOKUP(E693,Направление!A$1:B$4755,2))))))</f>
        <v>Расходы на оказание (выполнение) муниципальными учреждениями услуг (работ) в сфере молодежной политики за счет средств областного бюджета</v>
      </c>
      <c r="B693" s="83"/>
      <c r="C693" s="76"/>
      <c r="D693" s="391"/>
      <c r="E693" s="83">
        <v>70650</v>
      </c>
      <c r="F693" s="77"/>
      <c r="G693" s="42">
        <v>2166960</v>
      </c>
      <c r="H693" s="42">
        <f t="shared" ref="H693:J693" si="241">H694</f>
        <v>0</v>
      </c>
      <c r="I693" s="42">
        <f t="shared" si="205"/>
        <v>2166960</v>
      </c>
      <c r="J693" s="42">
        <f t="shared" si="241"/>
        <v>2166960</v>
      </c>
    </row>
    <row r="694" spans="1:10" s="19" customFormat="1" ht="63">
      <c r="A694" s="41" t="str">
        <f>IF(B694&gt;0,VLOOKUP(B694,КВСР!A566:B1731,2),IF(C694&gt;0,VLOOKUP(C694,КФСР!A566:B2078,2),IF(D694&gt;0,VLOOKUP(D694,Программа!A$1:B$5063,2),IF(F694&gt;0,VLOOKUP(F694,КВР!A$1:B$5001,2),IF(E694&gt;0,VLOOKUP(E694,Направление!A$1:B$4755,2))))))</f>
        <v>Предоставление субсидий бюджетным, автономным учреждениям и иным некоммерческим организациям</v>
      </c>
      <c r="B694" s="83"/>
      <c r="C694" s="76"/>
      <c r="D694" s="391"/>
      <c r="E694" s="83"/>
      <c r="F694" s="77">
        <v>600</v>
      </c>
      <c r="G694" s="494">
        <v>2166960</v>
      </c>
      <c r="H694" s="339"/>
      <c r="I694" s="42">
        <f t="shared" si="205"/>
        <v>2166960</v>
      </c>
      <c r="J694" s="339">
        <v>2166960</v>
      </c>
    </row>
    <row r="695" spans="1:10" s="19" customFormat="1" ht="63">
      <c r="A695" s="41" t="str">
        <f>IF(B695&gt;0,VLOOKUP(B695,КВСР!A567:B1732,2),IF(C695&gt;0,VLOOKUP(C695,КФСР!A567:B2079,2),IF(D695&gt;0,VLOOKUP(D695,Программа!A$1:B$5063,2),IF(F695&gt;0,VLOOKUP(F695,КВР!A$1:B$5001,2),IF(E695&gt;0,VLOOKUP(E695,Направление!A$1:B$4755,2))))))</f>
        <v>Мероприятия по содействию решению вопросов местного значения по обращению депутатов Ярославской областной Думы</v>
      </c>
      <c r="B695" s="83"/>
      <c r="C695" s="76"/>
      <c r="D695" s="391"/>
      <c r="E695" s="83">
        <v>74430</v>
      </c>
      <c r="F695" s="77"/>
      <c r="G695" s="494">
        <f>G696</f>
        <v>0</v>
      </c>
      <c r="H695" s="494">
        <f t="shared" ref="H695:J695" si="242">H696</f>
        <v>21000</v>
      </c>
      <c r="I695" s="494">
        <f t="shared" si="242"/>
        <v>21000</v>
      </c>
      <c r="J695" s="494">
        <f t="shared" si="242"/>
        <v>21000</v>
      </c>
    </row>
    <row r="696" spans="1:10" s="19" customFormat="1" ht="63">
      <c r="A696" s="41" t="str">
        <f>IF(B696&gt;0,VLOOKUP(B696,КВСР!A568:B1733,2),IF(C696&gt;0,VLOOKUP(C696,КФСР!A568:B2080,2),IF(D696&gt;0,VLOOKUP(D696,Программа!A$1:B$5063,2),IF(F696&gt;0,VLOOKUP(F696,КВР!A$1:B$5001,2),IF(E696&gt;0,VLOOKUP(E696,Направление!A$1:B$4755,2))))))</f>
        <v>Предоставление субсидий бюджетным, автономным учреждениям и иным некоммерческим организациям</v>
      </c>
      <c r="B696" s="83"/>
      <c r="C696" s="76"/>
      <c r="D696" s="391"/>
      <c r="E696" s="83"/>
      <c r="F696" s="77">
        <v>600</v>
      </c>
      <c r="G696" s="494"/>
      <c r="H696" s="339">
        <v>21000</v>
      </c>
      <c r="I696" s="42">
        <f>G696+H696</f>
        <v>21000</v>
      </c>
      <c r="J696" s="339">
        <v>21000</v>
      </c>
    </row>
    <row r="697" spans="1:10" s="19" customFormat="1" ht="94.5">
      <c r="A697" s="41" t="str">
        <f>IF(B697&gt;0,VLOOKUP(B697,КВСР!A567:B1732,2),IF(C697&gt;0,VLOOKUP(C697,КФСР!A567:B2079,2),IF(D697&gt;0,VLOOKUP(D697,Программа!A$1:B$5063,2),IF(F697&gt;0,VLOOKUP(F697,КВР!A$1:B$5001,2),IF(E697&gt;0,VLOOKUP(E697,Направление!A$1:B$4755,2))))))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97" s="83"/>
      <c r="C697" s="76"/>
      <c r="D697" s="391" t="s">
        <v>2680</v>
      </c>
      <c r="E697" s="83"/>
      <c r="F697" s="77"/>
      <c r="G697" s="93">
        <v>99475</v>
      </c>
      <c r="H697" s="93">
        <f t="shared" ref="H697:J699" si="243">H698</f>
        <v>0</v>
      </c>
      <c r="I697" s="42">
        <f t="shared" si="205"/>
        <v>99475</v>
      </c>
      <c r="J697" s="93">
        <f t="shared" si="243"/>
        <v>99475</v>
      </c>
    </row>
    <row r="698" spans="1:10" s="19" customFormat="1" ht="81.75" customHeight="1">
      <c r="A698" s="41" t="str">
        <f>IF(B698&gt;0,VLOOKUP(B698,КВСР!A568:B1733,2),IF(C698&gt;0,VLOOKUP(C698,КФСР!A568:B2080,2),IF(D698&gt;0,VLOOKUP(D698,Программа!A$1:B$5063,2),IF(F698&gt;0,VLOOKUP(F698,КВР!A$1:B$5001,2),IF(E698&gt;0,VLOOKUP(E698,Направление!A$1:B$4755,2))))))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98" s="83"/>
      <c r="C698" s="76"/>
      <c r="D698" s="391" t="s">
        <v>2681</v>
      </c>
      <c r="E698" s="83"/>
      <c r="F698" s="77"/>
      <c r="G698" s="93">
        <v>99475</v>
      </c>
      <c r="H698" s="93">
        <f>H699+H701+H703</f>
        <v>0</v>
      </c>
      <c r="I698" s="42">
        <f t="shared" si="205"/>
        <v>99475</v>
      </c>
      <c r="J698" s="93">
        <f>J699+J701+J703</f>
        <v>99475</v>
      </c>
    </row>
    <row r="699" spans="1:10" s="19" customFormat="1" ht="47.25" hidden="1">
      <c r="A699" s="41" t="str">
        <f>IF(B699&gt;0,VLOOKUP(B699,КВСР!A569:B1734,2),IF(C699&gt;0,VLOOKUP(C699,КФСР!A569:B2081,2),IF(D699&gt;0,VLOOKUP(D699,Программа!A$1:B$5063,2),IF(F699&gt;0,VLOOKUP(F699,КВР!A$1:B$5001,2),IF(E699&gt;0,VLOOKUP(E699,Направление!A$1:B$4755,2))))))</f>
        <v>Расходы на реализацию мероприятий патриотического воспитания молодежи</v>
      </c>
      <c r="B699" s="83"/>
      <c r="C699" s="76"/>
      <c r="D699" s="391"/>
      <c r="E699" s="83">
        <v>14560</v>
      </c>
      <c r="F699" s="77"/>
      <c r="G699" s="93">
        <v>0</v>
      </c>
      <c r="H699" s="93">
        <f t="shared" si="243"/>
        <v>0</v>
      </c>
      <c r="I699" s="42">
        <f t="shared" si="205"/>
        <v>0</v>
      </c>
      <c r="J699" s="93">
        <f t="shared" si="243"/>
        <v>0</v>
      </c>
    </row>
    <row r="700" spans="1:10" s="19" customFormat="1" ht="63" hidden="1">
      <c r="A700" s="41" t="str">
        <f>IF(B700&gt;0,VLOOKUP(B700,КВСР!A570:B1735,2),IF(C700&gt;0,VLOOKUP(C700,КФСР!A570:B2082,2),IF(D700&gt;0,VLOOKUP(D700,Программа!A$1:B$5063,2),IF(F700&gt;0,VLOOKUP(F700,КВР!A$1:B$5001,2),IF(E700&gt;0,VLOOKUP(E700,Направление!A$1:B$4755,2))))))</f>
        <v>Предоставление субсидий бюджетным, автономным учреждениям и иным некоммерческим организациям</v>
      </c>
      <c r="B700" s="83"/>
      <c r="C700" s="76"/>
      <c r="D700" s="391"/>
      <c r="E700" s="83"/>
      <c r="F700" s="77">
        <v>600</v>
      </c>
      <c r="G700" s="494">
        <v>0</v>
      </c>
      <c r="H700" s="339"/>
      <c r="I700" s="42">
        <f t="shared" si="205"/>
        <v>0</v>
      </c>
      <c r="J700" s="339"/>
    </row>
    <row r="701" spans="1:10" s="19" customFormat="1" ht="31.5">
      <c r="A701" s="41" t="str">
        <f>IF(B701&gt;0,VLOOKUP(B701,КВСР!A571:B1736,2),IF(C701&gt;0,VLOOKUP(C701,КФСР!A571:B2083,2),IF(D701&gt;0,VLOOKUP(D701,Программа!A$1:B$5063,2),IF(F701&gt;0,VLOOKUP(F701,КВР!A$1:B$5001,2),IF(E701&gt;0,VLOOKUP(E701,Направление!A$1:B$4755,2))))))</f>
        <v>Мероприятия по патриотическому воспитанию граждан</v>
      </c>
      <c r="B701" s="83"/>
      <c r="C701" s="76"/>
      <c r="D701" s="391"/>
      <c r="E701" s="83">
        <v>74880</v>
      </c>
      <c r="F701" s="77"/>
      <c r="G701" s="494">
        <v>79475</v>
      </c>
      <c r="H701" s="494">
        <f>H702</f>
        <v>0</v>
      </c>
      <c r="I701" s="494">
        <f>I702</f>
        <v>79475</v>
      </c>
      <c r="J701" s="494">
        <f>J702</f>
        <v>79475</v>
      </c>
    </row>
    <row r="702" spans="1:10" s="19" customFormat="1" ht="63">
      <c r="A702" s="41" t="str">
        <f>IF(B702&gt;0,VLOOKUP(B702,КВСР!A572:B1737,2),IF(C702&gt;0,VLOOKUP(C702,КФСР!A572:B2084,2),IF(D702&gt;0,VLOOKUP(D702,Программа!A$1:B$5063,2),IF(F702&gt;0,VLOOKUP(F702,КВР!A$1:B$5001,2),IF(E702&gt;0,VLOOKUP(E702,Направление!A$1:B$4755,2))))))</f>
        <v>Предоставление субсидий бюджетным, автономным учреждениям и иным некоммерческим организациям</v>
      </c>
      <c r="B702" s="83"/>
      <c r="C702" s="76"/>
      <c r="D702" s="391"/>
      <c r="E702" s="83"/>
      <c r="F702" s="77">
        <v>600</v>
      </c>
      <c r="G702" s="494">
        <v>79475</v>
      </c>
      <c r="H702" s="339"/>
      <c r="I702" s="42">
        <f>G702+H702</f>
        <v>79475</v>
      </c>
      <c r="J702" s="339">
        <v>79475</v>
      </c>
    </row>
    <row r="703" spans="1:10" s="19" customFormat="1" ht="31.5">
      <c r="A703" s="41" t="str">
        <f>IF(B703&gt;0,VLOOKUP(B703,КВСР!A573:B1738,2),IF(C703&gt;0,VLOOKUP(C703,КФСР!A573:B2085,2),IF(D703&gt;0,VLOOKUP(D703,Программа!A$1:B$5063,2),IF(F703&gt;0,VLOOKUP(F703,КВР!A$1:B$5001,2),IF(E703&gt;0,VLOOKUP(E703,Направление!A$1:B$4755,2))))))</f>
        <v>Мероприятия по патриотическому воспитанию граждан</v>
      </c>
      <c r="B703" s="83"/>
      <c r="C703" s="76"/>
      <c r="D703" s="391"/>
      <c r="E703" s="83" t="s">
        <v>3200</v>
      </c>
      <c r="F703" s="77"/>
      <c r="G703" s="494">
        <v>20000</v>
      </c>
      <c r="H703" s="494">
        <f>H704</f>
        <v>0</v>
      </c>
      <c r="I703" s="494">
        <f>I704</f>
        <v>20000</v>
      </c>
      <c r="J703" s="494">
        <f>J704</f>
        <v>20000</v>
      </c>
    </row>
    <row r="704" spans="1:10" s="19" customFormat="1" ht="63">
      <c r="A704" s="41" t="str">
        <f>IF(B704&gt;0,VLOOKUP(B704,КВСР!A574:B1739,2),IF(C704&gt;0,VLOOKUP(C704,КФСР!A574:B2086,2),IF(D704&gt;0,VLOOKUP(D704,Программа!A$1:B$5063,2),IF(F704&gt;0,VLOOKUP(F704,КВР!A$1:B$5001,2),IF(E704&gt;0,VLOOKUP(E704,Направление!A$1:B$4755,2))))))</f>
        <v>Предоставление субсидий бюджетным, автономным учреждениям и иным некоммерческим организациям</v>
      </c>
      <c r="B704" s="83"/>
      <c r="C704" s="76"/>
      <c r="D704" s="391"/>
      <c r="E704" s="83"/>
      <c r="F704" s="77">
        <v>600</v>
      </c>
      <c r="G704" s="494">
        <v>20000</v>
      </c>
      <c r="H704" s="339"/>
      <c r="I704" s="42">
        <f>G704+H704</f>
        <v>20000</v>
      </c>
      <c r="J704" s="339">
        <v>20000</v>
      </c>
    </row>
    <row r="705" spans="1:10" s="19" customFormat="1" ht="78.75">
      <c r="A705" s="41" t="str">
        <f>IF(B705&gt;0,VLOOKUP(B705,КВСР!A571:B1736,2),IF(C705&gt;0,VLOOKUP(C705,КФСР!A571:B2083,2),IF(D705&gt;0,VLOOKUP(D705,Программа!A$1:B$5063,2),IF(F705&gt;0,VLOOKUP(F705,КВР!A$1:B$5001,2),IF(E705&gt;0,VLOOKUP(E705,Направление!A$1:B$4755,2))))))</f>
        <v>Муниципальная целевая программа «Комплексные меры противодействия злоупотреблению наркотиками и их незаконному обороту»</v>
      </c>
      <c r="B705" s="83"/>
      <c r="C705" s="76"/>
      <c r="D705" s="391" t="s">
        <v>2682</v>
      </c>
      <c r="E705" s="83"/>
      <c r="F705" s="77"/>
      <c r="G705" s="93">
        <v>20000</v>
      </c>
      <c r="H705" s="93">
        <f t="shared" ref="H705:J707" si="244">H706</f>
        <v>0</v>
      </c>
      <c r="I705" s="42">
        <f t="shared" ref="I705:I790" si="245">SUM(G705:H705)</f>
        <v>20000</v>
      </c>
      <c r="J705" s="93">
        <f t="shared" si="244"/>
        <v>20000</v>
      </c>
    </row>
    <row r="706" spans="1:10" s="19" customFormat="1" ht="47.25">
      <c r="A706" s="41" t="str">
        <f>IF(B706&gt;0,VLOOKUP(B706,КВСР!A572:B1737,2),IF(C706&gt;0,VLOOKUP(C706,КФСР!A572:B2084,2),IF(D706&gt;0,VLOOKUP(D706,Программа!A$1:B$5063,2),IF(F706&gt;0,VLOOKUP(F706,КВР!A$1:B$5001,2),IF(E706&gt;0,VLOOKUP(E706,Направление!A$1:B$4755,2))))))</f>
        <v>Развитие системы профилактики немедицинского потребления наркотиков</v>
      </c>
      <c r="B706" s="83"/>
      <c r="C706" s="76"/>
      <c r="D706" s="391" t="s">
        <v>2683</v>
      </c>
      <c r="E706" s="83"/>
      <c r="F706" s="77"/>
      <c r="G706" s="93">
        <v>20000</v>
      </c>
      <c r="H706" s="93">
        <f t="shared" si="244"/>
        <v>0</v>
      </c>
      <c r="I706" s="42">
        <f t="shared" si="245"/>
        <v>20000</v>
      </c>
      <c r="J706" s="93">
        <f t="shared" si="244"/>
        <v>20000</v>
      </c>
    </row>
    <row r="707" spans="1:10" s="502" customFormat="1" ht="64.5" customHeight="1">
      <c r="A707" s="41" t="str">
        <f>IF(B707&gt;0,VLOOKUP(B707,КВСР!A573:B1738,2),IF(C707&gt;0,VLOOKUP(C707,КФСР!A573:B2085,2),IF(D707&gt;0,VLOOKUP(D707,Программа!A$1:B$5063,2),IF(F707&gt;0,VLOOKUP(F707,КВР!A$1:B$5001,2),IF(E707&gt;0,VLOOKUP(E707,Направление!A$1:B$4755,2))))))</f>
        <v>Расходы на реализацию  МЦП "Комплексные меры противодействия злоупотреблению наркотиками и их незаконному обороту"</v>
      </c>
      <c r="B707" s="501"/>
      <c r="C707" s="243"/>
      <c r="D707" s="394"/>
      <c r="E707" s="501">
        <v>13820</v>
      </c>
      <c r="F707" s="240"/>
      <c r="G707" s="503">
        <v>20000</v>
      </c>
      <c r="H707" s="503">
        <f t="shared" si="244"/>
        <v>0</v>
      </c>
      <c r="I707" s="42">
        <f t="shared" si="245"/>
        <v>20000</v>
      </c>
      <c r="J707" s="503">
        <f t="shared" si="244"/>
        <v>20000</v>
      </c>
    </row>
    <row r="708" spans="1:10" s="19" customFormat="1" ht="63">
      <c r="A708" s="41" t="str">
        <f>IF(B708&gt;0,VLOOKUP(B708,КВСР!A574:B1739,2),IF(C708&gt;0,VLOOKUP(C708,КФСР!A574:B2086,2),IF(D708&gt;0,VLOOKUP(D708,Программа!A$1:B$5063,2),IF(F708&gt;0,VLOOKUP(F708,КВР!A$1:B$5001,2),IF(E708&gt;0,VLOOKUP(E708,Направление!A$1:B$4755,2))))))</f>
        <v>Предоставление субсидий бюджетным, автономным учреждениям и иным некоммерческим организациям</v>
      </c>
      <c r="B708" s="83"/>
      <c r="C708" s="76"/>
      <c r="D708" s="391"/>
      <c r="E708" s="83"/>
      <c r="F708" s="77">
        <v>600</v>
      </c>
      <c r="G708" s="494">
        <v>20000</v>
      </c>
      <c r="H708" s="339"/>
      <c r="I708" s="42">
        <f t="shared" si="245"/>
        <v>20000</v>
      </c>
      <c r="J708" s="339">
        <v>20000</v>
      </c>
    </row>
    <row r="709" spans="1:10" s="19" customFormat="1" ht="31.5" hidden="1">
      <c r="A709" s="41" t="str">
        <f>IF(B709&gt;0,VLOOKUP(B709,КВСР!A575:B1740,2),IF(C709&gt;0,VLOOKUP(C709,КФСР!A575:B2087,2),IF(D709&gt;0,VLOOKUP(D709,Программа!A$1:B$5063,2),IF(F709&gt;0,VLOOKUP(F709,КВР!A$1:B$5001,2),IF(E709&gt;0,VLOOKUP(E709,Направление!A$1:B$4755,2))))))</f>
        <v>Муниципальная программа "Доступная среда "</v>
      </c>
      <c r="B709" s="83"/>
      <c r="C709" s="76"/>
      <c r="D709" s="391" t="s">
        <v>2823</v>
      </c>
      <c r="E709" s="83"/>
      <c r="F709" s="77"/>
      <c r="G709" s="93">
        <v>29500</v>
      </c>
      <c r="H709" s="93">
        <f t="shared" ref="H709:J711" si="246">H710</f>
        <v>-29500</v>
      </c>
      <c r="I709" s="42">
        <f t="shared" si="245"/>
        <v>0</v>
      </c>
      <c r="J709" s="93">
        <f t="shared" si="246"/>
        <v>0</v>
      </c>
    </row>
    <row r="710" spans="1:10" s="19" customFormat="1" ht="78.75" hidden="1">
      <c r="A710" s="41" t="str">
        <f>IF(B710&gt;0,VLOOKUP(B710,КВСР!A576:B1741,2),IF(C710&gt;0,VLOOKUP(C710,КФСР!A576:B2088,2),IF(D710&gt;0,VLOOKUP(D710,Программа!A$1:B$5063,2),IF(F710&gt;0,VLOOKUP(F710,КВР!A$1:B$5001,2),IF(E710&gt;0,VLOOKUP(E710,Направление!A$1:B$4755,2))))))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10" s="83"/>
      <c r="C710" s="76"/>
      <c r="D710" s="391" t="s">
        <v>2825</v>
      </c>
      <c r="E710" s="83"/>
      <c r="F710" s="77"/>
      <c r="G710" s="93">
        <v>29500</v>
      </c>
      <c r="H710" s="93">
        <f t="shared" si="246"/>
        <v>-29500</v>
      </c>
      <c r="I710" s="42">
        <f t="shared" si="245"/>
        <v>0</v>
      </c>
      <c r="J710" s="93">
        <f t="shared" si="246"/>
        <v>0</v>
      </c>
    </row>
    <row r="711" spans="1:10" s="19" customFormat="1" ht="63" hidden="1">
      <c r="A711" s="41" t="str">
        <f>IF(B711&gt;0,VLOOKUP(B711,КВСР!A577:B1742,2),IF(C711&gt;0,VLOOKUP(C711,КФСР!A577:B2089,2),IF(D711&gt;0,VLOOKUP(D711,Программа!A$1:B$5063,2),IF(F711&gt;0,VLOOKUP(F711,КВР!A$1:B$5001,2),IF(E711&gt;0,VLOOKUP(E711,Направление!A$1:B$4755,2))))))</f>
        <v>Расходы на оборудование социально значимых объектов с целью обеспечения доступности для инвалидов</v>
      </c>
      <c r="B711" s="83"/>
      <c r="C711" s="76"/>
      <c r="D711" s="391"/>
      <c r="E711" s="83">
        <v>16250</v>
      </c>
      <c r="F711" s="77"/>
      <c r="G711" s="93">
        <v>29500</v>
      </c>
      <c r="H711" s="93">
        <f t="shared" si="246"/>
        <v>-29500</v>
      </c>
      <c r="I711" s="42">
        <f t="shared" si="245"/>
        <v>0</v>
      </c>
      <c r="J711" s="93">
        <f t="shared" si="246"/>
        <v>0</v>
      </c>
    </row>
    <row r="712" spans="1:10" s="19" customFormat="1" ht="63" hidden="1">
      <c r="A712" s="41" t="str">
        <f>IF(B712&gt;0,VLOOKUP(B712,КВСР!A578:B1743,2),IF(C712&gt;0,VLOOKUP(C712,КФСР!A578:B2090,2),IF(D712&gt;0,VLOOKUP(D712,Программа!A$1:B$5063,2),IF(F712&gt;0,VLOOKUP(F712,КВР!A$1:B$5001,2),IF(E712&gt;0,VLOOKUP(E712,Направление!A$1:B$4755,2))))))</f>
        <v>Предоставление субсидий бюджетным, автономным учреждениям и иным некоммерческим организациям</v>
      </c>
      <c r="B712" s="83"/>
      <c r="C712" s="76"/>
      <c r="D712" s="77"/>
      <c r="E712" s="83"/>
      <c r="F712" s="77">
        <v>600</v>
      </c>
      <c r="G712" s="494">
        <v>29500</v>
      </c>
      <c r="H712" s="339">
        <v>-29500</v>
      </c>
      <c r="I712" s="42">
        <f t="shared" si="245"/>
        <v>0</v>
      </c>
      <c r="J712" s="339">
        <v>0</v>
      </c>
    </row>
    <row r="713" spans="1:10" s="19" customFormat="1">
      <c r="A713" s="41" t="str">
        <f>IF(B713&gt;0,VLOOKUP(B713,КВСР!A579:B1744,2),IF(C713&gt;0,VLOOKUP(C713,КФСР!A579:B2091,2),IF(D713&gt;0,VLOOKUP(D713,Программа!A$1:B$5063,2),IF(F713&gt;0,VLOOKUP(F713,КВР!A$1:B$5001,2),IF(E713&gt;0,VLOOKUP(E713,Направление!A$1:B$4755,2))))))</f>
        <v>Культура</v>
      </c>
      <c r="B713" s="83"/>
      <c r="C713" s="76">
        <v>801</v>
      </c>
      <c r="D713" s="392"/>
      <c r="E713" s="84"/>
      <c r="F713" s="86"/>
      <c r="G713" s="75">
        <v>111526257</v>
      </c>
      <c r="H713" s="75">
        <f>H714+H749+H744+H753</f>
        <v>-861591</v>
      </c>
      <c r="I713" s="75">
        <f>I714+I749+I744+I753</f>
        <v>110664666</v>
      </c>
      <c r="J713" s="75">
        <f>J714+J749+J744+J753</f>
        <v>103046375</v>
      </c>
    </row>
    <row r="714" spans="1:10" s="19" customFormat="1" ht="63">
      <c r="A714" s="41" t="str">
        <f>IF(B714&gt;0,VLOOKUP(B714,КВСР!A580:B1745,2),IF(C714&gt;0,VLOOKUP(C714,КФСР!A580:B2092,2),IF(D714&gt;0,VLOOKUP(D714,Программа!A$1:B$5063,2),IF(F714&gt;0,VLOOKUP(F714,КВР!A$1:B$5001,2),IF(E714&gt;0,VLOOKUP(E714,Направление!A$1:B$4755,2))))))</f>
        <v>Муниципальная программа  "Развитие культуры, туризма и молодежной политики в Тутаевском муниципальном районе"</v>
      </c>
      <c r="B714" s="83"/>
      <c r="C714" s="76"/>
      <c r="D714" s="392" t="s">
        <v>2677</v>
      </c>
      <c r="E714" s="84"/>
      <c r="F714" s="86"/>
      <c r="G714" s="75">
        <v>109618524</v>
      </c>
      <c r="H714" s="75">
        <f t="shared" ref="H714:J714" si="247">H715</f>
        <v>-851411</v>
      </c>
      <c r="I714" s="42">
        <f t="shared" si="245"/>
        <v>108767113</v>
      </c>
      <c r="J714" s="75">
        <f t="shared" si="247"/>
        <v>101795163</v>
      </c>
    </row>
    <row r="715" spans="1:10" s="19" customFormat="1" ht="50.25" customHeight="1">
      <c r="A715" s="41" t="str">
        <f>IF(B715&gt;0,VLOOKUP(B715,КВСР!A581:B1746,2),IF(C715&gt;0,VLOOKUP(C715,КФСР!A581:B2093,2),IF(D715&gt;0,VLOOKUP(D715,Программа!A$1:B$5063,2),IF(F715&gt;0,VLOOKUP(F715,КВР!A$1:B$5001,2),IF(E715&gt;0,VLOOKUP(E715,Направление!A$1:B$4755,2))))))</f>
        <v>Ведомственная целевая программа «Сохранение и развитие культуры Тутаевского муниципального района»</v>
      </c>
      <c r="B715" s="83"/>
      <c r="C715" s="76"/>
      <c r="D715" s="392" t="s">
        <v>2684</v>
      </c>
      <c r="E715" s="84"/>
      <c r="F715" s="86"/>
      <c r="G715" s="75">
        <v>109618524</v>
      </c>
      <c r="H715" s="75">
        <f t="shared" ref="H715:I715" si="248">H716+H735</f>
        <v>-851411</v>
      </c>
      <c r="I715" s="75">
        <f t="shared" si="248"/>
        <v>108767113</v>
      </c>
      <c r="J715" s="75">
        <f t="shared" ref="J715" si="249">J716+J735</f>
        <v>101795163</v>
      </c>
    </row>
    <row r="716" spans="1:10" s="19" customFormat="1" ht="31.5">
      <c r="A716" s="41" t="str">
        <f>IF(B716&gt;0,VLOOKUP(B716,КВСР!A582:B1747,2),IF(C716&gt;0,VLOOKUP(C716,КФСР!A582:B2094,2),IF(D716&gt;0,VLOOKUP(D716,Программа!A$1:B$5063,2),IF(F716&gt;0,VLOOKUP(F716,КВР!A$1:B$5001,2),IF(E716&gt;0,VLOOKUP(E716,Направление!A$1:B$4755,2))))))</f>
        <v>Содействие доступу граждан к культурным ценностям</v>
      </c>
      <c r="B716" s="83"/>
      <c r="C716" s="76"/>
      <c r="D716" s="392" t="s">
        <v>2687</v>
      </c>
      <c r="E716" s="84"/>
      <c r="F716" s="86"/>
      <c r="G716" s="75">
        <v>90182895</v>
      </c>
      <c r="H716" s="75">
        <f>H719+H725+H717+H721+H731+H723+H733+H727+H729</f>
        <v>-851411</v>
      </c>
      <c r="I716" s="75">
        <f>I719+I725+I717+I721+I731+I723+I733+I727+I729</f>
        <v>89331484</v>
      </c>
      <c r="J716" s="75">
        <f>J719+J725+J717+J721+J731+J723+J733+J727+J729</f>
        <v>83335151</v>
      </c>
    </row>
    <row r="717" spans="1:10" s="19" customFormat="1" ht="31.5">
      <c r="A717" s="41" t="str">
        <f>IF(B717&gt;0,VLOOKUP(B717,КВСР!A583:B1748,2),IF(C717&gt;0,VLOOKUP(C717,КФСР!A583:B2095,2),IF(D717&gt;0,VLOOKUP(D717,Программа!A$1:B$5063,2),IF(F717&gt;0,VLOOKUP(F717,КВР!A$1:B$5001,2),IF(E717&gt;0,VLOOKUP(E717,Направление!A$1:B$4755,2))))))</f>
        <v xml:space="preserve">Выплата ежемесячных и разовых стипендий главы </v>
      </c>
      <c r="B717" s="83"/>
      <c r="C717" s="76"/>
      <c r="D717" s="392"/>
      <c r="E717" s="84">
        <v>12700</v>
      </c>
      <c r="F717" s="86"/>
      <c r="G717" s="75">
        <v>40000</v>
      </c>
      <c r="H717" s="75">
        <f t="shared" ref="H717:J717" si="250">H718</f>
        <v>0</v>
      </c>
      <c r="I717" s="42">
        <f t="shared" si="245"/>
        <v>40000</v>
      </c>
      <c r="J717" s="75">
        <f t="shared" si="250"/>
        <v>40000</v>
      </c>
    </row>
    <row r="718" spans="1:10" s="19" customFormat="1" ht="63">
      <c r="A718" s="41" t="str">
        <f>IF(B718&gt;0,VLOOKUP(B718,КВСР!A584:B1749,2),IF(C718&gt;0,VLOOKUP(C718,КФСР!A584:B2096,2),IF(D718&gt;0,VLOOKUP(D718,Программа!A$1:B$5063,2),IF(F718&gt;0,VLOOKUP(F718,КВР!A$1:B$5001,2),IF(E718&gt;0,VLOOKUP(E718,Направление!A$1:B$4755,2))))))</f>
        <v>Предоставление субсидий бюджетным, автономным учреждениям и иным некоммерческим организациям</v>
      </c>
      <c r="B718" s="83"/>
      <c r="C718" s="76"/>
      <c r="D718" s="86"/>
      <c r="E718" s="84"/>
      <c r="F718" s="86">
        <v>600</v>
      </c>
      <c r="G718" s="346">
        <v>40000</v>
      </c>
      <c r="H718" s="344"/>
      <c r="I718" s="42">
        <f t="shared" si="245"/>
        <v>40000</v>
      </c>
      <c r="J718" s="344">
        <v>40000</v>
      </c>
    </row>
    <row r="719" spans="1:10" s="19" customFormat="1" ht="47.25">
      <c r="A719" s="41" t="str">
        <f>IF(B719&gt;0,VLOOKUP(B719,КВСР!A585:B1750,2),IF(C719&gt;0,VLOOKUP(C719,КФСР!A585:B2097,2),IF(D719&gt;0,VLOOKUP(D719,Программа!A$1:B$5063,2),IF(F719&gt;0,VLOOKUP(F719,КВР!A$1:B$5001,2),IF(E719&gt;0,VLOOKUP(E719,Направление!A$1:B$4755,2))))))</f>
        <v>Обеспечение деятельности учреждений по организации досуга в сфере культуры</v>
      </c>
      <c r="B719" s="83"/>
      <c r="C719" s="76"/>
      <c r="D719" s="392"/>
      <c r="E719" s="84">
        <v>15010</v>
      </c>
      <c r="F719" s="86"/>
      <c r="G719" s="43">
        <v>76971488</v>
      </c>
      <c r="H719" s="43">
        <f t="shared" ref="H719:J719" si="251">H720</f>
        <v>-851411</v>
      </c>
      <c r="I719" s="42">
        <f t="shared" si="245"/>
        <v>76120077</v>
      </c>
      <c r="J719" s="43">
        <f t="shared" si="251"/>
        <v>73785374</v>
      </c>
    </row>
    <row r="720" spans="1:10" s="19" customFormat="1" ht="63">
      <c r="A720" s="41" t="str">
        <f>IF(B720&gt;0,VLOOKUP(B720,КВСР!A586:B1751,2),IF(C720&gt;0,VLOOKUP(C720,КФСР!A586:B2098,2),IF(D720&gt;0,VLOOKUP(D720,Программа!A$1:B$5063,2),IF(F720&gt;0,VLOOKUP(F720,КВР!A$1:B$5001,2),IF(E720&gt;0,VLOOKUP(E720,Направление!A$1:B$4755,2))))))</f>
        <v>Предоставление субсидий бюджетным, автономным учреждениям и иным некоммерческим организациям</v>
      </c>
      <c r="B720" s="83"/>
      <c r="C720" s="76"/>
      <c r="D720" s="86"/>
      <c r="E720" s="84"/>
      <c r="F720" s="86">
        <v>600</v>
      </c>
      <c r="G720" s="346">
        <v>76971488</v>
      </c>
      <c r="H720" s="338">
        <f>-2771-9905-838735</f>
        <v>-851411</v>
      </c>
      <c r="I720" s="42">
        <f t="shared" si="245"/>
        <v>76120077</v>
      </c>
      <c r="J720" s="338">
        <v>73785374</v>
      </c>
    </row>
    <row r="721" spans="1:10" s="19" customFormat="1">
      <c r="A721" s="41" t="str">
        <f>IF(B721&gt;0,VLOOKUP(B721,КВСР!A587:B1752,2),IF(C721&gt;0,VLOOKUP(C721,КФСР!A587:B2099,2),IF(D721&gt;0,VLOOKUP(D721,Программа!A$1:B$5063,2),IF(F721&gt;0,VLOOKUP(F721,КВР!A$1:B$5001,2),IF(E721&gt;0,VLOOKUP(E721,Направление!A$1:B$4755,2))))))</f>
        <v>Мероприятия в сфере культуры</v>
      </c>
      <c r="B721" s="83"/>
      <c r="C721" s="76"/>
      <c r="D721" s="392"/>
      <c r="E721" s="84">
        <v>15220</v>
      </c>
      <c r="F721" s="86"/>
      <c r="G721" s="75">
        <v>1025000</v>
      </c>
      <c r="H721" s="75">
        <f t="shared" ref="H721:J721" si="252">H722</f>
        <v>0</v>
      </c>
      <c r="I721" s="42">
        <f t="shared" si="245"/>
        <v>1025000</v>
      </c>
      <c r="J721" s="75">
        <f t="shared" si="252"/>
        <v>1024475</v>
      </c>
    </row>
    <row r="722" spans="1:10" s="19" customFormat="1" ht="63">
      <c r="A722" s="41" t="str">
        <f>IF(B722&gt;0,VLOOKUP(B722,КВСР!A588:B1753,2),IF(C722&gt;0,VLOOKUP(C722,КФСР!A588:B2100,2),IF(D722&gt;0,VLOOKUP(D722,Программа!A$1:B$5063,2),IF(F722&gt;0,VLOOKUP(F722,КВР!A$1:B$5001,2),IF(E722&gt;0,VLOOKUP(E722,Направление!A$1:B$4755,2))))))</f>
        <v>Предоставление субсидий бюджетным, автономным учреждениям и иным некоммерческим организациям</v>
      </c>
      <c r="B722" s="83"/>
      <c r="C722" s="76"/>
      <c r="D722" s="392"/>
      <c r="E722" s="84"/>
      <c r="F722" s="86">
        <v>600</v>
      </c>
      <c r="G722" s="346">
        <v>1025000</v>
      </c>
      <c r="H722" s="338"/>
      <c r="I722" s="42">
        <f t="shared" si="245"/>
        <v>1025000</v>
      </c>
      <c r="J722" s="338">
        <v>1024475</v>
      </c>
    </row>
    <row r="723" spans="1:10" s="19" customFormat="1" ht="31.5">
      <c r="A723" s="41" t="str">
        <f>IF(B723&gt;0,VLOOKUP(B723,КВСР!A589:B1754,2),IF(C723&gt;0,VLOOKUP(C723,КФСР!A589:B2101,2),IF(D723&gt;0,VLOOKUP(D723,Программа!A$1:B$5063,2),IF(F723&gt;0,VLOOKUP(F723,КВР!A$1:B$5001,2),IF(E723&gt;0,VLOOKUP(E723,Направление!A$1:B$4755,2))))))</f>
        <v xml:space="preserve">Обеспечение культурно-досуговых мероприятий </v>
      </c>
      <c r="B723" s="83"/>
      <c r="C723" s="76"/>
      <c r="D723" s="392"/>
      <c r="E723" s="84">
        <v>29216</v>
      </c>
      <c r="F723" s="86"/>
      <c r="G723" s="346">
        <v>1400000</v>
      </c>
      <c r="H723" s="346">
        <f t="shared" ref="H723:J723" si="253">H724</f>
        <v>0</v>
      </c>
      <c r="I723" s="346">
        <f t="shared" si="253"/>
        <v>1400000</v>
      </c>
      <c r="J723" s="346">
        <f t="shared" si="253"/>
        <v>1400000</v>
      </c>
    </row>
    <row r="724" spans="1:10" s="19" customFormat="1" ht="63">
      <c r="A724" s="41" t="str">
        <f>IF(B724&gt;0,VLOOKUP(B724,КВСР!A590:B1755,2),IF(C724&gt;0,VLOOKUP(C724,КФСР!A590:B2102,2),IF(D724&gt;0,VLOOKUP(D724,Программа!A$1:B$5063,2),IF(F724&gt;0,VLOOKUP(F724,КВР!A$1:B$5001,2),IF(E724&gt;0,VLOOKUP(E724,Направление!A$1:B$4755,2))))))</f>
        <v>Предоставление субсидий бюджетным, автономным учреждениям и иным некоммерческим организациям</v>
      </c>
      <c r="B724" s="83"/>
      <c r="C724" s="76"/>
      <c r="D724" s="392"/>
      <c r="E724" s="84"/>
      <c r="F724" s="86">
        <v>600</v>
      </c>
      <c r="G724" s="346">
        <v>1400000</v>
      </c>
      <c r="H724" s="338"/>
      <c r="I724" s="42">
        <f>G724+H724</f>
        <v>1400000</v>
      </c>
      <c r="J724" s="338">
        <v>1400000</v>
      </c>
    </row>
    <row r="725" spans="1:10" s="19" customFormat="1" ht="54" customHeight="1">
      <c r="A725" s="41" t="str">
        <f>IF(B725&gt;0,VLOOKUP(B725,КВСР!A591:B1756,2),IF(C725&gt;0,VLOOKUP(C725,КФСР!A591:B2103,2),IF(D725&gt;0,VLOOKUP(D725,Программа!A$1:B$5063,2),IF(F725&gt;0,VLOOKUP(F725,КВР!A$1:B$5001,2),IF(E725&gt;0,VLOOKUP(E725,Направление!A$1:B$4755,2))))))</f>
        <v>Расходы на проведение капитального ремонта муниципальных учреждений культуры</v>
      </c>
      <c r="B725" s="83"/>
      <c r="C725" s="76"/>
      <c r="D725" s="392"/>
      <c r="E725" s="84" t="s">
        <v>2963</v>
      </c>
      <c r="F725" s="86"/>
      <c r="G725" s="43">
        <v>1471027</v>
      </c>
      <c r="H725" s="43">
        <f t="shared" ref="H725:J725" si="254">H726</f>
        <v>0</v>
      </c>
      <c r="I725" s="42">
        <f t="shared" si="245"/>
        <v>1471027</v>
      </c>
      <c r="J725" s="43">
        <f t="shared" si="254"/>
        <v>1094697</v>
      </c>
    </row>
    <row r="726" spans="1:10" s="19" customFormat="1" ht="63">
      <c r="A726" s="41" t="str">
        <f>IF(B726&gt;0,VLOOKUP(B726,КВСР!A592:B1757,2),IF(C726&gt;0,VLOOKUP(C726,КФСР!A592:B2104,2),IF(D726&gt;0,VLOOKUP(D726,Программа!A$1:B$5063,2),IF(F726&gt;0,VLOOKUP(F726,КВР!A$1:B$5001,2),IF(E726&gt;0,VLOOKUP(E726,Направление!A$1:B$4755,2))))))</f>
        <v>Предоставление субсидий бюджетным, автономным учреждениям и иным некоммерческим организациям</v>
      </c>
      <c r="B726" s="83"/>
      <c r="C726" s="76"/>
      <c r="D726" s="391"/>
      <c r="E726" s="83"/>
      <c r="F726" s="77">
        <v>600</v>
      </c>
      <c r="G726" s="346">
        <v>1471027</v>
      </c>
      <c r="H726" s="338"/>
      <c r="I726" s="42">
        <f t="shared" si="245"/>
        <v>1471027</v>
      </c>
      <c r="J726" s="338">
        <v>1094697</v>
      </c>
    </row>
    <row r="727" spans="1:10" s="19" customFormat="1" ht="63">
      <c r="A727" s="41" t="str">
        <f>IF(B727&gt;0,VLOOKUP(B727,КВСР!A593:B1758,2),IF(C727&gt;0,VLOOKUP(C727,КФСР!A593:B2105,2),IF(D727&gt;0,VLOOKUP(D727,Программа!A$1:B$5063,2),IF(F727&gt;0,VLOOKUP(F727,КВР!A$1:B$5001,2),IF(E727&gt;0,VLOOKUP(E727,Направление!A$1:B$4755,2))))))</f>
        <v>Иные межбюджетные трансферты на государственную поддержку муниципальных учреждений культуры</v>
      </c>
      <c r="B727" s="83"/>
      <c r="C727" s="76"/>
      <c r="D727" s="391"/>
      <c r="E727" s="83">
        <v>51470</v>
      </c>
      <c r="F727" s="77"/>
      <c r="G727" s="346">
        <v>100000</v>
      </c>
      <c r="H727" s="346">
        <f t="shared" ref="H727:J727" si="255">H728</f>
        <v>0</v>
      </c>
      <c r="I727" s="42">
        <f t="shared" si="245"/>
        <v>100000</v>
      </c>
      <c r="J727" s="346">
        <f t="shared" si="255"/>
        <v>100000</v>
      </c>
    </row>
    <row r="728" spans="1:10" s="19" customFormat="1" ht="63">
      <c r="A728" s="41" t="str">
        <f>IF(B728&gt;0,VLOOKUP(B728,КВСР!A594:B1759,2),IF(C728&gt;0,VLOOKUP(C728,КФСР!A594:B2106,2),IF(D728&gt;0,VLOOKUP(D728,Программа!A$1:B$5063,2),IF(F728&gt;0,VLOOKUP(F728,КВР!A$1:B$5001,2),IF(E728&gt;0,VLOOKUP(E728,Направление!A$1:B$4755,2))))))</f>
        <v>Предоставление субсидий бюджетным, автономным учреждениям и иным некоммерческим организациям</v>
      </c>
      <c r="B728" s="83"/>
      <c r="C728" s="76"/>
      <c r="D728" s="391"/>
      <c r="E728" s="83"/>
      <c r="F728" s="77">
        <v>600</v>
      </c>
      <c r="G728" s="346">
        <v>100000</v>
      </c>
      <c r="H728" s="338"/>
      <c r="I728" s="42">
        <f t="shared" si="245"/>
        <v>100000</v>
      </c>
      <c r="J728" s="338">
        <v>100000</v>
      </c>
    </row>
    <row r="729" spans="1:10" s="19" customFormat="1" ht="78.75">
      <c r="A729" s="41" t="str">
        <f>IF(B729&gt;0,VLOOKUP(B729,КВСР!A595:B1760,2),IF(C729&gt;0,VLOOKUP(C729,КФСР!A595:B2107,2),IF(D729&gt;0,VLOOKUP(D729,Программа!A$1:B$5063,2),IF(F729&gt;0,VLOOKUP(F729,КВР!A$1:B$5001,2),IF(E729&gt;0,VLOOKUP(E729,Направление!A$1:B$4755,2))))))</f>
        <v>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v>
      </c>
      <c r="B729" s="83"/>
      <c r="C729" s="76"/>
      <c r="D729" s="391"/>
      <c r="E729" s="83">
        <v>51480</v>
      </c>
      <c r="F729" s="77"/>
      <c r="G729" s="346">
        <v>50000</v>
      </c>
      <c r="H729" s="346">
        <f t="shared" ref="H729:J729" si="256">H730</f>
        <v>0</v>
      </c>
      <c r="I729" s="42">
        <f t="shared" si="245"/>
        <v>50000</v>
      </c>
      <c r="J729" s="346">
        <f t="shared" si="256"/>
        <v>50000</v>
      </c>
    </row>
    <row r="730" spans="1:10" s="19" customFormat="1" ht="63">
      <c r="A730" s="41" t="str">
        <f>IF(B730&gt;0,VLOOKUP(B730,КВСР!A596:B1761,2),IF(C730&gt;0,VLOOKUP(C730,КФСР!A596:B2108,2),IF(D730&gt;0,VLOOKUP(D730,Программа!A$1:B$5063,2),IF(F730&gt;0,VLOOKUP(F730,КВР!A$1:B$5001,2),IF(E730&gt;0,VLOOKUP(E730,Направление!A$1:B$4755,2))))))</f>
        <v>Предоставление субсидий бюджетным, автономным учреждениям и иным некоммерческим организациям</v>
      </c>
      <c r="B730" s="83"/>
      <c r="C730" s="76"/>
      <c r="D730" s="391"/>
      <c r="E730" s="83"/>
      <c r="F730" s="77">
        <v>600</v>
      </c>
      <c r="G730" s="346">
        <v>50000</v>
      </c>
      <c r="H730" s="338"/>
      <c r="I730" s="42">
        <f t="shared" si="245"/>
        <v>50000</v>
      </c>
      <c r="J730" s="338">
        <v>50000</v>
      </c>
    </row>
    <row r="731" spans="1:10" s="19" customFormat="1" ht="63">
      <c r="A731" s="41" t="str">
        <f>IF(B731&gt;0,VLOOKUP(B731,КВСР!A597:B1762,2),IF(C731&gt;0,VLOOKUP(C731,КФСР!A597:B2109,2),IF(D731&gt;0,VLOOKUP(D731,Программа!A$1:B$5063,2),IF(F731&gt;0,VLOOKUP(F731,КВР!A$1:B$5001,2),IF(E731&gt;0,VLOOKUP(E731,Направление!A$1:B$4755,2))))))</f>
        <v>Расходы на проведение капитального ремонта муниципальных учреждений культуры</v>
      </c>
      <c r="B731" s="83"/>
      <c r="C731" s="76"/>
      <c r="D731" s="391"/>
      <c r="E731" s="83">
        <v>71690</v>
      </c>
      <c r="F731" s="77"/>
      <c r="G731" s="75">
        <v>9125380</v>
      </c>
      <c r="H731" s="75">
        <f t="shared" ref="H731:J731" si="257">H732</f>
        <v>0</v>
      </c>
      <c r="I731" s="42">
        <f t="shared" si="245"/>
        <v>9125380</v>
      </c>
      <c r="J731" s="75">
        <f t="shared" si="257"/>
        <v>5840605</v>
      </c>
    </row>
    <row r="732" spans="1:10" s="19" customFormat="1" ht="63">
      <c r="A732" s="41" t="str">
        <f>IF(B732&gt;0,VLOOKUP(B732,КВСР!A594:B1759,2),IF(C732&gt;0,VLOOKUP(C732,КФСР!A594:B2106,2),IF(D732&gt;0,VLOOKUP(D732,Программа!A$1:B$5063,2),IF(F732&gt;0,VLOOKUP(F732,КВР!A$1:B$5001,2),IF(E732&gt;0,VLOOKUP(E732,Направление!A$1:B$4755,2))))))</f>
        <v>Предоставление субсидий бюджетным, автономным учреждениям и иным некоммерческим организациям</v>
      </c>
      <c r="B732" s="83"/>
      <c r="C732" s="76"/>
      <c r="D732" s="391"/>
      <c r="E732" s="83"/>
      <c r="F732" s="77">
        <v>600</v>
      </c>
      <c r="G732" s="346">
        <v>9125380</v>
      </c>
      <c r="H732" s="338"/>
      <c r="I732" s="42">
        <f t="shared" si="245"/>
        <v>9125380</v>
      </c>
      <c r="J732" s="338">
        <v>5840605</v>
      </c>
    </row>
    <row r="733" spans="1:10" s="19" customFormat="1" ht="63" hidden="1">
      <c r="A733" s="41" t="str">
        <f>IF(B733&gt;0,VLOOKUP(B733,КВСР!A595:B1760,2),IF(C733&gt;0,VLOOKUP(C733,КФСР!A595:B2107,2),IF(D733&gt;0,VLOOKUP(D733,Программа!A$1:B$5063,2),IF(F733&gt;0,VLOOKUP(F733,КВР!A$1:B$5001,2),IF(E733&gt;0,VLOOKUP(E733,Направление!A$1:B$4755,2))))))</f>
        <v>Мероприятия по содействию решению вопросов местного значения по обращению депутатов Ярославской областной Думы</v>
      </c>
      <c r="B733" s="83"/>
      <c r="C733" s="76"/>
      <c r="D733" s="391"/>
      <c r="E733" s="83">
        <v>74430</v>
      </c>
      <c r="F733" s="77"/>
      <c r="G733" s="346">
        <v>0</v>
      </c>
      <c r="H733" s="346">
        <f t="shared" ref="H733:J733" si="258">H734</f>
        <v>0</v>
      </c>
      <c r="I733" s="346">
        <f t="shared" si="258"/>
        <v>0</v>
      </c>
      <c r="J733" s="346">
        <f t="shared" si="258"/>
        <v>0</v>
      </c>
    </row>
    <row r="734" spans="1:10" s="19" customFormat="1" ht="63" hidden="1">
      <c r="A734" s="41" t="str">
        <f>IF(B734&gt;0,VLOOKUP(B734,КВСР!A596:B1761,2),IF(C734&gt;0,VLOOKUP(C734,КФСР!A596:B2108,2),IF(D734&gt;0,VLOOKUP(D734,Программа!A$1:B$5063,2),IF(F734&gt;0,VLOOKUP(F734,КВР!A$1:B$5001,2),IF(E734&gt;0,VLOOKUP(E734,Направление!A$1:B$4755,2))))))</f>
        <v>Предоставление субсидий бюджетным, автономным учреждениям и иным некоммерческим организациям</v>
      </c>
      <c r="B734" s="83"/>
      <c r="C734" s="76"/>
      <c r="D734" s="391"/>
      <c r="E734" s="83"/>
      <c r="F734" s="77">
        <v>600</v>
      </c>
      <c r="G734" s="346">
        <v>0</v>
      </c>
      <c r="H734" s="338"/>
      <c r="I734" s="42">
        <f>G734+H734</f>
        <v>0</v>
      </c>
      <c r="J734" s="338"/>
    </row>
    <row r="735" spans="1:10" s="19" customFormat="1" ht="47.25">
      <c r="A735" s="41" t="str">
        <f>IF(B735&gt;0,VLOOKUP(B735,КВСР!A595:B1760,2),IF(C735&gt;0,VLOOKUP(C735,КФСР!A595:B2107,2),IF(D735&gt;0,VLOOKUP(D735,Программа!A$1:B$5063,2),IF(F735&gt;0,VLOOKUP(F735,КВР!A$1:B$5001,2),IF(E735&gt;0,VLOOKUP(E735,Направление!A$1:B$4755,2))))))</f>
        <v>Поддержка доступа граждан к информационно-библиотечным ресурсам</v>
      </c>
      <c r="B735" s="83"/>
      <c r="C735" s="76"/>
      <c r="D735" s="391" t="s">
        <v>2690</v>
      </c>
      <c r="E735" s="83"/>
      <c r="F735" s="77"/>
      <c r="G735" s="75">
        <v>19435629</v>
      </c>
      <c r="H735" s="75">
        <f>H736+H738+H740+H742</f>
        <v>0</v>
      </c>
      <c r="I735" s="42">
        <f t="shared" si="245"/>
        <v>19435629</v>
      </c>
      <c r="J735" s="75">
        <f>J736+J738+J740+J742</f>
        <v>18460012</v>
      </c>
    </row>
    <row r="736" spans="1:10" s="19" customFormat="1" ht="19.5" customHeight="1">
      <c r="A736" s="41" t="str">
        <f>IF(B736&gt;0,VLOOKUP(B736,КВСР!A596:B1761,2),IF(C736&gt;0,VLOOKUP(C736,КФСР!A596:B2108,2),IF(D736&gt;0,VLOOKUP(D736,Программа!A$1:B$5063,2),IF(F736&gt;0,VLOOKUP(F736,КВР!A$1:B$5001,2),IF(E736&gt;0,VLOOKUP(E736,Направление!A$1:B$4755,2))))))</f>
        <v>Обеспечение деятельности библиотек</v>
      </c>
      <c r="B736" s="83"/>
      <c r="C736" s="76"/>
      <c r="D736" s="391"/>
      <c r="E736" s="83">
        <v>15110</v>
      </c>
      <c r="F736" s="77"/>
      <c r="G736" s="75">
        <v>18982591</v>
      </c>
      <c r="H736" s="75">
        <f t="shared" ref="H736:J736" si="259">H737</f>
        <v>0</v>
      </c>
      <c r="I736" s="42">
        <f t="shared" si="245"/>
        <v>18982591</v>
      </c>
      <c r="J736" s="75">
        <f t="shared" si="259"/>
        <v>18006974</v>
      </c>
    </row>
    <row r="737" spans="1:10" s="19" customFormat="1" ht="63">
      <c r="A737" s="41" t="str">
        <f>IF(B737&gt;0,VLOOKUP(B737,КВСР!A597:B1762,2),IF(C737&gt;0,VLOOKUP(C737,КФСР!A597:B2109,2),IF(D737&gt;0,VLOOKUP(D737,Программа!A$1:B$5063,2),IF(F737&gt;0,VLOOKUP(F737,КВР!A$1:B$5001,2),IF(E737&gt;0,VLOOKUP(E737,Направление!A$1:B$4755,2))))))</f>
        <v>Предоставление субсидий бюджетным, автономным учреждениям и иным некоммерческим организациям</v>
      </c>
      <c r="B737" s="83"/>
      <c r="C737" s="76"/>
      <c r="D737" s="391"/>
      <c r="E737" s="83"/>
      <c r="F737" s="77">
        <v>600</v>
      </c>
      <c r="G737" s="346">
        <v>18982591</v>
      </c>
      <c r="H737" s="338"/>
      <c r="I737" s="42">
        <f t="shared" si="245"/>
        <v>18982591</v>
      </c>
      <c r="J737" s="338">
        <v>18006974</v>
      </c>
    </row>
    <row r="738" spans="1:10" s="19" customFormat="1" ht="94.5">
      <c r="A738" s="41" t="str">
        <f>IF(B738&gt;0,VLOOKUP(B738,КВСР!A598:B1763,2),IF(C738&gt;0,VLOOKUP(C738,КФСР!A598:B2110,2),IF(D738&gt;0,VLOOKUP(D738,Программа!A$1:B$5063,2),IF(F738&gt;0,VLOOKUP(F738,КВР!A$1:B$5001,2),IF(E738&gt;0,VLOOKUP(E738,Направление!A$1:B$4755,2))))))</f>
        <v>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v>
      </c>
      <c r="B738" s="83"/>
      <c r="C738" s="76"/>
      <c r="D738" s="391"/>
      <c r="E738" s="83">
        <v>51440</v>
      </c>
      <c r="F738" s="77"/>
      <c r="G738" s="346">
        <v>28767</v>
      </c>
      <c r="H738" s="75">
        <f>H739</f>
        <v>0</v>
      </c>
      <c r="I738" s="42">
        <f t="shared" si="245"/>
        <v>28767</v>
      </c>
      <c r="J738" s="75">
        <f>J739</f>
        <v>28767</v>
      </c>
    </row>
    <row r="739" spans="1:10" s="19" customFormat="1" ht="63">
      <c r="A739" s="41" t="str">
        <f>IF(B739&gt;0,VLOOKUP(B739,КВСР!A599:B1764,2),IF(C739&gt;0,VLOOKUP(C739,КФСР!A599:B2111,2),IF(D739&gt;0,VLOOKUP(D739,Программа!A$1:B$5063,2),IF(F739&gt;0,VLOOKUP(F739,КВР!A$1:B$5001,2),IF(E739&gt;0,VLOOKUP(E739,Направление!A$1:B$4755,2))))))</f>
        <v>Предоставление субсидий бюджетным, автономным учреждениям и иным некоммерческим организациям</v>
      </c>
      <c r="B739" s="83"/>
      <c r="C739" s="76"/>
      <c r="D739" s="391"/>
      <c r="E739" s="83"/>
      <c r="F739" s="77">
        <v>600</v>
      </c>
      <c r="G739" s="346">
        <v>28767</v>
      </c>
      <c r="H739" s="338"/>
      <c r="I739" s="42">
        <f t="shared" si="245"/>
        <v>28767</v>
      </c>
      <c r="J739" s="338">
        <v>28767</v>
      </c>
    </row>
    <row r="740" spans="1:10" s="19" customFormat="1" ht="110.25">
      <c r="A740" s="41" t="str">
        <f>IF(B740&gt;0,VLOOKUP(B740,КВСР!A600:B1765,2),IF(C740&gt;0,VLOOKUP(C740,КФСР!A600:B2112,2),IF(D740&gt;0,VLOOKUP(D740,Программа!A$1:B$5063,2),IF(F740&gt;0,VLOOKUP(F740,КВР!A$1:B$5001,2),IF(E740&gt;0,VLOOKUP(E740,Направление!A$1:B$4755,2))))))</f>
        <v>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v>
      </c>
      <c r="B740" s="83"/>
      <c r="C740" s="76"/>
      <c r="D740" s="391"/>
      <c r="E740" s="83">
        <v>51460</v>
      </c>
      <c r="F740" s="77"/>
      <c r="G740" s="346">
        <v>41045</v>
      </c>
      <c r="H740" s="75">
        <f>H741</f>
        <v>0</v>
      </c>
      <c r="I740" s="42">
        <f t="shared" si="245"/>
        <v>41045</v>
      </c>
      <c r="J740" s="75">
        <f>J741</f>
        <v>41045</v>
      </c>
    </row>
    <row r="741" spans="1:10" s="19" customFormat="1" ht="63">
      <c r="A741" s="41" t="str">
        <f>IF(B741&gt;0,VLOOKUP(B741,КВСР!A601:B1766,2),IF(C741&gt;0,VLOOKUP(C741,КФСР!A601:B2113,2),IF(D741&gt;0,VLOOKUP(D741,Программа!A$1:B$5063,2),IF(F741&gt;0,VLOOKUP(F741,КВР!A$1:B$5001,2),IF(E741&gt;0,VLOOKUP(E741,Направление!A$1:B$4755,2))))))</f>
        <v>Предоставление субсидий бюджетным, автономным учреждениям и иным некоммерческим организациям</v>
      </c>
      <c r="B741" s="83"/>
      <c r="C741" s="76"/>
      <c r="D741" s="391"/>
      <c r="E741" s="83"/>
      <c r="F741" s="77">
        <v>600</v>
      </c>
      <c r="G741" s="346">
        <v>41045</v>
      </c>
      <c r="H741" s="338"/>
      <c r="I741" s="42">
        <f t="shared" si="245"/>
        <v>41045</v>
      </c>
      <c r="J741" s="338">
        <v>41045</v>
      </c>
    </row>
    <row r="742" spans="1:10" s="19" customFormat="1" ht="47.25">
      <c r="A742" s="41" t="str">
        <f>IF(B742&gt;0,VLOOKUP(B742,КВСР!A602:B1767,2),IF(C742&gt;0,VLOOKUP(C742,КФСР!A602:B2114,2),IF(D742&gt;0,VLOOKUP(D742,Программа!A$1:B$5063,2),IF(F742&gt;0,VLOOKUP(F742,КВР!A$1:B$5001,2),IF(E742&gt;0,VLOOKUP(E742,Направление!A$1:B$4755,2))))))</f>
        <v xml:space="preserve">На комплектование книжных фондов библиотек муниципальных образований </v>
      </c>
      <c r="B742" s="83"/>
      <c r="C742" s="76"/>
      <c r="D742" s="391"/>
      <c r="E742" s="83">
        <v>74510</v>
      </c>
      <c r="F742" s="77"/>
      <c r="G742" s="346">
        <v>383226</v>
      </c>
      <c r="H742" s="346">
        <f t="shared" ref="H742:J742" si="260">H743</f>
        <v>0</v>
      </c>
      <c r="I742" s="42">
        <f t="shared" si="245"/>
        <v>383226</v>
      </c>
      <c r="J742" s="346">
        <f t="shared" si="260"/>
        <v>383226</v>
      </c>
    </row>
    <row r="743" spans="1:10" s="19" customFormat="1" ht="63">
      <c r="A743" s="41" t="str">
        <f>IF(B743&gt;0,VLOOKUP(B743,КВСР!A603:B1768,2),IF(C743&gt;0,VLOOKUP(C743,КФСР!A603:B2115,2),IF(D743&gt;0,VLOOKUP(D743,Программа!A$1:B$5063,2),IF(F743&gt;0,VLOOKUP(F743,КВР!A$1:B$5001,2),IF(E743&gt;0,VLOOKUP(E743,Направление!A$1:B$4755,2))))))</f>
        <v>Предоставление субсидий бюджетным, автономным учреждениям и иным некоммерческим организациям</v>
      </c>
      <c r="B743" s="83"/>
      <c r="C743" s="76"/>
      <c r="D743" s="391"/>
      <c r="E743" s="83"/>
      <c r="F743" s="77">
        <v>600</v>
      </c>
      <c r="G743" s="346">
        <v>383226</v>
      </c>
      <c r="H743" s="338"/>
      <c r="I743" s="42">
        <f t="shared" si="245"/>
        <v>383226</v>
      </c>
      <c r="J743" s="338">
        <v>383226</v>
      </c>
    </row>
    <row r="744" spans="1:10" s="19" customFormat="1" ht="49.5" customHeight="1">
      <c r="A744" s="41" t="str">
        <f>IF(B744&gt;0,VLOOKUP(B744,КВСР!A598:B1763,2),IF(C744&gt;0,VLOOKUP(C744,КФСР!A598:B2110,2),IF(D744&gt;0,VLOOKUP(D744,Программа!A$1:B$5063,2),IF(F744&gt;0,VLOOKUP(F744,КВР!A$1:B$5001,2),IF(E744&gt;0,VLOOKUP(E744,Направление!A$1:B$4755,2))))))</f>
        <v>Муниципальная программа "Социальная поддержка населения Тутаевского муниципального района"</v>
      </c>
      <c r="B744" s="83"/>
      <c r="C744" s="76"/>
      <c r="D744" s="391" t="s">
        <v>2765</v>
      </c>
      <c r="E744" s="83"/>
      <c r="F744" s="77"/>
      <c r="G744" s="75">
        <v>247000</v>
      </c>
      <c r="H744" s="75">
        <f t="shared" ref="H744:J747" si="261">H745</f>
        <v>8820</v>
      </c>
      <c r="I744" s="42">
        <f t="shared" si="245"/>
        <v>255820</v>
      </c>
      <c r="J744" s="75">
        <f t="shared" si="261"/>
        <v>255820</v>
      </c>
    </row>
    <row r="745" spans="1:10" s="19" customFormat="1" ht="63">
      <c r="A745" s="41" t="str">
        <f>IF(B745&gt;0,VLOOKUP(B745,КВСР!A599:B1764,2),IF(C745&gt;0,VLOOKUP(C745,КФСР!A599:B2111,2),IF(D745&gt;0,VLOOKUP(D745,Программа!A$1:B$5063,2),IF(F745&gt;0,VLOOKUP(F745,КВР!A$1:B$5001,2),IF(E745&gt;0,VLOOKUP(E745,Направление!A$1:B$4755,2))))))</f>
        <v>Муниципальная целевая программа "Улучшение условий и охраны труда" по Тутаевскому муниципальному району</v>
      </c>
      <c r="B745" s="83"/>
      <c r="C745" s="76"/>
      <c r="D745" s="391" t="s">
        <v>2807</v>
      </c>
      <c r="E745" s="83"/>
      <c r="F745" s="77"/>
      <c r="G745" s="75">
        <v>247000</v>
      </c>
      <c r="H745" s="75">
        <f t="shared" si="261"/>
        <v>8820</v>
      </c>
      <c r="I745" s="42">
        <f t="shared" si="245"/>
        <v>255820</v>
      </c>
      <c r="J745" s="75">
        <f t="shared" si="261"/>
        <v>255820</v>
      </c>
    </row>
    <row r="746" spans="1:10" s="19" customFormat="1" ht="78.75">
      <c r="A746" s="41" t="str">
        <f>IF(B746&gt;0,VLOOKUP(B746,КВСР!A600:B1765,2),IF(C746&gt;0,VLOOKUP(C746,КФСР!A600:B2112,2),IF(D746&gt;0,VLOOKUP(D746,Программа!A$1:B$5063,2),IF(F746&gt;0,VLOOKUP(F746,КВР!A$1:B$5001,2),IF(E746&gt;0,VLOOKUP(E746,Направление!A$1:B$4755,2))))))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746" s="83"/>
      <c r="C746" s="76"/>
      <c r="D746" s="391" t="s">
        <v>2926</v>
      </c>
      <c r="E746" s="83"/>
      <c r="F746" s="77"/>
      <c r="G746" s="75">
        <v>247000</v>
      </c>
      <c r="H746" s="75">
        <f t="shared" si="261"/>
        <v>8820</v>
      </c>
      <c r="I746" s="42">
        <f t="shared" si="245"/>
        <v>255820</v>
      </c>
      <c r="J746" s="75">
        <f t="shared" si="261"/>
        <v>255820</v>
      </c>
    </row>
    <row r="747" spans="1:10" s="19" customFormat="1" ht="36.75" customHeight="1">
      <c r="A747" s="41" t="str">
        <f>IF(B747&gt;0,VLOOKUP(B747,КВСР!A601:B1766,2),IF(C747&gt;0,VLOOKUP(C747,КФСР!A601:B2113,2),IF(D747&gt;0,VLOOKUP(D747,Программа!A$1:B$5063,2),IF(F747&gt;0,VLOOKUP(F747,КВР!A$1:B$5001,2),IF(E747&gt;0,VLOOKUP(E747,Направление!A$1:B$4755,2))))))</f>
        <v>Расходы на реализацию МЦП "Улучшение условий и охраны труда"</v>
      </c>
      <c r="B747" s="83"/>
      <c r="C747" s="76"/>
      <c r="D747" s="391"/>
      <c r="E747" s="83">
        <v>16150</v>
      </c>
      <c r="F747" s="77"/>
      <c r="G747" s="75">
        <v>247000</v>
      </c>
      <c r="H747" s="75">
        <f t="shared" si="261"/>
        <v>8820</v>
      </c>
      <c r="I747" s="42">
        <f t="shared" si="245"/>
        <v>255820</v>
      </c>
      <c r="J747" s="75">
        <f t="shared" si="261"/>
        <v>255820</v>
      </c>
    </row>
    <row r="748" spans="1:10" s="19" customFormat="1" ht="63">
      <c r="A748" s="41" t="str">
        <f>IF(B748&gt;0,VLOOKUP(B748,КВСР!A602:B1767,2),IF(C748&gt;0,VLOOKUP(C748,КФСР!A602:B2114,2),IF(D748&gt;0,VLOOKUP(D748,Программа!A$1:B$5063,2),IF(F748&gt;0,VLOOKUP(F748,КВР!A$1:B$5001,2),IF(E748&gt;0,VLOOKUP(E748,Направление!A$1:B$4755,2))))))</f>
        <v>Предоставление субсидий бюджетным, автономным учреждениям и иным некоммерческим организациям</v>
      </c>
      <c r="B748" s="83"/>
      <c r="C748" s="76"/>
      <c r="D748" s="391"/>
      <c r="E748" s="83"/>
      <c r="F748" s="77">
        <v>600</v>
      </c>
      <c r="G748" s="346">
        <v>247000</v>
      </c>
      <c r="H748" s="338">
        <v>8820</v>
      </c>
      <c r="I748" s="42">
        <f t="shared" si="245"/>
        <v>255820</v>
      </c>
      <c r="J748" s="338">
        <v>255820</v>
      </c>
    </row>
    <row r="749" spans="1:10" s="19" customFormat="1" ht="31.5">
      <c r="A749" s="41" t="str">
        <f>IF(B749&gt;0,VLOOKUP(B749,КВСР!A603:B1768,2),IF(C749&gt;0,VLOOKUP(C749,КФСР!A603:B2115,2),IF(D749&gt;0,VLOOKUP(D749,Программа!A$1:B$5063,2),IF(F749&gt;0,VLOOKUP(F749,КВР!A$1:B$5001,2),IF(E749&gt;0,VLOOKUP(E749,Направление!A$1:B$4755,2))))))</f>
        <v>Муниципальная программа "Доступная среда "</v>
      </c>
      <c r="B749" s="83"/>
      <c r="C749" s="76"/>
      <c r="D749" s="391" t="s">
        <v>2823</v>
      </c>
      <c r="E749" s="83"/>
      <c r="F749" s="77"/>
      <c r="G749" s="75">
        <v>149000</v>
      </c>
      <c r="H749" s="75">
        <f t="shared" ref="H749:J751" si="262">H750</f>
        <v>-19000</v>
      </c>
      <c r="I749" s="42">
        <f t="shared" si="245"/>
        <v>130000</v>
      </c>
      <c r="J749" s="75">
        <f t="shared" si="262"/>
        <v>130000</v>
      </c>
    </row>
    <row r="750" spans="1:10" s="19" customFormat="1" ht="78.75">
      <c r="A750" s="41" t="str">
        <f>IF(B750&gt;0,VLOOKUP(B750,КВСР!A604:B1769,2),IF(C750&gt;0,VLOOKUP(C750,КФСР!A604:B2116,2),IF(D750&gt;0,VLOOKUP(D750,Программа!A$1:B$5063,2),IF(F750&gt;0,VLOOKUP(F750,КВР!A$1:B$5001,2),IF(E750&gt;0,VLOOKUP(E750,Направление!A$1:B$4755,2))))))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50" s="83"/>
      <c r="C750" s="76"/>
      <c r="D750" s="391" t="s">
        <v>2825</v>
      </c>
      <c r="E750" s="83"/>
      <c r="F750" s="77"/>
      <c r="G750" s="75">
        <v>149000</v>
      </c>
      <c r="H750" s="75">
        <f t="shared" si="262"/>
        <v>-19000</v>
      </c>
      <c r="I750" s="42">
        <f t="shared" si="245"/>
        <v>130000</v>
      </c>
      <c r="J750" s="75">
        <f t="shared" si="262"/>
        <v>130000</v>
      </c>
    </row>
    <row r="751" spans="1:10" s="19" customFormat="1" ht="63">
      <c r="A751" s="41" t="str">
        <f>IF(B751&gt;0,VLOOKUP(B751,КВСР!A605:B1770,2),IF(C751&gt;0,VLOOKUP(C751,КФСР!A605:B2117,2),IF(D751&gt;0,VLOOKUP(D751,Программа!A$1:B$5063,2),IF(F751&gt;0,VLOOKUP(F751,КВР!A$1:B$5001,2),IF(E751&gt;0,VLOOKUP(E751,Направление!A$1:B$4755,2))))))</f>
        <v>Расходы на оборудование социально значимых объектов с целью обеспечения доступности для инвалидов</v>
      </c>
      <c r="B751" s="83"/>
      <c r="C751" s="76"/>
      <c r="D751" s="391"/>
      <c r="E751" s="83">
        <v>16250</v>
      </c>
      <c r="F751" s="77"/>
      <c r="G751" s="75">
        <v>149000</v>
      </c>
      <c r="H751" s="75">
        <f t="shared" si="262"/>
        <v>-19000</v>
      </c>
      <c r="I751" s="42">
        <f t="shared" si="245"/>
        <v>130000</v>
      </c>
      <c r="J751" s="75">
        <f t="shared" si="262"/>
        <v>130000</v>
      </c>
    </row>
    <row r="752" spans="1:10" s="19" customFormat="1" ht="63">
      <c r="A752" s="41" t="str">
        <f>IF(B752&gt;0,VLOOKUP(B752,КВСР!A606:B1771,2),IF(C752&gt;0,VLOOKUP(C752,КФСР!A606:B2118,2),IF(D752&gt;0,VLOOKUP(D752,Программа!A$1:B$5063,2),IF(F752&gt;0,VLOOKUP(F752,КВР!A$1:B$5001,2),IF(E752&gt;0,VLOOKUP(E752,Направление!A$1:B$4755,2))))))</f>
        <v>Предоставление субсидий бюджетным, автономным учреждениям и иным некоммерческим организациям</v>
      </c>
      <c r="B752" s="83"/>
      <c r="C752" s="76"/>
      <c r="D752" s="391"/>
      <c r="E752" s="83"/>
      <c r="F752" s="77">
        <v>600</v>
      </c>
      <c r="G752" s="346">
        <v>149000</v>
      </c>
      <c r="H752" s="338">
        <v>-19000</v>
      </c>
      <c r="I752" s="42">
        <f t="shared" si="245"/>
        <v>130000</v>
      </c>
      <c r="J752" s="338">
        <v>130000</v>
      </c>
    </row>
    <row r="753" spans="1:10" s="19" customFormat="1" ht="68.25" customHeight="1">
      <c r="A753" s="41" t="str">
        <f>IF(B753&gt;0,VLOOKUP(B753,КВСР!A607:B1772,2),IF(C753&gt;0,VLOOKUP(C753,КФСР!A607:B2119,2),IF(D753&gt;0,VLOOKUP(D753,Программа!A$1:B$5063,2),IF(F753&gt;0,VLOOKUP(F753,КВР!A$1:B$5001,2),IF(E753&gt;0,VLOOKUP(E753,Направление!A$1:B$4755,2))))))</f>
        <v>Муниципальная программа "Обеспечение качественными коммунальными услугами населения Тутаевского муниципального района"</v>
      </c>
      <c r="B753" s="83"/>
      <c r="C753" s="76"/>
      <c r="D753" s="391" t="s">
        <v>2709</v>
      </c>
      <c r="E753" s="83"/>
      <c r="F753" s="77"/>
      <c r="G753" s="346">
        <v>1511733</v>
      </c>
      <c r="H753" s="346">
        <f t="shared" ref="H753:J756" si="263">H754</f>
        <v>0</v>
      </c>
      <c r="I753" s="346">
        <f t="shared" si="263"/>
        <v>1511733</v>
      </c>
      <c r="J753" s="346">
        <f t="shared" si="263"/>
        <v>865392</v>
      </c>
    </row>
    <row r="754" spans="1:10" s="19" customFormat="1" ht="78" customHeight="1">
      <c r="A754" s="41" t="str">
        <f>IF(B754&gt;0,VLOOKUP(B754,КВСР!A608:B1773,2),IF(C754&gt;0,VLOOKUP(C754,КФСР!A608:B2120,2),IF(D754&gt;0,VLOOKUP(D754,Программа!A$1:B$5063,2),IF(F754&gt;0,VLOOKUP(F754,КВР!A$1:B$5001,2),IF(E754&gt;0,VLOOKUP(E754,Направление!A$1:B$4755,2))))))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54" s="83"/>
      <c r="C754" s="76"/>
      <c r="D754" s="391" t="s">
        <v>2715</v>
      </c>
      <c r="E754" s="83"/>
      <c r="F754" s="77"/>
      <c r="G754" s="346">
        <v>1511733</v>
      </c>
      <c r="H754" s="346">
        <f t="shared" si="263"/>
        <v>0</v>
      </c>
      <c r="I754" s="346">
        <f t="shared" si="263"/>
        <v>1511733</v>
      </c>
      <c r="J754" s="346">
        <f t="shared" si="263"/>
        <v>865392</v>
      </c>
    </row>
    <row r="755" spans="1:10" s="19" customFormat="1" ht="63">
      <c r="A755" s="41" t="str">
        <f>IF(B755&gt;0,VLOOKUP(B755,КВСР!A609:B1774,2),IF(C755&gt;0,VLOOKUP(C755,КФСР!A609:B2121,2),IF(D755&gt;0,VLOOKUP(D755,Программа!A$1:B$5063,2),IF(F755&gt;0,VLOOKUP(F755,КВР!A$1:B$5001,2),IF(E755&gt;0,VLOOKUP(E755,Направление!A$1:B$4755,2))))))</f>
        <v>Модернизация объектов теплоснабжения с вводом их в эксплуатацию (строительство и реконструкция котельных)</v>
      </c>
      <c r="B755" s="83"/>
      <c r="C755" s="76"/>
      <c r="D755" s="391" t="s">
        <v>2717</v>
      </c>
      <c r="E755" s="83"/>
      <c r="F755" s="77"/>
      <c r="G755" s="346">
        <v>1511733</v>
      </c>
      <c r="H755" s="346">
        <f t="shared" si="263"/>
        <v>0</v>
      </c>
      <c r="I755" s="346">
        <f t="shared" si="263"/>
        <v>1511733</v>
      </c>
      <c r="J755" s="346">
        <f t="shared" si="263"/>
        <v>865392</v>
      </c>
    </row>
    <row r="756" spans="1:10" s="19" customFormat="1" ht="49.5" customHeight="1">
      <c r="A756" s="41" t="str">
        <f>IF(B756&gt;0,VLOOKUP(B756,КВСР!A610:B1775,2),IF(C756&gt;0,VLOOKUP(C756,КФСР!A610:B2122,2),IF(D756&gt;0,VLOOKUP(D756,Программа!A$1:B$5063,2),IF(F756&gt;0,VLOOKUP(F756,КВР!A$1:B$5001,2),IF(E756&gt;0,VLOOKUP(E756,Направление!A$1:B$4755,2))))))</f>
        <v>Обеспечение деятельности учреждений по организации досуга в сфере культуры</v>
      </c>
      <c r="B756" s="83"/>
      <c r="C756" s="76"/>
      <c r="D756" s="391"/>
      <c r="E756" s="84">
        <v>15010</v>
      </c>
      <c r="F756" s="77"/>
      <c r="G756" s="346">
        <v>1511733</v>
      </c>
      <c r="H756" s="346">
        <f t="shared" si="263"/>
        <v>0</v>
      </c>
      <c r="I756" s="346">
        <f t="shared" si="263"/>
        <v>1511733</v>
      </c>
      <c r="J756" s="346">
        <f t="shared" si="263"/>
        <v>865392</v>
      </c>
    </row>
    <row r="757" spans="1:10" s="19" customFormat="1">
      <c r="A757" s="41" t="str">
        <f>IF(B757&gt;0,VLOOKUP(B757,КВСР!A611:B1776,2),IF(C757&gt;0,VLOOKUP(C757,КФСР!A611:B2123,2),IF(D757&gt;0,VLOOKUP(D757,Программа!A$1:B$5063,2),IF(F757&gt;0,VLOOKUP(F757,КВР!A$1:B$5001,2),IF(E757&gt;0,VLOOKUP(E757,Направление!A$1:B$4755,2))))))</f>
        <v>Бюджетные инвестиции</v>
      </c>
      <c r="B757" s="83"/>
      <c r="C757" s="76"/>
      <c r="D757" s="391"/>
      <c r="E757" s="83"/>
      <c r="F757" s="77">
        <v>400</v>
      </c>
      <c r="G757" s="346">
        <v>1511733</v>
      </c>
      <c r="H757" s="338"/>
      <c r="I757" s="42">
        <f>G757+H757</f>
        <v>1511733</v>
      </c>
      <c r="J757" s="338">
        <v>865392</v>
      </c>
    </row>
    <row r="758" spans="1:10" s="19" customFormat="1" ht="31.5">
      <c r="A758" s="41" t="str">
        <f>IF(B758&gt;0,VLOOKUP(B758,КВСР!A612:B1777,2),IF(C758&gt;0,VLOOKUP(C758,КФСР!A612:B2124,2),IF(D758&gt;0,VLOOKUP(D758,Программа!A$1:B$5063,2),IF(F758&gt;0,VLOOKUP(F758,КВР!A$1:B$5001,2),IF(E758&gt;0,VLOOKUP(E758,Направление!A$1:B$4755,2))))))</f>
        <v>Другие вопросы в области культуры, кинематографии</v>
      </c>
      <c r="B758" s="83"/>
      <c r="C758" s="76">
        <v>804</v>
      </c>
      <c r="D758" s="391"/>
      <c r="E758" s="83"/>
      <c r="F758" s="77"/>
      <c r="G758" s="93">
        <v>10633218</v>
      </c>
      <c r="H758" s="93">
        <f t="shared" ref="H758:J758" si="264">H759+H790+H780+H785</f>
        <v>-117089</v>
      </c>
      <c r="I758" s="42">
        <f t="shared" si="245"/>
        <v>10516129</v>
      </c>
      <c r="J758" s="93">
        <f t="shared" si="264"/>
        <v>10203290</v>
      </c>
    </row>
    <row r="759" spans="1:10" s="19" customFormat="1" ht="63">
      <c r="A759" s="41" t="str">
        <f>IF(B759&gt;0,VLOOKUP(B759,КВСР!A613:B1778,2),IF(C759&gt;0,VLOOKUP(C759,КФСР!A613:B2125,2),IF(D759&gt;0,VLOOKUP(D759,Программа!A$1:B$5063,2),IF(F759&gt;0,VLOOKUP(F759,КВР!A$1:B$5001,2),IF(E759&gt;0,VLOOKUP(E759,Направление!A$1:B$4755,2))))))</f>
        <v>Муниципальная программа  "Развитие культуры, туризма и молодежной политики в Тутаевском муниципальном районе"</v>
      </c>
      <c r="B759" s="83"/>
      <c r="C759" s="76"/>
      <c r="D759" s="391" t="s">
        <v>2677</v>
      </c>
      <c r="E759" s="83"/>
      <c r="F759" s="77"/>
      <c r="G759" s="93">
        <v>10522218</v>
      </c>
      <c r="H759" s="93">
        <f t="shared" ref="H759:J759" si="265">H764+H760</f>
        <v>-74489</v>
      </c>
      <c r="I759" s="42">
        <f t="shared" si="245"/>
        <v>10447729</v>
      </c>
      <c r="J759" s="93">
        <f t="shared" si="265"/>
        <v>10134890</v>
      </c>
    </row>
    <row r="760" spans="1:10" s="19" customFormat="1" ht="63.75" customHeight="1">
      <c r="A760" s="41" t="str">
        <f>IF(B760&gt;0,VLOOKUP(B760,КВСР!A614:B1779,2),IF(C760&gt;0,VLOOKUP(C760,КФСР!A614:B2126,2),IF(D760&gt;0,VLOOKUP(D760,Программа!A$1:B$5063,2),IF(F760&gt;0,VLOOKUP(F760,КВР!A$1:B$5001,2),IF(E760&gt;0,VLOOKUP(E760,Направление!A$1:B$4755,2))))))</f>
        <v>Муниципальная целевая программа «Комплексные меры противодействия злоупотреблению наркотиками и их незаконному обороту»</v>
      </c>
      <c r="B760" s="83"/>
      <c r="C760" s="76"/>
      <c r="D760" s="391" t="s">
        <v>2682</v>
      </c>
      <c r="E760" s="83"/>
      <c r="F760" s="77"/>
      <c r="G760" s="93">
        <v>15000</v>
      </c>
      <c r="H760" s="93">
        <f t="shared" ref="H760:J762" si="266">H761</f>
        <v>0</v>
      </c>
      <c r="I760" s="42">
        <f t="shared" si="245"/>
        <v>15000</v>
      </c>
      <c r="J760" s="93">
        <f t="shared" si="266"/>
        <v>15000</v>
      </c>
    </row>
    <row r="761" spans="1:10" s="19" customFormat="1" ht="47.25">
      <c r="A761" s="41" t="str">
        <f>IF(B761&gt;0,VLOOKUP(B761,КВСР!A615:B1780,2),IF(C761&gt;0,VLOOKUP(C761,КФСР!A615:B2127,2),IF(D761&gt;0,VLOOKUP(D761,Программа!A$1:B$5063,2),IF(F761&gt;0,VLOOKUP(F761,КВР!A$1:B$5001,2),IF(E761&gt;0,VLOOKUP(E761,Направление!A$1:B$4755,2))))))</f>
        <v>Развитие системы профилактики немедицинского потребления наркотиков</v>
      </c>
      <c r="B761" s="83"/>
      <c r="C761" s="76"/>
      <c r="D761" s="391" t="s">
        <v>2683</v>
      </c>
      <c r="E761" s="83"/>
      <c r="F761" s="77"/>
      <c r="G761" s="93">
        <v>15000</v>
      </c>
      <c r="H761" s="93">
        <f t="shared" si="266"/>
        <v>0</v>
      </c>
      <c r="I761" s="42">
        <f t="shared" si="245"/>
        <v>15000</v>
      </c>
      <c r="J761" s="93">
        <f t="shared" si="266"/>
        <v>15000</v>
      </c>
    </row>
    <row r="762" spans="1:10" s="502" customFormat="1" ht="78.75">
      <c r="A762" s="41" t="str">
        <f>IF(B762&gt;0,VLOOKUP(B762,КВСР!A616:B1781,2),IF(C762&gt;0,VLOOKUP(C762,КФСР!A616:B2128,2),IF(D762&gt;0,VLOOKUP(D762,Программа!A$1:B$5063,2),IF(F762&gt;0,VLOOKUP(F762,КВР!A$1:B$5001,2),IF(E762&gt;0,VLOOKUP(E762,Направление!A$1:B$4755,2))))))</f>
        <v>Расходы на реализацию  МЦП "Комплексные меры противодействия злоупотреблению наркотиками и их незаконному обороту"</v>
      </c>
      <c r="B762" s="501"/>
      <c r="C762" s="243"/>
      <c r="D762" s="394"/>
      <c r="E762" s="501">
        <v>13820</v>
      </c>
      <c r="F762" s="240"/>
      <c r="G762" s="503">
        <v>15000</v>
      </c>
      <c r="H762" s="503">
        <f t="shared" si="266"/>
        <v>0</v>
      </c>
      <c r="I762" s="42">
        <f t="shared" si="245"/>
        <v>15000</v>
      </c>
      <c r="J762" s="503">
        <f t="shared" si="266"/>
        <v>15000</v>
      </c>
    </row>
    <row r="763" spans="1:10" s="19" customFormat="1" ht="63">
      <c r="A763" s="41" t="str">
        <f>IF(B763&gt;0,VLOOKUP(B763,КВСР!A617:B1782,2),IF(C763&gt;0,VLOOKUP(C763,КФСР!A617:B2129,2),IF(D763&gt;0,VLOOKUP(D763,Программа!A$1:B$5063,2),IF(F763&gt;0,VLOOKUP(F763,КВР!A$1:B$5001,2),IF(E763&gt;0,VLOOKUP(E763,Направление!A$1:B$4755,2))))))</f>
        <v>Предоставление субсидий бюджетным, автономным учреждениям и иным некоммерческим организациям</v>
      </c>
      <c r="B763" s="83"/>
      <c r="C763" s="76"/>
      <c r="D763" s="391"/>
      <c r="E763" s="83"/>
      <c r="F763" s="77">
        <v>600</v>
      </c>
      <c r="G763" s="494">
        <v>15000</v>
      </c>
      <c r="H763" s="499"/>
      <c r="I763" s="42">
        <f t="shared" si="245"/>
        <v>15000</v>
      </c>
      <c r="J763" s="499">
        <v>15000</v>
      </c>
    </row>
    <row r="764" spans="1:10" s="19" customFormat="1" ht="63">
      <c r="A764" s="41" t="str">
        <f>IF(B764&gt;0,VLOOKUP(B764,КВСР!A618:B1783,2),IF(C764&gt;0,VLOOKUP(C764,КФСР!A618:B2130,2),IF(D764&gt;0,VLOOKUP(D764,Программа!A$1:B$5063,2),IF(F764&gt;0,VLOOKUP(F764,КВР!A$1:B$5001,2),IF(E764&gt;0,VLOOKUP(E764,Направление!A$1:B$4755,2))))))</f>
        <v>Ведомственная целевая программа «Сохранение и развитие культуры Тутаевского муниципального района»</v>
      </c>
      <c r="B764" s="83"/>
      <c r="C764" s="76"/>
      <c r="D764" s="391" t="s">
        <v>2684</v>
      </c>
      <c r="E764" s="83"/>
      <c r="F764" s="77"/>
      <c r="G764" s="93">
        <v>10507218</v>
      </c>
      <c r="H764" s="93">
        <f>H768+H765</f>
        <v>-74489</v>
      </c>
      <c r="I764" s="42">
        <f t="shared" si="245"/>
        <v>10432729</v>
      </c>
      <c r="J764" s="93">
        <f>J768+J765</f>
        <v>10119890</v>
      </c>
    </row>
    <row r="765" spans="1:10" s="19" customFormat="1" ht="31.5">
      <c r="A765" s="41" t="str">
        <f>IF(B765&gt;0,VLOOKUP(B765,КВСР!A619:B1784,2),IF(C765&gt;0,VLOOKUP(C765,КФСР!A619:B2131,2),IF(D765&gt;0,VLOOKUP(D765,Программа!A$1:B$5063,2),IF(F765&gt;0,VLOOKUP(F765,КВР!A$1:B$5001,2),IF(E765&gt;0,VLOOKUP(E765,Направление!A$1:B$4755,2))))))</f>
        <v>Содействие доступу граждан к культурным ценностям</v>
      </c>
      <c r="B765" s="83"/>
      <c r="C765" s="76"/>
      <c r="D765" s="391" t="s">
        <v>2687</v>
      </c>
      <c r="E765" s="83"/>
      <c r="F765" s="77"/>
      <c r="G765" s="93">
        <v>470390</v>
      </c>
      <c r="H765" s="93">
        <f t="shared" ref="H765:J766" si="267">H766</f>
        <v>10832</v>
      </c>
      <c r="I765" s="93">
        <f t="shared" si="267"/>
        <v>481222</v>
      </c>
      <c r="J765" s="93">
        <f t="shared" si="267"/>
        <v>469520</v>
      </c>
    </row>
    <row r="766" spans="1:10" s="19" customFormat="1" ht="63">
      <c r="A766" s="41" t="str">
        <f>IF(B766&gt;0,VLOOKUP(B766,КВСР!A620:B1785,2),IF(C766&gt;0,VLOOKUP(C766,КФСР!A620:B2132,2),IF(D766&gt;0,VLOOKUP(D766,Программа!A$1:B$5063,2),IF(F766&gt;0,VLOOKUP(F766,КВР!A$1:B$5001,2),IF(E766&gt;0,VLOOKUP(E766,Направление!A$1:B$4755,2))))))</f>
        <v>Мероприятия по содействию решению вопросов местного значения по обращению депутатов Ярославской областной Думы</v>
      </c>
      <c r="B766" s="83"/>
      <c r="C766" s="76"/>
      <c r="D766" s="391"/>
      <c r="E766" s="83">
        <v>74430</v>
      </c>
      <c r="F766" s="77"/>
      <c r="G766" s="93">
        <v>470390</v>
      </c>
      <c r="H766" s="93">
        <f t="shared" si="267"/>
        <v>10832</v>
      </c>
      <c r="I766" s="93">
        <f t="shared" si="267"/>
        <v>481222</v>
      </c>
      <c r="J766" s="93">
        <f t="shared" si="267"/>
        <v>469520</v>
      </c>
    </row>
    <row r="767" spans="1:10" s="19" customFormat="1" ht="63">
      <c r="A767" s="41" t="str">
        <f>IF(B767&gt;0,VLOOKUP(B767,КВСР!A621:B1786,2),IF(C767&gt;0,VLOOKUP(C767,КФСР!A621:B2133,2),IF(D767&gt;0,VLOOKUP(D767,Программа!A$1:B$5063,2),IF(F767&gt;0,VLOOKUP(F767,КВР!A$1:B$5001,2),IF(E767&gt;0,VLOOKUP(E767,Направление!A$1:B$4755,2))))))</f>
        <v>Предоставление субсидий бюджетным, автономным учреждениям и иным некоммерческим организациям</v>
      </c>
      <c r="B767" s="83"/>
      <c r="C767" s="76"/>
      <c r="D767" s="391"/>
      <c r="E767" s="83"/>
      <c r="F767" s="77">
        <v>600</v>
      </c>
      <c r="G767" s="93">
        <v>470390</v>
      </c>
      <c r="H767" s="93">
        <v>10832</v>
      </c>
      <c r="I767" s="42">
        <f>G767+H767</f>
        <v>481222</v>
      </c>
      <c r="J767" s="93">
        <v>469520</v>
      </c>
    </row>
    <row r="768" spans="1:10" s="19" customFormat="1" ht="31.5">
      <c r="A768" s="41" t="str">
        <f>IF(B768&gt;0,VLOOKUP(B768,КВСР!A619:B1784,2),IF(C768&gt;0,VLOOKUP(C768,КФСР!A619:B2131,2),IF(D768&gt;0,VLOOKUP(D768,Программа!A$1:B$5063,2),IF(F768&gt;0,VLOOKUP(F768,КВР!A$1:B$5001,2),IF(E768&gt;0,VLOOKUP(E768,Направление!A$1:B$4755,2))))))</f>
        <v>Обеспечение эффективности управления системой культуры</v>
      </c>
      <c r="B768" s="83"/>
      <c r="C768" s="76"/>
      <c r="D768" s="391" t="s">
        <v>2691</v>
      </c>
      <c r="E768" s="83"/>
      <c r="F768" s="77"/>
      <c r="G768" s="93">
        <v>10036828</v>
      </c>
      <c r="H768" s="93">
        <f t="shared" ref="H768:J768" si="268">H769+H773+H777</f>
        <v>-85321</v>
      </c>
      <c r="I768" s="42">
        <f t="shared" si="245"/>
        <v>9951507</v>
      </c>
      <c r="J768" s="93">
        <f t="shared" si="268"/>
        <v>9650370</v>
      </c>
    </row>
    <row r="769" spans="1:10" s="19" customFormat="1">
      <c r="A769" s="41" t="str">
        <f>IF(B769&gt;0,VLOOKUP(B769,КВСР!A620:B1785,2),IF(C769&gt;0,VLOOKUP(C769,КФСР!A620:B2132,2),IF(D769&gt;0,VLOOKUP(D769,Программа!A$1:B$5063,2),IF(F769&gt;0,VLOOKUP(F769,КВР!A$1:B$5001,2),IF(E769&gt;0,VLOOKUP(E769,Направление!A$1:B$4755,2))))))</f>
        <v>Содержание центрального аппарата</v>
      </c>
      <c r="B769" s="83"/>
      <c r="C769" s="76"/>
      <c r="D769" s="391"/>
      <c r="E769" s="83">
        <v>12010</v>
      </c>
      <c r="F769" s="77"/>
      <c r="G769" s="42">
        <v>4159509</v>
      </c>
      <c r="H769" s="42">
        <f t="shared" ref="H769:J769" si="269">H770+H771+H772</f>
        <v>26679</v>
      </c>
      <c r="I769" s="42">
        <f t="shared" si="245"/>
        <v>4186188</v>
      </c>
      <c r="J769" s="42">
        <f t="shared" si="269"/>
        <v>4091576</v>
      </c>
    </row>
    <row r="770" spans="1:10" s="19" customFormat="1" ht="110.25">
      <c r="A770" s="41" t="str">
        <f>IF(B770&gt;0,VLOOKUP(B770,КВСР!A621:B1786,2),IF(C770&gt;0,VLOOKUP(C770,КФСР!A621:B2133,2),IF(D770&gt;0,VLOOKUP(D770,Программа!A$1:B$5063,2),IF(F770&gt;0,VLOOKUP(F770,КВР!A$1:B$5001,2),IF(E770&gt;0,VLOOKUP(E770,Направление!A$1:B$4755,2))))))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0" s="83"/>
      <c r="C770" s="76"/>
      <c r="D770" s="77"/>
      <c r="E770" s="83"/>
      <c r="F770" s="77">
        <v>100</v>
      </c>
      <c r="G770" s="341">
        <v>3661254</v>
      </c>
      <c r="H770" s="337">
        <f>80000-13321</f>
        <v>66679</v>
      </c>
      <c r="I770" s="42">
        <f t="shared" si="245"/>
        <v>3727933</v>
      </c>
      <c r="J770" s="337">
        <v>3681544</v>
      </c>
    </row>
    <row r="771" spans="1:10" s="19" customFormat="1" ht="31.5">
      <c r="A771" s="41" t="str">
        <f>IF(B771&gt;0,VLOOKUP(B771,КВСР!A622:B1787,2),IF(C771&gt;0,VLOOKUP(C771,КФСР!A622:B2134,2),IF(D771&gt;0,VLOOKUP(D771,Программа!A$1:B$5063,2),IF(F771&gt;0,VLOOKUP(F771,КВР!A$1:B$5001,2),IF(E771&gt;0,VLOOKUP(E771,Направление!A$1:B$4755,2))))))</f>
        <v>Закупка товаров, работ и услуг для государственных нужд</v>
      </c>
      <c r="B771" s="83"/>
      <c r="C771" s="76"/>
      <c r="D771" s="77"/>
      <c r="E771" s="83"/>
      <c r="F771" s="77">
        <v>200</v>
      </c>
      <c r="G771" s="341">
        <v>405255</v>
      </c>
      <c r="H771" s="337">
        <v>-40000</v>
      </c>
      <c r="I771" s="42">
        <f t="shared" si="245"/>
        <v>365255</v>
      </c>
      <c r="J771" s="337">
        <v>362771</v>
      </c>
    </row>
    <row r="772" spans="1:10" s="19" customFormat="1">
      <c r="A772" s="41" t="str">
        <f>IF(B772&gt;0,VLOOKUP(B772,КВСР!A623:B1788,2),IF(C772&gt;0,VLOOKUP(C772,КФСР!A623:B2135,2),IF(D772&gt;0,VLOOKUP(D772,Программа!A$1:B$5063,2),IF(F772&gt;0,VLOOKUP(F772,КВР!A$1:B$5001,2),IF(E772&gt;0,VLOOKUP(E772,Направление!A$1:B$4755,2))))))</f>
        <v>Иные бюджетные ассигнования</v>
      </c>
      <c r="B772" s="83"/>
      <c r="C772" s="76"/>
      <c r="D772" s="77"/>
      <c r="E772" s="83"/>
      <c r="F772" s="77">
        <v>800</v>
      </c>
      <c r="G772" s="341">
        <v>93000</v>
      </c>
      <c r="H772" s="337"/>
      <c r="I772" s="42">
        <f t="shared" si="245"/>
        <v>93000</v>
      </c>
      <c r="J772" s="337">
        <v>47261</v>
      </c>
    </row>
    <row r="773" spans="1:10" s="19" customFormat="1" ht="31.5">
      <c r="A773" s="41" t="str">
        <f>IF(B773&gt;0,VLOOKUP(B773,КВСР!A624:B1789,2),IF(C773&gt;0,VLOOKUP(C773,КФСР!A624:B2136,2),IF(D773&gt;0,VLOOKUP(D773,Программа!A$1:B$5063,2),IF(F773&gt;0,VLOOKUP(F773,КВР!A$1:B$5001,2),IF(E773&gt;0,VLOOKUP(E773,Направление!A$1:B$4755,2))))))</f>
        <v>Обеспечение деятельности прочих учреждений в сфере культуры</v>
      </c>
      <c r="B773" s="83"/>
      <c r="C773" s="76"/>
      <c r="D773" s="391"/>
      <c r="E773" s="83">
        <v>15210</v>
      </c>
      <c r="F773" s="77"/>
      <c r="G773" s="42">
        <v>5514925</v>
      </c>
      <c r="H773" s="42">
        <f t="shared" ref="H773:J773" si="270">H774+H775+H776</f>
        <v>-112000</v>
      </c>
      <c r="I773" s="42">
        <f t="shared" si="245"/>
        <v>5402925</v>
      </c>
      <c r="J773" s="42">
        <f t="shared" si="270"/>
        <v>5196400</v>
      </c>
    </row>
    <row r="774" spans="1:10" s="19" customFormat="1" ht="98.25" customHeight="1">
      <c r="A774" s="41" t="str">
        <f>IF(B774&gt;0,VLOOKUP(B774,КВСР!A625:B1790,2),IF(C774&gt;0,VLOOKUP(C774,КФСР!A625:B2137,2),IF(D774&gt;0,VLOOKUP(D774,Программа!A$1:B$5063,2),IF(F774&gt;0,VLOOKUP(F774,КВР!A$1:B$5001,2),IF(E774&gt;0,VLOOKUP(E774,Направление!A$1:B$4755,2))))))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4" s="83"/>
      <c r="C774" s="76"/>
      <c r="D774" s="77"/>
      <c r="E774" s="83"/>
      <c r="F774" s="77">
        <v>100</v>
      </c>
      <c r="G774" s="494">
        <v>4749625</v>
      </c>
      <c r="H774" s="339">
        <f>-40000-12000</f>
        <v>-52000</v>
      </c>
      <c r="I774" s="42">
        <f t="shared" si="245"/>
        <v>4697625</v>
      </c>
      <c r="J774" s="339">
        <v>4504808</v>
      </c>
    </row>
    <row r="775" spans="1:10" s="19" customFormat="1" ht="31.5">
      <c r="A775" s="41" t="str">
        <f>IF(B775&gt;0,VLOOKUP(B775,КВСР!A626:B1791,2),IF(C775&gt;0,VLOOKUP(C775,КФСР!A626:B2138,2),IF(D775&gt;0,VLOOKUP(D775,Программа!A$1:B$5063,2),IF(F775&gt;0,VLOOKUP(F775,КВР!A$1:B$5001,2),IF(E775&gt;0,VLOOKUP(E775,Направление!A$1:B$4755,2))))))</f>
        <v>Закупка товаров, работ и услуг для государственных нужд</v>
      </c>
      <c r="B775" s="83"/>
      <c r="C775" s="76"/>
      <c r="D775" s="77"/>
      <c r="E775" s="83"/>
      <c r="F775" s="77">
        <v>200</v>
      </c>
      <c r="G775" s="494">
        <v>744780</v>
      </c>
      <c r="H775" s="339">
        <v>-60000</v>
      </c>
      <c r="I775" s="42">
        <f t="shared" si="245"/>
        <v>684780</v>
      </c>
      <c r="J775" s="339">
        <v>671280</v>
      </c>
    </row>
    <row r="776" spans="1:10" s="19" customFormat="1">
      <c r="A776" s="41" t="str">
        <f>IF(B776&gt;0,VLOOKUP(B776,КВСР!A627:B1792,2),IF(C776&gt;0,VLOOKUP(C776,КФСР!A627:B2139,2),IF(D776&gt;0,VLOOKUP(D776,Программа!A$1:B$5063,2),IF(F776&gt;0,VLOOKUP(F776,КВР!A$1:B$5001,2),IF(E776&gt;0,VLOOKUP(E776,Направление!A$1:B$4755,2))))))</f>
        <v>Иные бюджетные ассигнования</v>
      </c>
      <c r="B776" s="83"/>
      <c r="C776" s="76"/>
      <c r="D776" s="77"/>
      <c r="E776" s="83"/>
      <c r="F776" s="77">
        <v>800</v>
      </c>
      <c r="G776" s="494">
        <v>20520</v>
      </c>
      <c r="H776" s="339"/>
      <c r="I776" s="42">
        <f t="shared" si="245"/>
        <v>20520</v>
      </c>
      <c r="J776" s="339">
        <v>20312</v>
      </c>
    </row>
    <row r="777" spans="1:10" s="19" customFormat="1" ht="47.25">
      <c r="A777" s="41" t="str">
        <f>IF(B777&gt;0,VLOOKUP(B777,КВСР!A628:B1793,2),IF(C777&gt;0,VLOOKUP(C777,КФСР!A628:B2140,2),IF(D777&gt;0,VLOOKUP(D777,Программа!A$1:B$5063,2),IF(F777&gt;0,VLOOKUP(F777,КВР!A$1:B$5001,2),IF(E777&gt;0,VLOOKUP(E777,Направление!A$1:B$4755,2))))))</f>
        <v>Содержание органов местного самоуправления за счет средств поселений</v>
      </c>
      <c r="B777" s="83"/>
      <c r="C777" s="76"/>
      <c r="D777" s="391"/>
      <c r="E777" s="83">
        <v>29016</v>
      </c>
      <c r="F777" s="77"/>
      <c r="G777" s="93">
        <v>362394</v>
      </c>
      <c r="H777" s="93">
        <f t="shared" ref="H777:J777" si="271">H778+H779</f>
        <v>0</v>
      </c>
      <c r="I777" s="42">
        <f t="shared" si="245"/>
        <v>362394</v>
      </c>
      <c r="J777" s="93">
        <f t="shared" si="271"/>
        <v>362394</v>
      </c>
    </row>
    <row r="778" spans="1:10" s="19" customFormat="1" ht="102" customHeight="1">
      <c r="A778" s="41" t="str">
        <f>IF(B778&gt;0,VLOOKUP(B778,КВСР!A629:B1794,2),IF(C778&gt;0,VLOOKUP(C778,КФСР!A629:B2141,2),IF(D778&gt;0,VLOOKUP(D778,Программа!A$1:B$5063,2),IF(F778&gt;0,VLOOKUP(F778,КВР!A$1:B$5001,2),IF(E778&gt;0,VLOOKUP(E778,Направление!A$1:B$4755,2))))))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8" s="83"/>
      <c r="C778" s="76"/>
      <c r="D778" s="77"/>
      <c r="E778" s="83"/>
      <c r="F778" s="77">
        <v>100</v>
      </c>
      <c r="G778" s="494">
        <v>329449</v>
      </c>
      <c r="H778" s="339"/>
      <c r="I778" s="42">
        <f t="shared" si="245"/>
        <v>329449</v>
      </c>
      <c r="J778" s="339">
        <v>329449</v>
      </c>
    </row>
    <row r="779" spans="1:10" s="19" customFormat="1" ht="31.5">
      <c r="A779" s="41" t="str">
        <f>IF(B779&gt;0,VLOOKUP(B779,КВСР!A630:B1795,2),IF(C779&gt;0,VLOOKUP(C779,КФСР!A630:B2142,2),IF(D779&gt;0,VLOOKUP(D779,Программа!A$1:B$5063,2),IF(F779&gt;0,VLOOKUP(F779,КВР!A$1:B$5001,2),IF(E779&gt;0,VLOOKUP(E779,Направление!A$1:B$4755,2))))))</f>
        <v>Закупка товаров, работ и услуг для государственных нужд</v>
      </c>
      <c r="B779" s="83"/>
      <c r="C779" s="76"/>
      <c r="D779" s="77"/>
      <c r="E779" s="83"/>
      <c r="F779" s="77">
        <v>200</v>
      </c>
      <c r="G779" s="494">
        <v>32945</v>
      </c>
      <c r="H779" s="339"/>
      <c r="I779" s="42">
        <f t="shared" si="245"/>
        <v>32945</v>
      </c>
      <c r="J779" s="339">
        <v>32945</v>
      </c>
    </row>
    <row r="780" spans="1:10" s="19" customFormat="1" ht="63">
      <c r="A780" s="41" t="str">
        <f>IF(B780&gt;0,VLOOKUP(B780,КВСР!A631:B1796,2),IF(C780&gt;0,VLOOKUP(C780,КФСР!A631:B2143,2),IF(D780&gt;0,VLOOKUP(D780,Программа!A$1:B$5063,2),IF(F780&gt;0,VLOOKUP(F780,КВР!A$1:B$5001,2),IF(E780&gt;0,VLOOKUP(E780,Направление!A$1:B$4755,2))))))</f>
        <v>Муниципальная программа "Развитие образования, физической культуры и спорта в Тутаевском муниципальном районе"</v>
      </c>
      <c r="B780" s="83"/>
      <c r="C780" s="76"/>
      <c r="D780" s="391" t="s">
        <v>2695</v>
      </c>
      <c r="E780" s="83"/>
      <c r="F780" s="77"/>
      <c r="G780" s="93">
        <v>25000</v>
      </c>
      <c r="H780" s="93">
        <f t="shared" ref="H780:J783" si="272">H781</f>
        <v>0</v>
      </c>
      <c r="I780" s="42">
        <f t="shared" si="245"/>
        <v>25000</v>
      </c>
      <c r="J780" s="93">
        <f t="shared" si="272"/>
        <v>25000</v>
      </c>
    </row>
    <row r="781" spans="1:10" s="19" customFormat="1" ht="68.25" customHeight="1">
      <c r="A781" s="41" t="str">
        <f>IF(B781&gt;0,VLOOKUP(B781,КВСР!A632:B1797,2),IF(C781&gt;0,VLOOKUP(C781,КФСР!A632:B2144,2),IF(D781&gt;0,VLOOKUP(D781,Программа!A$1:B$5063,2),IF(F781&gt;0,VLOOKUP(F781,КВР!A$1:B$5001,2),IF(E781&gt;0,VLOOKUP(E781,Направление!A$1:B$4755,2))))))</f>
        <v>Муниципальная целевая программа "Духовно-нравственное воспитание и просвещение населения Тутаевского муниципального района"</v>
      </c>
      <c r="B781" s="83"/>
      <c r="C781" s="76"/>
      <c r="D781" s="391" t="s">
        <v>2811</v>
      </c>
      <c r="E781" s="83"/>
      <c r="F781" s="77"/>
      <c r="G781" s="93">
        <v>25000</v>
      </c>
      <c r="H781" s="93">
        <f t="shared" si="272"/>
        <v>0</v>
      </c>
      <c r="I781" s="42">
        <f t="shared" si="245"/>
        <v>25000</v>
      </c>
      <c r="J781" s="93">
        <f t="shared" si="272"/>
        <v>25000</v>
      </c>
    </row>
    <row r="782" spans="1:10" s="19" customFormat="1" ht="63">
      <c r="A782" s="41" t="str">
        <f>IF(B782&gt;0,VLOOKUP(B782,КВСР!A633:B1798,2),IF(C782&gt;0,VLOOKUP(C782,КФСР!A633:B2145,2),IF(D782&gt;0,VLOOKUP(D782,Программа!A$1:B$5063,2),IF(F782&gt;0,VLOOKUP(F782,КВР!A$1:B$5001,2),IF(E782&gt;0,VLOOKUP(E782,Направление!A$1:B$4755,2))))))</f>
        <v>Реализация мер по созданию целостной системы духовно-нравственного воспитания и просвещения населения</v>
      </c>
      <c r="B782" s="83"/>
      <c r="C782" s="76"/>
      <c r="D782" s="391" t="s">
        <v>2813</v>
      </c>
      <c r="E782" s="83"/>
      <c r="F782" s="77"/>
      <c r="G782" s="93">
        <v>25000</v>
      </c>
      <c r="H782" s="93">
        <f t="shared" si="272"/>
        <v>0</v>
      </c>
      <c r="I782" s="42">
        <f t="shared" si="245"/>
        <v>25000</v>
      </c>
      <c r="J782" s="93">
        <f t="shared" si="272"/>
        <v>25000</v>
      </c>
    </row>
    <row r="783" spans="1:10" s="19" customFormat="1" ht="55.5" customHeight="1">
      <c r="A783" s="41" t="str">
        <f>IF(B783&gt;0,VLOOKUP(B783,КВСР!A634:B1799,2),IF(C783&gt;0,VLOOKUP(C783,КФСР!A634:B2146,2),IF(D783&gt;0,VLOOKUP(D783,Программа!A$1:B$5063,2),IF(F783&gt;0,VLOOKUP(F783,КВР!A$1:B$5001,2),IF(E783&gt;0,VLOOKUP(E783,Направление!A$1:B$4755,2))))))</f>
        <v>Расходы на реализацию МЦП "Духовно - нравственное воспитание и просвещение населения ТМР"</v>
      </c>
      <c r="B783" s="83"/>
      <c r="C783" s="76"/>
      <c r="D783" s="391"/>
      <c r="E783" s="83">
        <v>13810</v>
      </c>
      <c r="F783" s="77"/>
      <c r="G783" s="93">
        <v>25000</v>
      </c>
      <c r="H783" s="93">
        <f t="shared" si="272"/>
        <v>0</v>
      </c>
      <c r="I783" s="42">
        <f t="shared" si="245"/>
        <v>25000</v>
      </c>
      <c r="J783" s="93">
        <f t="shared" si="272"/>
        <v>25000</v>
      </c>
    </row>
    <row r="784" spans="1:10" s="19" customFormat="1" ht="63">
      <c r="A784" s="41" t="str">
        <f>IF(B784&gt;0,VLOOKUP(B784,КВСР!A635:B1800,2),IF(C784&gt;0,VLOOKUP(C784,КФСР!A635:B2147,2),IF(D784&gt;0,VLOOKUP(D784,Программа!A$1:B$5063,2),IF(F784&gt;0,VLOOKUP(F784,КВР!A$1:B$5001,2),IF(E784&gt;0,VLOOKUP(E784,Направление!A$1:B$4755,2))))))</f>
        <v>Предоставление субсидий бюджетным, автономным учреждениям и иным некоммерческим организациям</v>
      </c>
      <c r="B784" s="83"/>
      <c r="C784" s="76"/>
      <c r="D784" s="77"/>
      <c r="E784" s="83"/>
      <c r="F784" s="77">
        <v>600</v>
      </c>
      <c r="G784" s="494">
        <v>25000</v>
      </c>
      <c r="H784" s="339"/>
      <c r="I784" s="42">
        <f t="shared" si="245"/>
        <v>25000</v>
      </c>
      <c r="J784" s="339">
        <v>25000</v>
      </c>
    </row>
    <row r="785" spans="1:10" s="19" customFormat="1" ht="51" customHeight="1">
      <c r="A785" s="41" t="str">
        <f>IF(B785&gt;0,VLOOKUP(B785,КВСР!A636:B1801,2),IF(C785&gt;0,VLOOKUP(C785,КФСР!A636:B2148,2),IF(D785&gt;0,VLOOKUP(D785,Программа!A$1:B$5063,2),IF(F785&gt;0,VLOOKUP(F785,КВР!A$1:B$5001,2),IF(E785&gt;0,VLOOKUP(E785,Направление!A$1:B$4755,2))))))</f>
        <v>Муниципальная программа "Социальная поддержка населения Тутаевского муниципального района"</v>
      </c>
      <c r="B785" s="83"/>
      <c r="C785" s="76"/>
      <c r="D785" s="391" t="s">
        <v>2765</v>
      </c>
      <c r="E785" s="83"/>
      <c r="F785" s="77"/>
      <c r="G785" s="93">
        <v>56000</v>
      </c>
      <c r="H785" s="93">
        <f t="shared" ref="H785:J788" si="273">H786</f>
        <v>-42600</v>
      </c>
      <c r="I785" s="42">
        <f t="shared" si="245"/>
        <v>13400</v>
      </c>
      <c r="J785" s="93">
        <f t="shared" si="273"/>
        <v>13400</v>
      </c>
    </row>
    <row r="786" spans="1:10" s="19" customFormat="1" ht="63">
      <c r="A786" s="41" t="str">
        <f>IF(B786&gt;0,VLOOKUP(B786,КВСР!A637:B1802,2),IF(C786&gt;0,VLOOKUP(C786,КФСР!A637:B2149,2),IF(D786&gt;0,VLOOKUP(D786,Программа!A$1:B$5063,2),IF(F786&gt;0,VLOOKUP(F786,КВР!A$1:B$5001,2),IF(E786&gt;0,VLOOKUP(E786,Направление!A$1:B$4755,2))))))</f>
        <v>Муниципальная целевая программа "Улучшение условий и охраны труда" по Тутаевскому муниципальному району</v>
      </c>
      <c r="B786" s="83"/>
      <c r="C786" s="76"/>
      <c r="D786" s="391" t="s">
        <v>2807</v>
      </c>
      <c r="E786" s="83"/>
      <c r="F786" s="77"/>
      <c r="G786" s="93">
        <v>56000</v>
      </c>
      <c r="H786" s="93">
        <f t="shared" si="273"/>
        <v>-42600</v>
      </c>
      <c r="I786" s="42">
        <f t="shared" si="245"/>
        <v>13400</v>
      </c>
      <c r="J786" s="93">
        <f t="shared" si="273"/>
        <v>13400</v>
      </c>
    </row>
    <row r="787" spans="1:10" s="19" customFormat="1" ht="69" customHeight="1">
      <c r="A787" s="41" t="str">
        <f>IF(B787&gt;0,VLOOKUP(B787,КВСР!A638:B1803,2),IF(C787&gt;0,VLOOKUP(C787,КФСР!A638:B2150,2),IF(D787&gt;0,VLOOKUP(D787,Программа!A$1:B$5063,2),IF(F787&gt;0,VLOOKUP(F787,КВР!A$1:B$5001,2),IF(E787&gt;0,VLOOKUP(E787,Направление!A$1:B$4755,2))))))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787" s="83"/>
      <c r="C787" s="76"/>
      <c r="D787" s="391" t="s">
        <v>2926</v>
      </c>
      <c r="E787" s="83"/>
      <c r="F787" s="77"/>
      <c r="G787" s="93">
        <v>56000</v>
      </c>
      <c r="H787" s="93">
        <f t="shared" si="273"/>
        <v>-42600</v>
      </c>
      <c r="I787" s="42">
        <f t="shared" si="245"/>
        <v>13400</v>
      </c>
      <c r="J787" s="93">
        <f t="shared" si="273"/>
        <v>13400</v>
      </c>
    </row>
    <row r="788" spans="1:10" s="19" customFormat="1" ht="35.25" customHeight="1">
      <c r="A788" s="41" t="str">
        <f>IF(B788&gt;0,VLOOKUP(B788,КВСР!A639:B1804,2),IF(C788&gt;0,VLOOKUP(C788,КФСР!A639:B2151,2),IF(D788&gt;0,VLOOKUP(D788,Программа!A$1:B$5063,2),IF(F788&gt;0,VLOOKUP(F788,КВР!A$1:B$5001,2),IF(E788&gt;0,VLOOKUP(E788,Направление!A$1:B$4755,2))))))</f>
        <v>Расходы на реализацию МЦП "Улучшение условий и охраны труда"</v>
      </c>
      <c r="B788" s="83"/>
      <c r="C788" s="76"/>
      <c r="D788" s="391"/>
      <c r="E788" s="83">
        <v>16150</v>
      </c>
      <c r="F788" s="77"/>
      <c r="G788" s="93">
        <v>56000</v>
      </c>
      <c r="H788" s="93">
        <f t="shared" si="273"/>
        <v>-42600</v>
      </c>
      <c r="I788" s="42">
        <f t="shared" si="245"/>
        <v>13400</v>
      </c>
      <c r="J788" s="93">
        <f t="shared" si="273"/>
        <v>13400</v>
      </c>
    </row>
    <row r="789" spans="1:10" s="19" customFormat="1" ht="31.5">
      <c r="A789" s="41" t="str">
        <f>IF(B789&gt;0,VLOOKUP(B789,КВСР!A640:B1805,2),IF(C789&gt;0,VLOOKUP(C789,КФСР!A640:B2152,2),IF(D789&gt;0,VLOOKUP(D789,Программа!A$1:B$5063,2),IF(F789&gt;0,VLOOKUP(F789,КВР!A$1:B$5001,2),IF(E789&gt;0,VLOOKUP(E789,Направление!A$1:B$4755,2))))))</f>
        <v>Закупка товаров, работ и услуг для государственных нужд</v>
      </c>
      <c r="B789" s="83"/>
      <c r="C789" s="76"/>
      <c r="D789" s="391"/>
      <c r="E789" s="83"/>
      <c r="F789" s="77">
        <v>200</v>
      </c>
      <c r="G789" s="494">
        <v>56000</v>
      </c>
      <c r="H789" s="339">
        <v>-42600</v>
      </c>
      <c r="I789" s="42">
        <f t="shared" si="245"/>
        <v>13400</v>
      </c>
      <c r="J789" s="339">
        <v>13400</v>
      </c>
    </row>
    <row r="790" spans="1:10" ht="63">
      <c r="A790" s="41" t="str">
        <f>IF(B790&gt;0,VLOOKUP(B790,КВСР!A641:B1806,2),IF(C790&gt;0,VLOOKUP(C790,КФСР!A641:B2153,2),IF(D790&gt;0,VLOOKUP(D790,Программа!A$1:B$5063,2),IF(F790&gt;0,VLOOKUP(F790,КВР!A$1:B$5001,2),IF(E790&gt;0,VLOOKUP(E790,Направление!A$1:B$4755,2))))))</f>
        <v>Муниципальная программа "Профилактика правонарушений и усиление борьбы с преступностью в Тутаевском муниципальном районе"</v>
      </c>
      <c r="B790" s="83"/>
      <c r="C790" s="76"/>
      <c r="D790" s="391" t="s">
        <v>2833</v>
      </c>
      <c r="E790" s="83"/>
      <c r="F790" s="77"/>
      <c r="G790" s="93">
        <v>30000</v>
      </c>
      <c r="H790" s="93">
        <f t="shared" ref="H790:J790" si="274">H791</f>
        <v>0</v>
      </c>
      <c r="I790" s="42">
        <f t="shared" si="245"/>
        <v>30000</v>
      </c>
      <c r="J790" s="93">
        <f t="shared" si="274"/>
        <v>30000</v>
      </c>
    </row>
    <row r="791" spans="1:10" ht="31.5">
      <c r="A791" s="41" t="str">
        <f>IF(B791&gt;0,VLOOKUP(B791,КВСР!A642:B1807,2),IF(C791&gt;0,VLOOKUP(C791,КФСР!A642:B2154,2),IF(D791&gt;0,VLOOKUP(D791,Программа!A$1:B$5063,2),IF(F791&gt;0,VLOOKUP(F791,КВР!A$1:B$5001,2),IF(E791&gt;0,VLOOKUP(E791,Направление!A$1:B$4755,2))))))</f>
        <v>Реализация мероприятий по профилактике правонарушений</v>
      </c>
      <c r="B791" s="83"/>
      <c r="C791" s="76"/>
      <c r="D791" s="391" t="s">
        <v>2835</v>
      </c>
      <c r="E791" s="83"/>
      <c r="F791" s="77"/>
      <c r="G791" s="93">
        <v>30000</v>
      </c>
      <c r="H791" s="93">
        <f t="shared" ref="H791:J791" si="275">H792</f>
        <v>0</v>
      </c>
      <c r="I791" s="42">
        <f t="shared" ref="I791:I925" si="276">SUM(G791:H791)</f>
        <v>30000</v>
      </c>
      <c r="J791" s="93">
        <f t="shared" si="275"/>
        <v>30000</v>
      </c>
    </row>
    <row r="792" spans="1:10" ht="47.25">
      <c r="A792" s="41" t="str">
        <f>IF(B792&gt;0,VLOOKUP(B792,КВСР!A643:B1808,2),IF(C792&gt;0,VLOOKUP(C792,КФСР!A643:B2155,2),IF(D792&gt;0,VLOOKUP(D792,Программа!A$1:B$5063,2),IF(F792&gt;0,VLOOKUP(F792,КВР!A$1:B$5001,2),IF(E792&gt;0,VLOOKUP(E792,Направление!A$1:B$4755,2))))))</f>
        <v>Расходы на профилактику правонарушений и усиления борьбы с преступностью</v>
      </c>
      <c r="B792" s="83"/>
      <c r="C792" s="76"/>
      <c r="D792" s="391"/>
      <c r="E792" s="83">
        <v>12250</v>
      </c>
      <c r="F792" s="77"/>
      <c r="G792" s="93">
        <v>30000</v>
      </c>
      <c r="H792" s="93">
        <f t="shared" ref="H792:J792" si="277">H793</f>
        <v>0</v>
      </c>
      <c r="I792" s="42">
        <f t="shared" si="276"/>
        <v>30000</v>
      </c>
      <c r="J792" s="93">
        <f t="shared" si="277"/>
        <v>30000</v>
      </c>
    </row>
    <row r="793" spans="1:10" ht="63">
      <c r="A793" s="41" t="str">
        <f>IF(B793&gt;0,VLOOKUP(B793,КВСР!A644:B1809,2),IF(C793&gt;0,VLOOKUP(C793,КФСР!A644:B2156,2),IF(D793&gt;0,VLOOKUP(D793,Программа!A$1:B$5063,2),IF(F793&gt;0,VLOOKUP(F793,КВР!A$1:B$5001,2),IF(E793&gt;0,VLOOKUP(E793,Направление!A$1:B$4755,2))))))</f>
        <v>Предоставление субсидий бюджетным, автономным учреждениям и иным некоммерческим организациям</v>
      </c>
      <c r="B793" s="83"/>
      <c r="C793" s="76"/>
      <c r="D793" s="77"/>
      <c r="E793" s="83"/>
      <c r="F793" s="77">
        <v>600</v>
      </c>
      <c r="G793" s="494">
        <v>30000</v>
      </c>
      <c r="H793" s="339"/>
      <c r="I793" s="42">
        <f t="shared" si="276"/>
        <v>30000</v>
      </c>
      <c r="J793" s="339">
        <v>30000</v>
      </c>
    </row>
    <row r="794" spans="1:10" ht="24.75" customHeight="1">
      <c r="A794" s="41" t="str">
        <f>IF(B794&gt;0,VLOOKUP(B794,КВСР!A645:B1810,2),IF(C794&gt;0,VLOOKUP(C794,КФСР!A645:B2157,2),IF(D794&gt;0,VLOOKUP(D794,Программа!A$1:B$5063,2),IF(F794&gt;0,VLOOKUP(F794,КВР!A$1:B$5001,2),IF(E794&gt;0,VLOOKUP(E794,Направление!A$1:B$4755,2))))))</f>
        <v>Периодическая печать и издательства</v>
      </c>
      <c r="B794" s="83"/>
      <c r="C794" s="76">
        <v>1202</v>
      </c>
      <c r="D794" s="391"/>
      <c r="E794" s="83"/>
      <c r="F794" s="77"/>
      <c r="G794" s="93">
        <v>4060000</v>
      </c>
      <c r="H794" s="93">
        <f t="shared" ref="H794:J796" si="278">H795</f>
        <v>0</v>
      </c>
      <c r="I794" s="42">
        <f t="shared" si="276"/>
        <v>4060000</v>
      </c>
      <c r="J794" s="93">
        <f t="shared" si="278"/>
        <v>4060000</v>
      </c>
    </row>
    <row r="795" spans="1:10">
      <c r="A795" s="41" t="str">
        <f>IF(B795&gt;0,VLOOKUP(B795,КВСР!A646:B1811,2),IF(C795&gt;0,VLOOKUP(C795,КФСР!A646:B2158,2),IF(D795&gt;0,VLOOKUP(D795,Программа!A$1:B$5063,2),IF(F795&gt;0,VLOOKUP(F795,КВР!A$1:B$5001,2),IF(E795&gt;0,VLOOKUP(E795,Направление!A$1:B$4755,2))))))</f>
        <v>Непрограммные расходы бюджета</v>
      </c>
      <c r="B795" s="83"/>
      <c r="C795" s="76"/>
      <c r="D795" s="391" t="s">
        <v>2808</v>
      </c>
      <c r="E795" s="83"/>
      <c r="F795" s="77"/>
      <c r="G795" s="93">
        <v>4060000</v>
      </c>
      <c r="H795" s="93">
        <f>H796+H798</f>
        <v>0</v>
      </c>
      <c r="I795" s="42">
        <f t="shared" si="276"/>
        <v>4060000</v>
      </c>
      <c r="J795" s="93">
        <f>J796+J798</f>
        <v>4060000</v>
      </c>
    </row>
    <row r="796" spans="1:10">
      <c r="A796" s="41" t="str">
        <f>IF(B796&gt;0,VLOOKUP(B796,КВСР!A647:B1812,2),IF(C796&gt;0,VLOOKUP(C796,КФСР!A647:B2159,2),IF(D796&gt;0,VLOOKUP(D796,Программа!A$1:B$5063,2),IF(F796&gt;0,VLOOKUP(F796,КВР!A$1:B$5001,2),IF(E796&gt;0,VLOOKUP(E796,Направление!A$1:B$4755,2))))))</f>
        <v xml:space="preserve">Поддержка периодических изданий </v>
      </c>
      <c r="B796" s="83"/>
      <c r="C796" s="76"/>
      <c r="D796" s="391"/>
      <c r="E796" s="83">
        <v>12750</v>
      </c>
      <c r="F796" s="77"/>
      <c r="G796" s="93">
        <v>3160000</v>
      </c>
      <c r="H796" s="93">
        <f t="shared" si="278"/>
        <v>0</v>
      </c>
      <c r="I796" s="42">
        <f t="shared" si="276"/>
        <v>3160000</v>
      </c>
      <c r="J796" s="93">
        <f t="shared" si="278"/>
        <v>3160000</v>
      </c>
    </row>
    <row r="797" spans="1:10" ht="63">
      <c r="A797" s="41" t="str">
        <f>IF(B797&gt;0,VLOOKUP(B797,КВСР!A648:B1813,2),IF(C797&gt;0,VLOOKUP(C797,КФСР!A648:B2160,2),IF(D797&gt;0,VLOOKUP(D797,Программа!A$1:B$5063,2),IF(F797&gt;0,VLOOKUP(F797,КВР!A$1:B$5001,2),IF(E797&gt;0,VLOOKUP(E797,Направление!A$1:B$4755,2))))))</f>
        <v>Предоставление субсидий бюджетным, автономным учреждениям и иным некоммерческим организациям</v>
      </c>
      <c r="B797" s="83"/>
      <c r="C797" s="76"/>
      <c r="D797" s="77"/>
      <c r="E797" s="83"/>
      <c r="F797" s="77">
        <v>600</v>
      </c>
      <c r="G797" s="341">
        <v>3160000</v>
      </c>
      <c r="H797" s="337"/>
      <c r="I797" s="42">
        <f t="shared" si="276"/>
        <v>3160000</v>
      </c>
      <c r="J797" s="337">
        <v>3160000</v>
      </c>
    </row>
    <row r="798" spans="1:10" ht="31.5">
      <c r="A798" s="41" t="str">
        <f>IF(B798&gt;0,VLOOKUP(B798,КВСР!A649:B1814,2),IF(C798&gt;0,VLOOKUP(C798,КФСР!A649:B2161,2),IF(D798&gt;0,VLOOKUP(D798,Программа!A$1:B$5063,2),IF(F798&gt;0,VLOOKUP(F798,КВР!A$1:B$5001,2),IF(E798&gt;0,VLOOKUP(E798,Направление!A$1:B$4755,2))))))</f>
        <v>Обеспечение мероприятий по поддержке СМИ</v>
      </c>
      <c r="B798" s="83"/>
      <c r="C798" s="76"/>
      <c r="D798" s="77"/>
      <c r="E798" s="83">
        <v>29366</v>
      </c>
      <c r="F798" s="77"/>
      <c r="G798" s="341">
        <v>900000</v>
      </c>
      <c r="H798" s="341">
        <f t="shared" ref="H798:J798" si="279">H799</f>
        <v>0</v>
      </c>
      <c r="I798" s="341">
        <f t="shared" si="279"/>
        <v>900000</v>
      </c>
      <c r="J798" s="341">
        <f t="shared" si="279"/>
        <v>900000</v>
      </c>
    </row>
    <row r="799" spans="1:10" ht="63">
      <c r="A799" s="41" t="str">
        <f>IF(B799&gt;0,VLOOKUP(B799,КВСР!A650:B1815,2),IF(C799&gt;0,VLOOKUP(C799,КФСР!A650:B2162,2),IF(D799&gt;0,VLOOKUP(D799,Программа!A$1:B$5063,2),IF(F799&gt;0,VLOOKUP(F799,КВР!A$1:B$5001,2),IF(E799&gt;0,VLOOKUP(E799,Направление!A$1:B$4755,2))))))</f>
        <v>Предоставление субсидий бюджетным, автономным учреждениям и иным некоммерческим организациям</v>
      </c>
      <c r="B799" s="83"/>
      <c r="C799" s="76"/>
      <c r="D799" s="77"/>
      <c r="E799" s="83"/>
      <c r="F799" s="77">
        <v>600</v>
      </c>
      <c r="G799" s="341">
        <v>900000</v>
      </c>
      <c r="H799" s="337"/>
      <c r="I799" s="42">
        <f>G799+H799</f>
        <v>900000</v>
      </c>
      <c r="J799" s="337">
        <v>900000</v>
      </c>
    </row>
    <row r="800" spans="1:10" ht="31.5">
      <c r="A800" s="41" t="str">
        <f>IF(B800&gt;0,VLOOKUP(B800,КВСР!A651:B1816,2),IF(C800&gt;0,VLOOKUP(C800,КФСР!A651:B2163,2),IF(D800&gt;0,VLOOKUP(D800,Программа!A$1:B$5063,2),IF(F800&gt;0,VLOOKUP(F800,КВР!A$1:B$5001,2),IF(E800&gt;0,VLOOKUP(E800,Направление!A$1:B$4755,2))))))</f>
        <v>Департамент ЖКХ и строительства Администрации ТМР</v>
      </c>
      <c r="B800" s="79">
        <v>958</v>
      </c>
      <c r="C800" s="80"/>
      <c r="D800" s="69"/>
      <c r="E800" s="82"/>
      <c r="F800" s="81"/>
      <c r="G800" s="47">
        <v>386496538.36000001</v>
      </c>
      <c r="H800" s="47">
        <f>H801+H816+H834+H850+H913+H1034+H1054+H1085+H1060+H830+H1073+H1077+H892+H997+H810+H1050</f>
        <v>-5203674</v>
      </c>
      <c r="I800" s="47">
        <f>I801+I816+I834+I850+I913+I1034+I1054+I1085+I1060+I830+I1073+I1077+I892+I997+I810+I1050</f>
        <v>381292864.36000001</v>
      </c>
      <c r="J800" s="47">
        <f>J801+J816+J834+J850+J913+J1034+J1054+J1085+J1060+J830+J1073+J1077+J892+J997+J810+J1050</f>
        <v>273701144</v>
      </c>
    </row>
    <row r="801" spans="1:10" ht="31.5">
      <c r="A801" s="41" t="str">
        <f>IF(B801&gt;0,VLOOKUP(B801,КВСР!A652:B1817,2),IF(C801&gt;0,VLOOKUP(C801,КФСР!A652:B2164,2),IF(D801&gt;0,VLOOKUP(D801,Программа!A$1:B$5063,2),IF(F801&gt;0,VLOOKUP(F801,КВР!A$1:B$5001,2),IF(E801&gt;0,VLOOKUP(E801,Направление!A$1:B$4755,2))))))</f>
        <v>Другие общегосударственные вопросы</v>
      </c>
      <c r="B801" s="79"/>
      <c r="C801" s="80">
        <v>113</v>
      </c>
      <c r="D801" s="69"/>
      <c r="E801" s="82"/>
      <c r="F801" s="81"/>
      <c r="G801" s="42">
        <v>27908995</v>
      </c>
      <c r="H801" s="42">
        <f>H802+H807</f>
        <v>-281469</v>
      </c>
      <c r="I801" s="42">
        <f>SUM(G801:H801)</f>
        <v>27627526</v>
      </c>
      <c r="J801" s="42">
        <f>J802+J807</f>
        <v>15409629</v>
      </c>
    </row>
    <row r="802" spans="1:10">
      <c r="A802" s="41" t="str">
        <f>IF(B802&gt;0,VLOOKUP(B802,КВСР!A653:B1818,2),IF(C802&gt;0,VLOOKUP(C802,КФСР!A653:B2165,2),IF(D802&gt;0,VLOOKUP(D802,Программа!A$1:B$5063,2),IF(F802&gt;0,VLOOKUP(F802,КВР!A$1:B$5001,2),IF(E802&gt;0,VLOOKUP(E802,Направление!A$1:B$4755,2))))))</f>
        <v>Непрограммные расходы бюджета</v>
      </c>
      <c r="B802" s="79"/>
      <c r="C802" s="80"/>
      <c r="D802" s="69" t="s">
        <v>2808</v>
      </c>
      <c r="E802" s="82"/>
      <c r="F802" s="81"/>
      <c r="G802" s="42">
        <v>11331095</v>
      </c>
      <c r="H802" s="42">
        <f>H803+H805</f>
        <v>-281469</v>
      </c>
      <c r="I802" s="42">
        <f>I803+I805</f>
        <v>11049626</v>
      </c>
      <c r="J802" s="42">
        <f>J803+J805</f>
        <v>11049626</v>
      </c>
    </row>
    <row r="803" spans="1:10" ht="47.25">
      <c r="A803" s="41" t="str">
        <f>IF(B803&gt;0,VLOOKUP(B803,КВСР!A654:B1819,2),IF(C803&gt;0,VLOOKUP(C803,КФСР!A654:B2166,2),IF(D803&gt;0,VLOOKUP(D803,Программа!A$1:B$5063,2),IF(F803&gt;0,VLOOKUP(F803,КВР!A$1:B$5001,2),IF(E803&gt;0,VLOOKUP(E803,Направление!A$1:B$4755,2))))))</f>
        <v>Обеспечение деятельности подведомственных учреждений органов местного самоуправления</v>
      </c>
      <c r="B803" s="79"/>
      <c r="C803" s="80"/>
      <c r="D803" s="69"/>
      <c r="E803" s="82">
        <v>12100</v>
      </c>
      <c r="F803" s="81"/>
      <c r="G803" s="42">
        <v>10885545</v>
      </c>
      <c r="H803" s="42">
        <f t="shared" ref="H803:J803" si="280">H804</f>
        <v>-305219</v>
      </c>
      <c r="I803" s="42">
        <f t="shared" si="276"/>
        <v>10580326</v>
      </c>
      <c r="J803" s="42">
        <f t="shared" si="280"/>
        <v>10580327</v>
      </c>
    </row>
    <row r="804" spans="1:10" ht="63">
      <c r="A804" s="41" t="str">
        <f>IF(B804&gt;0,VLOOKUP(B804,КВСР!A655:B1820,2),IF(C804&gt;0,VLOOKUP(C804,КФСР!A655:B2167,2),IF(D804&gt;0,VLOOKUP(D804,Программа!A$1:B$5063,2),IF(F804&gt;0,VLOOKUP(F804,КВР!A$1:B$5001,2),IF(E804&gt;0,VLOOKUP(E804,Направление!A$1:B$4755,2))))))</f>
        <v>Предоставление субсидий бюджетным, автономным учреждениям и иным некоммерческим организациям</v>
      </c>
      <c r="B804" s="79"/>
      <c r="C804" s="80"/>
      <c r="D804" s="81"/>
      <c r="E804" s="82"/>
      <c r="F804" s="81">
        <v>600</v>
      </c>
      <c r="G804" s="341">
        <v>10885545</v>
      </c>
      <c r="H804" s="337">
        <f>-226343-78876</f>
        <v>-305219</v>
      </c>
      <c r="I804" s="42">
        <f t="shared" si="276"/>
        <v>10580326</v>
      </c>
      <c r="J804" s="337">
        <v>10580327</v>
      </c>
    </row>
    <row r="805" spans="1:10" ht="47.25">
      <c r="A805" s="41" t="str">
        <f>IF(B805&gt;0,VLOOKUP(B805,КВСР!A656:B1821,2),IF(C805&gt;0,VLOOKUP(C805,КФСР!A656:B2168,2),IF(D805&gt;0,VLOOKUP(D805,Программа!A$1:B$5063,2),IF(F805&gt;0,VLOOKUP(F805,КВР!A$1:B$5001,2),IF(E805&gt;0,VLOOKUP(E805,Направление!A$1:B$4755,2))))))</f>
        <v>Исполнение судебных актов, актов других органов и должностных лиц, иных документов</v>
      </c>
      <c r="B805" s="79"/>
      <c r="C805" s="80"/>
      <c r="D805" s="81"/>
      <c r="E805" s="82">
        <v>12130</v>
      </c>
      <c r="F805" s="81"/>
      <c r="G805" s="341">
        <v>445550</v>
      </c>
      <c r="H805" s="341">
        <f t="shared" ref="H805:J805" si="281">H806</f>
        <v>23750</v>
      </c>
      <c r="I805" s="341">
        <f t="shared" si="281"/>
        <v>469300</v>
      </c>
      <c r="J805" s="341">
        <f t="shared" si="281"/>
        <v>469299</v>
      </c>
    </row>
    <row r="806" spans="1:10" ht="63">
      <c r="A806" s="41" t="str">
        <f>IF(B806&gt;0,VLOOKUP(B806,КВСР!A657:B1822,2),IF(C806&gt;0,VLOOKUP(C806,КФСР!A657:B2169,2),IF(D806&gt;0,VLOOKUP(D806,Программа!A$1:B$5063,2),IF(F806&gt;0,VLOOKUP(F806,КВР!A$1:B$5001,2),IF(E806&gt;0,VLOOKUP(E806,Направление!A$1:B$4755,2))))))</f>
        <v>Предоставление субсидий бюджетным, автономным учреждениям и иным некоммерческим организациям</v>
      </c>
      <c r="B806" s="79"/>
      <c r="C806" s="80"/>
      <c r="D806" s="81"/>
      <c r="E806" s="82"/>
      <c r="F806" s="81">
        <v>600</v>
      </c>
      <c r="G806" s="341">
        <v>445550</v>
      </c>
      <c r="H806" s="337">
        <v>23750</v>
      </c>
      <c r="I806" s="42">
        <f>G806+H806</f>
        <v>469300</v>
      </c>
      <c r="J806" s="337">
        <v>469299</v>
      </c>
    </row>
    <row r="807" spans="1:10" ht="33.75" customHeight="1">
      <c r="A807" s="41" t="str">
        <f>IF(B807&gt;0,VLOOKUP(B807,КВСР!A658:B1823,2),IF(C807&gt;0,VLOOKUP(C807,КФСР!A658:B2170,2),IF(D807&gt;0,VLOOKUP(D807,Программа!A$1:B$5063,2),IF(F807&gt;0,VLOOKUP(F807,КВР!A$1:B$5001,2),IF(E807&gt;0,VLOOKUP(E807,Направление!A$1:B$4755,2))))))</f>
        <v>Межбюджетные трансферты  поселениям района</v>
      </c>
      <c r="B807" s="79"/>
      <c r="C807" s="80"/>
      <c r="D807" s="81" t="s">
        <v>2809</v>
      </c>
      <c r="E807" s="82"/>
      <c r="F807" s="81"/>
      <c r="G807" s="341">
        <v>16577900</v>
      </c>
      <c r="H807" s="341">
        <f t="shared" ref="H807:J808" si="282">H808</f>
        <v>0</v>
      </c>
      <c r="I807" s="341">
        <f t="shared" si="282"/>
        <v>16577900</v>
      </c>
      <c r="J807" s="341">
        <f t="shared" si="282"/>
        <v>4360003</v>
      </c>
    </row>
    <row r="808" spans="1:10" ht="48.75" customHeight="1">
      <c r="A808" s="41" t="str">
        <f>IF(B808&gt;0,VLOOKUP(B808,КВСР!A659:B1824,2),IF(C808&gt;0,VLOOKUP(C808,КФСР!A659:B2171,2),IF(D808&gt;0,VLOOKUP(D808,Программа!A$1:B$5063,2),IF(F808&gt;0,VLOOKUP(F808,КВР!A$1:B$5001,2),IF(E808&gt;0,VLOOKUP(E808,Направление!A$1:B$4755,2))))))</f>
        <v>Субсидия на благоустройство населенных пунктов Ярославской  области</v>
      </c>
      <c r="B808" s="79"/>
      <c r="C808" s="80"/>
      <c r="D808" s="81"/>
      <c r="E808" s="82">
        <v>74770</v>
      </c>
      <c r="F808" s="81"/>
      <c r="G808" s="341">
        <v>16577900</v>
      </c>
      <c r="H808" s="341">
        <f t="shared" si="282"/>
        <v>0</v>
      </c>
      <c r="I808" s="341">
        <f t="shared" si="282"/>
        <v>16577900</v>
      </c>
      <c r="J808" s="341">
        <f t="shared" si="282"/>
        <v>4360003</v>
      </c>
    </row>
    <row r="809" spans="1:10" ht="26.25" customHeight="1">
      <c r="A809" s="41" t="str">
        <f>IF(B809&gt;0,VLOOKUP(B809,КВСР!A660:B1825,2),IF(C809&gt;0,VLOOKUP(C809,КФСР!A660:B2172,2),IF(D809&gt;0,VLOOKUP(D809,Программа!A$1:B$5063,2),IF(F809&gt;0,VLOOKUP(F809,КВР!A$1:B$5001,2),IF(E809&gt;0,VLOOKUP(E809,Направление!A$1:B$4755,2))))))</f>
        <v xml:space="preserve"> Межбюджетные трансферты</v>
      </c>
      <c r="B809" s="79"/>
      <c r="C809" s="80"/>
      <c r="D809" s="81"/>
      <c r="E809" s="82"/>
      <c r="F809" s="81">
        <v>500</v>
      </c>
      <c r="G809" s="341">
        <v>16577900</v>
      </c>
      <c r="H809" s="337"/>
      <c r="I809" s="42">
        <f>SUM(G809:H809)</f>
        <v>16577900</v>
      </c>
      <c r="J809" s="337">
        <v>4360003</v>
      </c>
    </row>
    <row r="810" spans="1:10" ht="78.75">
      <c r="A810" s="41" t="str">
        <f>IF(B810&gt;0,VLOOKUP(B810,КВСР!A661:B1826,2),IF(C810&gt;0,VLOOKUP(C810,КФСР!A661:B2173,2),IF(D810&gt;0,VLOOKUP(D810,Программа!A$1:B$5063,2),IF(F810&gt;0,VLOOKUP(F810,КВР!A$1:B$5001,2),IF(E810&gt;0,VLOOKUP(E810,Направление!A$1:B$4755,2))))))</f>
        <v>Защита населения и территории от последствий чрезвычайных ситуаций природного и техногенного характера, гражданская оборона</v>
      </c>
      <c r="B810" s="79"/>
      <c r="C810" s="80">
        <v>309</v>
      </c>
      <c r="D810" s="81"/>
      <c r="E810" s="82"/>
      <c r="F810" s="81"/>
      <c r="G810" s="341">
        <v>2739669</v>
      </c>
      <c r="H810" s="341">
        <f t="shared" ref="H810:J811" si="283">H811</f>
        <v>-514503</v>
      </c>
      <c r="I810" s="341">
        <f t="shared" si="283"/>
        <v>2225166</v>
      </c>
      <c r="J810" s="341">
        <f t="shared" si="283"/>
        <v>2224479</v>
      </c>
    </row>
    <row r="811" spans="1:10" ht="22.5" customHeight="1">
      <c r="A811" s="41" t="str">
        <f>IF(B811&gt;0,VLOOKUP(B811,КВСР!A662:B1827,2),IF(C811&gt;0,VLOOKUP(C811,КФСР!A662:B2174,2),IF(D811&gt;0,VLOOKUP(D811,Программа!A$1:B$5063,2),IF(F811&gt;0,VLOOKUP(F811,КВР!A$1:B$5001,2),IF(E811&gt;0,VLOOKUP(E811,Направление!A$1:B$4755,2))))))</f>
        <v>Непрограммные расходы бюджета</v>
      </c>
      <c r="B811" s="79"/>
      <c r="C811" s="80"/>
      <c r="D811" s="81" t="s">
        <v>2808</v>
      </c>
      <c r="E811" s="82"/>
      <c r="F811" s="81"/>
      <c r="G811" s="341">
        <v>2739669</v>
      </c>
      <c r="H811" s="341">
        <f t="shared" si="283"/>
        <v>-514503</v>
      </c>
      <c r="I811" s="341">
        <f t="shared" si="283"/>
        <v>2225166</v>
      </c>
      <c r="J811" s="341">
        <f>J812+J814</f>
        <v>2224479</v>
      </c>
    </row>
    <row r="812" spans="1:10" ht="39.75" customHeight="1">
      <c r="A812" s="41" t="str">
        <f>IF(B812&gt;0,VLOOKUP(B812,КВСР!A663:B1828,2),IF(C812&gt;0,VLOOKUP(C812,КФСР!A663:B2175,2),IF(D812&gt;0,VLOOKUP(D812,Программа!A$1:B$5063,2),IF(F812&gt;0,VLOOKUP(F812,КВР!A$1:B$5001,2),IF(E812&gt;0,VLOOKUP(E812,Направление!A$1:B$4755,2))))))</f>
        <v>Резервные фонды местных администраций</v>
      </c>
      <c r="B812" s="79"/>
      <c r="C812" s="80"/>
      <c r="D812" s="81"/>
      <c r="E812" s="82">
        <v>12900</v>
      </c>
      <c r="F812" s="81"/>
      <c r="G812" s="341">
        <v>2739669</v>
      </c>
      <c r="H812" s="341">
        <f t="shared" ref="H812:J812" si="284">H813</f>
        <v>-514503</v>
      </c>
      <c r="I812" s="341">
        <f t="shared" si="284"/>
        <v>2225166</v>
      </c>
      <c r="J812" s="341">
        <f t="shared" si="284"/>
        <v>2144648</v>
      </c>
    </row>
    <row r="813" spans="1:10" ht="39.75" customHeight="1">
      <c r="A813" s="41" t="str">
        <f>IF(B813&gt;0,VLOOKUP(B813,КВСР!A664:B1829,2),IF(C813&gt;0,VLOOKUP(C813,КФСР!A664:B2176,2),IF(D813&gt;0,VLOOKUP(D813,Программа!A$1:B$5063,2),IF(F813&gt;0,VLOOKUP(F813,КВР!A$1:B$5001,2),IF(E813&gt;0,VLOOKUP(E813,Направление!A$1:B$4755,2))))))</f>
        <v>Закупка товаров, работ и услуг для государственных нужд</v>
      </c>
      <c r="B813" s="79"/>
      <c r="C813" s="80"/>
      <c r="D813" s="81"/>
      <c r="E813" s="82"/>
      <c r="F813" s="81">
        <v>200</v>
      </c>
      <c r="G813" s="341">
        <v>2739669</v>
      </c>
      <c r="H813" s="337">
        <v>-514503</v>
      </c>
      <c r="I813" s="42">
        <f>G813+H813</f>
        <v>2225166</v>
      </c>
      <c r="J813" s="337">
        <v>2144648</v>
      </c>
    </row>
    <row r="814" spans="1:10" ht="63.75" customHeight="1">
      <c r="A814" s="41" t="str">
        <f>IF(B814&gt;0,VLOOKUP(B814,КВСР!A665:B1830,2),IF(C814&gt;0,VLOOKUP(C814,КФСР!A665:B2177,2),IF(D814&gt;0,VLOOKUP(D814,Программа!A$1:B$5063,2),IF(F814&gt;0,VLOOKUP(F814,КВР!A$1:B$5001,2),IF(E814&gt;0,VLOOKUP(E814,Направление!A$1:B$4755,2))))))</f>
        <v>Резервные фонды исполнительных органов государственной власти субъектов Российской Федерации</v>
      </c>
      <c r="B814" s="79"/>
      <c r="C814" s="80"/>
      <c r="D814" s="81"/>
      <c r="E814" s="82">
        <v>80120</v>
      </c>
      <c r="F814" s="81"/>
      <c r="G814" s="341"/>
      <c r="H814" s="337"/>
      <c r="I814" s="42"/>
      <c r="J814" s="341">
        <f>J815</f>
        <v>79831</v>
      </c>
    </row>
    <row r="815" spans="1:10" ht="39.75" customHeight="1">
      <c r="A815" s="41" t="str">
        <f>IF(B815&gt;0,VLOOKUP(B815,КВСР!A666:B1831,2),IF(C815&gt;0,VLOOKUP(C815,КФСР!A666:B2178,2),IF(D815&gt;0,VLOOKUP(D815,Программа!A$1:B$5063,2),IF(F815&gt;0,VLOOKUP(F815,КВР!A$1:B$5001,2),IF(E815&gt;0,VLOOKUP(E815,Направление!A$1:B$4755,2))))))</f>
        <v>Закупка товаров, работ и услуг для государственных нужд</v>
      </c>
      <c r="B815" s="79"/>
      <c r="C815" s="80"/>
      <c r="D815" s="81"/>
      <c r="E815" s="82"/>
      <c r="F815" s="81">
        <v>200</v>
      </c>
      <c r="G815" s="341"/>
      <c r="H815" s="337"/>
      <c r="I815" s="42"/>
      <c r="J815" s="337">
        <v>79831</v>
      </c>
    </row>
    <row r="816" spans="1:10">
      <c r="A816" s="41" t="str">
        <f>IF(B816&gt;0,VLOOKUP(B816,КВСР!A661:B1826,2),IF(C816&gt;0,VLOOKUP(C816,КФСР!A661:B2173,2),IF(D816&gt;0,VLOOKUP(D816,Программа!A$1:B$5063,2),IF(F816&gt;0,VLOOKUP(F816,КВР!A$1:B$5001,2),IF(E816&gt;0,VLOOKUP(E816,Направление!A$1:B$4755,2))))))</f>
        <v>Топливно-энергетический комплекс</v>
      </c>
      <c r="B816" s="79"/>
      <c r="C816" s="80">
        <v>402</v>
      </c>
      <c r="D816" s="69"/>
      <c r="E816" s="82"/>
      <c r="F816" s="81"/>
      <c r="G816" s="42">
        <v>3210613.18</v>
      </c>
      <c r="H816" s="42">
        <f t="shared" ref="H816:J816" si="285">H817+H822</f>
        <v>-451647</v>
      </c>
      <c r="I816" s="42">
        <f t="shared" si="276"/>
        <v>2758966.18</v>
      </c>
      <c r="J816" s="42">
        <f t="shared" si="285"/>
        <v>2563908</v>
      </c>
    </row>
    <row r="817" spans="1:10" ht="66.75" customHeight="1">
      <c r="A817" s="41" t="str">
        <f>IF(B817&gt;0,VLOOKUP(B817,КВСР!A662:B1827,2),IF(C817&gt;0,VLOOKUP(C817,КФСР!A662:B2174,2),IF(D817&gt;0,VLOOKUP(D817,Программа!A$1:B$5063,2),IF(F817&gt;0,VLOOKUP(F817,КВР!A$1:B$5001,2),IF(E817&gt;0,VLOOKUP(E817,Направление!A$1:B$4755,2))))))</f>
        <v>Муниципальная программа "Обеспечение качественными коммунальными услугами населения Тутаевского муниципального района"</v>
      </c>
      <c r="B817" s="79"/>
      <c r="C817" s="80"/>
      <c r="D817" s="69" t="s">
        <v>2709</v>
      </c>
      <c r="E817" s="82"/>
      <c r="F817" s="81"/>
      <c r="G817" s="42">
        <v>600000</v>
      </c>
      <c r="H817" s="42">
        <f t="shared" ref="H817:J820" si="286">H818</f>
        <v>0</v>
      </c>
      <c r="I817" s="42">
        <f t="shared" si="276"/>
        <v>600000</v>
      </c>
      <c r="J817" s="42">
        <f t="shared" si="286"/>
        <v>543122</v>
      </c>
    </row>
    <row r="818" spans="1:10" ht="94.5">
      <c r="A818" s="41" t="str">
        <f>IF(B818&gt;0,VLOOKUP(B818,КВСР!A663:B1828,2),IF(C818&gt;0,VLOOKUP(C818,КФСР!A663:B2175,2),IF(D818&gt;0,VLOOKUP(D818,Программа!A$1:B$5063,2),IF(F818&gt;0,VLOOKUP(F818,КВР!A$1:B$5001,2),IF(E818&gt;0,VLOOKUP(E818,Направление!A$1:B$4755,2))))))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818" s="79"/>
      <c r="C818" s="80"/>
      <c r="D818" s="69" t="s">
        <v>2711</v>
      </c>
      <c r="E818" s="82"/>
      <c r="F818" s="81"/>
      <c r="G818" s="42">
        <v>600000</v>
      </c>
      <c r="H818" s="42">
        <f t="shared" si="286"/>
        <v>0</v>
      </c>
      <c r="I818" s="42">
        <f t="shared" si="276"/>
        <v>600000</v>
      </c>
      <c r="J818" s="42">
        <f t="shared" si="286"/>
        <v>543122</v>
      </c>
    </row>
    <row r="819" spans="1:10" ht="31.5">
      <c r="A819" s="41" t="str">
        <f>IF(B819&gt;0,VLOOKUP(B819,КВСР!A664:B1829,2),IF(C819&gt;0,VLOOKUP(C819,КФСР!A664:B2176,2),IF(D819&gt;0,VLOOKUP(D819,Программа!A$1:B$5063,2),IF(F819&gt;0,VLOOKUP(F819,КВР!A$1:B$5001,2),IF(E819&gt;0,VLOOKUP(E819,Направление!A$1:B$4755,2))))))</f>
        <v xml:space="preserve">Обеспечение населения твердым топливом </v>
      </c>
      <c r="B819" s="79"/>
      <c r="C819" s="80"/>
      <c r="D819" s="69" t="s">
        <v>2775</v>
      </c>
      <c r="E819" s="82"/>
      <c r="F819" s="81"/>
      <c r="G819" s="42">
        <v>600000</v>
      </c>
      <c r="H819" s="42">
        <f t="shared" si="286"/>
        <v>0</v>
      </c>
      <c r="I819" s="42">
        <f t="shared" si="276"/>
        <v>600000</v>
      </c>
      <c r="J819" s="42">
        <f t="shared" si="286"/>
        <v>543122</v>
      </c>
    </row>
    <row r="820" spans="1:10" ht="63">
      <c r="A820" s="41" t="str">
        <f>IF(B820&gt;0,VLOOKUP(B820,КВСР!A665:B1830,2),IF(C820&gt;0,VLOOKUP(C820,КФСР!A665:B2177,2),IF(D820&gt;0,VLOOKUP(D820,Программа!A$1:B$5063,2),IF(F820&gt;0,VLOOKUP(F820,КВР!A$1:B$5001,2),IF(E820&gt;0,VLOOKUP(E820,Направление!A$1:B$4755,2))))))</f>
        <v>Субсидия топливным предприятиям на возмещение части затрат по обеспечению населения твердым топливом</v>
      </c>
      <c r="B820" s="79"/>
      <c r="C820" s="80"/>
      <c r="D820" s="69"/>
      <c r="E820" s="82">
        <v>10110</v>
      </c>
      <c r="F820" s="81"/>
      <c r="G820" s="42">
        <v>600000</v>
      </c>
      <c r="H820" s="42">
        <f t="shared" si="286"/>
        <v>0</v>
      </c>
      <c r="I820" s="42">
        <f t="shared" si="276"/>
        <v>600000</v>
      </c>
      <c r="J820" s="42">
        <f t="shared" si="286"/>
        <v>543122</v>
      </c>
    </row>
    <row r="821" spans="1:10">
      <c r="A821" s="41" t="str">
        <f>IF(B821&gt;0,VLOOKUP(B821,КВСР!A666:B1831,2),IF(C821&gt;0,VLOOKUP(C821,КФСР!A666:B2178,2),IF(D821&gt;0,VLOOKUP(D821,Программа!A$1:B$5063,2),IF(F821&gt;0,VLOOKUP(F821,КВР!A$1:B$5001,2),IF(E821&gt;0,VLOOKUP(E821,Направление!A$1:B$4755,2))))))</f>
        <v>Иные бюджетные ассигнования</v>
      </c>
      <c r="B821" s="79"/>
      <c r="C821" s="80"/>
      <c r="D821" s="81"/>
      <c r="E821" s="82"/>
      <c r="F821" s="81">
        <v>800</v>
      </c>
      <c r="G821" s="341">
        <v>600000</v>
      </c>
      <c r="H821" s="337"/>
      <c r="I821" s="42">
        <f t="shared" si="276"/>
        <v>600000</v>
      </c>
      <c r="J821" s="337">
        <v>543122</v>
      </c>
    </row>
    <row r="822" spans="1:10" ht="69.75" customHeight="1">
      <c r="A822" s="41" t="str">
        <f>IF(B822&gt;0,VLOOKUP(B822,КВСР!A667:B1832,2),IF(C822&gt;0,VLOOKUP(C822,КФСР!A667:B2179,2),IF(D822&gt;0,VLOOKUP(D822,Программа!A$1:B$5063,2),IF(F822&gt;0,VLOOKUP(F822,КВР!A$1:B$5001,2),IF(E822&gt;0,VLOOKUP(E822,Направление!A$1:B$4755,2))))))</f>
        <v>Муниципальная  программа "Об энергосбережении и повышении энергетической эффективности Тутаевского муниципального района"</v>
      </c>
      <c r="B822" s="79"/>
      <c r="C822" s="80"/>
      <c r="D822" s="81" t="s">
        <v>2734</v>
      </c>
      <c r="E822" s="82"/>
      <c r="F822" s="81"/>
      <c r="G822" s="341">
        <v>2610613.1800000002</v>
      </c>
      <c r="H822" s="341">
        <f t="shared" ref="H822:J822" si="287">H823</f>
        <v>-451647</v>
      </c>
      <c r="I822" s="42">
        <f t="shared" si="276"/>
        <v>2158966.1800000002</v>
      </c>
      <c r="J822" s="341">
        <f t="shared" si="287"/>
        <v>2020786</v>
      </c>
    </row>
    <row r="823" spans="1:10" ht="110.25">
      <c r="A823" s="41" t="str">
        <f>IF(B823&gt;0,VLOOKUP(B823,КВСР!A668:B1833,2),IF(C823&gt;0,VLOOKUP(C823,КФСР!A668:B2180,2),IF(D823&gt;0,VLOOKUP(D823,Программа!A$1:B$5063,2),IF(F823&gt;0,VLOOKUP(F823,КВР!A$1:B$5001,2),IF(E823&gt;0,VLOOKUP(E823,Направление!A$1:B$4755,2))))))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823" s="79"/>
      <c r="C823" s="80"/>
      <c r="D823" s="81" t="s">
        <v>2792</v>
      </c>
      <c r="E823" s="608"/>
      <c r="F823" s="81"/>
      <c r="G823" s="341">
        <v>2610613.1800000002</v>
      </c>
      <c r="H823" s="341">
        <f>H824+H828+H827</f>
        <v>-451647</v>
      </c>
      <c r="I823" s="42">
        <f t="shared" si="276"/>
        <v>2158966.1800000002</v>
      </c>
      <c r="J823" s="341">
        <f>J824+J828+J827</f>
        <v>2020786</v>
      </c>
    </row>
    <row r="824" spans="1:10" ht="47.25">
      <c r="A824" s="41" t="str">
        <f>IF(B824&gt;0,VLOOKUP(B824,КВСР!A669:B1834,2),IF(C824&gt;0,VLOOKUP(C824,КФСР!A669:B2181,2),IF(D824&gt;0,VLOOKUP(D824,Программа!A$1:B$5063,2),IF(F824&gt;0,VLOOKUP(F824,КВР!A$1:B$5001,2),IF(E824&gt;0,VLOOKUP(E824,Направление!A$1:B$4755,2))))))</f>
        <v>Мероприятия по повышению энергоэффективности и энергосбережению</v>
      </c>
      <c r="B824" s="79"/>
      <c r="C824" s="80"/>
      <c r="D824" s="81"/>
      <c r="E824" s="82">
        <v>10400</v>
      </c>
      <c r="F824" s="81"/>
      <c r="G824" s="341">
        <v>1138180.18</v>
      </c>
      <c r="H824" s="341">
        <f>H825</f>
        <v>-132195</v>
      </c>
      <c r="I824" s="42">
        <f t="shared" si="276"/>
        <v>1005985.1799999999</v>
      </c>
      <c r="J824" s="341">
        <f>J825</f>
        <v>867805</v>
      </c>
    </row>
    <row r="825" spans="1:10" ht="63">
      <c r="A825" s="41" t="str">
        <f>IF(B825&gt;0,VLOOKUP(B825,КВСР!A670:B1835,2),IF(C825&gt;0,VLOOKUP(C825,КФСР!A670:B2182,2),IF(D825&gt;0,VLOOKUP(D825,Программа!A$1:B$5063,2),IF(F825&gt;0,VLOOKUP(F825,КВР!A$1:B$5001,2),IF(E825&gt;0,VLOOKUP(E825,Направление!A$1:B$4755,2))))))</f>
        <v>Предоставление субсидий бюджетным, автономным учреждениям и иным некоммерческим организациям</v>
      </c>
      <c r="B825" s="79"/>
      <c r="C825" s="80"/>
      <c r="D825" s="81"/>
      <c r="E825" s="82"/>
      <c r="F825" s="81">
        <v>600</v>
      </c>
      <c r="G825" s="341">
        <v>1138180.18</v>
      </c>
      <c r="H825" s="599">
        <v>-132195</v>
      </c>
      <c r="I825" s="42">
        <f t="shared" si="276"/>
        <v>1005985.1799999999</v>
      </c>
      <c r="J825" s="599">
        <v>867805</v>
      </c>
    </row>
    <row r="826" spans="1:10" ht="31.5">
      <c r="A826" s="41" t="str">
        <f>IF(B826&gt;0,VLOOKUP(B826,КВСР!A670:B1835,2),IF(C826&gt;0,VLOOKUP(C826,КФСР!A670:B2182,2),IF(D826&gt;0,VLOOKUP(D826,Программа!A$1:B$5063,2),IF(F826&gt;0,VLOOKUP(F826,КВР!A$1:B$5001,2),IF(E826&gt;0,VLOOKUP(E826,Направление!A$1:B$4755,2))))))</f>
        <v>Обеспечение мероприятий по актуализации схем теплоснабжения</v>
      </c>
      <c r="B826" s="79"/>
      <c r="C826" s="80"/>
      <c r="D826" s="81"/>
      <c r="E826" s="82">
        <v>29536</v>
      </c>
      <c r="G826" s="341">
        <v>600000</v>
      </c>
      <c r="H826" s="341">
        <f>H827</f>
        <v>-319452</v>
      </c>
      <c r="I826" s="42">
        <f t="shared" si="276"/>
        <v>280548</v>
      </c>
      <c r="J826" s="341">
        <f>J827</f>
        <v>280548</v>
      </c>
    </row>
    <row r="827" spans="1:10" ht="63">
      <c r="A827" s="41" t="str">
        <f>IF(B827&gt;0,VLOOKUP(B827,КВСР!A671:B1836,2),IF(C827&gt;0,VLOOKUP(C827,КФСР!A671:B2183,2),IF(D827&gt;0,VLOOKUP(D827,Программа!A$1:B$5063,2),IF(F827&gt;0,VLOOKUP(F827,КВР!A$1:B$5001,2),IF(E827&gt;0,VLOOKUP(E827,Направление!A$1:B$4755,2))))))</f>
        <v>Предоставление субсидий бюджетным, автономным учреждениям и иным некоммерческим организациям</v>
      </c>
      <c r="B827" s="79"/>
      <c r="C827" s="80"/>
      <c r="D827" s="81"/>
      <c r="E827" s="82"/>
      <c r="F827" s="81">
        <v>600</v>
      </c>
      <c r="G827" s="341">
        <v>600000</v>
      </c>
      <c r="H827" s="599">
        <v>-319452</v>
      </c>
      <c r="I827" s="42">
        <f t="shared" si="276"/>
        <v>280548</v>
      </c>
      <c r="J827" s="599">
        <v>280548</v>
      </c>
    </row>
    <row r="828" spans="1:10" ht="63">
      <c r="A828" s="41" t="str">
        <f>IF(B828&gt;0,VLOOKUP(B828,КВСР!A672:B1837,2),IF(C828&gt;0,VLOOKUP(C828,КФСР!A672:B2184,2),IF(D828&gt;0,VLOOKUP(D828,Программа!A$1:B$5063,2),IF(F828&gt;0,VLOOKUP(F828,КВР!A$1:B$5001,2),IF(E828&gt;0,VLOOKUP(E828,Направление!A$1:B$4755,2))))))</f>
        <v>Расходы на мероприятия по повышению энергоэффективности и энергосбережению (кредиторская задолженность 2015 года)</v>
      </c>
      <c r="B828" s="79"/>
      <c r="C828" s="80"/>
      <c r="D828" s="81"/>
      <c r="E828" s="82">
        <v>73260</v>
      </c>
      <c r="G828" s="341">
        <v>872433</v>
      </c>
      <c r="H828" s="341">
        <f>H829</f>
        <v>0</v>
      </c>
      <c r="I828" s="42">
        <f t="shared" si="276"/>
        <v>872433</v>
      </c>
      <c r="J828" s="341">
        <f>J829</f>
        <v>872433</v>
      </c>
    </row>
    <row r="829" spans="1:10" ht="63">
      <c r="A829" s="41" t="str">
        <f>IF(B829&gt;0,VLOOKUP(B829,КВСР!A674:B1839,2),IF(C829&gt;0,VLOOKUP(C829,КФСР!A674:B2186,2),IF(D829&gt;0,VLOOKUP(D829,Программа!A$1:B$5063,2),IF(F829&gt;0,VLOOKUP(F829,КВР!A$1:B$5001,2),IF(E829&gt;0,VLOOKUP(E829,Направление!A$1:B$4755,2))))))</f>
        <v>Предоставление субсидий бюджетным, автономным учреждениям и иным некоммерческим организациям</v>
      </c>
      <c r="B829" s="79"/>
      <c r="C829" s="80"/>
      <c r="D829" s="81"/>
      <c r="E829" s="82"/>
      <c r="F829" s="81">
        <v>600</v>
      </c>
      <c r="G829" s="341">
        <v>872433</v>
      </c>
      <c r="H829" s="337"/>
      <c r="I829" s="42">
        <f t="shared" si="276"/>
        <v>872433</v>
      </c>
      <c r="J829" s="337">
        <v>872433</v>
      </c>
    </row>
    <row r="830" spans="1:10">
      <c r="A830" s="41" t="str">
        <f>IF(B830&gt;0,VLOOKUP(B830,КВСР!A675:B1840,2),IF(C830&gt;0,VLOOKUP(C830,КФСР!A675:B2187,2),IF(D830&gt;0,VLOOKUP(D830,Программа!A$1:B$5063,2),IF(F830&gt;0,VLOOKUP(F830,КВР!A$1:B$5001,2),IF(E830&gt;0,VLOOKUP(E830,Направление!A$1:B$4755,2))))))</f>
        <v>Сельское хозяйство и рыболовство</v>
      </c>
      <c r="B830" s="79"/>
      <c r="C830" s="80">
        <v>405</v>
      </c>
      <c r="D830" s="81"/>
      <c r="E830" s="82"/>
      <c r="F830" s="81"/>
      <c r="G830" s="341">
        <v>826050</v>
      </c>
      <c r="H830" s="341">
        <f t="shared" ref="H830:J832" si="288">H831</f>
        <v>-275350</v>
      </c>
      <c r="I830" s="42">
        <f t="shared" si="276"/>
        <v>550700</v>
      </c>
      <c r="J830" s="341">
        <f t="shared" si="288"/>
        <v>549708</v>
      </c>
    </row>
    <row r="831" spans="1:10">
      <c r="A831" s="41" t="str">
        <f>IF(B831&gt;0,VLOOKUP(B831,КВСР!A676:B1841,2),IF(C831&gt;0,VLOOKUP(C831,КФСР!A676:B2188,2),IF(D831&gt;0,VLOOKUP(D831,Программа!A$1:B$5063,2),IF(F831&gt;0,VLOOKUP(F831,КВР!A$1:B$5001,2),IF(E831&gt;0,VLOOKUP(E831,Направление!A$1:B$4755,2))))))</f>
        <v>Непрограммные расходы бюджета</v>
      </c>
      <c r="B831" s="79"/>
      <c r="C831" s="80"/>
      <c r="D831" s="81" t="s">
        <v>2808</v>
      </c>
      <c r="E831" s="608"/>
      <c r="F831" s="81"/>
      <c r="G831" s="341">
        <v>826050</v>
      </c>
      <c r="H831" s="341">
        <f t="shared" si="288"/>
        <v>-275350</v>
      </c>
      <c r="I831" s="42">
        <f t="shared" si="276"/>
        <v>550700</v>
      </c>
      <c r="J831" s="341">
        <f t="shared" si="288"/>
        <v>549708</v>
      </c>
    </row>
    <row r="832" spans="1:10" ht="31.5">
      <c r="A832" s="41" t="str">
        <f>IF(B832&gt;0,VLOOKUP(B832,КВСР!A677:B1842,2),IF(C832&gt;0,VLOOKUP(C832,КФСР!A677:B2189,2),IF(D832&gt;0,VLOOKUP(D832,Программа!A$1:B$5063,2),IF(F832&gt;0,VLOOKUP(F832,КВР!A$1:B$5001,2),IF(E832&gt;0,VLOOKUP(E832,Направление!A$1:B$4755,2))))))</f>
        <v>Субвенция на отлов и содержание безнадзорных животных</v>
      </c>
      <c r="B832" s="79"/>
      <c r="C832" s="80"/>
      <c r="D832" s="81"/>
      <c r="E832" s="82">
        <v>74420</v>
      </c>
      <c r="F832" s="81"/>
      <c r="G832" s="341">
        <v>826050</v>
      </c>
      <c r="H832" s="341">
        <f t="shared" si="288"/>
        <v>-275350</v>
      </c>
      <c r="I832" s="42">
        <f t="shared" si="276"/>
        <v>550700</v>
      </c>
      <c r="J832" s="341">
        <f t="shared" si="288"/>
        <v>549708</v>
      </c>
    </row>
    <row r="833" spans="1:10" ht="31.5">
      <c r="A833" s="41" t="str">
        <f>IF(B833&gt;0,VLOOKUP(B833,КВСР!A678:B1843,2),IF(C833&gt;0,VLOOKUP(C833,КФСР!A678:B2190,2),IF(D833&gt;0,VLOOKUP(D833,Программа!A$1:B$5063,2),IF(F833&gt;0,VLOOKUP(F833,КВР!A$1:B$5001,2),IF(E833&gt;0,VLOOKUP(E833,Направление!A$1:B$4755,2))))))</f>
        <v>Закупка товаров, работ и услуг для государственных нужд</v>
      </c>
      <c r="B833" s="79"/>
      <c r="C833" s="80"/>
      <c r="D833" s="81"/>
      <c r="E833" s="82"/>
      <c r="F833" s="81">
        <v>200</v>
      </c>
      <c r="G833" s="341">
        <v>826050</v>
      </c>
      <c r="H833" s="337">
        <v>-275350</v>
      </c>
      <c r="I833" s="42">
        <f t="shared" si="276"/>
        <v>550700</v>
      </c>
      <c r="J833" s="337">
        <v>549708</v>
      </c>
    </row>
    <row r="834" spans="1:10">
      <c r="A834" s="41" t="str">
        <f>IF(B834&gt;0,VLOOKUP(B834,КВСР!A679:B1844,2),IF(C834&gt;0,VLOOKUP(C834,КФСР!A679:B2191,2),IF(D834&gt;0,VLOOKUP(D834,Программа!A$1:B$5063,2),IF(F834&gt;0,VLOOKUP(F834,КВР!A$1:B$5001,2),IF(E834&gt;0,VLOOKUP(E834,Направление!A$1:B$4755,2))))))</f>
        <v>Транспорт</v>
      </c>
      <c r="B834" s="79"/>
      <c r="C834" s="80">
        <v>408</v>
      </c>
      <c r="D834" s="69"/>
      <c r="E834" s="82"/>
      <c r="F834" s="81"/>
      <c r="G834" s="42">
        <v>26683000</v>
      </c>
      <c r="H834" s="42">
        <f>H835</f>
        <v>0</v>
      </c>
      <c r="I834" s="42">
        <f t="shared" si="276"/>
        <v>26683000</v>
      </c>
      <c r="J834" s="42">
        <f>J835</f>
        <v>21375053</v>
      </c>
    </row>
    <row r="835" spans="1:10" ht="84" customHeight="1">
      <c r="A835" s="41" t="str">
        <f>IF(B835&gt;0,VLOOKUP(B835,КВСР!A680:B1845,2),IF(C835&gt;0,VLOOKUP(C835,КФСР!A680:B2192,2),IF(D835&gt;0,VLOOKUP(D835,Программа!A$1:B$5063,2),IF(F835&gt;0,VLOOKUP(F835,КВР!A$1:B$5001,2),IF(E835&gt;0,VLOOKUP(E835,Направление!A$1:B$4755,2))))))</f>
        <v>Муниципальная программа  "Организация перевозок автомобильным и речным транспортом на территории Тутаевского муниципального района"</v>
      </c>
      <c r="B835" s="83"/>
      <c r="C835" s="80"/>
      <c r="D835" s="69" t="s">
        <v>2866</v>
      </c>
      <c r="E835" s="82"/>
      <c r="F835" s="81"/>
      <c r="G835" s="42">
        <v>26683000</v>
      </c>
      <c r="H835" s="42">
        <f>H836+H839+H842+H847</f>
        <v>0</v>
      </c>
      <c r="I835" s="42">
        <f>I836+I839+I842+I847</f>
        <v>26683000</v>
      </c>
      <c r="J835" s="42">
        <f>J836+J839+J842+J847</f>
        <v>21375053</v>
      </c>
    </row>
    <row r="836" spans="1:10" ht="94.5" hidden="1">
      <c r="A836" s="41" t="str">
        <f>IF(B836&gt;0,VLOOKUP(B836,КВСР!A681:B1846,2),IF(C836&gt;0,VLOOKUP(C836,КФСР!A681:B2193,2),IF(D836&gt;0,VLOOKUP(D836,Программа!A$1:B$5063,2),IF(F836&gt;0,VLOOKUP(F836,КВР!A$1:B$5001,2),IF(E836&gt;0,VLOOKUP(E836,Направление!A$1:B$4755,2))))))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836" s="83"/>
      <c r="C836" s="80"/>
      <c r="D836" s="69" t="s">
        <v>2867</v>
      </c>
      <c r="E836" s="82"/>
      <c r="F836" s="81"/>
      <c r="G836" s="42">
        <v>0</v>
      </c>
      <c r="H836" s="42">
        <f t="shared" ref="H836:J837" si="289">H837</f>
        <v>0</v>
      </c>
      <c r="I836" s="42">
        <f t="shared" si="276"/>
        <v>0</v>
      </c>
      <c r="J836" s="42">
        <f t="shared" si="289"/>
        <v>0</v>
      </c>
    </row>
    <row r="837" spans="1:10" ht="94.5" hidden="1">
      <c r="A837" s="41" t="str">
        <f>IF(B837&gt;0,VLOOKUP(B837,КВСР!A682:B1847,2),IF(C837&gt;0,VLOOKUP(C837,КФСР!A682:B2194,2),IF(D837&gt;0,VLOOKUP(D837,Программа!A$1:B$5063,2),IF(F837&gt;0,VLOOKUP(F837,КВР!A$1:B$5001,2),IF(E837&gt;0,VLOOKUP(E837,Направление!A$1:B$4755,2))))))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837" s="83"/>
      <c r="C837" s="80"/>
      <c r="D837" s="69"/>
      <c r="E837" s="82">
        <v>72550</v>
      </c>
      <c r="F837" s="81"/>
      <c r="G837" s="42">
        <v>0</v>
      </c>
      <c r="H837" s="42">
        <f t="shared" si="289"/>
        <v>0</v>
      </c>
      <c r="I837" s="42">
        <f t="shared" si="276"/>
        <v>0</v>
      </c>
      <c r="J837" s="42">
        <f t="shared" si="289"/>
        <v>0</v>
      </c>
    </row>
    <row r="838" spans="1:10" hidden="1">
      <c r="A838" s="41" t="str">
        <f>IF(B838&gt;0,VLOOKUP(B838,КВСР!A683:B1848,2),IF(C838&gt;0,VLOOKUP(C838,КФСР!A683:B2195,2),IF(D838&gt;0,VLOOKUP(D838,Программа!A$1:B$5063,2),IF(F838&gt;0,VLOOKUP(F838,КВР!A$1:B$5001,2),IF(E838&gt;0,VLOOKUP(E838,Направление!A$1:B$4755,2))))))</f>
        <v>Иные бюджетные ассигнования</v>
      </c>
      <c r="B838" s="79"/>
      <c r="C838" s="80"/>
      <c r="D838" s="81"/>
      <c r="E838" s="82"/>
      <c r="F838" s="81">
        <v>800</v>
      </c>
      <c r="G838" s="341">
        <v>0</v>
      </c>
      <c r="H838" s="337"/>
      <c r="I838" s="42">
        <f t="shared" si="276"/>
        <v>0</v>
      </c>
      <c r="J838" s="337"/>
    </row>
    <row r="839" spans="1:10" ht="94.5" hidden="1">
      <c r="A839" s="41" t="str">
        <f>IF(B839&gt;0,VLOOKUP(B839,КВСР!A684:B1849,2),IF(C839&gt;0,VLOOKUP(C839,КФСР!A684:B2196,2),IF(D839&gt;0,VLOOKUP(D839,Программа!A$1:B$5063,2),IF(F839&gt;0,VLOOKUP(F839,КВР!A$1:B$5001,2),IF(E839&gt;0,VLOOKUP(E839,Направление!A$1:B$4755,2))))))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839" s="79"/>
      <c r="C839" s="80"/>
      <c r="D839" s="69" t="s">
        <v>2868</v>
      </c>
      <c r="E839" s="82"/>
      <c r="F839" s="81"/>
      <c r="G839" s="341">
        <v>0</v>
      </c>
      <c r="H839" s="341">
        <f t="shared" ref="H839:J840" si="290">H840</f>
        <v>0</v>
      </c>
      <c r="I839" s="42">
        <f t="shared" si="276"/>
        <v>0</v>
      </c>
      <c r="J839" s="341">
        <f t="shared" si="290"/>
        <v>0</v>
      </c>
    </row>
    <row r="840" spans="1:10" ht="78.75" hidden="1">
      <c r="A840" s="41" t="str">
        <f>IF(B840&gt;0,VLOOKUP(B840,КВСР!A685:B1850,2),IF(C840&gt;0,VLOOKUP(C840,КФСР!A685:B2197,2),IF(D840&gt;0,VLOOKUP(D840,Программа!A$1:B$5063,2),IF(F840&gt;0,VLOOKUP(F840,КВР!A$1:B$5001,2),IF(E840&gt;0,VLOOKUP(E840,Направление!A$1:B$4755,2))))))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840" s="79"/>
      <c r="C840" s="80"/>
      <c r="D840" s="81"/>
      <c r="E840" s="82">
        <v>72560</v>
      </c>
      <c r="F840" s="81"/>
      <c r="G840" s="341">
        <v>0</v>
      </c>
      <c r="H840" s="341">
        <f t="shared" si="290"/>
        <v>0</v>
      </c>
      <c r="I840" s="42">
        <f t="shared" si="276"/>
        <v>0</v>
      </c>
      <c r="J840" s="341">
        <f t="shared" si="290"/>
        <v>0</v>
      </c>
    </row>
    <row r="841" spans="1:10" hidden="1">
      <c r="A841" s="41" t="str">
        <f>IF(B841&gt;0,VLOOKUP(B841,КВСР!A686:B1851,2),IF(C841&gt;0,VLOOKUP(C841,КФСР!A686:B2198,2),IF(D841&gt;0,VLOOKUP(D841,Программа!A$1:B$5063,2),IF(F841&gt;0,VLOOKUP(F841,КВР!A$1:B$5001,2),IF(E841&gt;0,VLOOKUP(E841,Направление!A$1:B$4755,2))))))</f>
        <v>Иные бюджетные ассигнования</v>
      </c>
      <c r="B841" s="79"/>
      <c r="C841" s="80"/>
      <c r="D841" s="81"/>
      <c r="E841" s="82"/>
      <c r="F841" s="81">
        <v>800</v>
      </c>
      <c r="G841" s="341">
        <v>0</v>
      </c>
      <c r="H841" s="337"/>
      <c r="I841" s="42">
        <f t="shared" si="276"/>
        <v>0</v>
      </c>
      <c r="J841" s="337"/>
    </row>
    <row r="842" spans="1:10" ht="78.75">
      <c r="A842" s="41" t="str">
        <f>IF(B842&gt;0,VLOOKUP(B842,КВСР!A687:B1852,2),IF(C842&gt;0,VLOOKUP(C842,КФСР!A687:B2199,2),IF(D842&gt;0,VLOOKUP(D842,Программа!A$1:B$5063,2),IF(F842&gt;0,VLOOKUP(F842,КВР!A$1:B$5001,2),IF(E842&gt;0,VLOOKUP(E842,Направление!A$1:B$4755,2))))))</f>
        <v>Организация предоставления транспортных услуг по перевозке пассажиров автомобильным транспортом, транспортом общего пользования</v>
      </c>
      <c r="B842" s="79"/>
      <c r="C842" s="80"/>
      <c r="D842" s="69" t="s">
        <v>2869</v>
      </c>
      <c r="E842" s="82"/>
      <c r="F842" s="81"/>
      <c r="G842" s="341">
        <v>19510000</v>
      </c>
      <c r="H842" s="341">
        <f>H843+H845</f>
        <v>0</v>
      </c>
      <c r="I842" s="42">
        <f t="shared" si="276"/>
        <v>19510000</v>
      </c>
      <c r="J842" s="341">
        <f>J843+J845</f>
        <v>16593453</v>
      </c>
    </row>
    <row r="843" spans="1:10" ht="79.5" customHeight="1">
      <c r="A843" s="41" t="str">
        <f>IF(B843&gt;0,VLOOKUP(B843,КВСР!A688:B1853,2),IF(C843&gt;0,VLOOKUP(C843,КФСР!A688:B2200,2),IF(D843&gt;0,VLOOKUP(D843,Программа!A$1:B$5063,2),IF(F843&gt;0,VLOOKUP(F843,КВР!A$1:B$5001,2),IF(E843&gt;0,VLOOKUP(E843,Направление!A$1:B$4755,2))))))</f>
        <v>Субсидия организациям автомобильного транспорта на возмещение затрат по пассажирским перевозкам внутримуниципальным транспортом общего пользования</v>
      </c>
      <c r="B843" s="79"/>
      <c r="C843" s="80"/>
      <c r="D843" s="69"/>
      <c r="E843" s="82">
        <v>10100</v>
      </c>
      <c r="F843" s="81"/>
      <c r="G843" s="341">
        <v>19000000</v>
      </c>
      <c r="H843" s="341">
        <f t="shared" ref="H843:J843" si="291">H844</f>
        <v>0</v>
      </c>
      <c r="I843" s="42">
        <f t="shared" si="276"/>
        <v>19000000</v>
      </c>
      <c r="J843" s="341">
        <f t="shared" si="291"/>
        <v>16304503</v>
      </c>
    </row>
    <row r="844" spans="1:10">
      <c r="A844" s="41" t="str">
        <f>IF(B844&gt;0,VLOOKUP(B844,КВСР!A689:B1854,2),IF(C844&gt;0,VLOOKUP(C844,КФСР!A689:B2201,2),IF(D844&gt;0,VLOOKUP(D844,Программа!A$1:B$5063,2),IF(F844&gt;0,VLOOKUP(F844,КВР!A$1:B$5001,2),IF(E844&gt;0,VLOOKUP(E844,Направление!A$1:B$4755,2))))))</f>
        <v>Иные бюджетные ассигнования</v>
      </c>
      <c r="B844" s="79"/>
      <c r="C844" s="80"/>
      <c r="D844" s="69"/>
      <c r="E844" s="82"/>
      <c r="F844" s="81">
        <v>800</v>
      </c>
      <c r="G844" s="341">
        <v>19000000</v>
      </c>
      <c r="H844" s="337"/>
      <c r="I844" s="42">
        <f t="shared" si="276"/>
        <v>19000000</v>
      </c>
      <c r="J844" s="337">
        <v>16304503</v>
      </c>
    </row>
    <row r="845" spans="1:10" ht="63">
      <c r="A845" s="41" t="str">
        <f>IF(B845&gt;0,VLOOKUP(B845,КВСР!A690:B1855,2),IF(C845&gt;0,VLOOKUP(C845,КФСР!A690:B2202,2),IF(D845&gt;0,VLOOKUP(D845,Программа!A$1:B$5063,2),IF(F845&gt;0,VLOOKUP(F845,КВР!A$1:B$5001,2),IF(E845&gt;0,VLOOKUP(E845,Направление!A$1:B$4755,2))))))</f>
        <v>Обеспечение мероприятий по осуществлению пасажирских  перевозок на автомобильном  транспорте</v>
      </c>
      <c r="B845" s="79"/>
      <c r="C845" s="80"/>
      <c r="D845" s="69"/>
      <c r="E845" s="82">
        <v>29176</v>
      </c>
      <c r="F845" s="81"/>
      <c r="G845" s="341">
        <v>510000</v>
      </c>
      <c r="H845" s="341">
        <f>H846</f>
        <v>0</v>
      </c>
      <c r="I845" s="42">
        <f t="shared" si="276"/>
        <v>510000</v>
      </c>
      <c r="J845" s="341">
        <f>J846</f>
        <v>288950</v>
      </c>
    </row>
    <row r="846" spans="1:10">
      <c r="A846" s="41" t="str">
        <f>IF(B846&gt;0,VLOOKUP(B846,КВСР!A691:B1856,2),IF(C846&gt;0,VLOOKUP(C846,КФСР!A691:B2203,2),IF(D846&gt;0,VLOOKUP(D846,Программа!A$1:B$5063,2),IF(F846&gt;0,VLOOKUP(F846,КВР!A$1:B$5001,2),IF(E846&gt;0,VLOOKUP(E846,Направление!A$1:B$4755,2))))))</f>
        <v>Иные бюджетные ассигнования</v>
      </c>
      <c r="B846" s="79"/>
      <c r="C846" s="80"/>
      <c r="D846" s="69"/>
      <c r="E846" s="82"/>
      <c r="F846" s="81">
        <v>800</v>
      </c>
      <c r="G846" s="341">
        <v>510000</v>
      </c>
      <c r="H846" s="337"/>
      <c r="I846" s="42">
        <f t="shared" si="276"/>
        <v>510000</v>
      </c>
      <c r="J846" s="337">
        <v>288950</v>
      </c>
    </row>
    <row r="847" spans="1:10" s="533" customFormat="1" ht="51.6" customHeight="1">
      <c r="A847" s="41" t="str">
        <f>IF(B847&gt;0,VLOOKUP(B847,КВСР!A692:B1857,2),IF(C847&gt;0,VLOOKUP(C847,КФСР!A692:B2204,2),IF(D847&gt;0,VLOOKUP(D847,Программа!A$1:B$5063,2),IF(F847&gt;0,VLOOKUP(F847,КВР!A$1:B$5001,2),IF(E847&gt;0,VLOOKUP(E847,Направление!A$1:B$4755,2))))))</f>
        <v>Обеспечение мероприятий по осуществлению грузопассажирских перевозок на речном транспорте</v>
      </c>
      <c r="B847" s="79"/>
      <c r="C847" s="89"/>
      <c r="D847" s="396" t="s">
        <v>3022</v>
      </c>
      <c r="E847" s="88"/>
      <c r="F847" s="90"/>
      <c r="G847" s="341">
        <v>7173000</v>
      </c>
      <c r="H847" s="341">
        <f>H848</f>
        <v>0</v>
      </c>
      <c r="I847" s="42">
        <f t="shared" si="276"/>
        <v>7173000</v>
      </c>
      <c r="J847" s="341">
        <f>J848</f>
        <v>4781600</v>
      </c>
    </row>
    <row r="848" spans="1:10" ht="47.25">
      <c r="A848" s="41" t="str">
        <f>IF(B848&gt;0,VLOOKUP(B848,КВСР!A693:B1858,2),IF(C848&gt;0,VLOOKUP(C848,КФСР!A693:B2205,2),IF(D848&gt;0,VLOOKUP(D848,Программа!A$1:B$5063,2),IF(F848&gt;0,VLOOKUP(F848,КВР!A$1:B$5001,2),IF(E848&gt;0,VLOOKUP(E848,Направление!A$1:B$4755,2))))))</f>
        <v>Обеспечение мероприятий по осуществлению грузопассажирских  перевозок на речном транспорте</v>
      </c>
      <c r="B848" s="79"/>
      <c r="C848" s="80"/>
      <c r="D848" s="69"/>
      <c r="E848" s="82">
        <v>29166</v>
      </c>
      <c r="F848" s="81"/>
      <c r="G848" s="341">
        <v>7173000</v>
      </c>
      <c r="H848" s="341">
        <f>H849</f>
        <v>0</v>
      </c>
      <c r="I848" s="42">
        <f t="shared" si="276"/>
        <v>7173000</v>
      </c>
      <c r="J848" s="341">
        <f>J849</f>
        <v>4781600</v>
      </c>
    </row>
    <row r="849" spans="1:10">
      <c r="A849" s="41" t="str">
        <f>IF(B849&gt;0,VLOOKUP(B849,КВСР!A694:B1859,2),IF(C849&gt;0,VLOOKUP(C849,КФСР!A694:B2206,2),IF(D849&gt;0,VLOOKUP(D849,Программа!A$1:B$5063,2),IF(F849&gt;0,VLOOKUP(F849,КВР!A$1:B$5001,2),IF(E849&gt;0,VLOOKUP(E849,Направление!A$1:B$4755,2))))))</f>
        <v>Иные бюджетные ассигнования</v>
      </c>
      <c r="B849" s="79"/>
      <c r="C849" s="80"/>
      <c r="D849" s="69"/>
      <c r="E849" s="82"/>
      <c r="F849" s="81">
        <v>800</v>
      </c>
      <c r="G849" s="341">
        <v>7173000</v>
      </c>
      <c r="H849" s="337"/>
      <c r="I849" s="42">
        <f t="shared" si="276"/>
        <v>7173000</v>
      </c>
      <c r="J849" s="337">
        <v>4781600</v>
      </c>
    </row>
    <row r="850" spans="1:10">
      <c r="A850" s="41" t="str">
        <f>IF(B850&gt;0,VLOOKUP(B850,КВСР!A695:B1860,2),IF(C850&gt;0,VLOOKUP(C850,КФСР!A695:B2207,2),IF(D850&gt;0,VLOOKUP(D850,Программа!A$1:B$5063,2),IF(F850&gt;0,VLOOKUP(F850,КВР!A$1:B$5001,2),IF(E850&gt;0,VLOOKUP(E850,Направление!A$1:B$4755,2))))))</f>
        <v>Дорожное хозяйство</v>
      </c>
      <c r="B850" s="79"/>
      <c r="C850" s="80">
        <v>409</v>
      </c>
      <c r="D850" s="69"/>
      <c r="E850" s="82"/>
      <c r="F850" s="81"/>
      <c r="G850" s="42">
        <v>159563542</v>
      </c>
      <c r="H850" s="42">
        <f t="shared" ref="H850:J850" si="292">H851+H885</f>
        <v>-1203394</v>
      </c>
      <c r="I850" s="42">
        <f t="shared" si="276"/>
        <v>158360148</v>
      </c>
      <c r="J850" s="42">
        <f t="shared" si="292"/>
        <v>118482571</v>
      </c>
    </row>
    <row r="851" spans="1:10" ht="54.75" customHeight="1">
      <c r="A851" s="41" t="str">
        <f>IF(B851&gt;0,VLOOKUP(B851,КВСР!A696:B1861,2),IF(C851&gt;0,VLOOKUP(C851,КФСР!A696:B2208,2),IF(D851&gt;0,VLOOKUP(D851,Программа!A$1:B$5063,2),IF(F851&gt;0,VLOOKUP(F851,КВР!A$1:B$5001,2),IF(E851&gt;0,VLOOKUP(E851,Направление!A$1:B$4755,2))))))</f>
        <v>Муниципальная программа "Развитие дорожного хозяйства и транспорта в Тутаевском муниципальном районе"</v>
      </c>
      <c r="B851" s="79"/>
      <c r="C851" s="80"/>
      <c r="D851" s="69" t="s">
        <v>2777</v>
      </c>
      <c r="E851" s="82"/>
      <c r="F851" s="81"/>
      <c r="G851" s="42">
        <v>111434796</v>
      </c>
      <c r="H851" s="42">
        <f>H852+H860</f>
        <v>-1203394</v>
      </c>
      <c r="I851" s="42">
        <f t="shared" si="276"/>
        <v>110231402</v>
      </c>
      <c r="J851" s="42">
        <f>J852+J860</f>
        <v>82341733</v>
      </c>
    </row>
    <row r="852" spans="1:10" ht="65.25" customHeight="1">
      <c r="A852" s="41" t="str">
        <f>IF(B852&gt;0,VLOOKUP(B852,КВСР!A697:B1862,2),IF(C852&gt;0,VLOOKUP(C852,КФСР!A697:B2209,2),IF(D852&gt;0,VLOOKUP(D852,Программа!A$1:B$5063,2),IF(F852&gt;0,VLOOKUP(F852,КВР!A$1:B$5001,2),IF(E852&gt;0,VLOOKUP(E852,Направление!A$1:B$4755,2))))))</f>
        <v>Муниципальная целевая программа «Повышение безопасности дорожного движения на территории Тутаевского муниципального района»</v>
      </c>
      <c r="B852" s="79"/>
      <c r="C852" s="80"/>
      <c r="D852" s="69" t="s">
        <v>2779</v>
      </c>
      <c r="E852" s="82"/>
      <c r="F852" s="81"/>
      <c r="G852" s="42">
        <v>4282855</v>
      </c>
      <c r="H852" s="42">
        <f t="shared" ref="H852:J854" si="293">H853</f>
        <v>0</v>
      </c>
      <c r="I852" s="42">
        <f t="shared" si="276"/>
        <v>4282855</v>
      </c>
      <c r="J852" s="42">
        <f t="shared" si="293"/>
        <v>3612625</v>
      </c>
    </row>
    <row r="853" spans="1:10" ht="34.5" customHeight="1">
      <c r="A853" s="41" t="str">
        <f>IF(B853&gt;0,VLOOKUP(B853,КВСР!A698:B1863,2),IF(C853&gt;0,VLOOKUP(C853,КФСР!A698:B2210,2),IF(D853&gt;0,VLOOKUP(D853,Программа!A$1:B$5063,2),IF(F853&gt;0,VLOOKUP(F853,КВР!A$1:B$5001,2),IF(E853&gt;0,VLOOKUP(E853,Направление!A$1:B$4755,2))))))</f>
        <v>Повышение безопасности дорожного движения на автомобильных дорогах</v>
      </c>
      <c r="B853" s="79"/>
      <c r="C853" s="80"/>
      <c r="D853" s="69" t="s">
        <v>2780</v>
      </c>
      <c r="E853" s="82"/>
      <c r="F853" s="81"/>
      <c r="G853" s="42">
        <v>4282855</v>
      </c>
      <c r="H853" s="42">
        <f>H854+H856+H858</f>
        <v>0</v>
      </c>
      <c r="I853" s="42">
        <f t="shared" si="276"/>
        <v>4282855</v>
      </c>
      <c r="J853" s="42">
        <f>J854+J856+J858</f>
        <v>3612625</v>
      </c>
    </row>
    <row r="854" spans="1:10" ht="38.25" hidden="1" customHeight="1">
      <c r="A854" s="41" t="str">
        <f>IF(B854&gt;0,VLOOKUP(B854,КВСР!A699:B1864,2),IF(C854&gt;0,VLOOKUP(C854,КФСР!A699:B2211,2),IF(D854&gt;0,VLOOKUP(D854,Программа!A$1:B$5063,2),IF(F854&gt;0,VLOOKUP(F854,КВР!A$1:B$5001,2),IF(E854&gt;0,VLOOKUP(E854,Направление!A$1:B$4755,2))))))</f>
        <v>Содержание и ремонт  автомобильных дорог общего пользования</v>
      </c>
      <c r="B854" s="79"/>
      <c r="C854" s="80"/>
      <c r="D854" s="69"/>
      <c r="E854" s="82">
        <v>10200</v>
      </c>
      <c r="F854" s="81"/>
      <c r="G854" s="42">
        <v>540000</v>
      </c>
      <c r="H854" s="42">
        <f t="shared" si="293"/>
        <v>0</v>
      </c>
      <c r="I854" s="42">
        <f t="shared" si="276"/>
        <v>540000</v>
      </c>
      <c r="J854" s="42">
        <f t="shared" si="293"/>
        <v>0</v>
      </c>
    </row>
    <row r="855" spans="1:10" ht="31.5" hidden="1">
      <c r="A855" s="41" t="str">
        <f>IF(B855&gt;0,VLOOKUP(B855,КВСР!A700:B1865,2),IF(C855&gt;0,VLOOKUP(C855,КФСР!A700:B2212,2),IF(D855&gt;0,VLOOKUP(D855,Программа!A$1:B$5063,2),IF(F855&gt;0,VLOOKUP(F855,КВР!A$1:B$5001,2),IF(E855&gt;0,VLOOKUP(E855,Направление!A$1:B$4755,2))))))</f>
        <v>Закупка товаров, работ и услуг для государственных нужд</v>
      </c>
      <c r="B855" s="79"/>
      <c r="C855" s="80"/>
      <c r="D855" s="81"/>
      <c r="E855" s="82"/>
      <c r="F855" s="81">
        <v>200</v>
      </c>
      <c r="G855" s="341">
        <v>540000</v>
      </c>
      <c r="H855" s="337"/>
      <c r="I855" s="42">
        <f t="shared" si="276"/>
        <v>540000</v>
      </c>
      <c r="J855" s="337">
        <v>0</v>
      </c>
    </row>
    <row r="856" spans="1:10" ht="54" customHeight="1">
      <c r="A856" s="41" t="str">
        <f>IF(B856&gt;0,VLOOKUP(B856,КВСР!A701:B1866,2),IF(C856&gt;0,VLOOKUP(C856,КФСР!A701:B2213,2),IF(D856&gt;0,VLOOKUP(D856,Программа!A$1:B$5063,2),IF(F856&gt;0,VLOOKUP(F856,КВР!A$1:B$5001,2),IF(E856&gt;0,VLOOKUP(E856,Направление!A$1:B$4755,2))))))</f>
        <v>Обеспечение   мероприятий в области  дорожного хозяйства  по повышению безопасности дорожного движения</v>
      </c>
      <c r="B856" s="79"/>
      <c r="C856" s="80"/>
      <c r="D856" s="81"/>
      <c r="E856" s="82">
        <v>29096</v>
      </c>
      <c r="F856" s="81"/>
      <c r="G856" s="341">
        <v>1942855</v>
      </c>
      <c r="H856" s="341">
        <f>H857</f>
        <v>0</v>
      </c>
      <c r="I856" s="42">
        <f t="shared" si="276"/>
        <v>1942855</v>
      </c>
      <c r="J856" s="341">
        <f>J857</f>
        <v>1812625</v>
      </c>
    </row>
    <row r="857" spans="1:10" ht="31.5">
      <c r="A857" s="41" t="str">
        <f>IF(B857&gt;0,VLOOKUP(B857,КВСР!A702:B1867,2),IF(C857&gt;0,VLOOKUP(C857,КФСР!A702:B2214,2),IF(D857&gt;0,VLOOKUP(D857,Программа!A$1:B$5063,2),IF(F857&gt;0,VLOOKUP(F857,КВР!A$1:B$5001,2),IF(E857&gt;0,VLOOKUP(E857,Направление!A$1:B$4755,2))))))</f>
        <v>Закупка товаров, работ и услуг для государственных нужд</v>
      </c>
      <c r="B857" s="79"/>
      <c r="C857" s="80"/>
      <c r="D857" s="81"/>
      <c r="E857" s="82"/>
      <c r="F857" s="81">
        <v>200</v>
      </c>
      <c r="G857" s="341">
        <v>1942855</v>
      </c>
      <c r="H857" s="337"/>
      <c r="I857" s="42">
        <f t="shared" si="276"/>
        <v>1942855</v>
      </c>
      <c r="J857" s="337">
        <v>1812625</v>
      </c>
    </row>
    <row r="858" spans="1:10" ht="54.75" customHeight="1">
      <c r="A858" s="41" t="str">
        <f>IF(B858&gt;0,VLOOKUP(B858,КВСР!A703:B1868,2),IF(C858&gt;0,VLOOKUP(C858,КФСР!A703:B2215,2),IF(D858&gt;0,VLOOKUP(D858,Программа!A$1:B$5063,2),IF(F858&gt;0,VLOOKUP(F858,КВР!A$1:B$5001,2),IF(E858&gt;0,VLOOKUP(E858,Направление!A$1:B$4755,2))))))</f>
        <v xml:space="preserve">Обеспечение мероприятий в области дорожного хозяйства по строительству светофорных объектов </v>
      </c>
      <c r="B858" s="79"/>
      <c r="C858" s="80"/>
      <c r="D858" s="81"/>
      <c r="E858" s="82">
        <v>29106</v>
      </c>
      <c r="F858" s="81"/>
      <c r="G858" s="341">
        <v>1800000</v>
      </c>
      <c r="H858" s="341">
        <f>H859</f>
        <v>0</v>
      </c>
      <c r="I858" s="42">
        <f t="shared" si="276"/>
        <v>1800000</v>
      </c>
      <c r="J858" s="341">
        <f>J859</f>
        <v>1800000</v>
      </c>
    </row>
    <row r="859" spans="1:10">
      <c r="A859" s="41" t="str">
        <f>IF(B859&gt;0,VLOOKUP(B859,КВСР!A704:B1869,2),IF(C859&gt;0,VLOOKUP(C859,КФСР!A704:B2216,2),IF(D859&gt;0,VLOOKUP(D859,Программа!A$1:B$5063,2),IF(F859&gt;0,VLOOKUP(F859,КВР!A$1:B$5001,2),IF(E859&gt;0,VLOOKUP(E859,Направление!A$1:B$4755,2))))))</f>
        <v>Бюджетные инвестиции</v>
      </c>
      <c r="B859" s="79"/>
      <c r="C859" s="80"/>
      <c r="D859" s="81"/>
      <c r="E859" s="82"/>
      <c r="F859" s="81">
        <v>400</v>
      </c>
      <c r="G859" s="341">
        <v>1800000</v>
      </c>
      <c r="H859" s="337"/>
      <c r="I859" s="42">
        <f t="shared" si="276"/>
        <v>1800000</v>
      </c>
      <c r="J859" s="337">
        <v>1800000</v>
      </c>
    </row>
    <row r="860" spans="1:10" ht="63">
      <c r="A860" s="41" t="str">
        <f>IF(B860&gt;0,VLOOKUP(B860,КВСР!A705:B1870,2),IF(C860&gt;0,VLOOKUP(C860,КФСР!A705:B2217,2),IF(D860&gt;0,VLOOKUP(D860,Программа!A$1:B$5063,2),IF(F860&gt;0,VLOOKUP(F860,КВР!A$1:B$5001,2),IF(E860&gt;0,VLOOKUP(E860,Направление!A$1:B$4755,2))))))</f>
        <v>Муниципальная целевая программа «Сохранность автомобильных дорог общего пользования Тутаевского муниципального района»</v>
      </c>
      <c r="B860" s="79"/>
      <c r="C860" s="80"/>
      <c r="D860" s="69" t="s">
        <v>2781</v>
      </c>
      <c r="E860" s="82"/>
      <c r="F860" s="81"/>
      <c r="G860" s="42">
        <v>107151941</v>
      </c>
      <c r="H860" s="42">
        <f t="shared" ref="H860:J860" si="294">H861</f>
        <v>-1203394</v>
      </c>
      <c r="I860" s="42">
        <f t="shared" si="276"/>
        <v>105948547</v>
      </c>
      <c r="J860" s="42">
        <f t="shared" si="294"/>
        <v>78729108</v>
      </c>
    </row>
    <row r="861" spans="1:10" ht="47.25">
      <c r="A861" s="41" t="str">
        <f>IF(B861&gt;0,VLOOKUP(B861,КВСР!A706:B1871,2),IF(C861&gt;0,VLOOKUP(C861,КФСР!A706:B2218,2),IF(D861&gt;0,VLOOKUP(D861,Программа!A$1:B$5063,2),IF(F861&gt;0,VLOOKUP(F861,КВР!A$1:B$5001,2),IF(E861&gt;0,VLOOKUP(E861,Направление!A$1:B$4755,2))))))</f>
        <v>Приведение  в нормативное состояние автомобильных дорог общего пользования</v>
      </c>
      <c r="B861" s="79"/>
      <c r="C861" s="80"/>
      <c r="D861" s="69" t="s">
        <v>2782</v>
      </c>
      <c r="E861" s="82"/>
      <c r="F861" s="81"/>
      <c r="G861" s="42">
        <v>107151941</v>
      </c>
      <c r="H861" s="42">
        <f>H862+H864+H866+H869+H873+H875+H877+H879+H883+H881+H871</f>
        <v>-1203394</v>
      </c>
      <c r="I861" s="42">
        <f>I862+I864+I866+I869+I873+I875+I877+I879+I883+I881+I871</f>
        <v>105948547</v>
      </c>
      <c r="J861" s="42">
        <f>J862+J864+J866+J869+J873+J875+J877+J879+J883+J881+J871</f>
        <v>78729108</v>
      </c>
    </row>
    <row r="862" spans="1:10" ht="47.25">
      <c r="A862" s="41" t="str">
        <f>IF(B862&gt;0,VLOOKUP(B862,КВСР!A707:B1872,2),IF(C862&gt;0,VLOOKUP(C862,КФСР!A707:B2219,2),IF(D862&gt;0,VLOOKUP(D862,Программа!A$1:B$5063,2),IF(F862&gt;0,VLOOKUP(F862,КВР!A$1:B$5001,2),IF(E862&gt;0,VLOOKUP(E862,Направление!A$1:B$4755,2))))))</f>
        <v>Содержание и ремонт  автомобильных дорог общего пользования</v>
      </c>
      <c r="B862" s="79"/>
      <c r="C862" s="80"/>
      <c r="D862" s="69"/>
      <c r="E862" s="82">
        <v>10200</v>
      </c>
      <c r="F862" s="81"/>
      <c r="G862" s="341">
        <v>19559898</v>
      </c>
      <c r="H862" s="341">
        <f t="shared" ref="H862:J862" si="295">H863</f>
        <v>0</v>
      </c>
      <c r="I862" s="42">
        <f t="shared" si="276"/>
        <v>19559898</v>
      </c>
      <c r="J862" s="341">
        <f t="shared" si="295"/>
        <v>9514003</v>
      </c>
    </row>
    <row r="863" spans="1:10" ht="31.5">
      <c r="A863" s="41" t="str">
        <f>IF(B863&gt;0,VLOOKUP(B863,КВСР!A708:B1873,2),IF(C863&gt;0,VLOOKUP(C863,КФСР!A708:B2220,2),IF(D863&gt;0,VLOOKUP(D863,Программа!A$1:B$5063,2),IF(F863&gt;0,VLOOKUP(F863,КВР!A$1:B$5001,2),IF(E863&gt;0,VLOOKUP(E863,Направление!A$1:B$4755,2))))))</f>
        <v>Закупка товаров, работ и услуг для государственных нужд</v>
      </c>
      <c r="B863" s="79"/>
      <c r="C863" s="80"/>
      <c r="D863" s="81"/>
      <c r="E863" s="82"/>
      <c r="F863" s="81">
        <v>200</v>
      </c>
      <c r="G863" s="341">
        <v>19559898</v>
      </c>
      <c r="H863" s="337"/>
      <c r="I863" s="42">
        <f t="shared" si="276"/>
        <v>19559898</v>
      </c>
      <c r="J863" s="337">
        <v>9514003</v>
      </c>
    </row>
    <row r="864" spans="1:10" ht="63">
      <c r="A864" s="41" t="str">
        <f>IF(B864&gt;0,VLOOKUP(B864,КВСР!A709:B1874,2),IF(C864&gt;0,VLOOKUP(C864,КФСР!A709:B2221,2),IF(D864&gt;0,VLOOKUP(D864,Программа!A$1:B$5063,2),IF(F864&gt;0,VLOOKUP(F864,КВР!A$1:B$5001,2),IF(E864&gt;0,VLOOKUP(E864,Направление!A$1:B$4755,2))))))</f>
        <v>Обеспечение   мероприятий в области  дорожного хозяйства  на строительство и  модернизацию автомобильных дорог</v>
      </c>
      <c r="B864" s="79"/>
      <c r="C864" s="80"/>
      <c r="D864" s="81"/>
      <c r="E864" s="82">
        <v>29076</v>
      </c>
      <c r="F864" s="81"/>
      <c r="G864" s="341">
        <v>1927088</v>
      </c>
      <c r="H864" s="341">
        <f>H865</f>
        <v>118536</v>
      </c>
      <c r="I864" s="42">
        <f t="shared" si="276"/>
        <v>2045624</v>
      </c>
      <c r="J864" s="341">
        <f>J865</f>
        <v>575623</v>
      </c>
    </row>
    <row r="865" spans="1:10">
      <c r="A865" s="41" t="str">
        <f>IF(B865&gt;0,VLOOKUP(B865,КВСР!A710:B1875,2),IF(C865&gt;0,VLOOKUP(C865,КФСР!A710:B2222,2),IF(D865&gt;0,VLOOKUP(D865,Программа!A$1:B$5063,2),IF(F865&gt;0,VLOOKUP(F865,КВР!A$1:B$5001,2),IF(E865&gt;0,VLOOKUP(E865,Направление!A$1:B$4755,2))))))</f>
        <v>Бюджетные инвестиции</v>
      </c>
      <c r="B865" s="79"/>
      <c r="C865" s="80"/>
      <c r="D865" s="81"/>
      <c r="E865" s="82"/>
      <c r="F865" s="81">
        <v>400</v>
      </c>
      <c r="G865" s="341">
        <v>1927088</v>
      </c>
      <c r="H865" s="337">
        <v>118536</v>
      </c>
      <c r="I865" s="42">
        <f t="shared" si="276"/>
        <v>2045624</v>
      </c>
      <c r="J865" s="337">
        <v>575623</v>
      </c>
    </row>
    <row r="866" spans="1:10" ht="63">
      <c r="A866" s="41" t="str">
        <f>IF(B866&gt;0,VLOOKUP(B866,КВСР!A711:B1876,2),IF(C866&gt;0,VLOOKUP(C866,КФСР!A711:B2223,2),IF(D866&gt;0,VLOOKUP(D866,Программа!A$1:B$5063,2),IF(F866&gt;0,VLOOKUP(F866,КВР!A$1:B$5001,2),IF(E866&gt;0,VLOOKUP(E866,Направление!A$1:B$4755,2))))))</f>
        <v>Обеспечение   мероприятий в области  дорожного хозяйства  на  ремонт и содержание автомобильных дорог</v>
      </c>
      <c r="B866" s="79"/>
      <c r="C866" s="80"/>
      <c r="D866" s="81"/>
      <c r="E866" s="82">
        <v>29086</v>
      </c>
      <c r="F866" s="81"/>
      <c r="G866" s="341">
        <v>26828286</v>
      </c>
      <c r="H866" s="341">
        <f>H867+H868</f>
        <v>-569187</v>
      </c>
      <c r="I866" s="42">
        <f t="shared" si="276"/>
        <v>26259099</v>
      </c>
      <c r="J866" s="341">
        <f>J867+J868</f>
        <v>23197528</v>
      </c>
    </row>
    <row r="867" spans="1:10" ht="31.5">
      <c r="A867" s="41" t="str">
        <f>IF(B867&gt;0,VLOOKUP(B867,КВСР!A712:B1877,2),IF(C867&gt;0,VLOOKUP(C867,КФСР!A712:B2224,2),IF(D867&gt;0,VLOOKUP(D867,Программа!A$1:B$5063,2),IF(F867&gt;0,VLOOKUP(F867,КВР!A$1:B$5001,2),IF(E867&gt;0,VLOOKUP(E867,Направление!A$1:B$4755,2))))))</f>
        <v>Закупка товаров, работ и услуг для государственных нужд</v>
      </c>
      <c r="B867" s="79"/>
      <c r="C867" s="80"/>
      <c r="D867" s="81"/>
      <c r="E867" s="82"/>
      <c r="F867" s="81">
        <v>200</v>
      </c>
      <c r="G867" s="341">
        <v>13153404</v>
      </c>
      <c r="H867" s="337">
        <v>-569187</v>
      </c>
      <c r="I867" s="42">
        <f t="shared" si="276"/>
        <v>12584217</v>
      </c>
      <c r="J867" s="337">
        <v>10440335</v>
      </c>
    </row>
    <row r="868" spans="1:10" ht="63">
      <c r="A868" s="41" t="str">
        <f>IF(B868&gt;0,VLOOKUP(B868,КВСР!A713:B1878,2),IF(C868&gt;0,VLOOKUP(C868,КФСР!A713:B2225,2),IF(D868&gt;0,VLOOKUP(D868,Программа!A$1:B$5063,2),IF(F868&gt;0,VLOOKUP(F868,КВР!A$1:B$5001,2),IF(E868&gt;0,VLOOKUP(E868,Направление!A$1:B$4755,2))))))</f>
        <v>Предоставление субсидий бюджетным, автономным учреждениям и иным некоммерческим организациям</v>
      </c>
      <c r="B868" s="79"/>
      <c r="C868" s="80"/>
      <c r="D868" s="81"/>
      <c r="E868" s="82"/>
      <c r="F868" s="81">
        <v>600</v>
      </c>
      <c r="G868" s="341">
        <v>13674882</v>
      </c>
      <c r="H868" s="337"/>
      <c r="I868" s="42">
        <f t="shared" si="276"/>
        <v>13674882</v>
      </c>
      <c r="J868" s="337">
        <v>12757193</v>
      </c>
    </row>
    <row r="869" spans="1:10" ht="47.25">
      <c r="A869" s="41" t="str">
        <f>IF(B869&gt;0,VLOOKUP(B869,КВСР!A714:B1879,2),IF(C869&gt;0,VLOOKUP(C869,КФСР!A714:B2226,2),IF(D869&gt;0,VLOOKUP(D869,Программа!A$1:B$5063,2),IF(F869&gt;0,VLOOKUP(F869,КВР!A$1:B$5001,2),IF(E869&gt;0,VLOOKUP(E869,Направление!A$1:B$4755,2))))))</f>
        <v xml:space="preserve">Обеспечение мероприятий в области дорожного хозяйства по ремонту дворовых территорий </v>
      </c>
      <c r="B869" s="79"/>
      <c r="C869" s="80"/>
      <c r="D869" s="81"/>
      <c r="E869" s="82">
        <v>29496</v>
      </c>
      <c r="F869" s="81"/>
      <c r="G869" s="341">
        <v>2518473</v>
      </c>
      <c r="H869" s="341">
        <f>H870</f>
        <v>-752743</v>
      </c>
      <c r="I869" s="42">
        <f t="shared" si="276"/>
        <v>1765730</v>
      </c>
      <c r="J869" s="341">
        <f>J870</f>
        <v>876995</v>
      </c>
    </row>
    <row r="870" spans="1:10" ht="31.5">
      <c r="A870" s="41" t="str">
        <f>IF(B870&gt;0,VLOOKUP(B870,КВСР!A715:B1880,2),IF(C870&gt;0,VLOOKUP(C870,КФСР!A715:B2227,2),IF(D870&gt;0,VLOOKUP(D870,Программа!A$1:B$5063,2),IF(F870&gt;0,VLOOKUP(F870,КВР!A$1:B$5001,2),IF(E870&gt;0,VLOOKUP(E870,Направление!A$1:B$4755,2))))))</f>
        <v>Закупка товаров, работ и услуг для государственных нужд</v>
      </c>
      <c r="B870" s="79"/>
      <c r="C870" s="80"/>
      <c r="D870" s="81"/>
      <c r="E870" s="82"/>
      <c r="F870" s="81">
        <v>200</v>
      </c>
      <c r="G870" s="341">
        <v>2518473</v>
      </c>
      <c r="H870" s="337">
        <v>-752743</v>
      </c>
      <c r="I870" s="42">
        <f t="shared" si="276"/>
        <v>1765730</v>
      </c>
      <c r="J870" s="337">
        <v>876995</v>
      </c>
    </row>
    <row r="871" spans="1:10" ht="49.15" customHeight="1">
      <c r="A871" s="41" t="str">
        <f>IF(B871&gt;0,VLOOKUP(B871,КВСР!A716:B1881,2),IF(C871&gt;0,VLOOKUP(C871,КФСР!A716:B2228,2),IF(D871&gt;0,VLOOKUP(D871,Программа!A$1:B$5063,2),IF(F871&gt;0,VLOOKUP(F871,КВР!A$1:B$5001,2),IF(E871&gt;0,VLOOKUP(E871,Направление!A$1:B$4755,2))))))</f>
        <v>Обеспечение мероприятий в области дорожного хозяйства на ремонт и содержание автомобильных дорог</v>
      </c>
      <c r="B871" s="79"/>
      <c r="C871" s="80"/>
      <c r="D871" s="81"/>
      <c r="E871" s="82" t="s">
        <v>3146</v>
      </c>
      <c r="F871" s="81"/>
      <c r="G871" s="341">
        <v>675278</v>
      </c>
      <c r="H871" s="341">
        <f>H872</f>
        <v>0</v>
      </c>
      <c r="I871" s="42">
        <f t="shared" si="276"/>
        <v>675278</v>
      </c>
      <c r="J871" s="341">
        <f>J872</f>
        <v>675278</v>
      </c>
    </row>
    <row r="872" spans="1:10" ht="31.5">
      <c r="A872" s="41" t="str">
        <f>IF(B872&gt;0,VLOOKUP(B872,КВСР!A717:B1882,2),IF(C872&gt;0,VLOOKUP(C872,КФСР!A717:B2229,2),IF(D872&gt;0,VLOOKUP(D872,Программа!A$1:B$5063,2),IF(F872&gt;0,VLOOKUP(F872,КВР!A$1:B$5001,2),IF(E872&gt;0,VLOOKUP(E872,Направление!A$1:B$4755,2))))))</f>
        <v>Закупка товаров, работ и услуг для государственных нужд</v>
      </c>
      <c r="B872" s="79"/>
      <c r="C872" s="80"/>
      <c r="D872" s="81"/>
      <c r="E872" s="82"/>
      <c r="F872" s="81">
        <v>200</v>
      </c>
      <c r="G872" s="341">
        <v>675278</v>
      </c>
      <c r="H872" s="337"/>
      <c r="I872" s="42">
        <f t="shared" si="276"/>
        <v>675278</v>
      </c>
      <c r="J872" s="337">
        <v>675278</v>
      </c>
    </row>
    <row r="873" spans="1:10" ht="51" customHeight="1">
      <c r="A873" s="41" t="str">
        <f>IF(B873&gt;0,VLOOKUP(B873,КВСР!A718:B1883,2),IF(C873&gt;0,VLOOKUP(C873,КФСР!A718:B2230,2),IF(D873&gt;0,VLOOKUP(D873,Программа!A$1:B$5063,2),IF(F873&gt;0,VLOOKUP(F873,КВР!A$1:B$5001,2),IF(E873&gt;0,VLOOKUP(E873,Направление!A$1:B$4755,2))))))</f>
        <v>Обеспечение мероприятий в области дорожного хозяйства на ремонт и содержание автомобильных дорог</v>
      </c>
      <c r="B873" s="79"/>
      <c r="C873" s="80"/>
      <c r="D873" s="81"/>
      <c r="E873" s="82" t="s">
        <v>3023</v>
      </c>
      <c r="F873" s="81"/>
      <c r="G873" s="341">
        <v>889713</v>
      </c>
      <c r="H873" s="341">
        <f>H874</f>
        <v>0</v>
      </c>
      <c r="I873" s="42">
        <f t="shared" si="276"/>
        <v>889713</v>
      </c>
      <c r="J873" s="341">
        <f>J874</f>
        <v>889713</v>
      </c>
    </row>
    <row r="874" spans="1:10" ht="31.5">
      <c r="A874" s="41" t="str">
        <f>IF(B874&gt;0,VLOOKUP(B874,КВСР!A719:B1884,2),IF(C874&gt;0,VLOOKUP(C874,КФСР!A719:B2231,2),IF(D874&gt;0,VLOOKUP(D874,Программа!A$1:B$5063,2),IF(F874&gt;0,VLOOKUP(F874,КВР!A$1:B$5001,2),IF(E874&gt;0,VLOOKUP(E874,Направление!A$1:B$4755,2))))))</f>
        <v>Закупка товаров, работ и услуг для государственных нужд</v>
      </c>
      <c r="B874" s="79"/>
      <c r="C874" s="80"/>
      <c r="D874" s="81"/>
      <c r="E874" s="82"/>
      <c r="F874" s="81">
        <v>200</v>
      </c>
      <c r="G874" s="341">
        <v>889713</v>
      </c>
      <c r="H874" s="337"/>
      <c r="I874" s="42">
        <f t="shared" si="276"/>
        <v>889713</v>
      </c>
      <c r="J874" s="337">
        <v>889713</v>
      </c>
    </row>
    <row r="875" spans="1:10" ht="47.25">
      <c r="A875" s="41" t="str">
        <f>IF(B875&gt;0,VLOOKUP(B875,КВСР!A720:B1885,2),IF(C875&gt;0,VLOOKUP(C875,КФСР!A720:B2232,2),IF(D875&gt;0,VLOOKUP(D875,Программа!A$1:B$5063,2),IF(F875&gt;0,VLOOKUP(F875,КВР!A$1:B$5001,2),IF(E875&gt;0,VLOOKUP(E875,Направление!A$1:B$4755,2))))))</f>
        <v>Обеспечение мероприятий в области дорожного хозяйства по  ремонту дворовых территорий</v>
      </c>
      <c r="B875" s="79"/>
      <c r="C875" s="80"/>
      <c r="D875" s="81"/>
      <c r="E875" s="82" t="s">
        <v>3024</v>
      </c>
      <c r="F875" s="81"/>
      <c r="G875" s="341">
        <v>1196720</v>
      </c>
      <c r="H875" s="341">
        <f>H876</f>
        <v>0</v>
      </c>
      <c r="I875" s="42">
        <f t="shared" si="276"/>
        <v>1196720</v>
      </c>
      <c r="J875" s="341">
        <f>J876</f>
        <v>1073721</v>
      </c>
    </row>
    <row r="876" spans="1:10" ht="30.6" customHeight="1">
      <c r="A876" s="41" t="str">
        <f>IF(B876&gt;0,VLOOKUP(B876,КВСР!A721:B1886,2),IF(C876&gt;0,VLOOKUP(C876,КФСР!A721:B2233,2),IF(D876&gt;0,VLOOKUP(D876,Программа!A$1:B$5063,2),IF(F876&gt;0,VLOOKUP(F876,КВР!A$1:B$5001,2),IF(E876&gt;0,VLOOKUP(E876,Направление!A$1:B$4755,2))))))</f>
        <v>Закупка товаров, работ и услуг для государственных нужд</v>
      </c>
      <c r="B876" s="79"/>
      <c r="C876" s="80"/>
      <c r="D876" s="81"/>
      <c r="E876" s="82"/>
      <c r="F876" s="81">
        <v>200</v>
      </c>
      <c r="G876" s="341">
        <v>1196720</v>
      </c>
      <c r="H876" s="337"/>
      <c r="I876" s="42">
        <f t="shared" si="276"/>
        <v>1196720</v>
      </c>
      <c r="J876" s="337">
        <v>1073721</v>
      </c>
    </row>
    <row r="877" spans="1:10" ht="47.25">
      <c r="A877" s="41" t="str">
        <f>IF(B877&gt;0,VLOOKUP(B877,КВСР!A722:B1887,2),IF(C877&gt;0,VLOOKUP(C877,КФСР!A722:B2234,2),IF(D877&gt;0,VLOOKUP(D877,Программа!A$1:B$5063,2),IF(F877&gt;0,VLOOKUP(F877,КВР!A$1:B$5001,2),IF(E877&gt;0,VLOOKUP(E877,Направление!A$1:B$4755,2))))))</f>
        <v>Расходы на финансирование дорожного хозяйства за счет средств областного бюджета</v>
      </c>
      <c r="B877" s="79"/>
      <c r="C877" s="80"/>
      <c r="D877" s="69"/>
      <c r="E877" s="82">
        <v>72440</v>
      </c>
      <c r="F877" s="81"/>
      <c r="G877" s="42">
        <v>10275580</v>
      </c>
      <c r="H877" s="42">
        <f t="shared" ref="H877:J877" si="296">H878</f>
        <v>0</v>
      </c>
      <c r="I877" s="42">
        <f t="shared" si="276"/>
        <v>10275580</v>
      </c>
      <c r="J877" s="42">
        <f t="shared" si="296"/>
        <v>10275580</v>
      </c>
    </row>
    <row r="878" spans="1:10" ht="31.5">
      <c r="A878" s="41" t="str">
        <f>IF(B878&gt;0,VLOOKUP(B878,КВСР!A723:B1888,2),IF(C878&gt;0,VLOOKUP(C878,КФСР!A723:B2235,2),IF(D878&gt;0,VLOOKUP(D878,Программа!A$1:B$5063,2),IF(F878&gt;0,VLOOKUP(F878,КВР!A$1:B$5001,2),IF(E878&gt;0,VLOOKUP(E878,Направление!A$1:B$4755,2))))))</f>
        <v>Закупка товаров, работ и услуг для государственных нужд</v>
      </c>
      <c r="B878" s="79"/>
      <c r="C878" s="80"/>
      <c r="D878" s="81"/>
      <c r="E878" s="82"/>
      <c r="F878" s="81">
        <v>200</v>
      </c>
      <c r="G878" s="341">
        <v>10275580</v>
      </c>
      <c r="H878" s="337"/>
      <c r="I878" s="42">
        <f t="shared" si="276"/>
        <v>10275580</v>
      </c>
      <c r="J878" s="337">
        <v>10275580</v>
      </c>
    </row>
    <row r="879" spans="1:10" ht="63">
      <c r="A879" s="41" t="str">
        <f>IF(B879&gt;0,VLOOKUP(B879,КВСР!A724:B1889,2),IF(C879&gt;0,VLOOKUP(C879,КФСР!A724:B2236,2),IF(D879&gt;0,VLOOKUP(D879,Программа!A$1:B$5063,2),IF(F879&gt;0,VLOOKUP(F879,КВР!A$1:B$5001,2),IF(E879&gt;0,VLOOKUP(E879,Направление!A$1:B$4755,2))))))</f>
        <v>Обеспечение мероприятий в области дорожного хозяйства на ремонт и содержание дорог за счет средств областного бюджета</v>
      </c>
      <c r="B879" s="79"/>
      <c r="C879" s="80"/>
      <c r="D879" s="81"/>
      <c r="E879" s="82">
        <v>72446</v>
      </c>
      <c r="F879" s="81"/>
      <c r="G879" s="341">
        <v>8007420</v>
      </c>
      <c r="H879" s="341">
        <f>H880</f>
        <v>0</v>
      </c>
      <c r="I879" s="42">
        <f t="shared" si="276"/>
        <v>8007420</v>
      </c>
      <c r="J879" s="341">
        <f>J880</f>
        <v>6062379</v>
      </c>
    </row>
    <row r="880" spans="1:10" ht="31.5">
      <c r="A880" s="41" t="str">
        <f>IF(B880&gt;0,VLOOKUP(B880,КВСР!A725:B1890,2),IF(C880&gt;0,VLOOKUP(C880,КФСР!A725:B2237,2),IF(D880&gt;0,VLOOKUP(D880,Программа!A$1:B$5063,2),IF(F880&gt;0,VLOOKUP(F880,КВР!A$1:B$5001,2),IF(E880&gt;0,VLOOKUP(E880,Направление!A$1:B$4755,2))))))</f>
        <v>Закупка товаров, работ и услуг для государственных нужд</v>
      </c>
      <c r="B880" s="79"/>
      <c r="C880" s="80"/>
      <c r="D880" s="81"/>
      <c r="E880" s="82"/>
      <c r="F880" s="81">
        <v>200</v>
      </c>
      <c r="G880" s="341">
        <v>8007420</v>
      </c>
      <c r="H880" s="337"/>
      <c r="I880" s="42">
        <f t="shared" si="276"/>
        <v>8007420</v>
      </c>
      <c r="J880" s="337">
        <v>6062379</v>
      </c>
    </row>
    <row r="881" spans="1:10" ht="82.5" customHeight="1">
      <c r="A881" s="41" t="str">
        <f>IF(B881&gt;0,VLOOKUP(B881,КВСР!A726:B1891,2),IF(C881&gt;0,VLOOKUP(C881,КФСР!A726:B2238,2),IF(D881&gt;0,VLOOKUP(D881,Программа!A$1:B$5063,2),IF(F881&gt;0,VLOOKUP(F881,КВР!A$1:B$5001,2),IF(E881&gt;0,VLOOKUP(E881,Направление!A$1:B$4755,2))))))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881" s="79"/>
      <c r="C881" s="80"/>
      <c r="D881" s="81"/>
      <c r="E881" s="82">
        <v>72476</v>
      </c>
      <c r="F881" s="81"/>
      <c r="G881" s="341">
        <v>15874326</v>
      </c>
      <c r="H881" s="341">
        <f>H882</f>
        <v>0</v>
      </c>
      <c r="I881" s="42">
        <f t="shared" si="276"/>
        <v>15874326</v>
      </c>
      <c r="J881" s="341">
        <f>J882</f>
        <v>15874325</v>
      </c>
    </row>
    <row r="882" spans="1:10">
      <c r="A882" s="41" t="str">
        <f>IF(B882&gt;0,VLOOKUP(B882,КВСР!A727:B1892,2),IF(C882&gt;0,VLOOKUP(C882,КФСР!A727:B2239,2),IF(D882&gt;0,VLOOKUP(D882,Программа!A$1:B$5063,2),IF(F882&gt;0,VLOOKUP(F882,КВР!A$1:B$5001,2),IF(E882&gt;0,VLOOKUP(E882,Направление!A$1:B$4755,2))))))</f>
        <v>Бюджетные инвестиции</v>
      </c>
      <c r="B882" s="79"/>
      <c r="C882" s="80"/>
      <c r="D882" s="81"/>
      <c r="E882" s="82"/>
      <c r="F882" s="81">
        <v>400</v>
      </c>
      <c r="G882" s="341">
        <v>15874326</v>
      </c>
      <c r="H882" s="337"/>
      <c r="I882" s="42">
        <f t="shared" si="276"/>
        <v>15874326</v>
      </c>
      <c r="J882" s="337">
        <v>15874325</v>
      </c>
    </row>
    <row r="883" spans="1:10" ht="94.5">
      <c r="A883" s="41" t="str">
        <f>IF(B883&gt;0,VLOOKUP(B883,КВСР!A728:B1893,2),IF(C883&gt;0,VLOOKUP(C883,КФСР!A728:B2240,2),IF(D883&gt;0,VLOOKUP(D883,Программа!A$1:B$5063,2),IF(F883&gt;0,VLOOKUP(F883,КВР!A$1:B$5001,2),IF(E883&gt;0,VLOOKUP(E883,Направление!A$1:B$4755,2))))))</f>
        <v>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883" s="79"/>
      <c r="C883" s="80"/>
      <c r="D883" s="81"/>
      <c r="E883" s="82">
        <v>74796</v>
      </c>
      <c r="F883" s="81"/>
      <c r="G883" s="341">
        <v>19399159</v>
      </c>
      <c r="H883" s="341">
        <f>H884</f>
        <v>0</v>
      </c>
      <c r="I883" s="42">
        <f t="shared" si="276"/>
        <v>19399159</v>
      </c>
      <c r="J883" s="341">
        <f>J884</f>
        <v>9713963</v>
      </c>
    </row>
    <row r="884" spans="1:10" ht="31.5">
      <c r="A884" s="41" t="str">
        <f>IF(B884&gt;0,VLOOKUP(B884,КВСР!A729:B1894,2),IF(C884&gt;0,VLOOKUP(C884,КФСР!A729:B2241,2),IF(D884&gt;0,VLOOKUP(D884,Программа!A$1:B$5063,2),IF(F884&gt;0,VLOOKUP(F884,КВР!A$1:B$5001,2),IF(E884&gt;0,VLOOKUP(E884,Направление!A$1:B$4755,2))))))</f>
        <v>Закупка товаров, работ и услуг для государственных нужд</v>
      </c>
      <c r="B884" s="79"/>
      <c r="C884" s="80"/>
      <c r="D884" s="81"/>
      <c r="E884" s="82"/>
      <c r="F884" s="81">
        <v>200</v>
      </c>
      <c r="G884" s="341">
        <v>19399159</v>
      </c>
      <c r="H884" s="337"/>
      <c r="I884" s="42">
        <f t="shared" si="276"/>
        <v>19399159</v>
      </c>
      <c r="J884" s="337">
        <v>9713963</v>
      </c>
    </row>
    <row r="885" spans="1:10" ht="31.5">
      <c r="A885" s="41" t="str">
        <f>IF(B885&gt;0,VLOOKUP(B885,КВСР!A730:B1895,2),IF(C885&gt;0,VLOOKUP(C885,КФСР!A730:B2242,2),IF(D885&gt;0,VLOOKUP(D885,Программа!A$1:B$5063,2),IF(F885&gt;0,VLOOKUP(F885,КВР!A$1:B$5001,2),IF(E885&gt;0,VLOOKUP(E885,Направление!A$1:B$4755,2))))))</f>
        <v>Межбюджетные трансферты  поселениям района</v>
      </c>
      <c r="B885" s="79"/>
      <c r="C885" s="80"/>
      <c r="D885" s="81" t="s">
        <v>2809</v>
      </c>
      <c r="E885" s="82"/>
      <c r="F885" s="81"/>
      <c r="G885" s="42">
        <v>48128746</v>
      </c>
      <c r="H885" s="42">
        <f>H886+H890+H888</f>
        <v>0</v>
      </c>
      <c r="I885" s="42">
        <f>I886+I890+I888</f>
        <v>48128746</v>
      </c>
      <c r="J885" s="42">
        <f>J886+J890+J888</f>
        <v>36140838</v>
      </c>
    </row>
    <row r="886" spans="1:10" ht="47.25">
      <c r="A886" s="41" t="str">
        <f>IF(B886&gt;0,VLOOKUP(B886,КВСР!A731:B1896,2),IF(C886&gt;0,VLOOKUP(C886,КФСР!A731:B2243,2),IF(D886&gt;0,VLOOKUP(D886,Программа!A$1:B$5063,2),IF(F886&gt;0,VLOOKUP(F886,КВР!A$1:B$5001,2),IF(E886&gt;0,VLOOKUP(E886,Направление!A$1:B$4755,2))))))</f>
        <v>Расходы на финансирование дорожного хозяйства за счет средств областного бюджета</v>
      </c>
      <c r="B886" s="79"/>
      <c r="C886" s="80"/>
      <c r="D886" s="81"/>
      <c r="E886" s="82">
        <v>72440</v>
      </c>
      <c r="F886" s="81"/>
      <c r="G886" s="341">
        <v>10007420</v>
      </c>
      <c r="H886" s="341">
        <f t="shared" ref="H886:J886" si="297">H887</f>
        <v>0</v>
      </c>
      <c r="I886" s="42">
        <f t="shared" si="276"/>
        <v>10007420</v>
      </c>
      <c r="J886" s="341">
        <f t="shared" si="297"/>
        <v>8062379</v>
      </c>
    </row>
    <row r="887" spans="1:10">
      <c r="A887" s="41" t="str">
        <f>IF(B887&gt;0,VLOOKUP(B887,КВСР!A732:B1897,2),IF(C887&gt;0,VLOOKUP(C887,КФСР!A732:B2244,2),IF(D887&gt;0,VLOOKUP(D887,Программа!A$1:B$5063,2),IF(F887&gt;0,VLOOKUP(F887,КВР!A$1:B$5001,2),IF(E887&gt;0,VLOOKUP(E887,Направление!A$1:B$4755,2))))))</f>
        <v xml:space="preserve"> Межбюджетные трансферты</v>
      </c>
      <c r="B887" s="79"/>
      <c r="C887" s="80"/>
      <c r="D887" s="81"/>
      <c r="E887" s="82"/>
      <c r="F887" s="81">
        <v>500</v>
      </c>
      <c r="G887" s="341">
        <v>10007420</v>
      </c>
      <c r="H887" s="337"/>
      <c r="I887" s="42">
        <f t="shared" si="276"/>
        <v>10007420</v>
      </c>
      <c r="J887" s="337">
        <v>8062379</v>
      </c>
    </row>
    <row r="888" spans="1:10" ht="85.5" customHeight="1">
      <c r="A888" s="41" t="str">
        <f>IF(B888&gt;0,VLOOKUP(B888,КВСР!A733:B1898,2),IF(C888&gt;0,VLOOKUP(C888,КФСР!A733:B2245,2),IF(D888&gt;0,VLOOKUP(D888,Программа!A$1:B$5063,2),IF(F888&gt;0,VLOOKUP(F888,КВР!A$1:B$5001,2),IF(E888&gt;0,VLOOKUP(E888,Направление!A$1:B$4755,2))))))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888" s="79"/>
      <c r="C888" s="80"/>
      <c r="D888" s="81"/>
      <c r="E888" s="82">
        <v>72470</v>
      </c>
      <c r="F888" s="81"/>
      <c r="G888" s="341">
        <v>15874326</v>
      </c>
      <c r="H888" s="341">
        <f>H889</f>
        <v>0</v>
      </c>
      <c r="I888" s="42">
        <f t="shared" si="276"/>
        <v>15874326</v>
      </c>
      <c r="J888" s="341">
        <f>J889</f>
        <v>15874325</v>
      </c>
    </row>
    <row r="889" spans="1:10">
      <c r="A889" s="41" t="str">
        <f>IF(B889&gt;0,VLOOKUP(B889,КВСР!A734:B1899,2),IF(C889&gt;0,VLOOKUP(C889,КФСР!A734:B2246,2),IF(D889&gt;0,VLOOKUP(D889,Программа!A$1:B$5063,2),IF(F889&gt;0,VLOOKUP(F889,КВР!A$1:B$5001,2),IF(E889&gt;0,VLOOKUP(E889,Направление!A$1:B$4755,2))))))</f>
        <v xml:space="preserve"> Межбюджетные трансферты</v>
      </c>
      <c r="B889" s="79"/>
      <c r="C889" s="80"/>
      <c r="D889" s="81"/>
      <c r="E889" s="82"/>
      <c r="F889" s="81">
        <v>500</v>
      </c>
      <c r="G889" s="341">
        <v>15874326</v>
      </c>
      <c r="H889" s="337"/>
      <c r="I889" s="42">
        <f t="shared" si="276"/>
        <v>15874326</v>
      </c>
      <c r="J889" s="337">
        <v>15874325</v>
      </c>
    </row>
    <row r="890" spans="1:10" ht="94.5">
      <c r="A890" s="41" t="str">
        <f>IF(B890&gt;0,VLOOKUP(B890,КВСР!A735:B1900,2),IF(C890&gt;0,VLOOKUP(C890,КФСР!A735:B2247,2),IF(D890&gt;0,VLOOKUP(D890,Программа!A$1:B$5063,2),IF(F890&gt;0,VLOOKUP(F890,КВР!A$1:B$5001,2),IF(E890&gt;0,VLOOKUP(E890,Направление!A$1:B$4755,2))))))</f>
        <v>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890" s="79"/>
      <c r="C890" s="80"/>
      <c r="D890" s="69"/>
      <c r="E890" s="82">
        <v>74790</v>
      </c>
      <c r="F890" s="81"/>
      <c r="G890" s="42">
        <v>22247000</v>
      </c>
      <c r="H890" s="42">
        <f t="shared" ref="H890:J890" si="298">H891</f>
        <v>0</v>
      </c>
      <c r="I890" s="42">
        <f t="shared" si="276"/>
        <v>22247000</v>
      </c>
      <c r="J890" s="42">
        <f t="shared" si="298"/>
        <v>12204134</v>
      </c>
    </row>
    <row r="891" spans="1:10">
      <c r="A891" s="41" t="str">
        <f>IF(B891&gt;0,VLOOKUP(B891,КВСР!A736:B1901,2),IF(C891&gt;0,VLOOKUP(C891,КФСР!A736:B2248,2),IF(D891&gt;0,VLOOKUP(D891,Программа!A$1:B$5063,2),IF(F891&gt;0,VLOOKUP(F891,КВР!A$1:B$5001,2),IF(E891&gt;0,VLOOKUP(E891,Направление!A$1:B$4755,2))))))</f>
        <v xml:space="preserve"> Межбюджетные трансферты</v>
      </c>
      <c r="B891" s="79"/>
      <c r="C891" s="80"/>
      <c r="D891" s="81"/>
      <c r="E891" s="82"/>
      <c r="F891" s="81">
        <v>500</v>
      </c>
      <c r="G891" s="341">
        <v>22247000</v>
      </c>
      <c r="H891" s="337"/>
      <c r="I891" s="42">
        <f t="shared" si="276"/>
        <v>22247000</v>
      </c>
      <c r="J891" s="337">
        <v>12204134</v>
      </c>
    </row>
    <row r="892" spans="1:10">
      <c r="A892" s="41" t="str">
        <f>IF(B892&gt;0,VLOOKUP(B892,КВСР!A737:B1902,2),IF(C892&gt;0,VLOOKUP(C892,КФСР!A737:B2249,2),IF(D892&gt;0,VLOOKUP(D892,Программа!A$1:B$5063,2),IF(F892&gt;0,VLOOKUP(F892,КВР!A$1:B$5001,2),IF(E892&gt;0,VLOOKUP(E892,Направление!A$1:B$4755,2))))))</f>
        <v>Жилищное хозяйство</v>
      </c>
      <c r="B892" s="79"/>
      <c r="C892" s="80">
        <v>501</v>
      </c>
      <c r="D892" s="81"/>
      <c r="E892" s="82"/>
      <c r="F892" s="81"/>
      <c r="G892" s="341">
        <v>13835175.710000001</v>
      </c>
      <c r="H892" s="341">
        <f>H893+H908</f>
        <v>-2876283</v>
      </c>
      <c r="I892" s="42">
        <f>SUM(G892:H892)</f>
        <v>10958892.710000001</v>
      </c>
      <c r="J892" s="341">
        <f>J893+J908</f>
        <v>8116152</v>
      </c>
    </row>
    <row r="893" spans="1:10" ht="50.25" customHeight="1">
      <c r="A893" s="41" t="str">
        <f>IF(B893&gt;0,VLOOKUP(B893,КВСР!A738:B1903,2),IF(C893&gt;0,VLOOKUP(C893,КФСР!A738:B2250,2),IF(D893&gt;0,VLOOKUP(D893,Программа!A$1:B$5063,2),IF(F893&gt;0,VLOOKUP(F893,КВР!A$1:B$5001,2),IF(E893&gt;0,VLOOKUP(E893,Направление!A$1:B$4755,2))))))</f>
        <v>Муниципальная программа  "Развитие жилищного хозяйства Тутаевского муниципального района"</v>
      </c>
      <c r="B893" s="79"/>
      <c r="C893" s="80"/>
      <c r="D893" s="81" t="s">
        <v>2746</v>
      </c>
      <c r="E893" s="82"/>
      <c r="F893" s="81"/>
      <c r="G893" s="341">
        <v>10102463</v>
      </c>
      <c r="H893" s="341">
        <f>H894+H898</f>
        <v>-2876283</v>
      </c>
      <c r="I893" s="341">
        <f>I894+I898</f>
        <v>7226180</v>
      </c>
      <c r="J893" s="341">
        <f>J894+J898</f>
        <v>4434439</v>
      </c>
    </row>
    <row r="894" spans="1:10" ht="82.5" customHeight="1">
      <c r="A894" s="41" t="str">
        <f>IF(B894&gt;0,VLOOKUP(B894,КВСР!A739:B1904,2),IF(C894&gt;0,VLOOKUP(C894,КФСР!A739:B2251,2),IF(D894&gt;0,VLOOKUP(D894,Программа!A$1:B$5063,2),IF(F894&gt;0,VLOOKUP(F894,КВР!A$1:B$5001,2),IF(E894&gt;0,VLOOKUP(E894,Направление!A$1:B$4755,2))))))</f>
        <v>Муниципальная целевая программа "Развитие  лифтового хозяйства на территории городского поселения Тутаев Тутаевского муниципального района"</v>
      </c>
      <c r="B894" s="79"/>
      <c r="C894" s="80"/>
      <c r="D894" s="69" t="s">
        <v>2748</v>
      </c>
      <c r="E894" s="82"/>
      <c r="F894" s="81"/>
      <c r="G894" s="341">
        <v>7200000</v>
      </c>
      <c r="H894" s="341">
        <f t="shared" ref="H894:J896" si="299">H895</f>
        <v>-2876283</v>
      </c>
      <c r="I894" s="341">
        <f t="shared" si="299"/>
        <v>4323717</v>
      </c>
      <c r="J894" s="341">
        <f t="shared" si="299"/>
        <v>3935915</v>
      </c>
    </row>
    <row r="895" spans="1:10" ht="53.25" customHeight="1">
      <c r="A895" s="41" t="str">
        <f>IF(B895&gt;0,VLOOKUP(B895,КВСР!A740:B1905,2),IF(C895&gt;0,VLOOKUP(C895,КФСР!A740:B2252,2),IF(D895&gt;0,VLOOKUP(D895,Программа!A$1:B$5063,2),IF(F895&gt;0,VLOOKUP(F895,КВР!A$1:B$5001,2),IF(E895&gt;0,VLOOKUP(E895,Направление!A$1:B$4755,2))))))</f>
        <v>Обеспечение мероприятий по восстановлению лифтового хозяйства многоквартирных домов</v>
      </c>
      <c r="B895" s="79"/>
      <c r="C895" s="80"/>
      <c r="D895" s="69" t="s">
        <v>2760</v>
      </c>
      <c r="E895" s="82"/>
      <c r="F895" s="81"/>
      <c r="G895" s="341">
        <v>7200000</v>
      </c>
      <c r="H895" s="341">
        <f t="shared" si="299"/>
        <v>-2876283</v>
      </c>
      <c r="I895" s="341">
        <f t="shared" si="299"/>
        <v>4323717</v>
      </c>
      <c r="J895" s="341">
        <f t="shared" si="299"/>
        <v>3935915</v>
      </c>
    </row>
    <row r="896" spans="1:10" ht="67.5" customHeight="1">
      <c r="A896" s="41" t="str">
        <f>IF(B896&gt;0,VLOOKUP(B896,КВСР!A741:B1906,2),IF(C896&gt;0,VLOOKUP(C896,КФСР!A741:B2253,2),IF(D896&gt;0,VLOOKUP(D896,Программа!A$1:B$5063,2),IF(F896&gt;0,VLOOKUP(F896,КВР!A$1:B$5001,2),IF(E896&gt;0,VLOOKUP(E896,Направление!A$1:B$4755,2))))))</f>
        <v>Обеспечение мероприятий по содержанию,  реконструкции и капитальному ремонту муниципального жилищного фонда</v>
      </c>
      <c r="B896" s="79"/>
      <c r="C896" s="80"/>
      <c r="D896" s="69"/>
      <c r="E896" s="82">
        <v>29376</v>
      </c>
      <c r="F896" s="81"/>
      <c r="G896" s="341">
        <v>7200000</v>
      </c>
      <c r="H896" s="341">
        <f t="shared" si="299"/>
        <v>-2876283</v>
      </c>
      <c r="I896" s="341">
        <f t="shared" si="299"/>
        <v>4323717</v>
      </c>
      <c r="J896" s="341">
        <f t="shared" si="299"/>
        <v>3935915</v>
      </c>
    </row>
    <row r="897" spans="1:10">
      <c r="A897" s="41" t="str">
        <f>IF(B897&gt;0,VLOOKUP(B897,КВСР!A742:B1907,2),IF(C897&gt;0,VLOOKUP(C897,КФСР!A742:B2254,2),IF(D897&gt;0,VLOOKUP(D897,Программа!A$1:B$5063,2),IF(F897&gt;0,VLOOKUP(F897,КВР!A$1:B$5001,2),IF(E897&gt;0,VLOOKUP(E897,Направление!A$1:B$4755,2))))))</f>
        <v>Бюджетные инвестиции</v>
      </c>
      <c r="B897" s="79"/>
      <c r="C897" s="80"/>
      <c r="D897" s="69"/>
      <c r="E897" s="82"/>
      <c r="F897" s="81">
        <v>400</v>
      </c>
      <c r="G897" s="341">
        <v>7200000</v>
      </c>
      <c r="H897" s="337">
        <v>-2876283</v>
      </c>
      <c r="I897" s="42">
        <f>SUM(G897:H897)</f>
        <v>4323717</v>
      </c>
      <c r="J897" s="337">
        <v>3935915</v>
      </c>
    </row>
    <row r="898" spans="1:10" ht="69.75" customHeight="1">
      <c r="A898" s="41" t="str">
        <f>IF(B898&gt;0,VLOOKUP(B898,КВСР!A743:B1908,2),IF(C898&gt;0,VLOOKUP(C898,КФСР!A743:B2255,2),IF(D898&gt;0,VLOOKUP(D898,Программа!A$1:B$5063,2),IF(F898&gt;0,VLOOKUP(F898,КВР!A$1:B$5001,2),IF(E898&gt;0,VLOOKUP(E898,Направление!A$1:B$4755,2))))))</f>
        <v>Муниципальная целевая программа "Ремонт и содержание муниципального жилищного фонда   Тутаевского муниципального района"</v>
      </c>
      <c r="B898" s="79"/>
      <c r="C898" s="80"/>
      <c r="D898" s="69" t="s">
        <v>2870</v>
      </c>
      <c r="E898" s="82"/>
      <c r="F898" s="81"/>
      <c r="G898" s="341">
        <v>2902463</v>
      </c>
      <c r="H898" s="341">
        <f>H899+H902+H905</f>
        <v>0</v>
      </c>
      <c r="I898" s="341">
        <f>I899+I902+I905</f>
        <v>2902463</v>
      </c>
      <c r="J898" s="341">
        <f>J899+J902+J905</f>
        <v>498524</v>
      </c>
    </row>
    <row r="899" spans="1:10" ht="50.25" customHeight="1">
      <c r="A899" s="41" t="str">
        <f>IF(B899&gt;0,VLOOKUP(B899,КВСР!A744:B1909,2),IF(C899&gt;0,VLOOKUP(C899,КФСР!A744:B2256,2),IF(D899&gt;0,VLOOKUP(D899,Программа!A$1:B$5063,2),IF(F899&gt;0,VLOOKUP(F899,КВР!A$1:B$5001,2),IF(E899&gt;0,VLOOKUP(E899,Направление!A$1:B$4755,2))))))</f>
        <v>Обеспечение мероприятий по замене приборов учета в муниципальном жилищном фонде</v>
      </c>
      <c r="B899" s="79"/>
      <c r="C899" s="80"/>
      <c r="D899" s="69" t="s">
        <v>2871</v>
      </c>
      <c r="E899" s="82"/>
      <c r="F899" s="81"/>
      <c r="G899" s="341">
        <v>150000</v>
      </c>
      <c r="H899" s="341">
        <f t="shared" ref="H899:J900" si="300">H900</f>
        <v>0</v>
      </c>
      <c r="I899" s="341">
        <f t="shared" si="300"/>
        <v>150000</v>
      </c>
      <c r="J899" s="341">
        <f t="shared" si="300"/>
        <v>120483</v>
      </c>
    </row>
    <row r="900" spans="1:10" ht="53.25" customHeight="1">
      <c r="A900" s="41" t="str">
        <f>IF(B900&gt;0,VLOOKUP(B900,КВСР!A745:B1910,2),IF(C900&gt;0,VLOOKUP(C900,КФСР!A745:B2257,2),IF(D900&gt;0,VLOOKUP(D900,Программа!A$1:B$5063,2),IF(F900&gt;0,VLOOKUP(F900,КВР!A$1:B$5001,2),IF(E900&gt;0,VLOOKUP(E900,Направление!A$1:B$4755,2))))))</f>
        <v>Обеспечение мероприятий по установке приборов учета потребляемых ресурсов</v>
      </c>
      <c r="B900" s="79"/>
      <c r="C900" s="80"/>
      <c r="D900" s="69"/>
      <c r="E900" s="82">
        <v>29306</v>
      </c>
      <c r="F900" s="81"/>
      <c r="G900" s="341">
        <v>150000</v>
      </c>
      <c r="H900" s="341">
        <f t="shared" si="300"/>
        <v>0</v>
      </c>
      <c r="I900" s="341">
        <f t="shared" si="300"/>
        <v>150000</v>
      </c>
      <c r="J900" s="341">
        <f t="shared" si="300"/>
        <v>120483</v>
      </c>
    </row>
    <row r="901" spans="1:10" ht="62.25" customHeight="1">
      <c r="A901" s="41" t="str">
        <f>IF(B901&gt;0,VLOOKUP(B901,КВСР!A746:B1911,2),IF(C901&gt;0,VLOOKUP(C901,КФСР!A746:B2258,2),IF(D901&gt;0,VLOOKUP(D901,Программа!A$1:B$5063,2),IF(F901&gt;0,VLOOKUP(F901,КВР!A$1:B$5001,2),IF(E901&gt;0,VLOOKUP(E901,Направление!A$1:B$4755,2))))))</f>
        <v>Предоставление субсидий бюджетным, автономным учреждениям и иным некоммерческим организациям</v>
      </c>
      <c r="B901" s="79"/>
      <c r="C901" s="80"/>
      <c r="D901" s="69"/>
      <c r="E901" s="82"/>
      <c r="F901" s="81">
        <v>600</v>
      </c>
      <c r="G901" s="341">
        <v>150000</v>
      </c>
      <c r="H901" s="337"/>
      <c r="I901" s="42">
        <f>SUM(G901:H901)</f>
        <v>150000</v>
      </c>
      <c r="J901" s="337">
        <v>120483</v>
      </c>
    </row>
    <row r="902" spans="1:10" ht="36.75" customHeight="1">
      <c r="A902" s="41" t="str">
        <f>IF(B902&gt;0,VLOOKUP(B902,КВСР!A747:B1912,2),IF(C902&gt;0,VLOOKUP(C902,КФСР!A747:B2259,2),IF(D902&gt;0,VLOOKUP(D902,Программа!A$1:B$5063,2),IF(F902&gt;0,VLOOKUP(F902,КВР!A$1:B$5001,2),IF(E902&gt;0,VLOOKUP(E902,Направление!A$1:B$4755,2))))))</f>
        <v>Обеспечение мероприятий по ремонту общедомового имущества</v>
      </c>
      <c r="B902" s="79"/>
      <c r="C902" s="80"/>
      <c r="D902" s="69" t="s">
        <v>2872</v>
      </c>
      <c r="E902" s="82"/>
      <c r="F902" s="81"/>
      <c r="G902" s="341">
        <v>1914079</v>
      </c>
      <c r="H902" s="341">
        <f t="shared" ref="H902:J903" si="301">H903</f>
        <v>0</v>
      </c>
      <c r="I902" s="341">
        <f t="shared" si="301"/>
        <v>1914079</v>
      </c>
      <c r="J902" s="341">
        <f t="shared" si="301"/>
        <v>287128</v>
      </c>
    </row>
    <row r="903" spans="1:10" ht="50.25" customHeight="1">
      <c r="A903" s="41" t="str">
        <f>IF(B903&gt;0,VLOOKUP(B903,КВСР!A748:B1913,2),IF(C903&gt;0,VLOOKUP(C903,КФСР!A748:B2260,2),IF(D903&gt;0,VLOOKUP(D903,Программа!A$1:B$5063,2),IF(F903&gt;0,VLOOKUP(F903,КВР!A$1:B$5001,2),IF(E903&gt;0,VLOOKUP(E903,Направление!A$1:B$4755,2))))))</f>
        <v>Обеспечение мероприятий по содержанию,  реконструкции и капитальному ремонту муниципального жилищного фонда</v>
      </c>
      <c r="B903" s="79"/>
      <c r="C903" s="80"/>
      <c r="D903" s="69"/>
      <c r="E903" s="82">
        <v>29376</v>
      </c>
      <c r="F903" s="81"/>
      <c r="G903" s="341">
        <v>1914079</v>
      </c>
      <c r="H903" s="341">
        <f t="shared" si="301"/>
        <v>0</v>
      </c>
      <c r="I903" s="341">
        <f t="shared" si="301"/>
        <v>1914079</v>
      </c>
      <c r="J903" s="341">
        <f t="shared" si="301"/>
        <v>287128</v>
      </c>
    </row>
    <row r="904" spans="1:10" ht="64.5" customHeight="1">
      <c r="A904" s="41" t="str">
        <f>IF(B904&gt;0,VLOOKUP(B904,КВСР!A749:B1914,2),IF(C904&gt;0,VLOOKUP(C904,КФСР!A749:B2261,2),IF(D904&gt;0,VLOOKUP(D904,Программа!A$1:B$5063,2),IF(F904&gt;0,VLOOKUP(F904,КВР!A$1:B$5001,2),IF(E904&gt;0,VLOOKUP(E904,Направление!A$1:B$4755,2))))))</f>
        <v>Предоставление субсидий бюджетным, автономным учреждениям и иным некоммерческим организациям</v>
      </c>
      <c r="B904" s="79"/>
      <c r="C904" s="80"/>
      <c r="D904" s="69"/>
      <c r="E904" s="82"/>
      <c r="F904" s="81">
        <v>600</v>
      </c>
      <c r="G904" s="341">
        <v>1914079</v>
      </c>
      <c r="H904" s="337"/>
      <c r="I904" s="42">
        <f>SUM(G904:H904)</f>
        <v>1914079</v>
      </c>
      <c r="J904" s="337">
        <v>287128</v>
      </c>
    </row>
    <row r="905" spans="1:10" ht="38.25" customHeight="1">
      <c r="A905" s="41" t="str">
        <f>IF(B905&gt;0,VLOOKUP(B905,КВСР!A750:B1915,2),IF(C905&gt;0,VLOOKUP(C905,КФСР!A750:B2262,2),IF(D905&gt;0,VLOOKUP(D905,Программа!A$1:B$5063,2),IF(F905&gt;0,VLOOKUP(F905,КВР!A$1:B$5001,2),IF(E905&gt;0,VLOOKUP(E905,Направление!A$1:B$4755,2))))))</f>
        <v>Обеспечение мероприятий по ремонту муниципавльных квартир</v>
      </c>
      <c r="B905" s="79"/>
      <c r="C905" s="80"/>
      <c r="D905" s="69" t="s">
        <v>2873</v>
      </c>
      <c r="E905" s="82"/>
      <c r="F905" s="81"/>
      <c r="G905" s="341">
        <v>838384</v>
      </c>
      <c r="H905" s="341">
        <f t="shared" ref="H905:J906" si="302">H906</f>
        <v>0</v>
      </c>
      <c r="I905" s="341">
        <f t="shared" si="302"/>
        <v>838384</v>
      </c>
      <c r="J905" s="341">
        <f t="shared" si="302"/>
        <v>90913</v>
      </c>
    </row>
    <row r="906" spans="1:10" ht="51.75" customHeight="1">
      <c r="A906" s="41" t="str">
        <f>IF(B906&gt;0,VLOOKUP(B906,КВСР!A751:B1916,2),IF(C906&gt;0,VLOOKUP(C906,КФСР!A751:B2263,2),IF(D906&gt;0,VLOOKUP(D906,Программа!A$1:B$5063,2),IF(F906&gt;0,VLOOKUP(F906,КВР!A$1:B$5001,2),IF(E906&gt;0,VLOOKUP(E906,Направление!A$1:B$4755,2))))))</f>
        <v>Обеспечение мероприятий по содержанию,  реконструкции и капитальному ремонту муниципального жилищного фонда</v>
      </c>
      <c r="B906" s="79"/>
      <c r="C906" s="80"/>
      <c r="D906" s="69"/>
      <c r="E906" s="82">
        <v>29376</v>
      </c>
      <c r="F906" s="81"/>
      <c r="G906" s="341">
        <v>838384</v>
      </c>
      <c r="H906" s="341">
        <f t="shared" si="302"/>
        <v>0</v>
      </c>
      <c r="I906" s="341">
        <f t="shared" si="302"/>
        <v>838384</v>
      </c>
      <c r="J906" s="341">
        <f t="shared" si="302"/>
        <v>90913</v>
      </c>
    </row>
    <row r="907" spans="1:10" ht="69" customHeight="1">
      <c r="A907" s="41" t="str">
        <f>IF(B907&gt;0,VLOOKUP(B907,КВСР!A752:B1917,2),IF(C907&gt;0,VLOOKUP(C907,КФСР!A752:B2264,2),IF(D907&gt;0,VLOOKUP(D907,Программа!A$1:B$5063,2),IF(F907&gt;0,VLOOKUP(F907,КВР!A$1:B$5001,2),IF(E907&gt;0,VLOOKUP(E907,Направление!A$1:B$4755,2))))))</f>
        <v>Предоставление субсидий бюджетным, автономным учреждениям и иным некоммерческим организациям</v>
      </c>
      <c r="B907" s="79"/>
      <c r="C907" s="80"/>
      <c r="D907" s="69"/>
      <c r="E907" s="82"/>
      <c r="F907" s="81">
        <v>600</v>
      </c>
      <c r="G907" s="341">
        <v>838384</v>
      </c>
      <c r="H907" s="337"/>
      <c r="I907" s="42">
        <f>SUM(G907:H907)</f>
        <v>838384</v>
      </c>
      <c r="J907" s="337">
        <v>90913</v>
      </c>
    </row>
    <row r="908" spans="1:10" ht="26.25" customHeight="1">
      <c r="A908" s="41" t="str">
        <f>IF(B908&gt;0,VLOOKUP(B908,КВСР!A753:B1918,2),IF(C908&gt;0,VLOOKUP(C908,КФСР!A753:B2265,2),IF(D908&gt;0,VLOOKUP(D908,Программа!A$1:B$5063,2),IF(F908&gt;0,VLOOKUP(F908,КВР!A$1:B$5001,2),IF(E908&gt;0,VLOOKUP(E908,Направление!A$1:B$4755,2))))))</f>
        <v>Непрограммные расходы бюджета</v>
      </c>
      <c r="B908" s="79"/>
      <c r="C908" s="80"/>
      <c r="D908" s="69" t="s">
        <v>2808</v>
      </c>
      <c r="E908" s="82"/>
      <c r="F908" s="81"/>
      <c r="G908" s="341">
        <v>3732712.71</v>
      </c>
      <c r="H908" s="341">
        <f>H909+H911</f>
        <v>0</v>
      </c>
      <c r="I908" s="341">
        <f>I909+I911</f>
        <v>3732712.71</v>
      </c>
      <c r="J908" s="341">
        <f>J909+J911</f>
        <v>3681713</v>
      </c>
    </row>
    <row r="909" spans="1:10" ht="38.25" customHeight="1">
      <c r="A909" s="41" t="str">
        <f>IF(B909&gt;0,VLOOKUP(B909,КВСР!A754:B1919,2),IF(C909&gt;0,VLOOKUP(C909,КФСР!A754:B2266,2),IF(D909&gt;0,VLOOKUP(D909,Программа!A$1:B$5063,2),IF(F909&gt;0,VLOOKUP(F909,КВР!A$1:B$5001,2),IF(E909&gt;0,VLOOKUP(E909,Направление!A$1:B$4755,2))))))</f>
        <v>Обеспечение мероприятий в области благоустройства</v>
      </c>
      <c r="B909" s="79"/>
      <c r="C909" s="80"/>
      <c r="D909" s="69"/>
      <c r="E909" s="82">
        <v>29266</v>
      </c>
      <c r="F909" s="81"/>
      <c r="G909" s="341">
        <v>3681712.71</v>
      </c>
      <c r="H909" s="341">
        <f>H910</f>
        <v>0</v>
      </c>
      <c r="I909" s="341">
        <f>I910</f>
        <v>3681712.71</v>
      </c>
      <c r="J909" s="341">
        <f>J910</f>
        <v>3681713</v>
      </c>
    </row>
    <row r="910" spans="1:10" ht="69" customHeight="1">
      <c r="A910" s="41" t="str">
        <f>IF(B910&gt;0,VLOOKUP(B910,КВСР!A755:B1920,2),IF(C910&gt;0,VLOOKUP(C910,КФСР!A755:B2267,2),IF(D910&gt;0,VLOOKUP(D910,Программа!A$1:B$5063,2),IF(F910&gt;0,VLOOKUP(F910,КВР!A$1:B$5001,2),IF(E910&gt;0,VLOOKUP(E910,Направление!A$1:B$4755,2))))))</f>
        <v>Предоставление субсидий бюджетным, автономным учреждениям и иным некоммерческим организациям</v>
      </c>
      <c r="B910" s="79"/>
      <c r="C910" s="80"/>
      <c r="D910" s="69"/>
      <c r="E910" s="82"/>
      <c r="F910" s="81">
        <v>600</v>
      </c>
      <c r="G910" s="341">
        <v>3681712.71</v>
      </c>
      <c r="H910" s="337"/>
      <c r="I910" s="42">
        <f>SUM(G910:H910)</f>
        <v>3681712.71</v>
      </c>
      <c r="J910" s="337">
        <v>3681713</v>
      </c>
    </row>
    <row r="911" spans="1:10" ht="89.25" hidden="1" customHeight="1">
      <c r="A911" s="41" t="str">
        <f>IF(B911&gt;0,VLOOKUP(B911,КВСР!A756:B1921,2),IF(C911&gt;0,VLOOKUP(C911,КФСР!A756:B2268,2),IF(D911&gt;0,VLOOKUP(D911,Программа!A$1:B$5063,2),IF(F911&gt;0,VLOOKUP(F911,КВР!A$1:B$5001,2),IF(E911&gt;0,VLOOKUP(E911,Направление!A$1:B$4755,2))))))</f>
        <v>Обеспечение мероприятий  по капитальному ремонту лифтов в МКД, в части жилых помещений находящихся в муниципальной собственности</v>
      </c>
      <c r="B911" s="79"/>
      <c r="C911" s="80"/>
      <c r="D911" s="69"/>
      <c r="E911" s="82">
        <v>29446</v>
      </c>
      <c r="F911" s="81"/>
      <c r="G911" s="341">
        <v>51000</v>
      </c>
      <c r="H911" s="341">
        <f>H912</f>
        <v>0</v>
      </c>
      <c r="I911" s="42">
        <f>SUM(G911:H911)</f>
        <v>51000</v>
      </c>
      <c r="J911" s="341">
        <f>J912</f>
        <v>0</v>
      </c>
    </row>
    <row r="912" spans="1:10" ht="53.25" hidden="1" customHeight="1">
      <c r="A912" s="41" t="str">
        <f>IF(B912&gt;0,VLOOKUP(B912,КВСР!A757:B1922,2),IF(C912&gt;0,VLOOKUP(C912,КФСР!A757:B2269,2),IF(D912&gt;0,VLOOKUP(D912,Программа!A$1:B$5063,2),IF(F912&gt;0,VLOOKUP(F912,КВР!A$1:B$5001,2),IF(E912&gt;0,VLOOKUP(E912,Направление!A$1:B$4755,2))))))</f>
        <v>Закупка товаров, работ и услуг для государственных нужд</v>
      </c>
      <c r="B912" s="79"/>
      <c r="C912" s="80"/>
      <c r="D912" s="69"/>
      <c r="E912" s="82"/>
      <c r="F912" s="81">
        <v>200</v>
      </c>
      <c r="G912" s="341">
        <v>51000</v>
      </c>
      <c r="H912" s="337"/>
      <c r="I912" s="42">
        <f>SUM(G912:H912)</f>
        <v>51000</v>
      </c>
      <c r="J912" s="337">
        <v>0</v>
      </c>
    </row>
    <row r="913" spans="1:10" ht="23.25" customHeight="1">
      <c r="A913" s="41" t="str">
        <f>IF(B913&gt;0,VLOOKUP(B913,КВСР!A756:B1921,2),IF(C913&gt;0,VLOOKUP(C913,КФСР!A756:B2268,2),IF(D913&gt;0,VLOOKUP(D913,Программа!A$1:B$5063,2),IF(F913&gt;0,VLOOKUP(F913,КВР!A$1:B$5001,2),IF(E913&gt;0,VLOOKUP(E913,Направление!A$1:B$4755,2))))))</f>
        <v>Коммунальное хозяйство</v>
      </c>
      <c r="B913" s="79"/>
      <c r="C913" s="80">
        <v>502</v>
      </c>
      <c r="D913" s="69"/>
      <c r="E913" s="82"/>
      <c r="F913" s="81"/>
      <c r="G913" s="42">
        <v>80003043.310000002</v>
      </c>
      <c r="H913" s="42">
        <f>H914+H980+H992+H984</f>
        <v>-1925788</v>
      </c>
      <c r="I913" s="42">
        <f t="shared" si="276"/>
        <v>78077255.310000002</v>
      </c>
      <c r="J913" s="42">
        <f>J914+J980+J992+J984</f>
        <v>53999903</v>
      </c>
    </row>
    <row r="914" spans="1:10" ht="78.75">
      <c r="A914" s="41" t="str">
        <f>IF(B914&gt;0,VLOOKUP(B914,КВСР!A757:B1922,2),IF(C914&gt;0,VLOOKUP(C914,КФСР!A757:B2269,2),IF(D914&gt;0,VLOOKUP(D914,Программа!A$1:B$5063,2),IF(F914&gt;0,VLOOKUP(F914,КВР!A$1:B$5001,2),IF(E914&gt;0,VLOOKUP(E914,Направление!A$1:B$4755,2))))))</f>
        <v>Муниципальная программа "Обеспечение качественными коммунальными услугами населения Тутаевского муниципального района"</v>
      </c>
      <c r="B914" s="79"/>
      <c r="C914" s="80"/>
      <c r="D914" s="69" t="s">
        <v>2709</v>
      </c>
      <c r="E914" s="82"/>
      <c r="F914" s="81"/>
      <c r="G914" s="42">
        <v>51224041.310000002</v>
      </c>
      <c r="H914" s="42">
        <f>H915+H921+H940+H953</f>
        <v>-1740755</v>
      </c>
      <c r="I914" s="42">
        <f t="shared" si="276"/>
        <v>49483286.310000002</v>
      </c>
      <c r="J914" s="42">
        <f>J915+J921+J940+J953</f>
        <v>30263804</v>
      </c>
    </row>
    <row r="915" spans="1:10" ht="94.5">
      <c r="A915" s="41" t="str">
        <f>IF(B915&gt;0,VLOOKUP(B915,КВСР!A758:B1923,2),IF(C915&gt;0,VLOOKUP(C915,КФСР!A758:B2270,2),IF(D915&gt;0,VLOOKUP(D915,Программа!A$1:B$5063,2),IF(F915&gt;0,VLOOKUP(F915,КВР!A$1:B$5001,2),IF(E915&gt;0,VLOOKUP(E915,Направление!A$1:B$4755,2))))))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915" s="79"/>
      <c r="C915" s="80"/>
      <c r="D915" s="69" t="s">
        <v>2711</v>
      </c>
      <c r="E915" s="82"/>
      <c r="F915" s="81"/>
      <c r="G915" s="42">
        <v>8647000</v>
      </c>
      <c r="H915" s="42">
        <f t="shared" ref="H915:J915" si="303">H916</f>
        <v>-887000</v>
      </c>
      <c r="I915" s="42">
        <f t="shared" si="276"/>
        <v>7760000</v>
      </c>
      <c r="J915" s="42">
        <f t="shared" si="303"/>
        <v>7760000</v>
      </c>
    </row>
    <row r="916" spans="1:10" ht="63">
      <c r="A916" s="41" t="str">
        <f>IF(B916&gt;0,VLOOKUP(B916,КВСР!A759:B1924,2),IF(C916&gt;0,VLOOKUP(C916,КФСР!A759:B2271,2),IF(D916&gt;0,VLOOKUP(D916,Программа!A$1:B$5063,2),IF(F916&gt;0,VLOOKUP(F916,КВР!A$1:B$5001,2),IF(E916&gt;0,VLOOKUP(E916,Направление!A$1:B$4755,2))))))</f>
        <v>Обеспечение надежного теплоснабжения жилищного фонда и функционирования учреждений бюджетной сферы</v>
      </c>
      <c r="B916" s="79"/>
      <c r="C916" s="80"/>
      <c r="D916" s="69" t="s">
        <v>2713</v>
      </c>
      <c r="E916" s="82"/>
      <c r="F916" s="81"/>
      <c r="G916" s="42">
        <v>8647000</v>
      </c>
      <c r="H916" s="42">
        <f>H917+H919</f>
        <v>-887000</v>
      </c>
      <c r="I916" s="42">
        <f t="shared" si="276"/>
        <v>7760000</v>
      </c>
      <c r="J916" s="42">
        <f>J917+J919</f>
        <v>7760000</v>
      </c>
    </row>
    <row r="917" spans="1:10" ht="47.25">
      <c r="A917" s="41" t="str">
        <f>IF(B917&gt;0,VLOOKUP(B917,КВСР!A760:B1925,2),IF(C917&gt;0,VLOOKUP(C917,КФСР!A760:B2272,2),IF(D917&gt;0,VLOOKUP(D917,Программа!A$1:B$5063,2),IF(F917&gt;0,VLOOKUP(F917,КВР!A$1:B$5001,2),IF(E917&gt;0,VLOOKUP(E917,Направление!A$1:B$4755,2))))))</f>
        <v>Субсидия на выполнение ОМС Тутаевского МР полномочий по организации теплоснабжения</v>
      </c>
      <c r="B917" s="79"/>
      <c r="C917" s="80"/>
      <c r="D917" s="69"/>
      <c r="E917" s="82">
        <v>10880</v>
      </c>
      <c r="F917" s="81"/>
      <c r="G917" s="42">
        <v>7760000</v>
      </c>
      <c r="H917" s="42">
        <f>H918</f>
        <v>0</v>
      </c>
      <c r="I917" s="42">
        <f t="shared" si="276"/>
        <v>7760000</v>
      </c>
      <c r="J917" s="42">
        <f>J918</f>
        <v>7760000</v>
      </c>
    </row>
    <row r="918" spans="1:10">
      <c r="A918" s="41" t="str">
        <f>IF(B918&gt;0,VLOOKUP(B918,КВСР!A761:B1926,2),IF(C918&gt;0,VLOOKUP(C918,КФСР!A761:B2273,2),IF(D918&gt;0,VLOOKUP(D918,Программа!A$1:B$5063,2),IF(F918&gt;0,VLOOKUP(F918,КВР!A$1:B$5001,2),IF(E918&gt;0,VLOOKUP(E918,Направление!A$1:B$4755,2))))))</f>
        <v>Иные бюджетные ассигнования</v>
      </c>
      <c r="B918" s="79"/>
      <c r="C918" s="80"/>
      <c r="D918" s="81"/>
      <c r="E918" s="82"/>
      <c r="F918" s="81">
        <v>800</v>
      </c>
      <c r="G918" s="341">
        <v>7760000</v>
      </c>
      <c r="H918" s="337"/>
      <c r="I918" s="42">
        <f t="shared" si="276"/>
        <v>7760000</v>
      </c>
      <c r="J918" s="337">
        <v>7760000</v>
      </c>
    </row>
    <row r="919" spans="1:10" ht="63.75" hidden="1" customHeight="1">
      <c r="A919" s="41" t="str">
        <f>IF(B919&gt;0,VLOOKUP(B919,КВСР!A762:B1927,2),IF(C919&gt;0,VLOOKUP(C919,КФСР!A762:B2274,2),IF(D919&gt;0,VLOOKUP(D919,Программа!A$1:B$5063,2),IF(F919&gt;0,VLOOKUP(F919,КВР!A$1:B$5001,2),IF(E919&gt;0,VLOOKUP(E919,Направление!A$1:B$4755,2))))))</f>
        <v>Обеспечение мероприятий,  связанные с выполнением полномочий ОМС МО  по тепло-, водоснабжению и водоотведению</v>
      </c>
      <c r="B919" s="79"/>
      <c r="C919" s="80"/>
      <c r="D919" s="81"/>
      <c r="E919" s="82">
        <v>29036</v>
      </c>
      <c r="F919" s="81"/>
      <c r="G919" s="341">
        <v>887000</v>
      </c>
      <c r="H919" s="341">
        <f>H920</f>
        <v>-887000</v>
      </c>
      <c r="I919" s="341">
        <f>I920</f>
        <v>0</v>
      </c>
      <c r="J919" s="341">
        <f>J920</f>
        <v>0</v>
      </c>
    </row>
    <row r="920" spans="1:10" ht="20.25" hidden="1" customHeight="1">
      <c r="A920" s="41" t="str">
        <f>IF(B920&gt;0,VLOOKUP(B920,КВСР!A763:B1928,2),IF(C920&gt;0,VLOOKUP(C920,КФСР!A763:B2275,2),IF(D920&gt;0,VLOOKUP(D920,Программа!A$1:B$5063,2),IF(F920&gt;0,VLOOKUP(F920,КВР!A$1:B$5001,2),IF(E920&gt;0,VLOOKUP(E920,Направление!A$1:B$4755,2))))))</f>
        <v>Иные бюджетные ассигнования</v>
      </c>
      <c r="B920" s="79"/>
      <c r="C920" s="80"/>
      <c r="D920" s="81"/>
      <c r="E920" s="82"/>
      <c r="F920" s="81">
        <v>800</v>
      </c>
      <c r="G920" s="341">
        <v>887000</v>
      </c>
      <c r="H920" s="337">
        <v>-887000</v>
      </c>
      <c r="I920" s="42">
        <f>SUM(G920:H920)</f>
        <v>0</v>
      </c>
      <c r="J920" s="337"/>
    </row>
    <row r="921" spans="1:10" ht="90" customHeight="1">
      <c r="A921" s="41" t="str">
        <f>IF(B921&gt;0,VLOOKUP(B921,КВСР!A764:B1929,2),IF(C921&gt;0,VLOOKUP(C921,КФСР!A764:B2276,2),IF(D921&gt;0,VLOOKUP(D921,Программа!A$1:B$5063,2),IF(F921&gt;0,VLOOKUP(F921,КВР!A$1:B$5001,2),IF(E921&gt;0,VLOOKUP(E921,Направление!A$1:B$4755,2))))))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921" s="79"/>
      <c r="C921" s="80"/>
      <c r="D921" s="69" t="s">
        <v>2715</v>
      </c>
      <c r="E921" s="82"/>
      <c r="F921" s="81"/>
      <c r="G921" s="341">
        <v>18537626.990000002</v>
      </c>
      <c r="H921" s="341">
        <f>H922+H928</f>
        <v>-140000</v>
      </c>
      <c r="I921" s="42">
        <f t="shared" si="276"/>
        <v>18397626.990000002</v>
      </c>
      <c r="J921" s="341">
        <f>J922+J928</f>
        <v>13416895</v>
      </c>
    </row>
    <row r="922" spans="1:10" ht="63">
      <c r="A922" s="41" t="str">
        <f>IF(B922&gt;0,VLOOKUP(B922,КВСР!A765:B1930,2),IF(C922&gt;0,VLOOKUP(C922,КФСР!A765:B2277,2),IF(D922&gt;0,VLOOKUP(D922,Программа!A$1:B$5063,2),IF(F922&gt;0,VLOOKUP(F922,КВР!A$1:B$5001,2),IF(E922&gt;0,VLOOKUP(E922,Направление!A$1:B$4755,2))))))</f>
        <v>Модернизация объектов теплоснабжения с вводом их в эксплуатацию (строительство и реконструкция котельных)</v>
      </c>
      <c r="B922" s="79"/>
      <c r="C922" s="80"/>
      <c r="D922" s="69" t="s">
        <v>2717</v>
      </c>
      <c r="E922" s="82"/>
      <c r="F922" s="81"/>
      <c r="G922" s="341">
        <v>802626</v>
      </c>
      <c r="H922" s="341">
        <f>H923+H926</f>
        <v>-100000</v>
      </c>
      <c r="I922" s="42">
        <f>SUM(G922:H922)</f>
        <v>702626</v>
      </c>
      <c r="J922" s="341">
        <f>J923+J926</f>
        <v>692975</v>
      </c>
    </row>
    <row r="923" spans="1:10" ht="47.25" hidden="1">
      <c r="A923" s="41" t="str">
        <f>IF(B923&gt;0,VLOOKUP(B923,КВСР!A766:B1931,2),IF(C923&gt;0,VLOOKUP(C923,КФСР!A766:B2278,2),IF(D923&gt;0,VLOOKUP(D923,Программа!A$1:B$5063,2),IF(F923&gt;0,VLOOKUP(F923,КВР!A$1:B$5001,2),IF(E923&gt;0,VLOOKUP(E923,Направление!A$1:B$4755,2))))))</f>
        <v>Бюджетные инвестиции в объекты капитального строительства муниципальной собственности</v>
      </c>
      <c r="B923" s="79"/>
      <c r="C923" s="80"/>
      <c r="D923" s="81"/>
      <c r="E923" s="82">
        <v>10010</v>
      </c>
      <c r="F923" s="81"/>
      <c r="G923" s="341">
        <v>109651</v>
      </c>
      <c r="H923" s="341">
        <f>H925+H924</f>
        <v>-100000</v>
      </c>
      <c r="I923" s="42">
        <f t="shared" si="276"/>
        <v>9651</v>
      </c>
      <c r="J923" s="341">
        <f>J925+J924</f>
        <v>0</v>
      </c>
    </row>
    <row r="924" spans="1:10" ht="31.5" hidden="1">
      <c r="A924" s="41" t="str">
        <f>IF(B924&gt;0,VLOOKUP(B924,КВСР!A767:B1932,2),IF(C924&gt;0,VLOOKUP(C924,КФСР!A767:B2279,2),IF(D924&gt;0,VLOOKUP(D924,Программа!A$1:B$5063,2),IF(F924&gt;0,VLOOKUP(F924,КВР!A$1:B$5001,2),IF(E924&gt;0,VLOOKUP(E924,Направление!A$1:B$4755,2))))))</f>
        <v>Закупка товаров, работ и услуг для государственных нужд</v>
      </c>
      <c r="B924" s="79"/>
      <c r="C924" s="80"/>
      <c r="D924" s="81"/>
      <c r="E924" s="82"/>
      <c r="F924" s="81">
        <v>200</v>
      </c>
      <c r="G924" s="341">
        <v>109651</v>
      </c>
      <c r="H924" s="337">
        <v>-100000</v>
      </c>
      <c r="I924" s="42">
        <f>SUM(G924:H924)</f>
        <v>9651</v>
      </c>
      <c r="J924" s="337">
        <v>0</v>
      </c>
    </row>
    <row r="925" spans="1:10" hidden="1">
      <c r="A925" s="41" t="str">
        <f>IF(B925&gt;0,VLOOKUP(B925,КВСР!A768:B1933,2),IF(C925&gt;0,VLOOKUP(C925,КФСР!A768:B2280,2),IF(D925&gt;0,VLOOKUP(D925,Программа!A$1:B$5063,2),IF(F925&gt;0,VLOOKUP(F925,КВР!A$1:B$5001,2),IF(E925&gt;0,VLOOKUP(E925,Направление!A$1:B$4755,2))))))</f>
        <v>Бюджетные инвестиции</v>
      </c>
      <c r="B925" s="79"/>
      <c r="C925" s="80"/>
      <c r="D925" s="81"/>
      <c r="E925" s="82"/>
      <c r="F925" s="81">
        <v>400</v>
      </c>
      <c r="G925" s="341">
        <v>0</v>
      </c>
      <c r="H925" s="337"/>
      <c r="I925" s="42">
        <f t="shared" si="276"/>
        <v>0</v>
      </c>
      <c r="J925" s="337"/>
    </row>
    <row r="926" spans="1:10" ht="52.5" customHeight="1">
      <c r="A926" s="41" t="str">
        <f>IF(B926&gt;0,VLOOKUP(B926,КВСР!A769:B1934,2),IF(C926&gt;0,VLOOKUP(C926,КФСР!A769:B2281,2),IF(D926&gt;0,VLOOKUP(D926,Программа!A$1:B$5063,2),IF(F926&gt;0,VLOOKUP(F926,КВР!A$1:B$5001,2),IF(E926&gt;0,VLOOKUP(E926,Направление!A$1:B$4755,2))))))</f>
        <v xml:space="preserve">Обеспечение мероприятий по строительству и реконструкции объектов теплоснабжения </v>
      </c>
      <c r="B926" s="79"/>
      <c r="C926" s="80"/>
      <c r="D926" s="81"/>
      <c r="E926" s="82">
        <v>29056</v>
      </c>
      <c r="F926" s="81"/>
      <c r="G926" s="341">
        <v>692975</v>
      </c>
      <c r="H926" s="341">
        <f>H927</f>
        <v>0</v>
      </c>
      <c r="I926" s="341">
        <f>I927</f>
        <v>692975</v>
      </c>
      <c r="J926" s="341">
        <f>J927</f>
        <v>692975</v>
      </c>
    </row>
    <row r="927" spans="1:10">
      <c r="A927" s="41" t="str">
        <f>IF(B927&gt;0,VLOOKUP(B927,КВСР!A770:B1935,2),IF(C927&gt;0,VLOOKUP(C927,КФСР!A770:B2282,2),IF(D927&gt;0,VLOOKUP(D927,Программа!A$1:B$5063,2),IF(F927&gt;0,VLOOKUP(F927,КВР!A$1:B$5001,2),IF(E927&gt;0,VLOOKUP(E927,Направление!A$1:B$4755,2))))))</f>
        <v>Бюджетные инвестиции</v>
      </c>
      <c r="B927" s="79"/>
      <c r="C927" s="80"/>
      <c r="D927" s="81"/>
      <c r="E927" s="82"/>
      <c r="F927" s="81">
        <v>400</v>
      </c>
      <c r="G927" s="341">
        <v>692975</v>
      </c>
      <c r="H927" s="337"/>
      <c r="I927" s="42">
        <f>SUM(G927:H927)</f>
        <v>692975</v>
      </c>
      <c r="J927" s="337">
        <v>692975</v>
      </c>
    </row>
    <row r="928" spans="1:10" ht="94.5">
      <c r="A928" s="41" t="str">
        <f>IF(B928&gt;0,VLOOKUP(B928,КВСР!A771:B1936,2),IF(C928&gt;0,VLOOKUP(C928,КФСР!A771:B2283,2),IF(D928&gt;0,VLOOKUP(D928,Программа!A$1:B$5063,2),IF(F928&gt;0,VLOOKUP(F928,КВР!A$1:B$5001,2),IF(E928&gt;0,VLOOKUP(E928,Направление!A$1:B$4755,2))))))</f>
        <v>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v>
      </c>
      <c r="B928" s="79"/>
      <c r="C928" s="80"/>
      <c r="D928" s="69" t="s">
        <v>2719</v>
      </c>
      <c r="E928" s="82"/>
      <c r="F928" s="81"/>
      <c r="G928" s="341">
        <v>17735000.989999998</v>
      </c>
      <c r="H928" s="341">
        <f>H929+H933+H936+H938+H931</f>
        <v>-40000</v>
      </c>
      <c r="I928" s="341">
        <f>I929+I933+I936+I938+I931</f>
        <v>17695000.989999998</v>
      </c>
      <c r="J928" s="341">
        <f>J929+J933+J936+J938+J931</f>
        <v>12723920</v>
      </c>
    </row>
    <row r="929" spans="1:10" ht="47.25">
      <c r="A929" s="41" t="str">
        <f>IF(B929&gt;0,VLOOKUP(B929,КВСР!A772:B1937,2),IF(C929&gt;0,VLOOKUP(C929,КФСР!A772:B2284,2),IF(D929&gt;0,VLOOKUP(D929,Программа!A$1:B$5063,2),IF(F929&gt;0,VLOOKUP(F929,КВР!A$1:B$5001,2),IF(E929&gt;0,VLOOKUP(E929,Направление!A$1:B$4755,2))))))</f>
        <v>Бюджетные инвестиции в объекты капитального строительства муниципальной собственности</v>
      </c>
      <c r="B929" s="79"/>
      <c r="C929" s="80"/>
      <c r="D929" s="81"/>
      <c r="E929" s="82">
        <v>10010</v>
      </c>
      <c r="F929" s="81"/>
      <c r="G929" s="341">
        <v>920000</v>
      </c>
      <c r="H929" s="341">
        <f>H930</f>
        <v>-40000</v>
      </c>
      <c r="I929" s="341">
        <f>I930</f>
        <v>880000</v>
      </c>
      <c r="J929" s="341">
        <f>J930</f>
        <v>10000</v>
      </c>
    </row>
    <row r="930" spans="1:10">
      <c r="A930" s="41" t="str">
        <f>IF(B930&gt;0,VLOOKUP(B930,КВСР!A773:B1938,2),IF(C930&gt;0,VLOOKUP(C930,КФСР!A773:B2285,2),IF(D930&gt;0,VLOOKUP(D930,Программа!A$1:B$5063,2),IF(F930&gt;0,VLOOKUP(F930,КВР!A$1:B$5001,2),IF(E930&gt;0,VLOOKUP(E930,Направление!A$1:B$4755,2))))))</f>
        <v>Бюджетные инвестиции</v>
      </c>
      <c r="B930" s="79"/>
      <c r="C930" s="80"/>
      <c r="D930" s="81"/>
      <c r="E930" s="82"/>
      <c r="F930" s="81">
        <v>400</v>
      </c>
      <c r="G930" s="341">
        <v>920000</v>
      </c>
      <c r="H930" s="337">
        <v>-40000</v>
      </c>
      <c r="I930" s="42">
        <f>SUM(G930:H930)</f>
        <v>880000</v>
      </c>
      <c r="J930" s="337">
        <v>10000</v>
      </c>
    </row>
    <row r="931" spans="1:10" ht="57.75" hidden="1" customHeight="1">
      <c r="A931" s="41" t="str">
        <f>IF(B931&gt;0,VLOOKUP(B931,КВСР!A774:B1939,2),IF(C931&gt;0,VLOOKUP(C931,КФСР!A774:B2286,2),IF(D931&gt;0,VLOOKUP(D931,Программа!A$1:B$5063,2),IF(F931&gt;0,VLOOKUP(F931,КВР!A$1:B$5001,2),IF(E931&gt;0,VLOOKUP(E931,Направление!A$1:B$4755,2))))))</f>
        <v xml:space="preserve">Обеспечение мероприятий по строительству и реконструкции объектов теплоснабжения </v>
      </c>
      <c r="B931" s="79"/>
      <c r="C931" s="80"/>
      <c r="D931" s="81"/>
      <c r="E931" s="82">
        <v>29056</v>
      </c>
      <c r="F931" s="81"/>
      <c r="G931" s="341">
        <v>0</v>
      </c>
      <c r="H931" s="341">
        <f>H932</f>
        <v>0</v>
      </c>
      <c r="I931" s="42">
        <f>I932</f>
        <v>0</v>
      </c>
      <c r="J931" s="341">
        <f>J932</f>
        <v>0</v>
      </c>
    </row>
    <row r="932" spans="1:10" hidden="1">
      <c r="A932" s="41" t="str">
        <f>IF(B932&gt;0,VLOOKUP(B932,КВСР!A775:B1940,2),IF(C932&gt;0,VLOOKUP(C932,КФСР!A775:B2287,2),IF(D932&gt;0,VLOOKUP(D932,Программа!A$1:B$5063,2),IF(F932&gt;0,VLOOKUP(F932,КВР!A$1:B$5001,2),IF(E932&gt;0,VLOOKUP(E932,Направление!A$1:B$4755,2))))))</f>
        <v>Бюджетные инвестиции</v>
      </c>
      <c r="B932" s="79"/>
      <c r="C932" s="80"/>
      <c r="D932" s="81"/>
      <c r="E932" s="82"/>
      <c r="F932" s="81">
        <v>400</v>
      </c>
      <c r="G932" s="341">
        <v>0</v>
      </c>
      <c r="H932" s="337"/>
      <c r="I932" s="42">
        <f>SUM(G932:H932)</f>
        <v>0</v>
      </c>
      <c r="J932" s="337"/>
    </row>
    <row r="933" spans="1:10" ht="50.25" customHeight="1">
      <c r="A933" s="41" t="str">
        <f>IF(B933&gt;0,VLOOKUP(B933,КВСР!A776:B1941,2),IF(C933&gt;0,VLOOKUP(C933,КФСР!A776:B2288,2),IF(D933&gt;0,VLOOKUP(D933,Программа!A$1:B$5063,2),IF(F933&gt;0,VLOOKUP(F933,КВР!A$1:B$5001,2),IF(E933&gt;0,VLOOKUP(E933,Направление!A$1:B$4755,2))))))</f>
        <v xml:space="preserve">Обеспечение мероприятий по строительству и реконструкции  объектов  газификации </v>
      </c>
      <c r="B933" s="79"/>
      <c r="C933" s="80"/>
      <c r="D933" s="81"/>
      <c r="E933" s="82">
        <v>29066</v>
      </c>
      <c r="F933" s="81"/>
      <c r="G933" s="341">
        <v>3049539.8099999996</v>
      </c>
      <c r="H933" s="341">
        <f>H934+H935</f>
        <v>0</v>
      </c>
      <c r="I933" s="341">
        <f>I934+I935</f>
        <v>3049539.8099999996</v>
      </c>
      <c r="J933" s="341">
        <f>J934+J935</f>
        <v>1551145</v>
      </c>
    </row>
    <row r="934" spans="1:10">
      <c r="A934" s="41" t="str">
        <f>IF(B934&gt;0,VLOOKUP(B934,КВСР!A777:B1942,2),IF(C934&gt;0,VLOOKUP(C934,КФСР!A777:B2289,2),IF(D934&gt;0,VLOOKUP(D934,Программа!A$1:B$5063,2),IF(F934&gt;0,VLOOKUP(F934,КВР!A$1:B$5001,2),IF(E934&gt;0,VLOOKUP(E934,Направление!A$1:B$4755,2))))))</f>
        <v>Бюджетные инвестиции</v>
      </c>
      <c r="B934" s="79"/>
      <c r="C934" s="80"/>
      <c r="D934" s="81"/>
      <c r="E934" s="82"/>
      <c r="F934" s="81">
        <v>400</v>
      </c>
      <c r="G934" s="341">
        <v>3049539.8099999996</v>
      </c>
      <c r="H934" s="337"/>
      <c r="I934" s="42">
        <f>SUM(G934:H934)</f>
        <v>3049539.8099999996</v>
      </c>
      <c r="J934" s="337">
        <v>1551145</v>
      </c>
    </row>
    <row r="935" spans="1:10" ht="63" hidden="1">
      <c r="A935" s="41" t="str">
        <f>IF(B935&gt;0,VLOOKUP(B935,КВСР!A778:B1943,2),IF(C935&gt;0,VLOOKUP(C935,КФСР!A778:B2290,2),IF(D935&gt;0,VLOOKUP(D935,Программа!A$1:B$5063,2),IF(F935&gt;0,VLOOKUP(F935,КВР!A$1:B$5001,2),IF(E935&gt;0,VLOOKUP(E935,Направление!A$1:B$4755,2))))))</f>
        <v>Предоставление субсидий бюджетным, автономным учреждениям и иным некоммерческим организациям</v>
      </c>
      <c r="B935" s="79"/>
      <c r="C935" s="80"/>
      <c r="D935" s="81"/>
      <c r="E935" s="82"/>
      <c r="F935" s="81">
        <v>600</v>
      </c>
      <c r="G935" s="341">
        <v>0</v>
      </c>
      <c r="H935" s="337"/>
      <c r="I935" s="42">
        <f>SUM(G935:H935)</f>
        <v>0</v>
      </c>
      <c r="J935" s="337"/>
    </row>
    <row r="936" spans="1:10" ht="66.75" customHeight="1">
      <c r="A936" s="41" t="str">
        <f>IF(B936&gt;0,VLOOKUP(B936,КВСР!A779:B1944,2),IF(C936&gt;0,VLOOKUP(C936,КФСР!A779:B2291,2),IF(D936&gt;0,VLOOKUP(D936,Программа!A$1:B$5063,2),IF(F936&gt;0,VLOOKUP(F936,КВР!A$1:B$5001,2),IF(E936&gt;0,VLOOKUP(E936,Направление!A$1:B$4755,2))))))</f>
        <v>Субсидия на реализацию мероприятий по строительству и реконструкции объектов теплоснабжения и газификации</v>
      </c>
      <c r="B936" s="79"/>
      <c r="C936" s="80"/>
      <c r="D936" s="81"/>
      <c r="E936" s="82">
        <v>72016</v>
      </c>
      <c r="F936" s="81"/>
      <c r="G936" s="341">
        <v>13115001</v>
      </c>
      <c r="H936" s="341">
        <f>H937</f>
        <v>0</v>
      </c>
      <c r="I936" s="341">
        <f>I937</f>
        <v>13115001</v>
      </c>
      <c r="J936" s="341">
        <f>J937</f>
        <v>10512315</v>
      </c>
    </row>
    <row r="937" spans="1:10">
      <c r="A937" s="41" t="str">
        <f>IF(B937&gt;0,VLOOKUP(B937,КВСР!A780:B1945,2),IF(C937&gt;0,VLOOKUP(C937,КФСР!A780:B2292,2),IF(D937&gt;0,VLOOKUP(D937,Программа!A$1:B$5063,2),IF(F937&gt;0,VLOOKUP(F937,КВР!A$1:B$5001,2),IF(E937&gt;0,VLOOKUP(E937,Направление!A$1:B$4755,2))))))</f>
        <v>Бюджетные инвестиции</v>
      </c>
      <c r="B937" s="79"/>
      <c r="C937" s="80"/>
      <c r="D937" s="81"/>
      <c r="E937" s="82"/>
      <c r="F937" s="81">
        <v>400</v>
      </c>
      <c r="G937" s="341">
        <v>13115001</v>
      </c>
      <c r="H937" s="337"/>
      <c r="I937" s="42">
        <f>SUM(G937:H937)</f>
        <v>13115001</v>
      </c>
      <c r="J937" s="337">
        <v>10512315</v>
      </c>
    </row>
    <row r="938" spans="1:10" ht="84" customHeight="1">
      <c r="A938" s="41" t="str">
        <f>IF(B938&gt;0,VLOOKUP(B938,КВСР!A781:B1946,2),IF(C938&gt;0,VLOOKUP(C938,КФСР!A781:B2293,2),IF(D938&gt;0,VLOOKUP(D938,Программа!A$1:B$5063,2),IF(F938&gt;0,VLOOKUP(F938,КВР!A$1:B$5001,2),IF(E938&gt;0,VLOOKUP(E938,Направление!A$1:B$4755,2))))))</f>
        <v>Субсидия на реализацию мероприятий по строительству и реконструкции объектов теплоснабжения и газификации  софинансирование из средств поселений</v>
      </c>
      <c r="B938" s="79"/>
      <c r="C938" s="80"/>
      <c r="D938" s="81"/>
      <c r="E938" s="609" t="s">
        <v>3078</v>
      </c>
      <c r="F938" s="81"/>
      <c r="G938" s="341">
        <v>650460.18000000005</v>
      </c>
      <c r="H938" s="341">
        <f>H939</f>
        <v>0</v>
      </c>
      <c r="I938" s="341">
        <f>I939</f>
        <v>650460.18000000005</v>
      </c>
      <c r="J938" s="341">
        <f>J939</f>
        <v>650460</v>
      </c>
    </row>
    <row r="939" spans="1:10">
      <c r="A939" s="41" t="str">
        <f>IF(B939&gt;0,VLOOKUP(B939,КВСР!A782:B1947,2),IF(C939&gt;0,VLOOKUP(C939,КФСР!A782:B2294,2),IF(D939&gt;0,VLOOKUP(D939,Программа!A$1:B$5063,2),IF(F939&gt;0,VLOOKUP(F939,КВР!A$1:B$5001,2),IF(E939&gt;0,VLOOKUP(E939,Направление!A$1:B$4755,2))))))</f>
        <v>Бюджетные инвестиции</v>
      </c>
      <c r="B939" s="79"/>
      <c r="C939" s="80"/>
      <c r="D939" s="81"/>
      <c r="E939" s="82"/>
      <c r="F939" s="81">
        <v>400</v>
      </c>
      <c r="G939" s="341">
        <v>650460.18000000005</v>
      </c>
      <c r="H939" s="337"/>
      <c r="I939" s="42">
        <f>SUM(G939:H939)</f>
        <v>650460.18000000005</v>
      </c>
      <c r="J939" s="337">
        <v>650460</v>
      </c>
    </row>
    <row r="940" spans="1:10" ht="94.5">
      <c r="A940" s="41" t="str">
        <f>IF(B940&gt;0,VLOOKUP(B940,КВСР!A783:B1948,2),IF(C940&gt;0,VLOOKUP(C940,КФСР!A783:B2295,2),IF(D940&gt;0,VLOOKUP(D940,Программа!A$1:B$5063,2),IF(F940&gt;0,VLOOKUP(F940,КВР!A$1:B$5001,2),IF(E940&gt;0,VLOOKUP(E940,Направление!A$1:B$4755,2))))))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940" s="79"/>
      <c r="C940" s="80"/>
      <c r="D940" s="69" t="s">
        <v>2721</v>
      </c>
      <c r="E940" s="82"/>
      <c r="F940" s="81"/>
      <c r="G940" s="341">
        <v>6391886.3200000003</v>
      </c>
      <c r="H940" s="341">
        <f>H941+H950</f>
        <v>-105930</v>
      </c>
      <c r="I940" s="42">
        <f>SUM(G940:H940)</f>
        <v>6285956.3200000003</v>
      </c>
      <c r="J940" s="341">
        <f>J941+J950</f>
        <v>5196940</v>
      </c>
    </row>
    <row r="941" spans="1:10" ht="78.75">
      <c r="A941" s="41" t="str">
        <f>IF(B941&gt;0,VLOOKUP(B941,КВСР!A784:B1949,2),IF(C941&gt;0,VLOOKUP(C941,КФСР!A784:B2296,2),IF(D941&gt;0,VLOOKUP(D941,Программа!A$1:B$5063,2),IF(F941&gt;0,VLOOKUP(F941,КВР!A$1:B$5001,2),IF(E941&gt;0,VLOOKUP(E941,Направление!A$1:B$4755,2))))))</f>
        <v>Повышение качества водоснабжения в результате модернизации существующих источников водоснабжения и строительство  новых</v>
      </c>
      <c r="B941" s="79"/>
      <c r="C941" s="80"/>
      <c r="D941" s="69" t="s">
        <v>2723</v>
      </c>
      <c r="E941" s="82"/>
      <c r="F941" s="81"/>
      <c r="G941" s="341">
        <v>5941886.3200000003</v>
      </c>
      <c r="H941" s="341">
        <f>H942+H945+H948</f>
        <v>-105930</v>
      </c>
      <c r="I941" s="42">
        <f t="shared" ref="I941:I1107" si="304">SUM(G941:H941)</f>
        <v>5835956.3200000003</v>
      </c>
      <c r="J941" s="341">
        <f>J942+J945+J948</f>
        <v>4746940</v>
      </c>
    </row>
    <row r="942" spans="1:10" ht="47.25">
      <c r="A942" s="41" t="str">
        <f>IF(B942&gt;0,VLOOKUP(B942,КВСР!A785:B1950,2),IF(C942&gt;0,VLOOKUP(C942,КФСР!A785:B2297,2),IF(D942&gt;0,VLOOKUP(D942,Программа!A$1:B$5063,2),IF(F942&gt;0,VLOOKUP(F942,КВР!A$1:B$5001,2),IF(E942&gt;0,VLOOKUP(E942,Направление!A$1:B$4755,2))))))</f>
        <v>Бюджетные инвестиции в объекты капитального строительства муниципальной собственности</v>
      </c>
      <c r="B942" s="79"/>
      <c r="C942" s="80"/>
      <c r="D942" s="69"/>
      <c r="E942" s="82">
        <v>10010</v>
      </c>
      <c r="F942" s="81"/>
      <c r="G942" s="341">
        <v>2330197</v>
      </c>
      <c r="H942" s="341">
        <f>H943+H944</f>
        <v>-9000</v>
      </c>
      <c r="I942" s="42">
        <f t="shared" si="304"/>
        <v>2321197</v>
      </c>
      <c r="J942" s="341">
        <f>J943+J944</f>
        <v>1287939</v>
      </c>
    </row>
    <row r="943" spans="1:10">
      <c r="A943" s="41" t="str">
        <f>IF(B943&gt;0,VLOOKUP(B943,КВСР!A786:B1951,2),IF(C943&gt;0,VLOOKUP(C943,КФСР!A786:B2298,2),IF(D943&gt;0,VLOOKUP(D943,Программа!A$1:B$5063,2),IF(F943&gt;0,VLOOKUP(F943,КВР!A$1:B$5001,2),IF(E943&gt;0,VLOOKUP(E943,Направление!A$1:B$4755,2))))))</f>
        <v>Бюджетные инвестиции</v>
      </c>
      <c r="B943" s="79"/>
      <c r="C943" s="80"/>
      <c r="D943" s="69"/>
      <c r="E943" s="82"/>
      <c r="F943" s="81">
        <v>400</v>
      </c>
      <c r="G943" s="341">
        <v>950197</v>
      </c>
      <c r="H943" s="337">
        <v>-9000</v>
      </c>
      <c r="I943" s="42">
        <f t="shared" si="304"/>
        <v>941197</v>
      </c>
      <c r="J943" s="337">
        <v>708143</v>
      </c>
    </row>
    <row r="944" spans="1:10" ht="26.25" customHeight="1">
      <c r="A944" s="41" t="str">
        <f>IF(B944&gt;0,VLOOKUP(B944,КВСР!A787:B1952,2),IF(C944&gt;0,VLOOKUP(C944,КФСР!A787:B2299,2),IF(D944&gt;0,VLOOKUP(D944,Программа!A$1:B$5063,2),IF(F944&gt;0,VLOOKUP(F944,КВР!A$1:B$5001,2),IF(E944&gt;0,VLOOKUP(E944,Направление!A$1:B$4755,2))))))</f>
        <v xml:space="preserve"> Межбюджетные трансферты</v>
      </c>
      <c r="B944" s="79"/>
      <c r="C944" s="80"/>
      <c r="D944" s="69"/>
      <c r="E944" s="82"/>
      <c r="F944" s="81">
        <v>500</v>
      </c>
      <c r="G944" s="341">
        <v>1380000</v>
      </c>
      <c r="H944" s="337"/>
      <c r="I944" s="42">
        <f>SUM(G944:H944)</f>
        <v>1380000</v>
      </c>
      <c r="J944" s="337">
        <v>579796</v>
      </c>
    </row>
    <row r="945" spans="1:10" ht="65.25" customHeight="1">
      <c r="A945" s="41" t="str">
        <f>IF(B945&gt;0,VLOOKUP(B945,КВСР!A788:B1953,2),IF(C945&gt;0,VLOOKUP(C945,КФСР!A788:B2300,2),IF(D945&gt;0,VLOOKUP(D945,Программа!A$1:B$5063,2),IF(F945&gt;0,VLOOKUP(F945,КВР!A$1:B$5001,2),IF(E945&gt;0,VLOOKUP(E945,Направление!A$1:B$4755,2))))))</f>
        <v xml:space="preserve">Обеспечение мероприятий на строительство и реконструкцию объектов водоснабжения и водоотведения </v>
      </c>
      <c r="B945" s="79"/>
      <c r="C945" s="80"/>
      <c r="D945" s="69"/>
      <c r="E945" s="82">
        <v>29046</v>
      </c>
      <c r="F945" s="81"/>
      <c r="G945" s="341">
        <v>1181745.3199999998</v>
      </c>
      <c r="H945" s="341">
        <f>SUM(H946:H947)</f>
        <v>-96930</v>
      </c>
      <c r="I945" s="341">
        <f>SUM(G945:H945)</f>
        <v>1084815.3199999998</v>
      </c>
      <c r="J945" s="341">
        <f>SUM(J946:J947)</f>
        <v>1029057</v>
      </c>
    </row>
    <row r="946" spans="1:10" ht="23.25" customHeight="1">
      <c r="A946" s="41" t="str">
        <f>IF(B946&gt;0,VLOOKUP(B946,КВСР!A789:B1954,2),IF(C946&gt;0,VLOOKUP(C946,КФСР!A789:B2301,2),IF(D946&gt;0,VLOOKUP(D946,Программа!A$1:B$5063,2),IF(F946&gt;0,VLOOKUP(F946,КВР!A$1:B$5001,2),IF(E946&gt;0,VLOOKUP(E946,Направление!A$1:B$4755,2))))))</f>
        <v>Бюджетные инвестиции</v>
      </c>
      <c r="B946" s="79"/>
      <c r="C946" s="80"/>
      <c r="D946" s="69"/>
      <c r="E946" s="82"/>
      <c r="F946" s="81">
        <v>400</v>
      </c>
      <c r="G946" s="341">
        <v>1181745.3199999998</v>
      </c>
      <c r="H946" s="337">
        <v>-152687</v>
      </c>
      <c r="I946" s="42">
        <f>SUM(G946:H946)</f>
        <v>1029058.3199999998</v>
      </c>
      <c r="J946" s="337">
        <v>1029057</v>
      </c>
    </row>
    <row r="947" spans="1:10" ht="62.25" hidden="1" customHeight="1">
      <c r="A947" s="41" t="str">
        <f>IF(B947&gt;0,VLOOKUP(B947,КВСР!A790:B1955,2),IF(C947&gt;0,VLOOKUP(C947,КФСР!A790:B2302,2),IF(D947&gt;0,VLOOKUP(D947,Программа!A$1:B$5063,2),IF(F947&gt;0,VLOOKUP(F947,КВР!A$1:B$5001,2),IF(E947&gt;0,VLOOKUP(E947,Направление!A$1:B$4755,2))))))</f>
        <v>Предоставление субсидий бюджетным, автономным учреждениям и иным некоммерческим организациям</v>
      </c>
      <c r="B947" s="79"/>
      <c r="C947" s="80"/>
      <c r="D947" s="69"/>
      <c r="E947" s="82"/>
      <c r="F947" s="81">
        <v>600</v>
      </c>
      <c r="G947" s="341"/>
      <c r="H947" s="337">
        <v>55757</v>
      </c>
      <c r="I947" s="42">
        <f>SUM(G947:H947)</f>
        <v>55757</v>
      </c>
      <c r="J947" s="337">
        <v>0</v>
      </c>
    </row>
    <row r="948" spans="1:10" ht="78.75" customHeight="1">
      <c r="A948" s="41" t="str">
        <f>IF(B948&gt;0,VLOOKUP(B948,КВСР!A790:B1955,2),IF(C948&gt;0,VLOOKUP(C948,КФСР!A790:B2302,2),IF(D948&gt;0,VLOOKUP(D948,Программа!A$1:B$5063,2),IF(F948&gt;0,VLOOKUP(F948,КВР!A$1:B$5001,2),IF(E948&gt;0,VLOOKUP(E948,Направление!A$1:B$4755,2))))))</f>
        <v>Субсидия на реализацию мероприятий по строительству и реконструкции объектов водоснабжения и водоотведения за счет средств областного бюджета</v>
      </c>
      <c r="B948" s="79"/>
      <c r="C948" s="80"/>
      <c r="D948" s="69"/>
      <c r="E948" s="82">
        <v>72040</v>
      </c>
      <c r="F948" s="81"/>
      <c r="G948" s="341">
        <v>2429944</v>
      </c>
      <c r="H948" s="341">
        <f>H949</f>
        <v>0</v>
      </c>
      <c r="I948" s="341">
        <f>I949</f>
        <v>2429944</v>
      </c>
      <c r="J948" s="341">
        <f>J949</f>
        <v>2429944</v>
      </c>
    </row>
    <row r="949" spans="1:10" ht="28.5" customHeight="1">
      <c r="A949" s="41" t="str">
        <f>IF(B949&gt;0,VLOOKUP(B949,КВСР!A791:B1956,2),IF(C949&gt;0,VLOOKUP(C949,КФСР!A791:B2303,2),IF(D949&gt;0,VLOOKUP(D949,Программа!A$1:B$5063,2),IF(F949&gt;0,VLOOKUP(F949,КВР!A$1:B$5001,2),IF(E949&gt;0,VLOOKUP(E949,Направление!A$1:B$4755,2))))))</f>
        <v>Бюджетные инвестиции</v>
      </c>
      <c r="B949" s="79"/>
      <c r="C949" s="80"/>
      <c r="D949" s="69"/>
      <c r="E949" s="82"/>
      <c r="F949" s="81">
        <v>400</v>
      </c>
      <c r="G949" s="341">
        <v>2429944</v>
      </c>
      <c r="H949" s="337"/>
      <c r="I949" s="42">
        <f>SUM(G949:H949)</f>
        <v>2429944</v>
      </c>
      <c r="J949" s="337">
        <v>2429944</v>
      </c>
    </row>
    <row r="950" spans="1:10" ht="90" customHeight="1">
      <c r="A950" s="41" t="str">
        <f>IF(B950&gt;0,VLOOKUP(B950,КВСР!A790:B1955,2),IF(C950&gt;0,VLOOKUP(C950,КФСР!A790:B2302,2),IF(D950&gt;0,VLOOKUP(D950,Программа!A$1:B$5063,2),IF(F950&gt;0,VLOOKUP(F950,КВР!A$1:B$5001,2),IF(E950&gt;0,VLOOKUP(E950,Направление!A$1:B$4755,2))))))</f>
        <v>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v>
      </c>
      <c r="B950" s="79"/>
      <c r="C950" s="80"/>
      <c r="D950" s="69" t="s">
        <v>2725</v>
      </c>
      <c r="E950" s="82"/>
      <c r="F950" s="81"/>
      <c r="G950" s="341">
        <v>450000</v>
      </c>
      <c r="H950" s="341">
        <f t="shared" ref="H950:J951" si="305">H951</f>
        <v>0</v>
      </c>
      <c r="I950" s="341">
        <f t="shared" si="305"/>
        <v>450000</v>
      </c>
      <c r="J950" s="341">
        <f t="shared" si="305"/>
        <v>450000</v>
      </c>
    </row>
    <row r="951" spans="1:10" ht="69.75" customHeight="1">
      <c r="A951" s="41" t="str">
        <f>IF(B951&gt;0,VLOOKUP(B951,КВСР!A791:B1956,2),IF(C951&gt;0,VLOOKUP(C951,КФСР!A791:B2303,2),IF(D951&gt;0,VLOOKUP(D951,Программа!A$1:B$5063,2),IF(F951&gt;0,VLOOKUP(F951,КВР!A$1:B$5001,2),IF(E951&gt;0,VLOOKUP(E951,Направление!A$1:B$4755,2))))))</f>
        <v xml:space="preserve">Обеспечение мероприятий на строительство и реконструкцию объектов водоснабжения и водоотведения </v>
      </c>
      <c r="B951" s="79"/>
      <c r="C951" s="80"/>
      <c r="D951" s="69"/>
      <c r="E951" s="82">
        <v>29046</v>
      </c>
      <c r="F951" s="81"/>
      <c r="G951" s="341">
        <v>450000</v>
      </c>
      <c r="H951" s="341">
        <f t="shared" si="305"/>
        <v>0</v>
      </c>
      <c r="I951" s="341">
        <f t="shared" si="305"/>
        <v>450000</v>
      </c>
      <c r="J951" s="341">
        <f t="shared" si="305"/>
        <v>450000</v>
      </c>
    </row>
    <row r="952" spans="1:10" ht="23.25" customHeight="1">
      <c r="A952" s="41" t="str">
        <f>IF(B952&gt;0,VLOOKUP(B952,КВСР!A792:B1957,2),IF(C952&gt;0,VLOOKUP(C952,КФСР!A792:B2304,2),IF(D952&gt;0,VLOOKUP(D952,Программа!A$1:B$5063,2),IF(F952&gt;0,VLOOKUP(F952,КВР!A$1:B$5001,2),IF(E952&gt;0,VLOOKUP(E952,Направление!A$1:B$4755,2))))))</f>
        <v>Бюджетные инвестиции</v>
      </c>
      <c r="B952" s="79"/>
      <c r="C952" s="80"/>
      <c r="D952" s="69"/>
      <c r="E952" s="82"/>
      <c r="F952" s="81">
        <v>400</v>
      </c>
      <c r="G952" s="341">
        <v>450000</v>
      </c>
      <c r="H952" s="337"/>
      <c r="I952" s="42">
        <f>SUM(G952:H952)</f>
        <v>450000</v>
      </c>
      <c r="J952" s="337">
        <v>450000</v>
      </c>
    </row>
    <row r="953" spans="1:10" ht="94.5">
      <c r="A953" s="41" t="str">
        <f>IF(B953&gt;0,VLOOKUP(B953,КВСР!A793:B1958,2),IF(C953&gt;0,VLOOKUP(C953,КФСР!A793:B2305,2),IF(D953&gt;0,VLOOKUP(D953,Программа!A$1:B$5063,2),IF(F953&gt;0,VLOOKUP(F953,КВР!A$1:B$5001,2),IF(E953&gt;0,VLOOKUP(E953,Направление!A$1:B$4755,2))))))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953" s="79"/>
      <c r="C953" s="80"/>
      <c r="D953" s="69" t="s">
        <v>2727</v>
      </c>
      <c r="E953" s="82"/>
      <c r="F953" s="81"/>
      <c r="G953" s="341">
        <v>17647528</v>
      </c>
      <c r="H953" s="341">
        <f>H954+H967+H976</f>
        <v>-607825</v>
      </c>
      <c r="I953" s="42">
        <f t="shared" si="304"/>
        <v>17039703</v>
      </c>
      <c r="J953" s="341">
        <f>J954+J967+J976</f>
        <v>3889969</v>
      </c>
    </row>
    <row r="954" spans="1:10" ht="47.25">
      <c r="A954" s="41" t="str">
        <f>IF(B954&gt;0,VLOOKUP(B954,КВСР!A794:B1959,2),IF(C954&gt;0,VLOOKUP(C954,КФСР!A794:B2306,2),IF(D954&gt;0,VLOOKUP(D954,Программа!A$1:B$5063,2),IF(F954&gt;0,VLOOKUP(F954,КВР!A$1:B$5001,2),IF(E954&gt;0,VLOOKUP(E954,Направление!A$1:B$4755,2))))))</f>
        <v>Проведение комплекса работ по ремонту, замене и реконструкции объектов теплоснабжения</v>
      </c>
      <c r="B954" s="79"/>
      <c r="C954" s="80"/>
      <c r="D954" s="69" t="s">
        <v>2728</v>
      </c>
      <c r="E954" s="82"/>
      <c r="F954" s="81"/>
      <c r="G954" s="341">
        <v>9587086.8599999994</v>
      </c>
      <c r="H954" s="341">
        <f>H957+H956+H959+H961+H965+H963</f>
        <v>-404295</v>
      </c>
      <c r="I954" s="42">
        <f>SUM(G954:H954)</f>
        <v>9182791.8599999994</v>
      </c>
      <c r="J954" s="341">
        <f>J957+J956+J959+J961+J965+J963</f>
        <v>1403603</v>
      </c>
    </row>
    <row r="955" spans="1:10" ht="47.25">
      <c r="A955" s="41" t="str">
        <f>IF(B955&gt;0,VLOOKUP(B955,КВСР!A795:B1960,2),IF(C955&gt;0,VLOOKUP(C955,КФСР!A795:B2307,2),IF(D955&gt;0,VLOOKUP(D955,Программа!A$1:B$5063,2),IF(F955&gt;0,VLOOKUP(F955,КВР!A$1:B$5001,2),IF(E955&gt;0,VLOOKUP(E955,Направление!A$1:B$4755,2))))))</f>
        <v>Расходы на содержание объектов находящихся в муниципальной собственности</v>
      </c>
      <c r="B955" s="79"/>
      <c r="C955" s="80"/>
      <c r="D955" s="69"/>
      <c r="E955" s="82">
        <v>10030</v>
      </c>
      <c r="F955" s="81"/>
      <c r="G955" s="341">
        <v>2572943.56</v>
      </c>
      <c r="H955" s="341">
        <f>H956</f>
        <v>0</v>
      </c>
      <c r="I955" s="42">
        <f>SUM(G955:H955)</f>
        <v>2572943.56</v>
      </c>
      <c r="J955" s="341">
        <f>J956</f>
        <v>71816</v>
      </c>
    </row>
    <row r="956" spans="1:10" ht="30" customHeight="1">
      <c r="A956" s="41" t="str">
        <f>IF(B956&gt;0,VLOOKUP(B956,КВСР!A796:B1961,2),IF(C956&gt;0,VLOOKUP(C956,КФСР!A796:B2308,2),IF(D956&gt;0,VLOOKUP(D956,Программа!A$1:B$5063,2),IF(F956&gt;0,VLOOKUP(F956,КВР!A$1:B$5001,2),IF(E956&gt;0,VLOOKUP(E956,Направление!A$1:B$4755,2))))))</f>
        <v>Иные бюджетные ассигнования</v>
      </c>
      <c r="B956" s="79"/>
      <c r="C956" s="80"/>
      <c r="D956" s="69"/>
      <c r="E956" s="82"/>
      <c r="F956" s="81">
        <v>800</v>
      </c>
      <c r="G956" s="341">
        <v>2572943.56</v>
      </c>
      <c r="H956" s="337"/>
      <c r="I956" s="42">
        <f>SUM(G956:H956)</f>
        <v>2572943.56</v>
      </c>
      <c r="J956" s="337">
        <v>71816</v>
      </c>
    </row>
    <row r="957" spans="1:10" ht="63">
      <c r="A957" s="41" t="str">
        <f>IF(B957&gt;0,VLOOKUP(B957,КВСР!A797:B1962,2),IF(C957&gt;0,VLOOKUP(C957,КФСР!A797:B2309,2),IF(D957&gt;0,VLOOKUP(D957,Программа!A$1:B$5063,2),IF(F957&gt;0,VLOOKUP(F957,КВР!A$1:B$5001,2),IF(E957&gt;0,VLOOKUP(E957,Направление!A$1:B$4755,2))))))</f>
        <v>Субсидия на возмещение затрат по содержанию и  ремонту муниципальных коммунальных сетей</v>
      </c>
      <c r="B957" s="79"/>
      <c r="C957" s="80"/>
      <c r="D957" s="69"/>
      <c r="E957" s="82">
        <v>10040</v>
      </c>
      <c r="F957" s="81"/>
      <c r="G957" s="341">
        <v>1972062.14</v>
      </c>
      <c r="H957" s="341">
        <f t="shared" ref="H957:J957" si="306">H958</f>
        <v>0</v>
      </c>
      <c r="I957" s="42">
        <f t="shared" si="304"/>
        <v>1972062.14</v>
      </c>
      <c r="J957" s="341">
        <f t="shared" si="306"/>
        <v>1233465</v>
      </c>
    </row>
    <row r="958" spans="1:10">
      <c r="A958" s="41" t="str">
        <f>IF(B958&gt;0,VLOOKUP(B958,КВСР!A798:B1963,2),IF(C958&gt;0,VLOOKUP(C958,КФСР!A798:B2310,2),IF(D958&gt;0,VLOOKUP(D958,Программа!A$1:B$5063,2),IF(F958&gt;0,VLOOKUP(F958,КВР!A$1:B$5001,2),IF(E958&gt;0,VLOOKUP(E958,Направление!A$1:B$4755,2))))))</f>
        <v>Иные бюджетные ассигнования</v>
      </c>
      <c r="B958" s="79"/>
      <c r="C958" s="80"/>
      <c r="D958" s="69"/>
      <c r="E958" s="82"/>
      <c r="F958" s="81">
        <v>800</v>
      </c>
      <c r="G958" s="341">
        <v>1972062.14</v>
      </c>
      <c r="H958" s="337"/>
      <c r="I958" s="42">
        <f t="shared" si="304"/>
        <v>1972062.14</v>
      </c>
      <c r="J958" s="337">
        <v>1233465</v>
      </c>
    </row>
    <row r="959" spans="1:10" ht="91.5" customHeight="1">
      <c r="A959" s="41" t="str">
        <f>IF(B959&gt;0,VLOOKUP(B959,КВСР!A799:B1964,2),IF(C959&gt;0,VLOOKUP(C959,КФСР!A799:B2311,2),IF(D959&gt;0,VLOOKUP(D959,Программа!A$1:B$5063,2),IF(F959&gt;0,VLOOKUP(F959,КВР!A$1:B$5001,2),IF(E959&gt;0,VLOOKUP(E959,Направление!A$1:B$4755,2))))))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v>
      </c>
      <c r="B959" s="79"/>
      <c r="C959" s="80"/>
      <c r="D959" s="69"/>
      <c r="E959" s="82" t="s">
        <v>3167</v>
      </c>
      <c r="F959" s="81"/>
      <c r="G959" s="341">
        <v>144734.16</v>
      </c>
      <c r="H959" s="341">
        <f>H960</f>
        <v>0</v>
      </c>
      <c r="I959" s="341">
        <f>I960</f>
        <v>144734.16</v>
      </c>
      <c r="J959" s="341">
        <f>J960</f>
        <v>98322</v>
      </c>
    </row>
    <row r="960" spans="1:10" ht="30" customHeight="1">
      <c r="A960" s="41" t="str">
        <f>IF(B960&gt;0,VLOOKUP(B960,КВСР!A800:B1965,2),IF(C960&gt;0,VLOOKUP(C960,КФСР!A800:B2312,2),IF(D960&gt;0,VLOOKUP(D960,Программа!A$1:B$5063,2),IF(F960&gt;0,VLOOKUP(F960,КВР!A$1:B$5001,2),IF(E960&gt;0,VLOOKUP(E960,Направление!A$1:B$4755,2))))))</f>
        <v>Иные бюджетные ассигнования</v>
      </c>
      <c r="B960" s="79"/>
      <c r="C960" s="80"/>
      <c r="D960" s="69"/>
      <c r="E960" s="82"/>
      <c r="F960" s="81">
        <v>800</v>
      </c>
      <c r="G960" s="341">
        <v>144734.16</v>
      </c>
      <c r="H960" s="337"/>
      <c r="I960" s="42">
        <f>SUM(G960:H960)</f>
        <v>144734.16</v>
      </c>
      <c r="J960" s="337">
        <v>98322</v>
      </c>
    </row>
    <row r="961" spans="1:10" ht="73.5" hidden="1" customHeight="1">
      <c r="A961" s="41" t="str">
        <f>IF(B961&gt;0,VLOOKUP(B961,КВСР!A801:B1966,2),IF(C961&gt;0,VLOOKUP(C961,КФСР!A801:B2313,2),IF(D961&gt;0,VLOOKUP(D961,Программа!A$1:B$5063,2),IF(F961&gt;0,VLOOKUP(F961,КВР!A$1:B$5001,2),IF(E961&gt;0,VLOOKUP(E961,Направление!A$1:B$4755,2))))))</f>
        <v>Субсидия на выполнение мероприятий по обеспечению бесперебойного предоставления коммунальных услуг потребителям Ярославской области</v>
      </c>
      <c r="B961" s="79"/>
      <c r="C961" s="80"/>
      <c r="D961" s="69"/>
      <c r="E961" s="651">
        <v>75200</v>
      </c>
      <c r="F961" s="81"/>
      <c r="G961" s="341">
        <v>2682242</v>
      </c>
      <c r="H961" s="341">
        <f>H962</f>
        <v>-39184</v>
      </c>
      <c r="I961" s="341">
        <f>I962</f>
        <v>2643058</v>
      </c>
      <c r="J961" s="341">
        <f>J962</f>
        <v>0</v>
      </c>
    </row>
    <row r="962" spans="1:10" ht="30" hidden="1" customHeight="1">
      <c r="A962" s="41" t="str">
        <f>IF(B962&gt;0,VLOOKUP(B962,КВСР!A802:B1967,2),IF(C962&gt;0,VLOOKUP(C962,КФСР!A802:B2314,2),IF(D962&gt;0,VLOOKUP(D962,Программа!A$1:B$5063,2),IF(F962&gt;0,VLOOKUP(F962,КВР!A$1:B$5001,2),IF(E962&gt;0,VLOOKUP(E962,Направление!A$1:B$4755,2))))))</f>
        <v>Иные бюджетные ассигнования</v>
      </c>
      <c r="B962" s="79"/>
      <c r="C962" s="80"/>
      <c r="D962" s="69"/>
      <c r="E962" s="82"/>
      <c r="F962" s="81">
        <v>800</v>
      </c>
      <c r="G962" s="341">
        <v>2682242</v>
      </c>
      <c r="H962" s="337">
        <v>-39184</v>
      </c>
      <c r="I962" s="42">
        <f>SUM(G962:H962)</f>
        <v>2643058</v>
      </c>
      <c r="J962" s="337">
        <v>0</v>
      </c>
    </row>
    <row r="963" spans="1:10" ht="85.5" hidden="1" customHeight="1">
      <c r="A963" s="41" t="str">
        <f>IF(B963&gt;0,VLOOKUP(B963,КВСР!A803:B1968,2),IF(C963&gt;0,VLOOKUP(C963,КФСР!A803:B2315,2),IF(D963&gt;0,VLOOKUP(D963,Программа!A$1:B$5063,2),IF(F963&gt;0,VLOOKUP(F963,КВР!A$1:B$5001,2),IF(E963&gt;0,VLOOKUP(E963,Направление!A$1:B$4755,2))))))</f>
        <v>Субсидия на выполнение мероприятий по обеспечению бесперебойного предоставления коммунальных услуг потребителям Ярославской области</v>
      </c>
      <c r="B963" s="79"/>
      <c r="C963" s="80"/>
      <c r="D963" s="69"/>
      <c r="E963" s="82">
        <v>75206</v>
      </c>
      <c r="F963" s="81"/>
      <c r="G963" s="341">
        <v>2102105</v>
      </c>
      <c r="H963" s="341">
        <f>H964</f>
        <v>-346491</v>
      </c>
      <c r="I963" s="341">
        <f>I964</f>
        <v>1755614</v>
      </c>
      <c r="J963" s="341">
        <f>J964</f>
        <v>0</v>
      </c>
    </row>
    <row r="964" spans="1:10" ht="30" hidden="1" customHeight="1">
      <c r="A964" s="41" t="str">
        <f>IF(B964&gt;0,VLOOKUP(B964,КВСР!A804:B1969,2),IF(C964&gt;0,VLOOKUP(C964,КФСР!A804:B2316,2),IF(D964&gt;0,VLOOKUP(D964,Программа!A$1:B$5063,2),IF(F964&gt;0,VLOOKUP(F964,КВР!A$1:B$5001,2),IF(E964&gt;0,VLOOKUP(E964,Направление!A$1:B$4755,2))))))</f>
        <v>Иные бюджетные ассигнования</v>
      </c>
      <c r="B964" s="79"/>
      <c r="C964" s="80"/>
      <c r="D964" s="69"/>
      <c r="E964" s="82"/>
      <c r="F964" s="81">
        <v>800</v>
      </c>
      <c r="G964" s="341">
        <v>2102105</v>
      </c>
      <c r="H964" s="337">
        <v>-346491</v>
      </c>
      <c r="I964" s="42">
        <f>SUM(G964:H964)</f>
        <v>1755614</v>
      </c>
      <c r="J964" s="337">
        <v>0</v>
      </c>
    </row>
    <row r="965" spans="1:10" ht="96" hidden="1" customHeight="1">
      <c r="A965" s="41" t="str">
        <f>IF(B965&gt;0,VLOOKUP(B965,КВСР!A803:B1968,2),IF(C965&gt;0,VLOOKUP(C965,КФСР!A803:B2315,2),IF(D965&gt;0,VLOOKUP(D965,Программа!A$1:B$5063,2),IF(F965&gt;0,VLOOKUP(F965,КВР!A$1:B$5001,2),IF(E965&gt;0,VLOOKUP(E965,Направление!A$1:B$4755,2))))))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поселения</v>
      </c>
      <c r="B965" s="79"/>
      <c r="C965" s="80"/>
      <c r="D965" s="69"/>
      <c r="E965" s="82" t="s">
        <v>3164</v>
      </c>
      <c r="F965" s="81"/>
      <c r="G965" s="341">
        <v>113000</v>
      </c>
      <c r="H965" s="341">
        <f>H966</f>
        <v>-18620</v>
      </c>
      <c r="I965" s="341">
        <f>I966</f>
        <v>94380</v>
      </c>
      <c r="J965" s="341">
        <f>J966</f>
        <v>0</v>
      </c>
    </row>
    <row r="966" spans="1:10" ht="30" hidden="1" customHeight="1">
      <c r="A966" s="41" t="str">
        <f>IF(B966&gt;0,VLOOKUP(B966,КВСР!A804:B1969,2),IF(C966&gt;0,VLOOKUP(C966,КФСР!A804:B2316,2),IF(D966&gt;0,VLOOKUP(D966,Программа!A$1:B$5063,2),IF(F966&gt;0,VLOOKUP(F966,КВР!A$1:B$5001,2),IF(E966&gt;0,VLOOKUP(E966,Направление!A$1:B$4755,2))))))</f>
        <v>Иные бюджетные ассигнования</v>
      </c>
      <c r="B966" s="79"/>
      <c r="C966" s="80"/>
      <c r="D966" s="69"/>
      <c r="E966" s="82"/>
      <c r="F966" s="81">
        <v>800</v>
      </c>
      <c r="G966" s="341">
        <v>113000</v>
      </c>
      <c r="H966" s="337">
        <v>-18620</v>
      </c>
      <c r="I966" s="42">
        <f>SUM(G966:H966)</f>
        <v>94380</v>
      </c>
      <c r="J966" s="337">
        <v>0</v>
      </c>
    </row>
    <row r="967" spans="1:10" ht="66.75" customHeight="1">
      <c r="A967" s="41" t="str">
        <f>IF(B967&gt;0,VLOOKUP(B967,КВСР!A799:B1964,2),IF(C967&gt;0,VLOOKUP(C967,КФСР!A799:B2311,2),IF(D967&gt;0,VLOOKUP(D967,Программа!A$1:B$5063,2),IF(F967&gt;0,VLOOKUP(F967,КВР!A$1:B$5001,2),IF(E967&gt;0,VLOOKUP(E967,Направление!A$1:B$4755,2))))))</f>
        <v>Проведение комплекса работ по ремонту, замене и реконструкции объектов водоснабжения, водоотведения и очистки сточных вод</v>
      </c>
      <c r="B967" s="79"/>
      <c r="C967" s="80"/>
      <c r="D967" s="69" t="s">
        <v>2730</v>
      </c>
      <c r="E967" s="82"/>
      <c r="F967" s="81"/>
      <c r="G967" s="341">
        <v>7821093.1299999999</v>
      </c>
      <c r="H967" s="341">
        <f>H970+H968+H974+H972</f>
        <v>-203530</v>
      </c>
      <c r="I967" s="42">
        <f>SUM(G967:H967)</f>
        <v>7617563.1299999999</v>
      </c>
      <c r="J967" s="341">
        <f>J970+J968+J974+J972</f>
        <v>2258182</v>
      </c>
    </row>
    <row r="968" spans="1:10" ht="46.5" customHeight="1">
      <c r="A968" s="41" t="str">
        <f>IF(B968&gt;0,VLOOKUP(B968,КВСР!A800:B1965,2),IF(C968&gt;0,VLOOKUP(C968,КФСР!A800:B2312,2),IF(D968&gt;0,VLOOKUP(D968,Программа!A$1:B$5063,2),IF(F968&gt;0,VLOOKUP(F968,КВР!A$1:B$5001,2),IF(E968&gt;0,VLOOKUP(E968,Направление!A$1:B$4755,2))))))</f>
        <v>Расходы на содержание объектов находящихся в муниципальной собственности</v>
      </c>
      <c r="B968" s="79"/>
      <c r="C968" s="80"/>
      <c r="D968" s="69"/>
      <c r="E968" s="82">
        <v>10030</v>
      </c>
      <c r="F968" s="81"/>
      <c r="G968" s="341">
        <v>799170</v>
      </c>
      <c r="H968" s="341">
        <f>H969</f>
        <v>0</v>
      </c>
      <c r="I968" s="341">
        <f>I969</f>
        <v>799170</v>
      </c>
      <c r="J968" s="341">
        <f>J969</f>
        <v>704169</v>
      </c>
    </row>
    <row r="969" spans="1:10" ht="30" customHeight="1">
      <c r="A969" s="41" t="str">
        <f>IF(B969&gt;0,VLOOKUP(B969,КВСР!A801:B1966,2),IF(C969&gt;0,VLOOKUP(C969,КФСР!A801:B2313,2),IF(D969&gt;0,VLOOKUP(D969,Программа!A$1:B$5063,2),IF(F969&gt;0,VLOOKUP(F969,КВР!A$1:B$5001,2),IF(E969&gt;0,VLOOKUP(E969,Направление!A$1:B$4755,2))))))</f>
        <v>Иные бюджетные ассигнования</v>
      </c>
      <c r="B969" s="79"/>
      <c r="C969" s="80"/>
      <c r="D969" s="69"/>
      <c r="E969" s="82"/>
      <c r="F969" s="81">
        <v>800</v>
      </c>
      <c r="G969" s="341">
        <v>799170</v>
      </c>
      <c r="H969" s="337"/>
      <c r="I969" s="42">
        <f>SUM(G969:H969)</f>
        <v>799170</v>
      </c>
      <c r="J969" s="337">
        <v>704169</v>
      </c>
    </row>
    <row r="970" spans="1:10" ht="48.75" customHeight="1">
      <c r="A970" s="41" t="str">
        <f>IF(B970&gt;0,VLOOKUP(B970,КВСР!A802:B1967,2),IF(C970&gt;0,VLOOKUP(C970,КФСР!A802:B2314,2),IF(D970&gt;0,VLOOKUP(D970,Программа!A$1:B$5063,2),IF(F970&gt;0,VLOOKUP(F970,КВР!A$1:B$5001,2),IF(E970&gt;0,VLOOKUP(E970,Направление!A$1:B$4755,2))))))</f>
        <v>Субсидия на возмещение затрат по содержанию и  ремонту муниципальных коммунальных сетей</v>
      </c>
      <c r="B970" s="79"/>
      <c r="C970" s="80"/>
      <c r="D970" s="69"/>
      <c r="E970" s="82">
        <v>10040</v>
      </c>
      <c r="F970" s="81"/>
      <c r="G970" s="341">
        <v>2781004.29</v>
      </c>
      <c r="H970" s="341">
        <f t="shared" ref="H970:J970" si="307">H971</f>
        <v>0</v>
      </c>
      <c r="I970" s="42">
        <f t="shared" si="304"/>
        <v>2781004.29</v>
      </c>
      <c r="J970" s="341">
        <f t="shared" si="307"/>
        <v>1541277</v>
      </c>
    </row>
    <row r="971" spans="1:10">
      <c r="A971" s="41" t="str">
        <f>IF(B971&gt;0,VLOOKUP(B971,КВСР!A803:B1968,2),IF(C971&gt;0,VLOOKUP(C971,КФСР!A803:B2315,2),IF(D971&gt;0,VLOOKUP(D971,Программа!A$1:B$5063,2),IF(F971&gt;0,VLOOKUP(F971,КВР!A$1:B$5001,2),IF(E971&gt;0,VLOOKUP(E971,Направление!A$1:B$4755,2))))))</f>
        <v>Иные бюджетные ассигнования</v>
      </c>
      <c r="B971" s="79"/>
      <c r="C971" s="80"/>
      <c r="D971" s="69"/>
      <c r="E971" s="82"/>
      <c r="F971" s="81">
        <v>800</v>
      </c>
      <c r="G971" s="341">
        <v>2781004.29</v>
      </c>
      <c r="H971" s="337"/>
      <c r="I971" s="42">
        <f t="shared" si="304"/>
        <v>2781004.29</v>
      </c>
      <c r="J971" s="337">
        <v>1541277</v>
      </c>
    </row>
    <row r="972" spans="1:10" ht="69.75" hidden="1" customHeight="1">
      <c r="A972" s="41" t="str">
        <f>IF(B972&gt;0,VLOOKUP(B972,КВСР!A804:B1969,2),IF(C972&gt;0,VLOOKUP(C972,КФСР!A804:B2316,2),IF(D972&gt;0,VLOOKUP(D972,Программа!A$1:B$5063,2),IF(F972&gt;0,VLOOKUP(F972,КВР!A$1:B$5001,2),IF(E972&gt;0,VLOOKUP(E972,Направление!A$1:B$4755,2))))))</f>
        <v>Субсидия на выполнение мероприятий по обеспечению бесперебойного предоставления коммунальных услуг потребителям Ярославской области</v>
      </c>
      <c r="B972" s="79"/>
      <c r="C972" s="80"/>
      <c r="D972" s="69"/>
      <c r="E972" s="650">
        <v>75200</v>
      </c>
      <c r="F972" s="81"/>
      <c r="G972" s="341">
        <v>4024653</v>
      </c>
      <c r="H972" s="341">
        <f>H973</f>
        <v>0</v>
      </c>
      <c r="I972" s="341">
        <f>I973</f>
        <v>4024653</v>
      </c>
      <c r="J972" s="341">
        <f>J973</f>
        <v>0</v>
      </c>
    </row>
    <row r="973" spans="1:10" hidden="1">
      <c r="A973" s="41" t="str">
        <f>IF(B973&gt;0,VLOOKUP(B973,КВСР!A805:B1970,2),IF(C973&gt;0,VLOOKUP(C973,КФСР!A805:B2317,2),IF(D973&gt;0,VLOOKUP(D973,Программа!A$1:B$5063,2),IF(F973&gt;0,VLOOKUP(F973,КВР!A$1:B$5001,2),IF(E973&gt;0,VLOOKUP(E973,Направление!A$1:B$4755,2))))))</f>
        <v>Иные бюджетные ассигнования</v>
      </c>
      <c r="B973" s="79"/>
      <c r="C973" s="80"/>
      <c r="D973" s="69"/>
      <c r="E973" s="82"/>
      <c r="F973" s="81">
        <v>800</v>
      </c>
      <c r="G973" s="341">
        <v>4024653</v>
      </c>
      <c r="H973" s="337"/>
      <c r="I973" s="42">
        <f>SUM(G973:H973)</f>
        <v>4024653</v>
      </c>
      <c r="J973" s="337">
        <v>0</v>
      </c>
    </row>
    <row r="974" spans="1:10" ht="97.5" customHeight="1">
      <c r="A974" s="41" t="str">
        <f>IF(B974&gt;0,VLOOKUP(B974,КВСР!A804:B1969,2),IF(C974&gt;0,VLOOKUP(C974,КФСР!A804:B2316,2),IF(D974&gt;0,VLOOKUP(D974,Программа!A$1:B$5063,2),IF(F974&gt;0,VLOOKUP(F974,КВР!A$1:B$5001,2),IF(E974&gt;0,VLOOKUP(E974,Направление!A$1:B$4755,2))))))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v>
      </c>
      <c r="B974" s="79"/>
      <c r="C974" s="80"/>
      <c r="D974" s="69"/>
      <c r="E974" s="82" t="s">
        <v>3167</v>
      </c>
      <c r="F974" s="81"/>
      <c r="G974" s="341">
        <v>216265.84</v>
      </c>
      <c r="H974" s="341">
        <f>H975</f>
        <v>-203530</v>
      </c>
      <c r="I974" s="341">
        <f>I975</f>
        <v>12735.839999999997</v>
      </c>
      <c r="J974" s="341">
        <f>J975</f>
        <v>12736</v>
      </c>
    </row>
    <row r="975" spans="1:10" ht="28.5" customHeight="1">
      <c r="A975" s="41" t="str">
        <f>IF(B975&gt;0,VLOOKUP(B975,КВСР!A805:B1970,2),IF(C975&gt;0,VLOOKUP(C975,КФСР!A805:B2317,2),IF(D975&gt;0,VLOOKUP(D975,Программа!A$1:B$5063,2),IF(F975&gt;0,VLOOKUP(F975,КВР!A$1:B$5001,2),IF(E975&gt;0,VLOOKUP(E975,Направление!A$1:B$4755,2))))))</f>
        <v>Иные бюджетные ассигнования</v>
      </c>
      <c r="B975" s="79"/>
      <c r="C975" s="80"/>
      <c r="D975" s="69"/>
      <c r="E975" s="82"/>
      <c r="F975" s="81">
        <v>800</v>
      </c>
      <c r="G975" s="341">
        <v>216265.84</v>
      </c>
      <c r="H975" s="337">
        <v>-203530</v>
      </c>
      <c r="I975" s="42">
        <f>SUM(G975:H975)</f>
        <v>12735.839999999997</v>
      </c>
      <c r="J975" s="337">
        <v>12736</v>
      </c>
    </row>
    <row r="976" spans="1:10" ht="47.25">
      <c r="A976" s="41" t="str">
        <f>IF(B976&gt;0,VLOOKUP(B976,КВСР!A804:B1969,2),IF(C976&gt;0,VLOOKUP(C976,КФСР!A804:B2316,2),IF(D976&gt;0,VLOOKUP(D976,Программа!A$1:B$5063,2),IF(F976&gt;0,VLOOKUP(F976,КВР!A$1:B$5001,2),IF(E976&gt;0,VLOOKUP(E976,Направление!A$1:B$4755,2))))))</f>
        <v>Проведение комплекса работ по ремонту, замене и реконструкции объектов газоснабжения</v>
      </c>
      <c r="B976" s="79"/>
      <c r="C976" s="80"/>
      <c r="D976" s="69" t="s">
        <v>2732</v>
      </c>
      <c r="E976" s="82"/>
      <c r="F976" s="81"/>
      <c r="G976" s="341">
        <v>239348.01</v>
      </c>
      <c r="H976" s="341">
        <f t="shared" ref="H976:J976" si="308">H977</f>
        <v>0</v>
      </c>
      <c r="I976" s="42">
        <f t="shared" si="304"/>
        <v>239348.01</v>
      </c>
      <c r="J976" s="341">
        <f t="shared" si="308"/>
        <v>228184</v>
      </c>
    </row>
    <row r="977" spans="1:10" ht="47.25">
      <c r="A977" s="41" t="str">
        <f>IF(B977&gt;0,VLOOKUP(B977,КВСР!A805:B1970,2),IF(C977&gt;0,VLOOKUP(C977,КФСР!A805:B2317,2),IF(D977&gt;0,VLOOKUP(D977,Программа!A$1:B$5063,2),IF(F977&gt;0,VLOOKUP(F977,КВР!A$1:B$5001,2),IF(E977&gt;0,VLOOKUP(E977,Направление!A$1:B$4755,2))))))</f>
        <v>Расходы на содержание объектов находящихся в муниципальной собственности</v>
      </c>
      <c r="B977" s="79"/>
      <c r="C977" s="80"/>
      <c r="D977" s="69"/>
      <c r="E977" s="82">
        <v>10030</v>
      </c>
      <c r="F977" s="81"/>
      <c r="G977" s="341">
        <v>239348.01</v>
      </c>
      <c r="H977" s="341">
        <f>H978+H979</f>
        <v>0</v>
      </c>
      <c r="I977" s="42">
        <f>SUM(G977:H977)</f>
        <v>239348.01</v>
      </c>
      <c r="J977" s="341">
        <f>J978+J979</f>
        <v>228184</v>
      </c>
    </row>
    <row r="978" spans="1:10" ht="31.5">
      <c r="A978" s="41" t="str">
        <f>IF(B978&gt;0,VLOOKUP(B978,КВСР!A806:B1971,2),IF(C978&gt;0,VLOOKUP(C978,КФСР!A806:B2318,2),IF(D978&gt;0,VLOOKUP(D978,Программа!A$1:B$5063,2),IF(F978&gt;0,VLOOKUP(F978,КВР!A$1:B$5001,2),IF(E978&gt;0,VLOOKUP(E978,Направление!A$1:B$4755,2))))))</f>
        <v>Закупка товаров, работ и услуг для государственных нужд</v>
      </c>
      <c r="B978" s="79"/>
      <c r="C978" s="80"/>
      <c r="D978" s="69"/>
      <c r="E978" s="82"/>
      <c r="F978" s="81">
        <v>200</v>
      </c>
      <c r="G978" s="341">
        <v>173705.01</v>
      </c>
      <c r="H978" s="337"/>
      <c r="I978" s="42">
        <f t="shared" si="304"/>
        <v>173705.01</v>
      </c>
      <c r="J978" s="337">
        <v>162542</v>
      </c>
    </row>
    <row r="979" spans="1:10" ht="63">
      <c r="A979" s="41" t="str">
        <f>IF(B979&gt;0,VLOOKUP(B979,КВСР!A807:B1972,2),IF(C979&gt;0,VLOOKUP(C979,КФСР!A807:B2319,2),IF(D979&gt;0,VLOOKUP(D979,Программа!A$1:B$5063,2),IF(F979&gt;0,VLOOKUP(F979,КВР!A$1:B$5001,2),IF(E979&gt;0,VLOOKUP(E979,Направление!A$1:B$4755,2))))))</f>
        <v>Предоставление субсидий бюджетным, автономным учреждениям и иным некоммерческим организациям</v>
      </c>
      <c r="B979" s="79"/>
      <c r="C979" s="80"/>
      <c r="D979" s="69"/>
      <c r="E979" s="82"/>
      <c r="F979" s="81">
        <v>600</v>
      </c>
      <c r="G979" s="341">
        <v>65643</v>
      </c>
      <c r="H979" s="337"/>
      <c r="I979" s="42">
        <f>SUM(G979:H979)</f>
        <v>65643</v>
      </c>
      <c r="J979" s="337">
        <v>65642</v>
      </c>
    </row>
    <row r="980" spans="1:10" ht="63">
      <c r="A980" s="41" t="str">
        <f>IF(B980&gt;0,VLOOKUP(B980,КВСР!A808:B1973,2),IF(C980&gt;0,VLOOKUP(C980,КФСР!A808:B2320,2),IF(D980&gt;0,VLOOKUP(D980,Программа!A$1:B$5063,2),IF(F980&gt;0,VLOOKUP(F980,КВР!A$1:B$5001,2),IF(E980&gt;0,VLOOKUP(E980,Направление!A$1:B$4755,2))))))</f>
        <v>Муниципальная программа "Обеспечение населения Тутаевского муниципального района банными услугами"</v>
      </c>
      <c r="B980" s="79"/>
      <c r="C980" s="80"/>
      <c r="D980" s="69" t="s">
        <v>2877</v>
      </c>
      <c r="E980" s="82"/>
      <c r="F980" s="81"/>
      <c r="G980" s="341">
        <v>6900000</v>
      </c>
      <c r="H980" s="341">
        <f t="shared" ref="H980:J982" si="309">H981</f>
        <v>0</v>
      </c>
      <c r="I980" s="341">
        <f t="shared" si="309"/>
        <v>6900000</v>
      </c>
      <c r="J980" s="341">
        <f t="shared" si="309"/>
        <v>6400465</v>
      </c>
    </row>
    <row r="981" spans="1:10" ht="47.25">
      <c r="A981" s="41" t="str">
        <f>IF(B981&gt;0,VLOOKUP(B981,КВСР!A809:B1974,2),IF(C981&gt;0,VLOOKUP(C981,КФСР!A809:B2321,2),IF(D981&gt;0,VLOOKUP(D981,Программа!A$1:B$5063,2),IF(F981&gt;0,VLOOKUP(F981,КВР!A$1:B$5001,2),IF(E981&gt;0,VLOOKUP(E981,Направление!A$1:B$4755,2))))))</f>
        <v>Обеспечение населения Тутаевского муниципального района банными услугами</v>
      </c>
      <c r="B981" s="79"/>
      <c r="C981" s="80"/>
      <c r="D981" s="69" t="s">
        <v>2878</v>
      </c>
      <c r="E981" s="82"/>
      <c r="F981" s="81"/>
      <c r="G981" s="341">
        <v>6900000</v>
      </c>
      <c r="H981" s="341">
        <f t="shared" si="309"/>
        <v>0</v>
      </c>
      <c r="I981" s="341">
        <f t="shared" si="309"/>
        <v>6900000</v>
      </c>
      <c r="J981" s="341">
        <f t="shared" si="309"/>
        <v>6400465</v>
      </c>
    </row>
    <row r="982" spans="1:10" ht="47.25">
      <c r="A982" s="41" t="str">
        <f>IF(B982&gt;0,VLOOKUP(B982,КВСР!A810:B1975,2),IF(C982&gt;0,VLOOKUP(C982,КФСР!A810:B2322,2),IF(D982&gt;0,VLOOKUP(D982,Программа!A$1:B$5063,2),IF(F982&gt;0,VLOOKUP(F982,КВР!A$1:B$5001,2),IF(E982&gt;0,VLOOKUP(E982,Направление!A$1:B$4755,2))))))</f>
        <v>Обеспечение мероприятий по организации населению услуг бань  в общих отделениях</v>
      </c>
      <c r="B982" s="79"/>
      <c r="C982" s="80"/>
      <c r="D982" s="69"/>
      <c r="E982" s="82">
        <v>29206</v>
      </c>
      <c r="F982" s="81"/>
      <c r="G982" s="341">
        <v>6900000</v>
      </c>
      <c r="H982" s="341">
        <f t="shared" si="309"/>
        <v>0</v>
      </c>
      <c r="I982" s="341">
        <f t="shared" si="309"/>
        <v>6900000</v>
      </c>
      <c r="J982" s="341">
        <f t="shared" si="309"/>
        <v>6400465</v>
      </c>
    </row>
    <row r="983" spans="1:10" ht="23.25" customHeight="1">
      <c r="A983" s="41" t="str">
        <f>IF(B983&gt;0,VLOOKUP(B983,КВСР!A811:B1976,2),IF(C983&gt;0,VLOOKUP(C983,КФСР!A811:B2323,2),IF(D983&gt;0,VLOOKUP(D983,Программа!A$1:B$5063,2),IF(F983&gt;0,VLOOKUP(F983,КВР!A$1:B$5001,2),IF(E983&gt;0,VLOOKUP(E983,Направление!A$1:B$4755,2))))))</f>
        <v>Иные бюджетные ассигнования</v>
      </c>
      <c r="B983" s="79"/>
      <c r="C983" s="80"/>
      <c r="D983" s="69"/>
      <c r="E983" s="82"/>
      <c r="F983" s="81">
        <v>800</v>
      </c>
      <c r="G983" s="341">
        <v>6900000</v>
      </c>
      <c r="H983" s="337"/>
      <c r="I983" s="42">
        <f>SUM(G983:H983)</f>
        <v>6900000</v>
      </c>
      <c r="J983" s="337">
        <v>6400465</v>
      </c>
    </row>
    <row r="984" spans="1:10" ht="23.25" customHeight="1">
      <c r="A984" s="41" t="str">
        <f>IF(B984&gt;0,VLOOKUP(B984,КВСР!A812:B1977,2),IF(C984&gt;0,VLOOKUP(C984,КФСР!A812:B2324,2),IF(D984&gt;0,VLOOKUP(D984,Программа!A$1:B$5063,2),IF(F984&gt;0,VLOOKUP(F984,КВР!A$1:B$5001,2),IF(E984&gt;0,VLOOKUP(E984,Направление!A$1:B$4755,2))))))</f>
        <v>Непрограммные расходы бюджета</v>
      </c>
      <c r="B984" s="79"/>
      <c r="C984" s="80"/>
      <c r="D984" s="69" t="s">
        <v>2808</v>
      </c>
      <c r="E984" s="82"/>
      <c r="F984" s="81"/>
      <c r="G984" s="341">
        <v>6661896</v>
      </c>
      <c r="H984" s="341">
        <f>H985+H987+H990</f>
        <v>161458</v>
      </c>
      <c r="I984" s="341">
        <f>SUM(G984:H984)</f>
        <v>6823354</v>
      </c>
      <c r="J984" s="341">
        <f>J985+J987+J990</f>
        <v>6823319</v>
      </c>
    </row>
    <row r="985" spans="1:10" ht="54.75" customHeight="1">
      <c r="A985" s="41" t="str">
        <f>IF(B985&gt;0,VLOOKUP(B985,КВСР!A813:B1978,2),IF(C985&gt;0,VLOOKUP(C985,КФСР!A813:B2325,2),IF(D985&gt;0,VLOOKUP(D985,Программа!A$1:B$5063,2),IF(F985&gt;0,VLOOKUP(F985,КВР!A$1:B$5001,2),IF(E985&gt;0,VLOOKUP(E985,Направление!A$1:B$4755,2))))))</f>
        <v>Бюджетные инвестиции в объекты капитального строительства муниципальной собственности</v>
      </c>
      <c r="B985" s="79"/>
      <c r="C985" s="80"/>
      <c r="D985" s="69"/>
      <c r="E985" s="82">
        <v>10010</v>
      </c>
      <c r="F985" s="81"/>
      <c r="G985" s="341">
        <v>47500</v>
      </c>
      <c r="H985" s="341">
        <f>H986</f>
        <v>3000</v>
      </c>
      <c r="I985" s="341">
        <f>I986</f>
        <v>50500</v>
      </c>
      <c r="J985" s="341">
        <f>J986</f>
        <v>50465</v>
      </c>
    </row>
    <row r="986" spans="1:10" ht="23.25" customHeight="1">
      <c r="A986" s="41" t="str">
        <f>IF(B986&gt;0,VLOOKUP(B986,КВСР!A814:B1979,2),IF(C986&gt;0,VLOOKUP(C986,КФСР!A814:B2326,2),IF(D986&gt;0,VLOOKUP(D986,Программа!A$1:B$5063,2),IF(F986&gt;0,VLOOKUP(F986,КВР!A$1:B$5001,2),IF(E986&gt;0,VLOOKUP(E986,Направление!A$1:B$4755,2))))))</f>
        <v>Бюджетные инвестиции</v>
      </c>
      <c r="B986" s="79"/>
      <c r="C986" s="80"/>
      <c r="D986" s="69"/>
      <c r="E986" s="82"/>
      <c r="F986" s="81">
        <v>400</v>
      </c>
      <c r="G986" s="341">
        <v>47500</v>
      </c>
      <c r="H986" s="337">
        <v>3000</v>
      </c>
      <c r="I986" s="42">
        <f>SUM(G986:H986)</f>
        <v>50500</v>
      </c>
      <c r="J986" s="337">
        <v>50465</v>
      </c>
    </row>
    <row r="987" spans="1:10" ht="31.5">
      <c r="A987" s="41" t="str">
        <f>IF(B987&gt;0,VLOOKUP(B987,КВСР!A815:B1980,2),IF(C987&gt;0,VLOOKUP(C987,КФСР!A815:B2327,2),IF(D987&gt;0,VLOOKUP(D987,Программа!A$1:B$5063,2),IF(F987&gt;0,VLOOKUP(F987,КВР!A$1:B$5001,2),IF(E987&gt;0,VLOOKUP(E987,Направление!A$1:B$4755,2))))))</f>
        <v>Резервные фонды местных администраций</v>
      </c>
      <c r="B987" s="79"/>
      <c r="C987" s="80"/>
      <c r="D987" s="69"/>
      <c r="E987" s="82">
        <v>12900</v>
      </c>
      <c r="F987" s="81"/>
      <c r="G987" s="341">
        <v>124911</v>
      </c>
      <c r="H987" s="341">
        <f>H988+H989</f>
        <v>158458</v>
      </c>
      <c r="I987" s="341">
        <f>I988+I989</f>
        <v>283369</v>
      </c>
      <c r="J987" s="341">
        <f>J988+J989</f>
        <v>283369</v>
      </c>
    </row>
    <row r="988" spans="1:10" ht="31.5">
      <c r="A988" s="41" t="str">
        <f>IF(B988&gt;0,VLOOKUP(B988,КВСР!A816:B1981,2),IF(C988&gt;0,VLOOKUP(C988,КФСР!A816:B2328,2),IF(D988&gt;0,VLOOKUP(D988,Программа!A$1:B$5063,2),IF(F988&gt;0,VLOOKUP(F988,КВР!A$1:B$5001,2),IF(E988&gt;0,VLOOKUP(E988,Направление!A$1:B$4755,2))))))</f>
        <v>Закупка товаров, работ и услуг для государственных нужд</v>
      </c>
      <c r="B988" s="79"/>
      <c r="C988" s="80"/>
      <c r="D988" s="69"/>
      <c r="E988" s="82"/>
      <c r="F988" s="81">
        <v>200</v>
      </c>
      <c r="G988" s="341">
        <v>124911</v>
      </c>
      <c r="H988" s="337">
        <v>52629</v>
      </c>
      <c r="I988" s="42">
        <f>G988+H988</f>
        <v>177540</v>
      </c>
      <c r="J988" s="337">
        <v>177540</v>
      </c>
    </row>
    <row r="989" spans="1:10">
      <c r="A989" s="41" t="str">
        <f>IF(B989&gt;0,VLOOKUP(B989,КВСР!A817:B1982,2),IF(C989&gt;0,VLOOKUP(C989,КФСР!A817:B2329,2),IF(D989&gt;0,VLOOKUP(D989,Программа!A$1:B$5063,2),IF(F989&gt;0,VLOOKUP(F989,КВР!A$1:B$5001,2),IF(E989&gt;0,VLOOKUP(E989,Направление!A$1:B$4755,2))))))</f>
        <v>Бюджетные инвестиции</v>
      </c>
      <c r="B989" s="79"/>
      <c r="C989" s="80"/>
      <c r="D989" s="69"/>
      <c r="E989" s="82"/>
      <c r="F989" s="81">
        <v>400</v>
      </c>
      <c r="G989" s="341"/>
      <c r="H989" s="337">
        <v>105829</v>
      </c>
      <c r="I989" s="42">
        <f>G989+H989</f>
        <v>105829</v>
      </c>
      <c r="J989" s="337">
        <v>105829</v>
      </c>
    </row>
    <row r="990" spans="1:10" ht="50.25" customHeight="1">
      <c r="A990" s="41" t="str">
        <f>IF(B990&gt;0,VLOOKUP(B990,КВСР!A817:B1982,2),IF(C990&gt;0,VLOOKUP(C990,КФСР!A817:B2329,2),IF(D990&gt;0,VLOOKUP(D990,Программа!A$1:B$5063,2),IF(F990&gt;0,VLOOKUP(F990,КВР!A$1:B$5001,2),IF(E990&gt;0,VLOOKUP(E990,Направление!A$1:B$4755,2))))))</f>
        <v>Резервные фонды исполнительных органов государственной власти субъектов Российской Федерации</v>
      </c>
      <c r="B990" s="79"/>
      <c r="C990" s="80"/>
      <c r="D990" s="69"/>
      <c r="E990" s="82">
        <v>80120</v>
      </c>
      <c r="F990" s="81"/>
      <c r="G990" s="341">
        <v>6489485</v>
      </c>
      <c r="H990" s="341">
        <f>H991</f>
        <v>0</v>
      </c>
      <c r="I990" s="341">
        <f>I991</f>
        <v>6489485</v>
      </c>
      <c r="J990" s="341">
        <f>J991</f>
        <v>6489485</v>
      </c>
    </row>
    <row r="991" spans="1:10" ht="31.5">
      <c r="A991" s="41" t="str">
        <f>IF(B991&gt;0,VLOOKUP(B991,КВСР!A818:B1983,2),IF(C991&gt;0,VLOOKUP(C991,КФСР!A818:B2330,2),IF(D991&gt;0,VLOOKUP(D991,Программа!A$1:B$5063,2),IF(F991&gt;0,VLOOKUP(F991,КВР!A$1:B$5001,2),IF(E991&gt;0,VLOOKUP(E991,Направление!A$1:B$4755,2))))))</f>
        <v>Закупка товаров, работ и услуг для государственных нужд</v>
      </c>
      <c r="B991" s="79"/>
      <c r="C991" s="80"/>
      <c r="D991" s="69"/>
      <c r="E991" s="82"/>
      <c r="F991" s="81">
        <v>200</v>
      </c>
      <c r="G991" s="341">
        <v>6489485</v>
      </c>
      <c r="H991" s="337"/>
      <c r="I991" s="42">
        <f>SUM(G991:H991)</f>
        <v>6489485</v>
      </c>
      <c r="J991" s="337">
        <v>6489485</v>
      </c>
    </row>
    <row r="992" spans="1:10" ht="36" customHeight="1">
      <c r="A992" s="41" t="str">
        <f>IF(B992&gt;0,VLOOKUP(B992,КВСР!A815:B1980,2),IF(C992&gt;0,VLOOKUP(C992,КФСР!A815:B2327,2),IF(D992&gt;0,VLOOKUP(D992,Программа!A$1:B$5063,2),IF(F992&gt;0,VLOOKUP(F992,КВР!A$1:B$5001,2),IF(E992&gt;0,VLOOKUP(E992,Направление!A$1:B$4755,2))))))</f>
        <v>Межбюджетные трансферты  поселениям района</v>
      </c>
      <c r="B992" s="79"/>
      <c r="C992" s="80"/>
      <c r="D992" s="69" t="s">
        <v>2809</v>
      </c>
      <c r="E992" s="82"/>
      <c r="F992" s="81"/>
      <c r="G992" s="341">
        <v>15217106</v>
      </c>
      <c r="H992" s="341">
        <f>H993+H995</f>
        <v>-346491</v>
      </c>
      <c r="I992" s="341">
        <f>SUM(G992:H992)</f>
        <v>14870615</v>
      </c>
      <c r="J992" s="341">
        <f>J993+J995</f>
        <v>10512315</v>
      </c>
    </row>
    <row r="993" spans="1:10" ht="64.5" customHeight="1">
      <c r="A993" s="41" t="str">
        <f>IF(B993&gt;0,VLOOKUP(B993,КВСР!A816:B1981,2),IF(C993&gt;0,VLOOKUP(C993,КФСР!A816:B2328,2),IF(D993&gt;0,VLOOKUP(D993,Программа!A$1:B$5063,2),IF(F993&gt;0,VLOOKUP(F993,КВР!A$1:B$5001,2),IF(E993&gt;0,VLOOKUP(E993,Направление!A$1:B$4755,2))))))</f>
        <v>Субсидия на реализацию мероприятий по строительству и реконструкции объектов теплоснабжения и газификации</v>
      </c>
      <c r="B993" s="79"/>
      <c r="C993" s="80"/>
      <c r="D993" s="69"/>
      <c r="E993" s="82">
        <v>72010</v>
      </c>
      <c r="F993" s="81"/>
      <c r="G993" s="341">
        <v>13115001</v>
      </c>
      <c r="H993" s="341">
        <f>H994</f>
        <v>0</v>
      </c>
      <c r="I993" s="341">
        <f>I994</f>
        <v>13115001</v>
      </c>
      <c r="J993" s="341">
        <f>J994</f>
        <v>10512315</v>
      </c>
    </row>
    <row r="994" spans="1:10" ht="23.25" customHeight="1">
      <c r="A994" s="41" t="str">
        <f>IF(B994&gt;0,VLOOKUP(B994,КВСР!A817:B1982,2),IF(C994&gt;0,VLOOKUP(C994,КФСР!A817:B2329,2),IF(D994&gt;0,VLOOKUP(D994,Программа!A$1:B$5063,2),IF(F994&gt;0,VLOOKUP(F994,КВР!A$1:B$5001,2),IF(E994&gt;0,VLOOKUP(E994,Направление!A$1:B$4755,2))))))</f>
        <v xml:space="preserve"> Межбюджетные трансферты</v>
      </c>
      <c r="B994" s="79"/>
      <c r="C994" s="80"/>
      <c r="D994" s="69"/>
      <c r="E994" s="82"/>
      <c r="F994" s="81">
        <v>500</v>
      </c>
      <c r="G994" s="341">
        <v>13115001</v>
      </c>
      <c r="H994" s="337"/>
      <c r="I994" s="42">
        <f>SUM(G994:H994)</f>
        <v>13115001</v>
      </c>
      <c r="J994" s="337">
        <v>10512315</v>
      </c>
    </row>
    <row r="995" spans="1:10" ht="72.75" hidden="1" customHeight="1">
      <c r="A995" s="41" t="str">
        <f>IF(B995&gt;0,VLOOKUP(B995,КВСР!A818:B1983,2),IF(C995&gt;0,VLOOKUP(C995,КФСР!A818:B2330,2),IF(D995&gt;0,VLOOKUP(D995,Программа!A$1:B$5063,2),IF(F995&gt;0,VLOOKUP(F995,КВР!A$1:B$5001,2),IF(E995&gt;0,VLOOKUP(E995,Направление!A$1:B$4755,2))))))</f>
        <v>Субсидия на выполнение мероприятий по обеспечению бесперебойного предоставления коммунальных услуг потребителям Ярославской области</v>
      </c>
      <c r="B995" s="79"/>
      <c r="C995" s="80"/>
      <c r="D995" s="69"/>
      <c r="E995" s="651">
        <v>75200</v>
      </c>
      <c r="F995" s="81"/>
      <c r="G995" s="341">
        <v>2102105</v>
      </c>
      <c r="H995" s="341">
        <f>H996</f>
        <v>-346491</v>
      </c>
      <c r="I995" s="341">
        <f>I996</f>
        <v>1755614</v>
      </c>
      <c r="J995" s="341">
        <f>J996</f>
        <v>0</v>
      </c>
    </row>
    <row r="996" spans="1:10" ht="23.25" hidden="1" customHeight="1">
      <c r="A996" s="41" t="str">
        <f>IF(B996&gt;0,VLOOKUP(B996,КВСР!A819:B1984,2),IF(C996&gt;0,VLOOKUP(C996,КФСР!A819:B2331,2),IF(D996&gt;0,VLOOKUP(D996,Программа!A$1:B$5063,2),IF(F996&gt;0,VLOOKUP(F996,КВР!A$1:B$5001,2),IF(E996&gt;0,VLOOKUP(E996,Направление!A$1:B$4755,2))))))</f>
        <v xml:space="preserve"> Межбюджетные трансферты</v>
      </c>
      <c r="B996" s="79"/>
      <c r="C996" s="80"/>
      <c r="D996" s="69"/>
      <c r="E996" s="82"/>
      <c r="F996" s="81">
        <v>500</v>
      </c>
      <c r="G996" s="341">
        <v>2102105</v>
      </c>
      <c r="H996" s="337">
        <v>-346491</v>
      </c>
      <c r="I996" s="42">
        <f>SUM(G996:H996)</f>
        <v>1755614</v>
      </c>
      <c r="J996" s="337">
        <v>0</v>
      </c>
    </row>
    <row r="997" spans="1:10" ht="23.25" customHeight="1">
      <c r="A997" s="41" t="str">
        <f>IF(B997&gt;0,VLOOKUP(B997,КВСР!A818:B1983,2),IF(C997&gt;0,VLOOKUP(C997,КФСР!A818:B2330,2),IF(D997&gt;0,VLOOKUP(D997,Программа!A$1:B$5063,2),IF(F997&gt;0,VLOOKUP(F997,КВР!A$1:B$5001,2),IF(E997&gt;0,VLOOKUP(E997,Направление!A$1:B$4755,2))))))</f>
        <v>Благоустройство</v>
      </c>
      <c r="B997" s="79"/>
      <c r="C997" s="80">
        <v>503</v>
      </c>
      <c r="D997" s="69"/>
      <c r="E997" s="82"/>
      <c r="F997" s="81"/>
      <c r="G997" s="341">
        <v>34334218.160000004</v>
      </c>
      <c r="H997" s="341">
        <f>H998</f>
        <v>2822398</v>
      </c>
      <c r="I997" s="341">
        <f>I998</f>
        <v>37156616.159999996</v>
      </c>
      <c r="J997" s="341">
        <f>J998</f>
        <v>25233422</v>
      </c>
    </row>
    <row r="998" spans="1:10" ht="72.75" customHeight="1">
      <c r="A998" s="41" t="str">
        <f>IF(B998&gt;0,VLOOKUP(B998,КВСР!A819:B1984,2),IF(C998&gt;0,VLOOKUP(C998,КФСР!A819:B2331,2),IF(D998&gt;0,VLOOKUP(D998,Программа!A$1:B$5063,2),IF(F998&gt;0,VLOOKUP(F998,КВР!A$1:B$5001,2),IF(E998&gt;0,VLOOKUP(E998,Направление!A$1:B$4755,2))))))</f>
        <v>Муниципальная программа "Благоустройство  и санитарно-эпидемиологическая безопасность  Тутаевского муниципального района</v>
      </c>
      <c r="B998" s="79"/>
      <c r="C998" s="80"/>
      <c r="D998" s="69" t="s">
        <v>2750</v>
      </c>
      <c r="E998" s="82"/>
      <c r="F998" s="81"/>
      <c r="G998" s="341">
        <v>34334218.160000004</v>
      </c>
      <c r="H998" s="341">
        <f>H999+H1003</f>
        <v>2822398</v>
      </c>
      <c r="I998" s="341">
        <f>I999+I1003</f>
        <v>37156616.159999996</v>
      </c>
      <c r="J998" s="341">
        <f>J999+J1003</f>
        <v>25233422</v>
      </c>
    </row>
    <row r="999" spans="1:10" ht="75" customHeight="1">
      <c r="A999" s="41" t="str">
        <f>IF(B999&gt;0,VLOOKUP(B999,КВСР!A820:B1985,2),IF(C999&gt;0,VLOOKUP(C999,КФСР!A820:B2332,2),IF(D999&gt;0,VLOOKUP(D999,Программа!A$1:B$5063,2),IF(F999&gt;0,VLOOKUP(F999,КВР!A$1:B$5001,2),IF(E999&gt;0,VLOOKUP(E999,Направление!A$1:B$4755,2))))))</f>
        <v>Муниципальная целевая программа "Организация и развитие ритуальных услуг и мест захоронения в Тутаевском муниципальном районе"</v>
      </c>
      <c r="B999" s="79"/>
      <c r="C999" s="80"/>
      <c r="D999" s="69" t="s">
        <v>2751</v>
      </c>
      <c r="E999" s="82"/>
      <c r="F999" s="81"/>
      <c r="G999" s="341">
        <v>1100000</v>
      </c>
      <c r="H999" s="341">
        <f t="shared" ref="H999:J1001" si="310">H1000</f>
        <v>0</v>
      </c>
      <c r="I999" s="341">
        <f t="shared" si="310"/>
        <v>1100000</v>
      </c>
      <c r="J999" s="341">
        <f t="shared" si="310"/>
        <v>857717</v>
      </c>
    </row>
    <row r="1000" spans="1:10" ht="51" customHeight="1">
      <c r="A1000" s="41" t="str">
        <f>IF(B1000&gt;0,VLOOKUP(B1000,КВСР!A821:B1986,2),IF(C1000&gt;0,VLOOKUP(C1000,КФСР!A821:B2333,2),IF(D1000&gt;0,VLOOKUP(D1000,Программа!A$1:B$5063,2),IF(F1000&gt;0,VLOOKUP(F1000,КВР!A$1:B$5001,2),IF(E1000&gt;0,VLOOKUP(E1000,Направление!A$1:B$4755,2))))))</f>
        <v>Обеспечение комплекса работ по повышению уровня благоустройства мест погребений</v>
      </c>
      <c r="B1000" s="79"/>
      <c r="C1000" s="80"/>
      <c r="D1000" s="69" t="s">
        <v>2753</v>
      </c>
      <c r="E1000" s="82"/>
      <c r="F1000" s="81"/>
      <c r="G1000" s="341">
        <v>1100000</v>
      </c>
      <c r="H1000" s="341">
        <f t="shared" si="310"/>
        <v>0</v>
      </c>
      <c r="I1000" s="341">
        <f t="shared" si="310"/>
        <v>1100000</v>
      </c>
      <c r="J1000" s="341">
        <f t="shared" si="310"/>
        <v>857717</v>
      </c>
    </row>
    <row r="1001" spans="1:10" ht="39" customHeight="1">
      <c r="A1001" s="41" t="str">
        <f>IF(B1001&gt;0,VLOOKUP(B1001,КВСР!A822:B1987,2),IF(C1001&gt;0,VLOOKUP(C1001,КФСР!A822:B2334,2),IF(D1001&gt;0,VLOOKUP(D1001,Программа!A$1:B$5063,2),IF(F1001&gt;0,VLOOKUP(F1001,КВР!A$1:B$5001,2),IF(E1001&gt;0,VLOOKUP(E1001,Направление!A$1:B$4755,2))))))</f>
        <v>Обеспечение мероприятий по  содержанию мест захоронения</v>
      </c>
      <c r="B1001" s="79"/>
      <c r="C1001" s="80"/>
      <c r="D1001" s="69"/>
      <c r="E1001" s="82">
        <v>29316</v>
      </c>
      <c r="F1001" s="81"/>
      <c r="G1001" s="341">
        <v>1100000</v>
      </c>
      <c r="H1001" s="341">
        <f t="shared" si="310"/>
        <v>0</v>
      </c>
      <c r="I1001" s="341">
        <f t="shared" si="310"/>
        <v>1100000</v>
      </c>
      <c r="J1001" s="341">
        <f t="shared" si="310"/>
        <v>857717</v>
      </c>
    </row>
    <row r="1002" spans="1:10" ht="33" customHeight="1">
      <c r="A1002" s="41" t="str">
        <f>IF(B1002&gt;0,VLOOKUP(B1002,КВСР!A823:B1988,2),IF(C1002&gt;0,VLOOKUP(C1002,КФСР!A823:B2335,2),IF(D1002&gt;0,VLOOKUP(D1002,Программа!A$1:B$5063,2),IF(F1002&gt;0,VLOOKUP(F1002,КВР!A$1:B$5001,2),IF(E1002&gt;0,VLOOKUP(E1002,Направление!A$1:B$4755,2))))))</f>
        <v>Закупка товаров, работ и услуг для государственных нужд</v>
      </c>
      <c r="B1002" s="79"/>
      <c r="C1002" s="80"/>
      <c r="D1002" s="69"/>
      <c r="E1002" s="82"/>
      <c r="F1002" s="81">
        <v>200</v>
      </c>
      <c r="G1002" s="341">
        <v>1100000</v>
      </c>
      <c r="H1002" s="337"/>
      <c r="I1002" s="341">
        <f>SUM(G1002:H1002)</f>
        <v>1100000</v>
      </c>
      <c r="J1002" s="337">
        <v>857717</v>
      </c>
    </row>
    <row r="1003" spans="1:10" ht="71.25" customHeight="1">
      <c r="A1003" s="41" t="str">
        <f>IF(B1003&gt;0,VLOOKUP(B1003,КВСР!A824:B1989,2),IF(C1003&gt;0,VLOOKUP(C1003,КФСР!A824:B2336,2),IF(D1003&gt;0,VLOOKUP(D1003,Программа!A$1:B$5063,2),IF(F1003&gt;0,VLOOKUP(F1003,КВР!A$1:B$5001,2),IF(E1003&gt;0,VLOOKUP(E1003,Направление!A$1:B$4755,2))))))</f>
        <v>Муниципальная целевая программа "Благоустройство и озеленение территории  в Тутаевского муниципального  района"</v>
      </c>
      <c r="B1003" s="79"/>
      <c r="C1003" s="80"/>
      <c r="D1003" s="69" t="s">
        <v>2754</v>
      </c>
      <c r="E1003" s="82"/>
      <c r="F1003" s="81"/>
      <c r="G1003" s="341">
        <v>33234218.160000004</v>
      </c>
      <c r="H1003" s="341">
        <f>H1004+H1018+H1022</f>
        <v>2822398</v>
      </c>
      <c r="I1003" s="341">
        <f>I1004+I1018+I1022</f>
        <v>36056616.159999996</v>
      </c>
      <c r="J1003" s="341">
        <f>J1004+J1018+J1022</f>
        <v>24375705</v>
      </c>
    </row>
    <row r="1004" spans="1:10" ht="73.5" customHeight="1">
      <c r="A1004" s="41" t="str">
        <f>IF(B1004&gt;0,VLOOKUP(B1004,КВСР!A825:B1990,2),IF(C1004&gt;0,VLOOKUP(C1004,КФСР!A825:B2337,2),IF(D1004&gt;0,VLOOKUP(D1004,Программа!A$1:B$5063,2),IF(F1004&gt;0,VLOOKUP(F1004,КВР!A$1:B$5001,2),IF(E1004&gt;0,VLOOKUP(E1004,Направление!A$1:B$4755,2))))))</f>
        <v>Улучшение уровня внешнего благоустройства и санитарного  состояния территорий Тутаевского муниципального района</v>
      </c>
      <c r="B1004" s="79"/>
      <c r="C1004" s="80"/>
      <c r="D1004" s="69" t="s">
        <v>2755</v>
      </c>
      <c r="E1004" s="82"/>
      <c r="F1004" s="81"/>
      <c r="G1004" s="341">
        <v>18393444.260000002</v>
      </c>
      <c r="H1004" s="341">
        <f>H1005+H1007+H1009+H1012+H1014+H1016</f>
        <v>320265</v>
      </c>
      <c r="I1004" s="42">
        <f>SUM(G1004:H1004)</f>
        <v>18713709.260000002</v>
      </c>
      <c r="J1004" s="341">
        <f>J1005+J1007+J1009+J1012+J1014+J1016</f>
        <v>16772753</v>
      </c>
    </row>
    <row r="1005" spans="1:10" ht="40.5" customHeight="1">
      <c r="A1005" s="41" t="str">
        <f>IF(B1005&gt;0,VLOOKUP(B1005,КВСР!A826:B1991,2),IF(C1005&gt;0,VLOOKUP(C1005,КФСР!A826:B2338,2),IF(D1005&gt;0,VLOOKUP(D1005,Программа!A$1:B$5063,2),IF(F1005&gt;0,VLOOKUP(F1005,КВР!A$1:B$5001,2),IF(E1005&gt;0,VLOOKUP(E1005,Направление!A$1:B$4755,2))))))</f>
        <v>Обеспечение мероприятий по уличному освещению</v>
      </c>
      <c r="B1005" s="79"/>
      <c r="C1005" s="80"/>
      <c r="D1005" s="69"/>
      <c r="E1005" s="82">
        <v>29236</v>
      </c>
      <c r="F1005" s="81"/>
      <c r="G1005" s="341">
        <v>8000000</v>
      </c>
      <c r="H1005" s="341">
        <f>H1006</f>
        <v>0</v>
      </c>
      <c r="I1005" s="42">
        <f>I1006</f>
        <v>8000000</v>
      </c>
      <c r="J1005" s="341">
        <f>J1006</f>
        <v>7673160</v>
      </c>
    </row>
    <row r="1006" spans="1:10" ht="45" customHeight="1">
      <c r="A1006" s="41" t="str">
        <f>IF(B1006&gt;0,VLOOKUP(B1006,КВСР!A827:B1992,2),IF(C1006&gt;0,VLOOKUP(C1006,КФСР!A827:B2339,2),IF(D1006&gt;0,VLOOKUP(D1006,Программа!A$1:B$5063,2),IF(F1006&gt;0,VLOOKUP(F1006,КВР!A$1:B$5001,2),IF(E1006&gt;0,VLOOKUP(E1006,Направление!A$1:B$4755,2))))))</f>
        <v>Закупка товаров, работ и услуг для государственных нужд</v>
      </c>
      <c r="B1006" s="79"/>
      <c r="C1006" s="80"/>
      <c r="D1006" s="69"/>
      <c r="E1006" s="82"/>
      <c r="F1006" s="81">
        <v>200</v>
      </c>
      <c r="G1006" s="341">
        <v>8000000</v>
      </c>
      <c r="H1006" s="337"/>
      <c r="I1006" s="341">
        <f>SUM(G1006:H1006)</f>
        <v>8000000</v>
      </c>
      <c r="J1006" s="337">
        <v>7673160</v>
      </c>
    </row>
    <row r="1007" spans="1:10" ht="68.25" customHeight="1">
      <c r="A1007" s="41" t="str">
        <f>IF(B1007&gt;0,VLOOKUP(B1007,КВСР!A828:B1993,2),IF(C1007&gt;0,VLOOKUP(C1007,КФСР!A828:B2340,2),IF(D1007&gt;0,VLOOKUP(D1007,Программа!A$1:B$5063,2),IF(F1007&gt;0,VLOOKUP(F1007,КВР!A$1:B$5001,2),IF(E1007&gt;0,VLOOKUP(E1007,Направление!A$1:B$4755,2))))))</f>
        <v>Обеспечение мероприятий по техническому содержанию, текущему и капитальному ремонту сетей уличного освещения</v>
      </c>
      <c r="B1007" s="79"/>
      <c r="C1007" s="80"/>
      <c r="D1007" s="69"/>
      <c r="E1007" s="82">
        <v>29246</v>
      </c>
      <c r="F1007" s="81"/>
      <c r="G1007" s="341">
        <v>2000000</v>
      </c>
      <c r="H1007" s="341">
        <f>H1008</f>
        <v>500000</v>
      </c>
      <c r="I1007" s="42">
        <f>I1008</f>
        <v>2500000</v>
      </c>
      <c r="J1007" s="341">
        <f>J1008</f>
        <v>1912055</v>
      </c>
    </row>
    <row r="1008" spans="1:10" ht="38.25" customHeight="1">
      <c r="A1008" s="41" t="str">
        <f>IF(B1008&gt;0,VLOOKUP(B1008,КВСР!A829:B1994,2),IF(C1008&gt;0,VLOOKUP(C1008,КФСР!A829:B2341,2),IF(D1008&gt;0,VLOOKUP(D1008,Программа!A$1:B$5063,2),IF(F1008&gt;0,VLOOKUP(F1008,КВР!A$1:B$5001,2),IF(E1008&gt;0,VLOOKUP(E1008,Направление!A$1:B$4755,2))))))</f>
        <v>Закупка товаров, работ и услуг для государственных нужд</v>
      </c>
      <c r="B1008" s="79"/>
      <c r="C1008" s="80"/>
      <c r="D1008" s="69"/>
      <c r="E1008" s="82"/>
      <c r="F1008" s="81">
        <v>200</v>
      </c>
      <c r="G1008" s="341">
        <v>2000000</v>
      </c>
      <c r="H1008" s="337">
        <v>500000</v>
      </c>
      <c r="I1008" s="341">
        <f>SUM(G1008:H1008)</f>
        <v>2500000</v>
      </c>
      <c r="J1008" s="337">
        <v>1912055</v>
      </c>
    </row>
    <row r="1009" spans="1:10" ht="45" customHeight="1">
      <c r="A1009" s="41" t="str">
        <f>IF(B1009&gt;0,VLOOKUP(B1009,КВСР!A830:B1995,2),IF(C1009&gt;0,VLOOKUP(C1009,КФСР!A830:B2342,2),IF(D1009&gt;0,VLOOKUP(D1009,Программа!A$1:B$5063,2),IF(F1009&gt;0,VLOOKUP(F1009,КВР!A$1:B$5001,2),IF(E1009&gt;0,VLOOKUP(E1009,Направление!A$1:B$4755,2))))))</f>
        <v>Обеспечение мероприятий в области благоустройства</v>
      </c>
      <c r="B1009" s="79"/>
      <c r="C1009" s="80"/>
      <c r="D1009" s="69"/>
      <c r="E1009" s="82">
        <v>29266</v>
      </c>
      <c r="F1009" s="81"/>
      <c r="G1009" s="341">
        <v>2068336.2599999998</v>
      </c>
      <c r="H1009" s="341">
        <f>H1010+H1011</f>
        <v>-179735</v>
      </c>
      <c r="I1009" s="341">
        <f>SUM(G1009:H1009)</f>
        <v>1888601.2599999998</v>
      </c>
      <c r="J1009" s="341">
        <f>J1010+J1011</f>
        <v>1757224</v>
      </c>
    </row>
    <row r="1010" spans="1:10" ht="39.75" customHeight="1">
      <c r="A1010" s="41" t="str">
        <f>IF(B1010&gt;0,VLOOKUP(B1010,КВСР!A831:B1996,2),IF(C1010&gt;0,VLOOKUP(C1010,КФСР!A831:B2343,2),IF(D1010&gt;0,VLOOKUP(D1010,Программа!A$1:B$5063,2),IF(F1010&gt;0,VLOOKUP(F1010,КВР!A$1:B$5001,2),IF(E1010&gt;0,VLOOKUP(E1010,Направление!A$1:B$4755,2))))))</f>
        <v>Закупка товаров, работ и услуг для государственных нужд</v>
      </c>
      <c r="B1010" s="79"/>
      <c r="C1010" s="80"/>
      <c r="D1010" s="69"/>
      <c r="E1010" s="82"/>
      <c r="F1010" s="81">
        <v>200</v>
      </c>
      <c r="G1010" s="341">
        <v>1812093.2599999998</v>
      </c>
      <c r="H1010" s="337">
        <v>-133000</v>
      </c>
      <c r="I1010" s="341">
        <f>SUM(G1010:H1010)</f>
        <v>1679093.2599999998</v>
      </c>
      <c r="J1010" s="337">
        <v>1567240</v>
      </c>
    </row>
    <row r="1011" spans="1:10" ht="64.5" customHeight="1">
      <c r="A1011" s="41" t="str">
        <f>IF(B1011&gt;0,VLOOKUP(B1011,КВСР!A832:B1997,2),IF(C1011&gt;0,VLOOKUP(C1011,КФСР!A832:B2344,2),IF(D1011&gt;0,VLOOKUP(D1011,Программа!A$1:B$5063,2),IF(F1011&gt;0,VLOOKUP(F1011,КВР!A$1:B$5001,2),IF(E1011&gt;0,VLOOKUP(E1011,Направление!A$1:B$4755,2))))))</f>
        <v>Предоставление субсидий бюджетным, автономным учреждениям и иным некоммерческим организациям</v>
      </c>
      <c r="B1011" s="79"/>
      <c r="C1011" s="80"/>
      <c r="D1011" s="69"/>
      <c r="E1011" s="82"/>
      <c r="F1011" s="81">
        <v>600</v>
      </c>
      <c r="G1011" s="341">
        <v>256243</v>
      </c>
      <c r="H1011" s="337">
        <v>-46735</v>
      </c>
      <c r="I1011" s="341">
        <f>SUM(G1011:H1011)</f>
        <v>209508</v>
      </c>
      <c r="J1011" s="337">
        <v>189984</v>
      </c>
    </row>
    <row r="1012" spans="1:10" ht="31.5">
      <c r="A1012" s="41" t="str">
        <f>IF(B1012&gt;0,VLOOKUP(B1012,КВСР!A831:B1996,2),IF(C1012&gt;0,VLOOKUP(C1012,КФСР!A831:B2343,2),IF(D1012&gt;0,VLOOKUP(D1012,Программа!A$1:B$5063,2),IF(F1012&gt;0,VLOOKUP(F1012,КВР!A$1:B$5001,2),IF(E1012&gt;0,VLOOKUP(E1012,Направление!A$1:B$4755,2))))))</f>
        <v>Обеспечение участия  по  сбору   и  транспортированию ТКО и КГО</v>
      </c>
      <c r="B1012" s="79"/>
      <c r="C1012" s="80"/>
      <c r="D1012" s="69"/>
      <c r="E1012" s="82">
        <v>29546</v>
      </c>
      <c r="F1012" s="81"/>
      <c r="G1012" s="341">
        <v>2303078</v>
      </c>
      <c r="H1012" s="341">
        <f>H1013</f>
        <v>0</v>
      </c>
      <c r="I1012" s="42">
        <f>I1013</f>
        <v>2303078</v>
      </c>
      <c r="J1012" s="341">
        <f>J1013</f>
        <v>2303077</v>
      </c>
    </row>
    <row r="1013" spans="1:10" ht="39.75" customHeight="1">
      <c r="A1013" s="41" t="str">
        <f>IF(B1013&gt;0,VLOOKUP(B1013,КВСР!A833:B1998,2),IF(C1013&gt;0,VLOOKUP(C1013,КФСР!A833:B2345,2),IF(D1013&gt;0,VLOOKUP(D1013,Программа!A$1:B$5063,2),IF(F1013&gt;0,VLOOKUP(F1013,КВР!A$1:B$5001,2),IF(E1013&gt;0,VLOOKUP(E1013,Направление!A$1:B$4755,2))))))</f>
        <v>Закупка товаров, работ и услуг для государственных нужд</v>
      </c>
      <c r="B1013" s="79"/>
      <c r="C1013" s="80"/>
      <c r="D1013" s="69"/>
      <c r="E1013" s="82"/>
      <c r="F1013" s="81">
        <v>200</v>
      </c>
      <c r="G1013" s="341">
        <v>2303078</v>
      </c>
      <c r="H1013" s="337"/>
      <c r="I1013" s="341">
        <f>SUM(G1013:H1013)</f>
        <v>2303078</v>
      </c>
      <c r="J1013" s="337">
        <v>2303077</v>
      </c>
    </row>
    <row r="1014" spans="1:10" ht="50.25" customHeight="1">
      <c r="A1014" s="41" t="str">
        <f>IF(B1014&gt;0,VLOOKUP(B1014,КВСР!A834:B1999,2),IF(C1014&gt;0,VLOOKUP(C1014,КФСР!A834:B2346,2),IF(D1014&gt;0,VLOOKUP(D1014,Программа!A$1:B$5063,2),IF(F1014&gt;0,VLOOKUP(F1014,КВР!A$1:B$5001,2),IF(E1014&gt;0,VLOOKUP(E1014,Направление!A$1:B$4755,2))))))</f>
        <v>Субсидия на благоустройство населенных пунктов Ярославской  области</v>
      </c>
      <c r="B1014" s="79"/>
      <c r="C1014" s="80"/>
      <c r="D1014" s="69"/>
      <c r="E1014" s="82">
        <v>74776</v>
      </c>
      <c r="F1014" s="81"/>
      <c r="G1014" s="341">
        <v>2757000</v>
      </c>
      <c r="H1014" s="341">
        <f>H1015</f>
        <v>0</v>
      </c>
      <c r="I1014" s="42">
        <f>I1015</f>
        <v>2757000</v>
      </c>
      <c r="J1014" s="341">
        <f>J1015</f>
        <v>1863000</v>
      </c>
    </row>
    <row r="1015" spans="1:10" ht="39.75" customHeight="1">
      <c r="A1015" s="41" t="str">
        <f>IF(B1015&gt;0,VLOOKUP(B1015,КВСР!A835:B2000,2),IF(C1015&gt;0,VLOOKUP(C1015,КФСР!A835:B2347,2),IF(D1015&gt;0,VLOOKUP(D1015,Программа!A$1:B$5063,2),IF(F1015&gt;0,VLOOKUP(F1015,КВР!A$1:B$5001,2),IF(E1015&gt;0,VLOOKUP(E1015,Направление!A$1:B$4755,2))))))</f>
        <v>Закупка товаров, работ и услуг для государственных нужд</v>
      </c>
      <c r="B1015" s="79"/>
      <c r="C1015" s="80"/>
      <c r="D1015" s="69"/>
      <c r="E1015" s="82"/>
      <c r="F1015" s="81">
        <v>200</v>
      </c>
      <c r="G1015" s="341">
        <v>2757000</v>
      </c>
      <c r="H1015" s="337"/>
      <c r="I1015" s="341">
        <f>SUM(G1015:H1015)</f>
        <v>2757000</v>
      </c>
      <c r="J1015" s="337">
        <v>1863000</v>
      </c>
    </row>
    <row r="1016" spans="1:10" ht="63.75" customHeight="1">
      <c r="A1016" s="41" t="str">
        <f>IF(B1016&gt;0,VLOOKUP(B1016,КВСР!A836:B2001,2),IF(C1016&gt;0,VLOOKUP(C1016,КФСР!A836:B2348,2),IF(D1016&gt;0,VLOOKUP(D1016,Программа!A$1:B$5063,2),IF(F1016&gt;0,VLOOKUP(F1016,КВР!A$1:B$5001,2),IF(E1016&gt;0,VLOOKUP(E1016,Направление!A$1:B$4755,2))))))</f>
        <v>Софинансирование субсидии на благоустройство населенных пунктов Ярославской области</v>
      </c>
      <c r="B1016" s="79"/>
      <c r="C1016" s="80"/>
      <c r="D1016" s="69"/>
      <c r="E1016" s="82" t="s">
        <v>3140</v>
      </c>
      <c r="F1016" s="81"/>
      <c r="G1016" s="341">
        <v>1265030</v>
      </c>
      <c r="H1016" s="341">
        <f>H1017</f>
        <v>0</v>
      </c>
      <c r="I1016" s="42">
        <f>I1017</f>
        <v>1265030</v>
      </c>
      <c r="J1016" s="341">
        <f>J1017</f>
        <v>1264237</v>
      </c>
    </row>
    <row r="1017" spans="1:10" ht="39.75" customHeight="1">
      <c r="A1017" s="41" t="str">
        <f>IF(B1017&gt;0,VLOOKUP(B1017,КВСР!A837:B2002,2),IF(C1017&gt;0,VLOOKUP(C1017,КФСР!A837:B2349,2),IF(D1017&gt;0,VLOOKUP(D1017,Программа!A$1:B$5063,2),IF(F1017&gt;0,VLOOKUP(F1017,КВР!A$1:B$5001,2),IF(E1017&gt;0,VLOOKUP(E1017,Направление!A$1:B$4755,2))))))</f>
        <v>Закупка товаров, работ и услуг для государственных нужд</v>
      </c>
      <c r="B1017" s="79"/>
      <c r="C1017" s="80"/>
      <c r="D1017" s="69"/>
      <c r="E1017" s="82"/>
      <c r="F1017" s="81">
        <v>200</v>
      </c>
      <c r="G1017" s="341">
        <v>1265030</v>
      </c>
      <c r="H1017" s="337"/>
      <c r="I1017" s="341">
        <f>SUM(G1017:H1017)</f>
        <v>1265030</v>
      </c>
      <c r="J1017" s="337">
        <v>1264237</v>
      </c>
    </row>
    <row r="1018" spans="1:10" ht="54" customHeight="1">
      <c r="A1018" s="41" t="str">
        <f>IF(B1018&gt;0,VLOOKUP(B1018,КВСР!A838:B2003,2),IF(C1018&gt;0,VLOOKUP(C1018,КФСР!A838:B2350,2),IF(D1018&gt;0,VLOOKUP(D1018,Программа!A$1:B$5063,2),IF(F1018&gt;0,VLOOKUP(F1018,КВР!A$1:B$5001,2),IF(E1018&gt;0,VLOOKUP(E1018,Направление!A$1:B$4755,2))))))</f>
        <v xml:space="preserve">Обеспечение мероприятий по совершенствованию  эстетического  состояния территорий </v>
      </c>
      <c r="B1018" s="79"/>
      <c r="C1018" s="80"/>
      <c r="D1018" s="69" t="s">
        <v>2757</v>
      </c>
      <c r="E1018" s="82"/>
      <c r="F1018" s="81"/>
      <c r="G1018" s="341">
        <v>2072680.2</v>
      </c>
      <c r="H1018" s="341">
        <f>H1019</f>
        <v>0</v>
      </c>
      <c r="I1018" s="341">
        <f>I1019</f>
        <v>2072680.2</v>
      </c>
      <c r="J1018" s="341">
        <f>J1019</f>
        <v>2017779</v>
      </c>
    </row>
    <row r="1019" spans="1:10" ht="39.75" customHeight="1">
      <c r="A1019" s="41" t="str">
        <f>IF(B1019&gt;0,VLOOKUP(B1019,КВСР!A839:B2004,2),IF(C1019&gt;0,VLOOKUP(C1019,КФСР!A839:B2351,2),IF(D1019&gt;0,VLOOKUP(D1019,Программа!A$1:B$5063,2),IF(F1019&gt;0,VLOOKUP(F1019,КВР!A$1:B$5001,2),IF(E1019&gt;0,VLOOKUP(E1019,Направление!A$1:B$4755,2))))))</f>
        <v>Обеспечение мероприятий в области благоустройства</v>
      </c>
      <c r="B1019" s="79"/>
      <c r="C1019" s="80"/>
      <c r="D1019" s="69"/>
      <c r="E1019" s="82">
        <v>29266</v>
      </c>
      <c r="F1019" s="81"/>
      <c r="G1019" s="341">
        <v>2072680.2</v>
      </c>
      <c r="H1019" s="341">
        <f>H1020+H1021</f>
        <v>0</v>
      </c>
      <c r="I1019" s="42">
        <f>SUM(I1020:I1021)</f>
        <v>2072680.2</v>
      </c>
      <c r="J1019" s="341">
        <f>J1020+J1021</f>
        <v>2017779</v>
      </c>
    </row>
    <row r="1020" spans="1:10" ht="36.75" customHeight="1">
      <c r="A1020" s="41" t="str">
        <f>IF(B1020&gt;0,VLOOKUP(B1020,КВСР!A840:B2005,2),IF(C1020&gt;0,VLOOKUP(C1020,КФСР!A840:B2352,2),IF(D1020&gt;0,VLOOKUP(D1020,Программа!A$1:B$5063,2),IF(F1020&gt;0,VLOOKUP(F1020,КВР!A$1:B$5001,2),IF(E1020&gt;0,VLOOKUP(E1020,Направление!A$1:B$4755,2))))))</f>
        <v>Закупка товаров, работ и услуг для государственных нужд</v>
      </c>
      <c r="B1020" s="79"/>
      <c r="C1020" s="80"/>
      <c r="D1020" s="69"/>
      <c r="E1020" s="82"/>
      <c r="F1020" s="81">
        <v>200</v>
      </c>
      <c r="G1020" s="341">
        <v>72680.2</v>
      </c>
      <c r="H1020" s="337"/>
      <c r="I1020" s="42">
        <f>SUM(G1020:H1020)</f>
        <v>72680.2</v>
      </c>
      <c r="J1020" s="337">
        <v>43600</v>
      </c>
    </row>
    <row r="1021" spans="1:10" ht="51.75" customHeight="1">
      <c r="A1021" s="41" t="str">
        <f>IF(B1021&gt;0,VLOOKUP(B1021,КВСР!A841:B2006,2),IF(C1021&gt;0,VLOOKUP(C1021,КФСР!A841:B2353,2),IF(D1021&gt;0,VLOOKUP(D1021,Программа!A$1:B$5063,2),IF(F1021&gt;0,VLOOKUP(F1021,КВР!A$1:B$5001,2),IF(E1021&gt;0,VLOOKUP(E1021,Направление!A$1:B$4755,2))))))</f>
        <v>Предоставление субсидий бюджетным, автономным учреждениям и иным некоммерческим организациям</v>
      </c>
      <c r="B1021" s="79"/>
      <c r="C1021" s="80"/>
      <c r="D1021" s="69"/>
      <c r="E1021" s="82"/>
      <c r="F1021" s="81">
        <v>600</v>
      </c>
      <c r="G1021" s="341">
        <v>2000000</v>
      </c>
      <c r="H1021" s="337"/>
      <c r="I1021" s="42">
        <f>SUM(G1021:H1021)</f>
        <v>2000000</v>
      </c>
      <c r="J1021" s="337">
        <v>1974179</v>
      </c>
    </row>
    <row r="1022" spans="1:10" ht="37.5" customHeight="1">
      <c r="A1022" s="41" t="str">
        <f>IF(B1022&gt;0,VLOOKUP(B1022,КВСР!A842:B2007,2),IF(C1022&gt;0,VLOOKUP(C1022,КФСР!A842:B2354,2),IF(D1022&gt;0,VLOOKUP(D1022,Программа!A$1:B$5063,2),IF(F1022&gt;0,VLOOKUP(F1022,КВР!A$1:B$5001,2),IF(E1022&gt;0,VLOOKUP(E1022,Направление!A$1:B$4755,2))))))</f>
        <v>Обеспечение мероприятий по благоустройству мест массового отдыха населения</v>
      </c>
      <c r="B1022" s="79"/>
      <c r="C1022" s="80"/>
      <c r="D1022" s="69" t="s">
        <v>2758</v>
      </c>
      <c r="E1022" s="82"/>
      <c r="F1022" s="81"/>
      <c r="G1022" s="341">
        <v>12768093.700000001</v>
      </c>
      <c r="H1022" s="341">
        <f>H1023+H1026+H1028+H1031</f>
        <v>2502133</v>
      </c>
      <c r="I1022" s="341">
        <f>I1023+I1026+I1028+I1031</f>
        <v>15270226.699999999</v>
      </c>
      <c r="J1022" s="341">
        <f>J1023+J1026+J1028+J1031</f>
        <v>5585173</v>
      </c>
    </row>
    <row r="1023" spans="1:10" ht="35.25" customHeight="1">
      <c r="A1023" s="41" t="str">
        <f>IF(B1023&gt;0,VLOOKUP(B1023,КВСР!A843:B2008,2),IF(C1023&gt;0,VLOOKUP(C1023,КФСР!A843:B2355,2),IF(D1023&gt;0,VLOOKUP(D1023,Программа!A$1:B$5063,2),IF(F1023&gt;0,VLOOKUP(F1023,КВР!A$1:B$5001,2),IF(E1023&gt;0,VLOOKUP(E1023,Направление!A$1:B$4755,2))))))</f>
        <v>Обеспечение мероприятий в области благоустройства</v>
      </c>
      <c r="B1023" s="79"/>
      <c r="C1023" s="80"/>
      <c r="D1023" s="69"/>
      <c r="E1023" s="82">
        <v>29266</v>
      </c>
      <c r="F1023" s="81"/>
      <c r="G1023" s="341">
        <v>1109758.9799999997</v>
      </c>
      <c r="H1023" s="341">
        <f>H1024+H1025</f>
        <v>1582394</v>
      </c>
      <c r="I1023" s="42">
        <f t="shared" ref="I1023:I1033" si="311">SUM(G1023:H1023)</f>
        <v>2692152.9799999995</v>
      </c>
      <c r="J1023" s="341">
        <f>J1024+J1025</f>
        <v>2511712</v>
      </c>
    </row>
    <row r="1024" spans="1:10" ht="36.75" customHeight="1">
      <c r="A1024" s="41" t="str">
        <f>IF(B1024&gt;0,VLOOKUP(B1024,КВСР!A844:B2009,2),IF(C1024&gt;0,VLOOKUP(C1024,КФСР!A844:B2356,2),IF(D1024&gt;0,VLOOKUP(D1024,Программа!A$1:B$5063,2),IF(F1024&gt;0,VLOOKUP(F1024,КВР!A$1:B$5001,2),IF(E1024&gt;0,VLOOKUP(E1024,Направление!A$1:B$4755,2))))))</f>
        <v>Закупка товаров, работ и услуг для государственных нужд</v>
      </c>
      <c r="B1024" s="79"/>
      <c r="C1024" s="80"/>
      <c r="D1024" s="69"/>
      <c r="E1024" s="82"/>
      <c r="F1024" s="81">
        <v>200</v>
      </c>
      <c r="G1024" s="341">
        <v>409758.97999999986</v>
      </c>
      <c r="H1024" s="337">
        <v>561057</v>
      </c>
      <c r="I1024" s="42">
        <f t="shared" si="311"/>
        <v>970815.97999999986</v>
      </c>
      <c r="J1024" s="337">
        <v>890375</v>
      </c>
    </row>
    <row r="1025" spans="1:10" ht="48.75" customHeight="1">
      <c r="A1025" s="41" t="str">
        <f>IF(B1025&gt;0,VLOOKUP(B1025,КВСР!A845:B2010,2),IF(C1025&gt;0,VLOOKUP(C1025,КФСР!A845:B2357,2),IF(D1025&gt;0,VLOOKUP(D1025,Программа!A$1:B$5063,2),IF(F1025&gt;0,VLOOKUP(F1025,КВР!A$1:B$5001,2),IF(E1025&gt;0,VLOOKUP(E1025,Направление!A$1:B$4755,2))))))</f>
        <v>Предоставление субсидий бюджетным, автономным учреждениям и иным некоммерческим организациям</v>
      </c>
      <c r="B1025" s="79"/>
      <c r="C1025" s="80"/>
      <c r="D1025" s="69"/>
      <c r="E1025" s="82"/>
      <c r="F1025" s="81">
        <v>600</v>
      </c>
      <c r="G1025" s="341">
        <v>700000</v>
      </c>
      <c r="H1025" s="337">
        <v>1021337</v>
      </c>
      <c r="I1025" s="42">
        <f t="shared" si="311"/>
        <v>1721337</v>
      </c>
      <c r="J1025" s="337">
        <v>1621337</v>
      </c>
    </row>
    <row r="1026" spans="1:10" ht="63">
      <c r="A1026" s="41" t="str">
        <f>IF(B1026&gt;0,VLOOKUP(B1026,КВСР!A846:B2011,2),IF(C1026&gt;0,VLOOKUP(C1026,КФСР!A846:B2358,2),IF(D1026&gt;0,VLOOKUP(D1026,Программа!A$1:B$5063,2),IF(F1026&gt;0,VLOOKUP(F1026,КВР!A$1:B$5001,2),IF(E1026&gt;0,VLOOKUP(E1026,Направление!A$1:B$4755,2))))))</f>
        <v>Субсидия на мероприятия по благоустройству  на содействие решения вопросов МЗ по обращению депутатов Думы   ЯО</v>
      </c>
      <c r="B1026" s="79"/>
      <c r="C1026" s="80"/>
      <c r="D1026" s="69"/>
      <c r="E1026" s="82">
        <v>74436</v>
      </c>
      <c r="F1026" s="81"/>
      <c r="G1026" s="341">
        <v>290000</v>
      </c>
      <c r="H1026" s="341">
        <f>H1027</f>
        <v>0</v>
      </c>
      <c r="I1026" s="42">
        <f t="shared" si="311"/>
        <v>290000</v>
      </c>
      <c r="J1026" s="341">
        <f>J1027</f>
        <v>237260</v>
      </c>
    </row>
    <row r="1027" spans="1:10" ht="48.75" customHeight="1">
      <c r="A1027" s="41" t="str">
        <f>IF(B1027&gt;0,VLOOKUP(B1027,КВСР!A847:B2012,2),IF(C1027&gt;0,VLOOKUP(C1027,КФСР!A847:B2359,2),IF(D1027&gt;0,VLOOKUP(D1027,Программа!A$1:B$5063,2),IF(F1027&gt;0,VLOOKUP(F1027,КВР!A$1:B$5001,2),IF(E1027&gt;0,VLOOKUP(E1027,Направление!A$1:B$4755,2))))))</f>
        <v>Закупка товаров, работ и услуг для государственных нужд</v>
      </c>
      <c r="B1027" s="79"/>
      <c r="C1027" s="80"/>
      <c r="D1027" s="69"/>
      <c r="E1027" s="82"/>
      <c r="F1027" s="81">
        <v>200</v>
      </c>
      <c r="G1027" s="341">
        <v>290000</v>
      </c>
      <c r="H1027" s="337"/>
      <c r="I1027" s="42">
        <f t="shared" si="311"/>
        <v>290000</v>
      </c>
      <c r="J1027" s="337">
        <v>237260</v>
      </c>
    </row>
    <row r="1028" spans="1:10" ht="51" hidden="1" customHeight="1">
      <c r="A1028" s="41" t="str">
        <f>IF(B1028&gt;0,VLOOKUP(B1028,КВСР!A848:B2013,2),IF(C1028&gt;0,VLOOKUP(C1028,КФСР!A848:B2360,2),IF(D1028&gt;0,VLOOKUP(D1028,Программа!A$1:B$5063,2),IF(F1028&gt;0,VLOOKUP(F1028,КВР!A$1:B$5001,2),IF(E1028&gt;0,VLOOKUP(E1028,Направление!A$1:B$4755,2))))))</f>
        <v>Субсидия на благоустройство населенных пунктов Ярославской  области</v>
      </c>
      <c r="B1028" s="79"/>
      <c r="C1028" s="80"/>
      <c r="D1028" s="69"/>
      <c r="E1028" s="82">
        <v>74776</v>
      </c>
      <c r="F1028" s="81"/>
      <c r="G1028" s="341">
        <v>9377900</v>
      </c>
      <c r="H1028" s="341">
        <f>H1029+H1030</f>
        <v>0</v>
      </c>
      <c r="I1028" s="42">
        <f t="shared" si="311"/>
        <v>9377900</v>
      </c>
      <c r="J1028" s="341">
        <f>J1029+J1030</f>
        <v>0</v>
      </c>
    </row>
    <row r="1029" spans="1:10" ht="39.75" hidden="1" customHeight="1">
      <c r="A1029" s="41" t="str">
        <f>IF(B1029&gt;0,VLOOKUP(B1029,КВСР!A849:B2014,2),IF(C1029&gt;0,VLOOKUP(C1029,КФСР!A849:B2361,2),IF(D1029&gt;0,VLOOKUP(D1029,Программа!A$1:B$5063,2),IF(F1029&gt;0,VLOOKUP(F1029,КВР!A$1:B$5001,2),IF(E1029&gt;0,VLOOKUP(E1029,Направление!A$1:B$4755,2))))))</f>
        <v>Закупка товаров, работ и услуг для государственных нужд</v>
      </c>
      <c r="B1029" s="79"/>
      <c r="C1029" s="80"/>
      <c r="D1029" s="69"/>
      <c r="E1029" s="82"/>
      <c r="F1029" s="81">
        <v>200</v>
      </c>
      <c r="G1029" s="341">
        <v>4597900</v>
      </c>
      <c r="H1029" s="337"/>
      <c r="I1029" s="42">
        <f t="shared" si="311"/>
        <v>4597900</v>
      </c>
      <c r="J1029" s="337"/>
    </row>
    <row r="1030" spans="1:10" ht="35.25" hidden="1" customHeight="1">
      <c r="A1030" s="41" t="str">
        <f>IF(B1030&gt;0,VLOOKUP(B1030,КВСР!A850:B2015,2),IF(C1030&gt;0,VLOOKUP(C1030,КФСР!A850:B2362,2),IF(D1030&gt;0,VLOOKUP(D1030,Программа!A$1:B$5063,2),IF(F1030&gt;0,VLOOKUP(F1030,КВР!A$1:B$5001,2),IF(E1030&gt;0,VLOOKUP(E1030,Направление!A$1:B$4755,2))))))</f>
        <v>Бюджетные инвестиции</v>
      </c>
      <c r="B1030" s="79"/>
      <c r="C1030" s="80"/>
      <c r="D1030" s="69"/>
      <c r="E1030" s="82"/>
      <c r="F1030" s="81">
        <v>400</v>
      </c>
      <c r="G1030" s="341">
        <v>4780000</v>
      </c>
      <c r="H1030" s="337"/>
      <c r="I1030" s="42">
        <f t="shared" si="311"/>
        <v>4780000</v>
      </c>
      <c r="J1030" s="337"/>
    </row>
    <row r="1031" spans="1:10" ht="48.75" customHeight="1">
      <c r="A1031" s="41" t="str">
        <f>IF(B1031&gt;0,VLOOKUP(B1031,КВСР!A851:B2016,2),IF(C1031&gt;0,VLOOKUP(C1031,КФСР!A851:B2363,2),IF(D1031&gt;0,VLOOKUP(D1031,Программа!A$1:B$5063,2),IF(F1031&gt;0,VLOOKUP(F1031,КВР!A$1:B$5001,2),IF(E1031&gt;0,VLOOKUP(E1031,Направление!A$1:B$4755,2))))))</f>
        <v>Софинансирование субсидии на благоустройство населенных пунктов Ярославской области</v>
      </c>
      <c r="B1031" s="79"/>
      <c r="C1031" s="80"/>
      <c r="D1031" s="69"/>
      <c r="E1031" s="82" t="s">
        <v>3140</v>
      </c>
      <c r="F1031" s="81"/>
      <c r="G1031" s="341">
        <v>1990434.72</v>
      </c>
      <c r="H1031" s="341">
        <f>H1032+H1033</f>
        <v>919739</v>
      </c>
      <c r="I1031" s="42">
        <f t="shared" si="311"/>
        <v>2910173.7199999997</v>
      </c>
      <c r="J1031" s="341">
        <f>J1032+J1033</f>
        <v>2836201</v>
      </c>
    </row>
    <row r="1032" spans="1:10" ht="39.75" customHeight="1">
      <c r="A1032" s="41" t="str">
        <f>IF(B1032&gt;0,VLOOKUP(B1032,КВСР!A852:B2017,2),IF(C1032&gt;0,VLOOKUP(C1032,КФСР!A852:B2364,2),IF(D1032&gt;0,VLOOKUP(D1032,Программа!A$1:B$5063,2),IF(F1032&gt;0,VLOOKUP(F1032,КВР!A$1:B$5001,2),IF(E1032&gt;0,VLOOKUP(E1032,Направление!A$1:B$4755,2))))))</f>
        <v>Закупка товаров, работ и услуг для государственных нужд</v>
      </c>
      <c r="B1032" s="79"/>
      <c r="C1032" s="80"/>
      <c r="D1032" s="69"/>
      <c r="E1032" s="82"/>
      <c r="F1032" s="81">
        <v>200</v>
      </c>
      <c r="G1032" s="341">
        <v>1308580</v>
      </c>
      <c r="H1032" s="337">
        <v>123090</v>
      </c>
      <c r="I1032" s="42">
        <f t="shared" si="311"/>
        <v>1431670</v>
      </c>
      <c r="J1032" s="337">
        <v>1391765</v>
      </c>
    </row>
    <row r="1033" spans="1:10" ht="30.75" customHeight="1">
      <c r="A1033" s="41" t="str">
        <f>IF(B1033&gt;0,VLOOKUP(B1033,КВСР!A853:B2018,2),IF(C1033&gt;0,VLOOKUP(C1033,КФСР!A853:B2365,2),IF(D1033&gt;0,VLOOKUP(D1033,Программа!A$1:B$5063,2),IF(F1033&gt;0,VLOOKUP(F1033,КВР!A$1:B$5001,2),IF(E1033&gt;0,VLOOKUP(E1033,Направление!A$1:B$4755,2))))))</f>
        <v>Бюджетные инвестиции</v>
      </c>
      <c r="B1033" s="79"/>
      <c r="C1033" s="80"/>
      <c r="D1033" s="69"/>
      <c r="E1033" s="82"/>
      <c r="F1033" s="81">
        <v>400</v>
      </c>
      <c r="G1033" s="341">
        <v>681854.72</v>
      </c>
      <c r="H1033" s="337">
        <v>796649</v>
      </c>
      <c r="I1033" s="42">
        <f t="shared" si="311"/>
        <v>1478503.72</v>
      </c>
      <c r="J1033" s="337">
        <v>1444436</v>
      </c>
    </row>
    <row r="1034" spans="1:10" ht="31.5">
      <c r="A1034" s="41" t="str">
        <f>IF(B1034&gt;0,VLOOKUP(B1034,КВСР!A854:B2019,2),IF(C1034&gt;0,VLOOKUP(C1034,КФСР!A854:B2366,2),IF(D1034&gt;0,VLOOKUP(D1034,Программа!A$1:B$5063,2),IF(F1034&gt;0,VLOOKUP(F1034,КВР!A$1:B$5001,2),IF(E1034&gt;0,VLOOKUP(E1034,Направление!A$1:B$4755,2))))))</f>
        <v>Другие вопросы в области жилищно-коммунального хозяйства</v>
      </c>
      <c r="B1034" s="69"/>
      <c r="C1034" s="76">
        <v>505</v>
      </c>
      <c r="D1034" s="391"/>
      <c r="E1034" s="83"/>
      <c r="F1034" s="77"/>
      <c r="G1034" s="42">
        <v>14497045</v>
      </c>
      <c r="H1034" s="42">
        <f>H1039+H1035</f>
        <v>-587000</v>
      </c>
      <c r="I1034" s="42">
        <f t="shared" si="304"/>
        <v>13910045</v>
      </c>
      <c r="J1034" s="42">
        <f>J1039+J1035</f>
        <v>11940131</v>
      </c>
    </row>
    <row r="1035" spans="1:10" ht="78.75">
      <c r="A1035" s="41" t="str">
        <f>IF(B1035&gt;0,VLOOKUP(B1035,КВСР!A855:B2020,2),IF(C1035&gt;0,VLOOKUP(C1035,КФСР!A855:B2367,2),IF(D1035&gt;0,VLOOKUP(D1035,Программа!A$1:B$5063,2),IF(F1035&gt;0,VLOOKUP(F1035,КВР!A$1:B$5001,2),IF(E1035&gt;0,VLOOKUP(E1035,Направление!A$1:B$4755,2))))))</f>
        <v>Муниципальная программа "Информатизация управленческой деятельности Администрации Тутаевского муниципального района"</v>
      </c>
      <c r="B1035" s="69"/>
      <c r="C1035" s="76"/>
      <c r="D1035" s="391" t="s">
        <v>2838</v>
      </c>
      <c r="E1035" s="83"/>
      <c r="F1035" s="77"/>
      <c r="G1035" s="42">
        <v>340000</v>
      </c>
      <c r="H1035" s="42">
        <f t="shared" ref="H1035:J1036" si="312">H1036</f>
        <v>-87000</v>
      </c>
      <c r="I1035" s="42">
        <f t="shared" si="304"/>
        <v>253000</v>
      </c>
      <c r="J1035" s="42">
        <f t="shared" si="312"/>
        <v>150000</v>
      </c>
    </row>
    <row r="1036" spans="1:10" ht="78.75">
      <c r="A1036" s="41" t="str">
        <f>IF(B1036&gt;0,VLOOKUP(B1036,КВСР!A856:B2021,2),IF(C1036&gt;0,VLOOKUP(C1036,КФСР!A856:B2368,2),IF(D1036&gt;0,VLOOKUP(D1036,Программа!A$1:B$5063,2),IF(F1036&gt;0,VLOOKUP(F1036,КВР!A$1:B$5001,2),IF(E1036&gt;0,VLOOKUP(E1036,Направление!A$1:B$4755,2))))))</f>
        <v>Закупка компьютерного оборудования  и оргтехники для бесперебойного обеспечения деятельности органов местного самоуправления</v>
      </c>
      <c r="B1036" s="69"/>
      <c r="C1036" s="76"/>
      <c r="D1036" s="391" t="s">
        <v>2847</v>
      </c>
      <c r="E1036" s="83"/>
      <c r="F1036" s="77"/>
      <c r="G1036" s="42">
        <v>340000</v>
      </c>
      <c r="H1036" s="42">
        <f t="shared" si="312"/>
        <v>-87000</v>
      </c>
      <c r="I1036" s="42">
        <f t="shared" si="304"/>
        <v>253000</v>
      </c>
      <c r="J1036" s="42">
        <f t="shared" si="312"/>
        <v>150000</v>
      </c>
    </row>
    <row r="1037" spans="1:10" ht="31.5">
      <c r="A1037" s="41" t="str">
        <f>IF(B1037&gt;0,VLOOKUP(B1037,КВСР!A857:B2022,2),IF(C1037&gt;0,VLOOKUP(C1037,КФСР!A857:B2369,2),IF(D1037&gt;0,VLOOKUP(D1037,Программа!A$1:B$5063,2),IF(F1037&gt;0,VLOOKUP(F1037,КВР!A$1:B$5001,2),IF(E1037&gt;0,VLOOKUP(E1037,Направление!A$1:B$4755,2))))))</f>
        <v>Расходы на проведение мероприятий по информатизации</v>
      </c>
      <c r="B1037" s="69"/>
      <c r="C1037" s="76"/>
      <c r="D1037" s="391"/>
      <c r="E1037" s="83">
        <v>12210</v>
      </c>
      <c r="F1037" s="77"/>
      <c r="G1037" s="42">
        <v>340000</v>
      </c>
      <c r="H1037" s="42">
        <f>SUM(H1038:H1038)</f>
        <v>-87000</v>
      </c>
      <c r="I1037" s="42">
        <f t="shared" si="304"/>
        <v>253000</v>
      </c>
      <c r="J1037" s="42">
        <f>SUM(J1038:J1038)</f>
        <v>150000</v>
      </c>
    </row>
    <row r="1038" spans="1:10" ht="31.5">
      <c r="A1038" s="41" t="str">
        <f>IF(B1038&gt;0,VLOOKUP(B1038,КВСР!A858:B2023,2),IF(C1038&gt;0,VLOOKUP(C1038,КФСР!A858:B2370,2),IF(D1038&gt;0,VLOOKUP(D1038,Программа!A$1:B$5063,2),IF(F1038&gt;0,VLOOKUP(F1038,КВР!A$1:B$5001,2),IF(E1038&gt;0,VLOOKUP(E1038,Направление!A$1:B$4755,2))))))</f>
        <v>Закупка товаров, работ и услуг для государственных нужд</v>
      </c>
      <c r="B1038" s="69"/>
      <c r="C1038" s="76"/>
      <c r="D1038" s="391"/>
      <c r="E1038" s="83"/>
      <c r="F1038" s="77">
        <v>200</v>
      </c>
      <c r="G1038" s="341">
        <v>340000</v>
      </c>
      <c r="H1038" s="337">
        <v>-87000</v>
      </c>
      <c r="I1038" s="42">
        <f t="shared" si="304"/>
        <v>253000</v>
      </c>
      <c r="J1038" s="337">
        <v>150000</v>
      </c>
    </row>
    <row r="1039" spans="1:10">
      <c r="A1039" s="41" t="str">
        <f>IF(B1039&gt;0,VLOOKUP(B1039,КВСР!A859:B2024,2),IF(C1039&gt;0,VLOOKUP(C1039,КФСР!A859:B2371,2),IF(D1039&gt;0,VLOOKUP(D1039,Программа!A$1:B$5063,2),IF(F1039&gt;0,VLOOKUP(F1039,КВР!A$1:B$5001,2),IF(E1039&gt;0,VLOOKUP(E1039,Направление!A$1:B$4755,2))))))</f>
        <v>Непрограммные расходы бюджета</v>
      </c>
      <c r="B1039" s="83"/>
      <c r="C1039" s="76"/>
      <c r="D1039" s="391" t="s">
        <v>2808</v>
      </c>
      <c r="E1039" s="83"/>
      <c r="F1039" s="77"/>
      <c r="G1039" s="44">
        <v>14157045</v>
      </c>
      <c r="H1039" s="44">
        <f t="shared" ref="H1039:J1039" si="313">H1040+H1044+H1048</f>
        <v>-500000</v>
      </c>
      <c r="I1039" s="42">
        <f t="shared" si="304"/>
        <v>13657045</v>
      </c>
      <c r="J1039" s="44">
        <f t="shared" si="313"/>
        <v>11790131</v>
      </c>
    </row>
    <row r="1040" spans="1:10">
      <c r="A1040" s="41" t="str">
        <f>IF(B1040&gt;0,VLOOKUP(B1040,КВСР!A860:B2025,2),IF(C1040&gt;0,VLOOKUP(C1040,КФСР!A860:B2372,2),IF(D1040&gt;0,VLOOKUP(D1040,Программа!A$1:B$5063,2),IF(F1040&gt;0,VLOOKUP(F1040,КВР!A$1:B$5001,2),IF(E1040&gt;0,VLOOKUP(E1040,Направление!A$1:B$4755,2))))))</f>
        <v>Содержание центрального аппарата</v>
      </c>
      <c r="B1040" s="83"/>
      <c r="C1040" s="76"/>
      <c r="D1040" s="391"/>
      <c r="E1040" s="83">
        <v>12010</v>
      </c>
      <c r="F1040" s="77"/>
      <c r="G1040" s="42">
        <v>4649188</v>
      </c>
      <c r="H1040" s="42">
        <f>H1041+H1042+H1043</f>
        <v>-500000</v>
      </c>
      <c r="I1040" s="42">
        <f t="shared" si="304"/>
        <v>4149188</v>
      </c>
      <c r="J1040" s="42">
        <f>J1041+J1042+J1043</f>
        <v>3872531</v>
      </c>
    </row>
    <row r="1041" spans="1:10" ht="110.25">
      <c r="A1041" s="41" t="str">
        <f>IF(B1041&gt;0,VLOOKUP(B1041,КВСР!A861:B2026,2),IF(C1041&gt;0,VLOOKUP(C1041,КФСР!A861:B2373,2),IF(D1041&gt;0,VLOOKUP(D1041,Программа!A$1:B$5063,2),IF(F1041&gt;0,VLOOKUP(F1041,КВР!A$1:B$5001,2),IF(E1041&gt;0,VLOOKUP(E1041,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41" s="83"/>
      <c r="C1041" s="76"/>
      <c r="D1041" s="77"/>
      <c r="E1041" s="83"/>
      <c r="F1041" s="77">
        <v>100</v>
      </c>
      <c r="G1041" s="341">
        <v>3448593</v>
      </c>
      <c r="H1041" s="337">
        <v>-100000</v>
      </c>
      <c r="I1041" s="42">
        <f t="shared" si="304"/>
        <v>3348593</v>
      </c>
      <c r="J1041" s="337">
        <v>3277260</v>
      </c>
    </row>
    <row r="1042" spans="1:10" ht="31.5">
      <c r="A1042" s="41" t="str">
        <f>IF(B1042&gt;0,VLOOKUP(B1042,КВСР!A862:B2027,2),IF(C1042&gt;0,VLOOKUP(C1042,КФСР!A862:B2374,2),IF(D1042&gt;0,VLOOKUP(D1042,Программа!A$1:B$5063,2),IF(F1042&gt;0,VLOOKUP(F1042,КВР!A$1:B$5001,2),IF(E1042&gt;0,VLOOKUP(E1042,Направление!A$1:B$4755,2))))))</f>
        <v>Закупка товаров, работ и услуг для государственных нужд</v>
      </c>
      <c r="B1042" s="83"/>
      <c r="C1042" s="76"/>
      <c r="D1042" s="77"/>
      <c r="E1042" s="83"/>
      <c r="F1042" s="77">
        <v>200</v>
      </c>
      <c r="G1042" s="341">
        <v>1200595</v>
      </c>
      <c r="H1042" s="337">
        <f>-49500-400000</f>
        <v>-449500</v>
      </c>
      <c r="I1042" s="42">
        <f t="shared" si="304"/>
        <v>751095</v>
      </c>
      <c r="J1042" s="337">
        <v>545771</v>
      </c>
    </row>
    <row r="1043" spans="1:10">
      <c r="A1043" s="41" t="str">
        <f>IF(B1043&gt;0,VLOOKUP(B1043,КВСР!A863:B2028,2),IF(C1043&gt;0,VLOOKUP(C1043,КФСР!A863:B2375,2),IF(D1043&gt;0,VLOOKUP(D1043,Программа!A$1:B$5063,2),IF(F1043&gt;0,VLOOKUP(F1043,КВР!A$1:B$5001,2),IF(E1043&gt;0,VLOOKUP(E1043,Направление!A$1:B$4755,2))))))</f>
        <v>Иные бюджетные ассигнования</v>
      </c>
      <c r="B1043" s="83"/>
      <c r="C1043" s="76"/>
      <c r="D1043" s="77"/>
      <c r="E1043" s="83"/>
      <c r="F1043" s="77">
        <v>800</v>
      </c>
      <c r="G1043" s="341"/>
      <c r="H1043" s="337">
        <v>49500</v>
      </c>
      <c r="I1043" s="42">
        <f>SUM(G1043:H1043)</f>
        <v>49500</v>
      </c>
      <c r="J1043" s="337">
        <v>49500</v>
      </c>
    </row>
    <row r="1044" spans="1:10" ht="47.25">
      <c r="A1044" s="41" t="str">
        <f>IF(B1044&gt;0,VLOOKUP(B1044,КВСР!A863:B2028,2),IF(C1044&gt;0,VLOOKUP(C1044,КФСР!A863:B2375,2),IF(D1044&gt;0,VLOOKUP(D1044,Программа!A$1:B$5063,2),IF(F1044&gt;0,VLOOKUP(F1044,КВР!A$1:B$5001,2),IF(E1044&gt;0,VLOOKUP(E1044,Направление!A$1:B$4755,2))))))</f>
        <v>Содержание органов местного самоуправления за счет средств поселений</v>
      </c>
      <c r="B1044" s="83"/>
      <c r="C1044" s="76"/>
      <c r="D1044" s="77"/>
      <c r="E1044" s="83">
        <v>29016</v>
      </c>
      <c r="F1044" s="77"/>
      <c r="G1044" s="341">
        <v>7632857</v>
      </c>
      <c r="H1044" s="341">
        <f t="shared" ref="H1044:J1044" si="314">SUM(H1045:H1047)</f>
        <v>0</v>
      </c>
      <c r="I1044" s="42">
        <f t="shared" si="304"/>
        <v>7632857</v>
      </c>
      <c r="J1044" s="341">
        <f t="shared" si="314"/>
        <v>7632857</v>
      </c>
    </row>
    <row r="1045" spans="1:10" ht="110.25">
      <c r="A1045" s="41" t="str">
        <f>IF(B1045&gt;0,VLOOKUP(B1045,КВСР!A864:B2029,2),IF(C1045&gt;0,VLOOKUP(C1045,КФСР!A864:B2376,2),IF(D1045&gt;0,VLOOKUP(D1045,Программа!A$1:B$5063,2),IF(F1045&gt;0,VLOOKUP(F1045,КВР!A$1:B$5001,2),IF(E1045&gt;0,VLOOKUP(E1045,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45" s="83"/>
      <c r="C1045" s="76"/>
      <c r="D1045" s="77"/>
      <c r="E1045" s="83"/>
      <c r="F1045" s="77">
        <v>100</v>
      </c>
      <c r="G1045" s="341">
        <v>6939052</v>
      </c>
      <c r="H1045" s="337"/>
      <c r="I1045" s="42">
        <f t="shared" si="304"/>
        <v>6939052</v>
      </c>
      <c r="J1045" s="337">
        <v>6939052</v>
      </c>
    </row>
    <row r="1046" spans="1:10" ht="31.5">
      <c r="A1046" s="41" t="str">
        <f>IF(B1046&gt;0,VLOOKUP(B1046,КВСР!A865:B2030,2),IF(C1046&gt;0,VLOOKUP(C1046,КФСР!A865:B2377,2),IF(D1046&gt;0,VLOOKUP(D1046,Программа!A$1:B$5063,2),IF(F1046&gt;0,VLOOKUP(F1046,КВР!A$1:B$5001,2),IF(E1046&gt;0,VLOOKUP(E1046,Направление!A$1:B$4755,2))))))</f>
        <v>Закупка товаров, работ и услуг для государственных нужд</v>
      </c>
      <c r="B1046" s="83"/>
      <c r="C1046" s="76"/>
      <c r="D1046" s="77"/>
      <c r="E1046" s="83"/>
      <c r="F1046" s="77">
        <v>200</v>
      </c>
      <c r="G1046" s="341">
        <v>681343.59</v>
      </c>
      <c r="H1046" s="337"/>
      <c r="I1046" s="42">
        <f t="shared" si="304"/>
        <v>681343.59</v>
      </c>
      <c r="J1046" s="337">
        <v>681344</v>
      </c>
    </row>
    <row r="1047" spans="1:10">
      <c r="A1047" s="41" t="str">
        <f>IF(B1047&gt;0,VLOOKUP(B1047,КВСР!A866:B2031,2),IF(C1047&gt;0,VLOOKUP(C1047,КФСР!A866:B2378,2),IF(D1047&gt;0,VLOOKUP(D1047,Программа!A$1:B$5063,2),IF(F1047&gt;0,VLOOKUP(F1047,КВР!A$1:B$5001,2),IF(E1047&gt;0,VLOOKUP(E1047,Направление!A$1:B$4755,2))))))</f>
        <v>Иные бюджетные ассигнования</v>
      </c>
      <c r="B1047" s="83"/>
      <c r="C1047" s="76"/>
      <c r="D1047" s="77"/>
      <c r="E1047" s="83"/>
      <c r="F1047" s="77">
        <v>800</v>
      </c>
      <c r="G1047" s="341">
        <v>12461.410000000003</v>
      </c>
      <c r="H1047" s="337"/>
      <c r="I1047" s="42">
        <f t="shared" si="304"/>
        <v>12461.410000000003</v>
      </c>
      <c r="J1047" s="337">
        <v>12461</v>
      </c>
    </row>
    <row r="1048" spans="1:10" ht="31.5">
      <c r="A1048" s="41" t="str">
        <f>IF(B1048&gt;0,VLOOKUP(B1048,КВСР!A867:B2032,2),IF(C1048&gt;0,VLOOKUP(C1048,КФСР!A867:B2379,2),IF(D1048&gt;0,VLOOKUP(D1048,Программа!A$1:B$5063,2),IF(F1048&gt;0,VLOOKUP(F1048,КВР!A$1:B$5001,2),IF(E1048&gt;0,VLOOKUP(E1048,Направление!A$1:B$4755,2))))))</f>
        <v>Выполнение других обязательств органов местного самоуправления</v>
      </c>
      <c r="B1048" s="83"/>
      <c r="C1048" s="76"/>
      <c r="D1048" s="77"/>
      <c r="E1048" s="83">
        <v>12080</v>
      </c>
      <c r="F1048" s="77"/>
      <c r="G1048" s="341">
        <v>1875000</v>
      </c>
      <c r="H1048" s="341">
        <f t="shared" ref="H1048:J1048" si="315">H1049</f>
        <v>0</v>
      </c>
      <c r="I1048" s="42">
        <f t="shared" si="304"/>
        <v>1875000</v>
      </c>
      <c r="J1048" s="341">
        <f t="shared" si="315"/>
        <v>284743</v>
      </c>
    </row>
    <row r="1049" spans="1:10" ht="31.5">
      <c r="A1049" s="41" t="str">
        <f>IF(B1049&gt;0,VLOOKUP(B1049,КВСР!A868:B2033,2),IF(C1049&gt;0,VLOOKUP(C1049,КФСР!A868:B2380,2),IF(D1049&gt;0,VLOOKUP(D1049,Программа!A$1:B$5063,2),IF(F1049&gt;0,VLOOKUP(F1049,КВР!A$1:B$5001,2),IF(E1049&gt;0,VLOOKUP(E1049,Направление!A$1:B$4755,2))))))</f>
        <v>Закупка товаров, работ и услуг для государственных нужд</v>
      </c>
      <c r="B1049" s="83"/>
      <c r="C1049" s="76"/>
      <c r="D1049" s="77"/>
      <c r="E1049" s="83"/>
      <c r="F1049" s="77">
        <v>200</v>
      </c>
      <c r="G1049" s="341">
        <v>1875000</v>
      </c>
      <c r="H1049" s="337"/>
      <c r="I1049" s="42">
        <f t="shared" si="304"/>
        <v>1875000</v>
      </c>
      <c r="J1049" s="337">
        <v>284743</v>
      </c>
    </row>
    <row r="1050" spans="1:10">
      <c r="A1050" s="41" t="str">
        <f>IF(B1050&gt;0,VLOOKUP(B1050,КВСР!A869:B2034,2),IF(C1050&gt;0,VLOOKUP(C1050,КФСР!A869:B2381,2),IF(D1050&gt;0,VLOOKUP(D1050,Программа!A$1:B$5063,2),IF(F1050&gt;0,VLOOKUP(F1050,КВР!A$1:B$5001,2),IF(E1050&gt;0,VLOOKUP(E1050,Направление!A$1:B$4755,2))))))</f>
        <v>Дошкольное образование</v>
      </c>
      <c r="B1050" s="83"/>
      <c r="C1050" s="76">
        <v>701</v>
      </c>
      <c r="D1050" s="77"/>
      <c r="E1050" s="83"/>
      <c r="F1050" s="77"/>
      <c r="G1050" s="341">
        <v>5735</v>
      </c>
      <c r="H1050" s="341">
        <f t="shared" ref="H1050:J1052" si="316">H1051</f>
        <v>0</v>
      </c>
      <c r="I1050" s="341">
        <f t="shared" si="316"/>
        <v>5735</v>
      </c>
      <c r="J1050" s="341">
        <f t="shared" si="316"/>
        <v>5735</v>
      </c>
    </row>
    <row r="1051" spans="1:10">
      <c r="A1051" s="41" t="str">
        <f>IF(B1051&gt;0,VLOOKUP(B1051,КВСР!A870:B2035,2),IF(C1051&gt;0,VLOOKUP(C1051,КФСР!A870:B2382,2),IF(D1051&gt;0,VLOOKUP(D1051,Программа!A$1:B$5063,2),IF(F1051&gt;0,VLOOKUP(F1051,КВР!A$1:B$5001,2),IF(E1051&gt;0,VLOOKUP(E1051,Направление!A$1:B$4755,2))))))</f>
        <v>Непрограммные расходы бюджета</v>
      </c>
      <c r="B1051" s="83"/>
      <c r="C1051" s="76"/>
      <c r="D1051" s="77" t="s">
        <v>2808</v>
      </c>
      <c r="E1051" s="83"/>
      <c r="F1051" s="77"/>
      <c r="G1051" s="341">
        <v>5735</v>
      </c>
      <c r="H1051" s="341">
        <f t="shared" si="316"/>
        <v>0</v>
      </c>
      <c r="I1051" s="341">
        <f t="shared" si="316"/>
        <v>5735</v>
      </c>
      <c r="J1051" s="341">
        <f t="shared" si="316"/>
        <v>5735</v>
      </c>
    </row>
    <row r="1052" spans="1:10" ht="31.5">
      <c r="A1052" s="41" t="str">
        <f>IF(B1052&gt;0,VLOOKUP(B1052,КВСР!A871:B2036,2),IF(C1052&gt;0,VLOOKUP(C1052,КФСР!A871:B2383,2),IF(D1052&gt;0,VLOOKUP(D1052,Программа!A$1:B$5063,2),IF(F1052&gt;0,VLOOKUP(F1052,КВР!A$1:B$5001,2),IF(E1052&gt;0,VLOOKUP(E1052,Направление!A$1:B$4755,2))))))</f>
        <v>Обеспечение деятельности дошкольных учреждений</v>
      </c>
      <c r="B1052" s="83"/>
      <c r="C1052" s="76"/>
      <c r="D1052" s="77"/>
      <c r="E1052" s="83">
        <v>13010</v>
      </c>
      <c r="F1052" s="77"/>
      <c r="G1052" s="341">
        <v>5735</v>
      </c>
      <c r="H1052" s="341">
        <f t="shared" si="316"/>
        <v>0</v>
      </c>
      <c r="I1052" s="341">
        <f t="shared" si="316"/>
        <v>5735</v>
      </c>
      <c r="J1052" s="341">
        <f t="shared" si="316"/>
        <v>5735</v>
      </c>
    </row>
    <row r="1053" spans="1:10" ht="63">
      <c r="A1053" s="41" t="str">
        <f>IF(B1053&gt;0,VLOOKUP(B1053,КВСР!A872:B2037,2),IF(C1053&gt;0,VLOOKUP(C1053,КФСР!A872:B2384,2),IF(D1053&gt;0,VLOOKUP(D1053,Программа!A$1:B$5063,2),IF(F1053&gt;0,VLOOKUP(F1053,КВР!A$1:B$5001,2),IF(E1053&gt;0,VLOOKUP(E1053,Направление!A$1:B$4755,2))))))</f>
        <v>Предоставление субсидий бюджетным, автономным учреждениям и иным некоммерческим организациям</v>
      </c>
      <c r="B1053" s="83"/>
      <c r="C1053" s="76"/>
      <c r="D1053" s="77"/>
      <c r="E1053" s="83"/>
      <c r="F1053" s="77">
        <v>600</v>
      </c>
      <c r="G1053" s="341">
        <v>5735</v>
      </c>
      <c r="H1053" s="337"/>
      <c r="I1053" s="42">
        <f>G1053+H1053</f>
        <v>5735</v>
      </c>
      <c r="J1053" s="337">
        <v>5735</v>
      </c>
    </row>
    <row r="1054" spans="1:10" ht="16.5" customHeight="1">
      <c r="A1054" s="41" t="str">
        <f>IF(B1054&gt;0,VLOOKUP(B1054,КВСР!A869:B2034,2),IF(C1054&gt;0,VLOOKUP(C1054,КФСР!A869:B2381,2),IF(D1054&gt;0,VLOOKUP(D1054,Программа!A$1:B$5063,2),IF(F1054&gt;0,VLOOKUP(F1054,КВР!A$1:B$5001,2),IF(E1054&gt;0,VLOOKUP(E1054,Направление!A$1:B$4755,2))))))</f>
        <v>Общее образование</v>
      </c>
      <c r="B1054" s="83"/>
      <c r="C1054" s="76">
        <v>702</v>
      </c>
      <c r="D1054" s="391"/>
      <c r="E1054" s="83"/>
      <c r="F1054" s="77"/>
      <c r="G1054" s="93">
        <v>1248679</v>
      </c>
      <c r="H1054" s="93">
        <f t="shared" ref="H1054:J1054" si="317">H1057</f>
        <v>0</v>
      </c>
      <c r="I1054" s="42">
        <f t="shared" si="304"/>
        <v>1248679</v>
      </c>
      <c r="J1054" s="93">
        <f t="shared" si="317"/>
        <v>456732</v>
      </c>
    </row>
    <row r="1055" spans="1:10" ht="78.75">
      <c r="A1055" s="41" t="str">
        <f>IF(B1055&gt;0,VLOOKUP(B1055,КВСР!A870:B2035,2),IF(C1055&gt;0,VLOOKUP(C1055,КФСР!A870:B2382,2),IF(D1055&gt;0,VLOOKUP(D1055,Программа!A$1:B$5063,2),IF(F1055&gt;0,VLOOKUP(F1055,КВР!A$1:B$5001,2),IF(E1055&gt;0,VLOOKUP(E1055,Направление!A$1:B$4755,2))))))</f>
        <v>Муниципальная программа "Обеспечение качественными коммунальными услугами населения Тутаевского муниципального района"</v>
      </c>
      <c r="B1055" s="83"/>
      <c r="C1055" s="76"/>
      <c r="D1055" s="391" t="s">
        <v>2709</v>
      </c>
      <c r="E1055" s="83"/>
      <c r="F1055" s="77"/>
      <c r="G1055" s="93">
        <v>1248679</v>
      </c>
      <c r="H1055" s="93">
        <f t="shared" ref="H1055:J1055" si="318">H1057</f>
        <v>0</v>
      </c>
      <c r="I1055" s="42">
        <f t="shared" si="304"/>
        <v>1248679</v>
      </c>
      <c r="J1055" s="93">
        <f t="shared" si="318"/>
        <v>456732</v>
      </c>
    </row>
    <row r="1056" spans="1:10" ht="92.25" customHeight="1">
      <c r="A1056" s="41" t="str">
        <f>IF(B1056&gt;0,VLOOKUP(B1056,КВСР!A871:B2036,2),IF(C1056&gt;0,VLOOKUP(C1056,КФСР!A871:B2383,2),IF(D1056&gt;0,VLOOKUP(D1056,Программа!A$1:B$5063,2),IF(F1056&gt;0,VLOOKUP(F1056,КВР!A$1:B$5001,2),IF(E1056&gt;0,VLOOKUP(E1056,Направление!A$1:B$4755,2)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56" s="83"/>
      <c r="C1056" s="76"/>
      <c r="D1056" s="391" t="s">
        <v>2715</v>
      </c>
      <c r="E1056" s="83"/>
      <c r="F1056" s="77"/>
      <c r="G1056" s="93">
        <v>1248679</v>
      </c>
      <c r="H1056" s="93">
        <f t="shared" ref="H1056:J1058" si="319">H1057</f>
        <v>0</v>
      </c>
      <c r="I1056" s="42">
        <f t="shared" si="304"/>
        <v>1248679</v>
      </c>
      <c r="J1056" s="93">
        <f t="shared" si="319"/>
        <v>456732</v>
      </c>
    </row>
    <row r="1057" spans="1:10" ht="63">
      <c r="A1057" s="41" t="str">
        <f>IF(B1057&gt;0,VLOOKUP(B1057,КВСР!A872:B2037,2),IF(C1057&gt;0,VLOOKUP(C1057,КФСР!A872:B2384,2),IF(D1057&gt;0,VLOOKUP(D1057,Программа!A$1:B$5063,2),IF(F1057&gt;0,VLOOKUP(F1057,КВР!A$1:B$5001,2),IF(E1057&gt;0,VLOOKUP(E1057,Направление!A$1:B$4755,2))))))</f>
        <v>Модернизация объектов теплоснабжения с вводом их в эксплуатацию (строительство и реконструкция котельных)</v>
      </c>
      <c r="B1057" s="83"/>
      <c r="C1057" s="76"/>
      <c r="D1057" s="391" t="s">
        <v>2717</v>
      </c>
      <c r="E1057" s="83"/>
      <c r="F1057" s="77"/>
      <c r="G1057" s="93">
        <v>1248679</v>
      </c>
      <c r="H1057" s="93">
        <f t="shared" si="319"/>
        <v>0</v>
      </c>
      <c r="I1057" s="42">
        <f t="shared" si="304"/>
        <v>1248679</v>
      </c>
      <c r="J1057" s="93">
        <f t="shared" si="319"/>
        <v>456732</v>
      </c>
    </row>
    <row r="1058" spans="1:10" ht="31.5">
      <c r="A1058" s="41" t="str">
        <f>IF(B1058&gt;0,VLOOKUP(B1058,КВСР!A873:B2038,2),IF(C1058&gt;0,VLOOKUP(C1058,КФСР!A873:B2385,2),IF(D1058&gt;0,VLOOKUP(D1058,Программа!A$1:B$5063,2),IF(F1058&gt;0,VLOOKUP(F1058,КВР!A$1:B$5001,2),IF(E1058&gt;0,VLOOKUP(E1058,Направление!A$1:B$4755,2))))))</f>
        <v>Обеспечение деятельности общеобразовательных учреждений</v>
      </c>
      <c r="B1058" s="83"/>
      <c r="C1058" s="76"/>
      <c r="D1058" s="391"/>
      <c r="E1058" s="83">
        <v>13110</v>
      </c>
      <c r="F1058" s="77"/>
      <c r="G1058" s="93">
        <v>1248679</v>
      </c>
      <c r="H1058" s="93">
        <f t="shared" si="319"/>
        <v>0</v>
      </c>
      <c r="I1058" s="42">
        <f t="shared" si="304"/>
        <v>1248679</v>
      </c>
      <c r="J1058" s="93">
        <f t="shared" si="319"/>
        <v>456732</v>
      </c>
    </row>
    <row r="1059" spans="1:10">
      <c r="A1059" s="41" t="str">
        <f>IF(B1059&gt;0,VLOOKUP(B1059,КВСР!A874:B2039,2),IF(C1059&gt;0,VLOOKUP(C1059,КФСР!A874:B2386,2),IF(D1059&gt;0,VLOOKUP(D1059,Программа!A$1:B$5063,2),IF(F1059&gt;0,VLOOKUP(F1059,КВР!A$1:B$5001,2),IF(E1059&gt;0,VLOOKUP(E1059,Направление!A$1:B$4755,2))))))</f>
        <v>Бюджетные инвестиции</v>
      </c>
      <c r="B1059" s="83"/>
      <c r="C1059" s="76"/>
      <c r="D1059" s="77"/>
      <c r="E1059" s="83"/>
      <c r="F1059" s="77">
        <v>400</v>
      </c>
      <c r="G1059" s="494">
        <v>1248679</v>
      </c>
      <c r="H1059" s="339"/>
      <c r="I1059" s="42">
        <f t="shared" si="304"/>
        <v>1248679</v>
      </c>
      <c r="J1059" s="339">
        <v>456732</v>
      </c>
    </row>
    <row r="1060" spans="1:10">
      <c r="A1060" s="41" t="str">
        <f>IF(B1060&gt;0,VLOOKUP(B1060,КВСР!A875:B2040,2),IF(C1060&gt;0,VLOOKUP(C1060,КФСР!A875:B2387,2),IF(D1060&gt;0,VLOOKUP(D1060,Программа!A$1:B$5063,2),IF(F1060&gt;0,VLOOKUP(F1060,КВР!A$1:B$5001,2),IF(E1060&gt;0,VLOOKUP(E1060,Направление!A$1:B$4755,2))))))</f>
        <v>Культура</v>
      </c>
      <c r="B1060" s="83"/>
      <c r="C1060" s="76">
        <v>801</v>
      </c>
      <c r="D1060" s="391"/>
      <c r="E1060" s="83"/>
      <c r="F1060" s="77"/>
      <c r="G1060" s="93">
        <v>8282204</v>
      </c>
      <c r="H1060" s="93">
        <f>H1061+H1068</f>
        <v>0</v>
      </c>
      <c r="I1060" s="42">
        <f t="shared" si="304"/>
        <v>8282204</v>
      </c>
      <c r="J1060" s="93">
        <f>J1061+J1068</f>
        <v>5812878</v>
      </c>
    </row>
    <row r="1061" spans="1:10" ht="63">
      <c r="A1061" s="41" t="str">
        <f>IF(B1061&gt;0,VLOOKUP(B1061,КВСР!A876:B2041,2),IF(C1061&gt;0,VLOOKUP(C1061,КФСР!A876:B2388,2),IF(D1061&gt;0,VLOOKUP(D1061,Программа!A$1:B$5063,2),IF(F1061&gt;0,VLOOKUP(F1061,КВР!A$1:B$5001,2),IF(E1061&gt;0,VLOOKUP(E1061,Направление!A$1:B$4755,2))))))</f>
        <v>Муниципальная программа  "Развитие культуры, туризма и молодежной политики в Тутаевском муниципальном районе"</v>
      </c>
      <c r="B1061" s="83"/>
      <c r="C1061" s="76"/>
      <c r="D1061" s="391" t="s">
        <v>2677</v>
      </c>
      <c r="E1061" s="83"/>
      <c r="F1061" s="77"/>
      <c r="G1061" s="93">
        <v>8282204</v>
      </c>
      <c r="H1061" s="93">
        <f t="shared" ref="H1061:J1062" si="320">H1062</f>
        <v>0</v>
      </c>
      <c r="I1061" s="42">
        <f t="shared" si="304"/>
        <v>8282204</v>
      </c>
      <c r="J1061" s="93">
        <f t="shared" si="320"/>
        <v>5812878</v>
      </c>
    </row>
    <row r="1062" spans="1:10" ht="63">
      <c r="A1062" s="41" t="str">
        <f>IF(B1062&gt;0,VLOOKUP(B1062,КВСР!A877:B2042,2),IF(C1062&gt;0,VLOOKUP(C1062,КФСР!A877:B2389,2),IF(D1062&gt;0,VLOOKUP(D1062,Программа!A$1:B$5063,2),IF(F1062&gt;0,VLOOKUP(F1062,КВР!A$1:B$5001,2),IF(E1062&gt;0,VLOOKUP(E1062,Направление!A$1:B$4755,2))))))</f>
        <v>Ведомственная целевая программа «Сохранение и развитие культуры Тутаевского муниципального района»</v>
      </c>
      <c r="B1062" s="83"/>
      <c r="C1062" s="76"/>
      <c r="D1062" s="391" t="s">
        <v>2684</v>
      </c>
      <c r="E1062" s="83"/>
      <c r="F1062" s="77"/>
      <c r="G1062" s="93">
        <v>8282204</v>
      </c>
      <c r="H1062" s="93">
        <f t="shared" si="320"/>
        <v>0</v>
      </c>
      <c r="I1062" s="42">
        <f t="shared" si="304"/>
        <v>8282204</v>
      </c>
      <c r="J1062" s="93">
        <f t="shared" si="320"/>
        <v>5812878</v>
      </c>
    </row>
    <row r="1063" spans="1:10" ht="31.5">
      <c r="A1063" s="41" t="str">
        <f>IF(B1063&gt;0,VLOOKUP(B1063,КВСР!A878:B2043,2),IF(C1063&gt;0,VLOOKUP(C1063,КФСР!A878:B2390,2),IF(D1063&gt;0,VLOOKUP(D1063,Программа!A$1:B$5063,2),IF(F1063&gt;0,VLOOKUP(F1063,КВР!A$1:B$5001,2),IF(E1063&gt;0,VLOOKUP(E1063,Направление!A$1:B$4755,2))))))</f>
        <v>Содействие доступу граждан к культурным ценностям</v>
      </c>
      <c r="B1063" s="83"/>
      <c r="C1063" s="76"/>
      <c r="D1063" s="391" t="s">
        <v>2687</v>
      </c>
      <c r="E1063" s="83"/>
      <c r="F1063" s="77"/>
      <c r="G1063" s="93">
        <v>8282204</v>
      </c>
      <c r="H1063" s="93">
        <f t="shared" ref="H1063:J1063" si="321">H1064+H1066</f>
        <v>0</v>
      </c>
      <c r="I1063" s="42">
        <f t="shared" si="304"/>
        <v>8282204</v>
      </c>
      <c r="J1063" s="93">
        <f t="shared" si="321"/>
        <v>5812878</v>
      </c>
    </row>
    <row r="1064" spans="1:10" ht="63">
      <c r="A1064" s="41" t="str">
        <f>IF(B1064&gt;0,VLOOKUP(B1064,КВСР!A879:B2044,2),IF(C1064&gt;0,VLOOKUP(C1064,КФСР!A879:B2391,2),IF(D1064&gt;0,VLOOKUP(D1064,Программа!A$1:B$5063,2),IF(F1064&gt;0,VLOOKUP(F1064,КВР!A$1:B$5001,2),IF(E1064&gt;0,VLOOKUP(E1064,Направление!A$1:B$4755,2))))))</f>
        <v>Расходы на проведение капитального ремонта муниципальных учреждений культуры</v>
      </c>
      <c r="B1064" s="83"/>
      <c r="C1064" s="76"/>
      <c r="D1064" s="391"/>
      <c r="E1064" s="83" t="s">
        <v>2963</v>
      </c>
      <c r="F1064" s="77"/>
      <c r="G1064" s="93">
        <v>1057759</v>
      </c>
      <c r="H1064" s="93">
        <f t="shared" ref="H1064:J1064" si="322">H1065</f>
        <v>-528386</v>
      </c>
      <c r="I1064" s="42">
        <f t="shared" si="304"/>
        <v>529373</v>
      </c>
      <c r="J1064" s="93">
        <f t="shared" si="322"/>
        <v>436761</v>
      </c>
    </row>
    <row r="1065" spans="1:10" ht="63">
      <c r="A1065" s="41" t="str">
        <f>IF(B1065&gt;0,VLOOKUP(B1065,КВСР!A880:B2045,2),IF(C1065&gt;0,VLOOKUP(C1065,КФСР!A880:B2392,2),IF(D1065&gt;0,VLOOKUP(D1065,Программа!A$1:B$5063,2),IF(F1065&gt;0,VLOOKUP(F1065,КВР!A$1:B$5001,2),IF(E1065&gt;0,VLOOKUP(E1065,Направление!A$1:B$4755,2))))))</f>
        <v>Предоставление субсидий бюджетным, автономным учреждениям и иным некоммерческим организациям</v>
      </c>
      <c r="B1065" s="83"/>
      <c r="C1065" s="76"/>
      <c r="D1065" s="77"/>
      <c r="E1065" s="83"/>
      <c r="F1065" s="77">
        <v>600</v>
      </c>
      <c r="G1065" s="494">
        <v>1057759</v>
      </c>
      <c r="H1065" s="339">
        <v>-528386</v>
      </c>
      <c r="I1065" s="42">
        <f t="shared" si="304"/>
        <v>529373</v>
      </c>
      <c r="J1065" s="339">
        <v>436761</v>
      </c>
    </row>
    <row r="1066" spans="1:10" ht="63">
      <c r="A1066" s="41" t="str">
        <f>IF(B1066&gt;0,VLOOKUP(B1066,КВСР!A881:B2046,2),IF(C1066&gt;0,VLOOKUP(C1066,КФСР!A881:B2393,2),IF(D1066&gt;0,VLOOKUP(D1066,Программа!A$1:B$5063,2),IF(F1066&gt;0,VLOOKUP(F1066,КВР!A$1:B$5001,2),IF(E1066&gt;0,VLOOKUP(E1066,Направление!A$1:B$4755,2))))))</f>
        <v>Расходы на проведение капитального ремонта муниципальных учреждений культуры</v>
      </c>
      <c r="B1066" s="83"/>
      <c r="C1066" s="76"/>
      <c r="D1066" s="77"/>
      <c r="E1066" s="83">
        <v>71690</v>
      </c>
      <c r="F1066" s="77"/>
      <c r="G1066" s="93">
        <v>7224445</v>
      </c>
      <c r="H1066" s="93">
        <f t="shared" ref="H1066:J1066" si="323">H1067</f>
        <v>528386</v>
      </c>
      <c r="I1066" s="42">
        <f t="shared" si="304"/>
        <v>7752831</v>
      </c>
      <c r="J1066" s="93">
        <f t="shared" si="323"/>
        <v>5376117</v>
      </c>
    </row>
    <row r="1067" spans="1:10" ht="63">
      <c r="A1067" s="41" t="str">
        <f>IF(B1067&gt;0,VLOOKUP(B1067,КВСР!A882:B2047,2),IF(C1067&gt;0,VLOOKUP(C1067,КФСР!A882:B2394,2),IF(D1067&gt;0,VLOOKUP(D1067,Программа!A$1:B$5063,2),IF(F1067&gt;0,VLOOKUP(F1067,КВР!A$1:B$5001,2),IF(E1067&gt;0,VLOOKUP(E1067,Направление!A$1:B$4755,2))))))</f>
        <v>Предоставление субсидий бюджетным, автономным учреждениям и иным некоммерческим организациям</v>
      </c>
      <c r="B1067" s="83"/>
      <c r="C1067" s="76"/>
      <c r="D1067" s="77"/>
      <c r="E1067" s="83"/>
      <c r="F1067" s="77">
        <v>600</v>
      </c>
      <c r="G1067" s="494">
        <v>7224445</v>
      </c>
      <c r="H1067" s="339">
        <v>528386</v>
      </c>
      <c r="I1067" s="42">
        <f t="shared" si="304"/>
        <v>7752831</v>
      </c>
      <c r="J1067" s="339">
        <v>5376117</v>
      </c>
    </row>
    <row r="1068" spans="1:10" ht="63.75" hidden="1" customHeight="1">
      <c r="A1068" s="41" t="str">
        <f>IF(B1068&gt;0,VLOOKUP(B1068,КВСР!A883:B2048,2),IF(C1068&gt;0,VLOOKUP(C1068,КФСР!A883:B2395,2),IF(D1068&gt;0,VLOOKUP(D1068,Программа!A$1:B$5063,2),IF(F1068&gt;0,VLOOKUP(F1068,КВР!A$1:B$5001,2),IF(E1068&gt;0,VLOOKUP(E1068,Направление!A$1:B$4755,2))))))</f>
        <v>Муниципальная программа "Обеспечение качественными коммунальными услугами населения Тутаевского муниципального района"</v>
      </c>
      <c r="B1068" s="391"/>
      <c r="C1068" s="391"/>
      <c r="D1068" s="77" t="s">
        <v>2709</v>
      </c>
      <c r="E1068" s="83"/>
      <c r="F1068" s="391"/>
      <c r="G1068" s="494">
        <v>0</v>
      </c>
      <c r="H1068" s="494">
        <f t="shared" ref="H1068:J1068" si="324">H1069</f>
        <v>0</v>
      </c>
      <c r="I1068" s="494">
        <f t="shared" si="324"/>
        <v>0</v>
      </c>
      <c r="J1068" s="494">
        <f t="shared" si="324"/>
        <v>0</v>
      </c>
    </row>
    <row r="1069" spans="1:10" ht="92.25" hidden="1" customHeight="1">
      <c r="A1069" s="41" t="str">
        <f>IF(B1069&gt;0,VLOOKUP(B1069,КВСР!A884:B2049,2),IF(C1069&gt;0,VLOOKUP(C1069,КФСР!A884:B2396,2),IF(D1069&gt;0,VLOOKUP(D1069,Программа!A$1:B$5063,2),IF(F1069&gt;0,VLOOKUP(F1069,КВР!A$1:B$5001,2),IF(E1069&gt;0,VLOOKUP(E1069,Направление!A$1:B$4755,2)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69" s="391"/>
      <c r="C1069" s="391"/>
      <c r="D1069" s="391" t="s">
        <v>2715</v>
      </c>
      <c r="E1069" s="83"/>
      <c r="F1069" s="391"/>
      <c r="G1069" s="494">
        <v>0</v>
      </c>
      <c r="H1069" s="494">
        <f t="shared" ref="H1069:J1069" si="325">H1070</f>
        <v>0</v>
      </c>
      <c r="I1069" s="494">
        <f t="shared" si="325"/>
        <v>0</v>
      </c>
      <c r="J1069" s="494">
        <f t="shared" si="325"/>
        <v>0</v>
      </c>
    </row>
    <row r="1070" spans="1:10" ht="63" hidden="1">
      <c r="A1070" s="41" t="str">
        <f>IF(B1070&gt;0,VLOOKUP(B1070,КВСР!A885:B2050,2),IF(C1070&gt;0,VLOOKUP(C1070,КФСР!A885:B2397,2),IF(D1070&gt;0,VLOOKUP(D1070,Программа!A$1:B$5063,2),IF(F1070&gt;0,VLOOKUP(F1070,КВР!A$1:B$5001,2),IF(E1070&gt;0,VLOOKUP(E1070,Направление!A$1:B$4755,2))))))</f>
        <v>Модернизация объектов теплоснабжения с вводом их в эксплуатацию (строительство и реконструкция котельных)</v>
      </c>
      <c r="B1070" s="391"/>
      <c r="C1070" s="391"/>
      <c r="D1070" s="391" t="s">
        <v>2717</v>
      </c>
      <c r="E1070" s="83"/>
      <c r="F1070" s="391"/>
      <c r="G1070" s="494">
        <v>0</v>
      </c>
      <c r="H1070" s="494">
        <f t="shared" ref="H1070:J1070" si="326">H1071</f>
        <v>0</v>
      </c>
      <c r="I1070" s="494">
        <f t="shared" si="326"/>
        <v>0</v>
      </c>
      <c r="J1070" s="494">
        <f t="shared" si="326"/>
        <v>0</v>
      </c>
    </row>
    <row r="1071" spans="1:10" ht="47.25" hidden="1">
      <c r="A1071" s="41" t="str">
        <f>IF(B1071&gt;0,VLOOKUP(B1071,КВСР!A886:B2051,2),IF(C1071&gt;0,VLOOKUP(C1071,КФСР!A886:B2398,2),IF(D1071&gt;0,VLOOKUP(D1071,Программа!A$1:B$5063,2),IF(F1071&gt;0,VLOOKUP(F1071,КВР!A$1:B$5001,2),IF(E1071&gt;0,VLOOKUP(E1071,Направление!A$1:B$4755,2))))))</f>
        <v>Обеспечение деятельности учреждений по организации досуга в сфере культуры</v>
      </c>
      <c r="B1071" s="391"/>
      <c r="C1071" s="391"/>
      <c r="D1071" s="391"/>
      <c r="E1071" s="83">
        <v>15010</v>
      </c>
      <c r="F1071" s="391"/>
      <c r="G1071" s="494">
        <v>0</v>
      </c>
      <c r="H1071" s="494">
        <f t="shared" ref="H1071:J1071" si="327">H1072</f>
        <v>0</v>
      </c>
      <c r="I1071" s="494">
        <f t="shared" si="327"/>
        <v>0</v>
      </c>
      <c r="J1071" s="494">
        <f t="shared" si="327"/>
        <v>0</v>
      </c>
    </row>
    <row r="1072" spans="1:10" hidden="1">
      <c r="A1072" s="41" t="str">
        <f>IF(B1072&gt;0,VLOOKUP(B1072,КВСР!A887:B2052,2),IF(C1072&gt;0,VLOOKUP(C1072,КФСР!A887:B2399,2),IF(D1072&gt;0,VLOOKUP(D1072,Программа!A$1:B$5063,2),IF(F1072&gt;0,VLOOKUP(F1072,КВР!A$1:B$5001,2),IF(E1072&gt;0,VLOOKUP(E1072,Направление!A$1:B$4755,2))))))</f>
        <v>Бюджетные инвестиции</v>
      </c>
      <c r="B1072" s="391"/>
      <c r="C1072" s="391"/>
      <c r="D1072" s="391"/>
      <c r="E1072" s="83"/>
      <c r="F1072" s="77">
        <v>400</v>
      </c>
      <c r="G1072" s="494">
        <v>0</v>
      </c>
      <c r="H1072" s="339"/>
      <c r="I1072" s="42">
        <f>G1072+H1072</f>
        <v>0</v>
      </c>
      <c r="J1072" s="339"/>
    </row>
    <row r="1073" spans="1:10" ht="31.5">
      <c r="A1073" s="41" t="str">
        <f>IF(B1073&gt;0,VLOOKUP(B1073,КВСР!A888:B2053,2),IF(C1073&gt;0,VLOOKUP(C1073,КФСР!A888:B2400,2),IF(D1073&gt;0,VLOOKUP(D1073,Программа!A$1:B$5063,2),IF(F1073&gt;0,VLOOKUP(F1073,КВР!A$1:B$5001,2),IF(E1073&gt;0,VLOOKUP(E1073,Направление!A$1:B$4755,2))))))</f>
        <v>Социальное обслуживание населения</v>
      </c>
      <c r="B1073" s="83"/>
      <c r="C1073" s="76">
        <v>1002</v>
      </c>
      <c r="D1073" s="77"/>
      <c r="E1073" s="83"/>
      <c r="F1073" s="77"/>
      <c r="G1073" s="494">
        <v>110948</v>
      </c>
      <c r="H1073" s="494">
        <f t="shared" ref="H1073:J1073" si="328">H1074</f>
        <v>0</v>
      </c>
      <c r="I1073" s="494">
        <f t="shared" si="328"/>
        <v>110948</v>
      </c>
      <c r="J1073" s="494">
        <f t="shared" si="328"/>
        <v>110947</v>
      </c>
    </row>
    <row r="1074" spans="1:10">
      <c r="A1074" s="41" t="str">
        <f>IF(B1074&gt;0,VLOOKUP(B1074,КВСР!A889:B2054,2),IF(C1074&gt;0,VLOOKUP(C1074,КФСР!A889:B2401,2),IF(D1074&gt;0,VLOOKUP(D1074,Программа!A$1:B$5063,2),IF(F1074&gt;0,VLOOKUP(F1074,КВР!A$1:B$5001,2),IF(E1074&gt;0,VLOOKUP(E1074,Направление!A$1:B$4755,2))))))</f>
        <v>Непрограммные расходы бюджета</v>
      </c>
      <c r="B1074" s="83"/>
      <c r="C1074" s="76"/>
      <c r="D1074" s="77" t="s">
        <v>2808</v>
      </c>
      <c r="E1074" s="83"/>
      <c r="F1074" s="77"/>
      <c r="G1074" s="494">
        <v>110948</v>
      </c>
      <c r="H1074" s="494">
        <f t="shared" ref="H1074:J1074" si="329">H1075</f>
        <v>0</v>
      </c>
      <c r="I1074" s="494">
        <f t="shared" si="329"/>
        <v>110948</v>
      </c>
      <c r="J1074" s="494">
        <f t="shared" si="329"/>
        <v>110947</v>
      </c>
    </row>
    <row r="1075" spans="1:10" ht="47.25">
      <c r="A1075" s="41" t="str">
        <f>IF(B1075&gt;0,VLOOKUP(B1075,КВСР!A890:B2055,2),IF(C1075&gt;0,VLOOKUP(C1075,КФСР!A890:B2402,2),IF(D1075&gt;0,VLOOKUP(D1075,Программа!A$1:B$5063,2),IF(F1075&gt;0,VLOOKUP(F1075,КВР!A$1:B$5001,2),IF(E1075&gt;0,VLOOKUP(E1075,Направление!A$1:B$4755,2))))))</f>
        <v>Мероприятия по строительству и реконструкции учреждения социальной защиты</v>
      </c>
      <c r="B1075" s="83"/>
      <c r="C1075" s="76"/>
      <c r="D1075" s="77"/>
      <c r="E1075" s="83">
        <v>16050</v>
      </c>
      <c r="F1075" s="77"/>
      <c r="G1075" s="494">
        <v>110948</v>
      </c>
      <c r="H1075" s="494">
        <f t="shared" ref="H1075:J1075" si="330">H1076</f>
        <v>0</v>
      </c>
      <c r="I1075" s="494">
        <f t="shared" si="330"/>
        <v>110948</v>
      </c>
      <c r="J1075" s="494">
        <f t="shared" si="330"/>
        <v>110947</v>
      </c>
    </row>
    <row r="1076" spans="1:10">
      <c r="A1076" s="41" t="str">
        <f>IF(B1076&gt;0,VLOOKUP(B1076,КВСР!A891:B2056,2),IF(C1076&gt;0,VLOOKUP(C1076,КФСР!A891:B2403,2),IF(D1076&gt;0,VLOOKUP(D1076,Программа!A$1:B$5063,2),IF(F1076&gt;0,VLOOKUP(F1076,КВР!A$1:B$5001,2),IF(E1076&gt;0,VLOOKUP(E1076,Направление!A$1:B$4755,2))))))</f>
        <v>Бюджетные инвестиции</v>
      </c>
      <c r="B1076" s="83"/>
      <c r="C1076" s="76"/>
      <c r="D1076" s="77"/>
      <c r="E1076" s="83"/>
      <c r="F1076" s="77">
        <v>400</v>
      </c>
      <c r="G1076" s="494">
        <v>110948</v>
      </c>
      <c r="H1076" s="339"/>
      <c r="I1076" s="42">
        <f>G1076+H1076</f>
        <v>110948</v>
      </c>
      <c r="J1076" s="339">
        <v>110947</v>
      </c>
    </row>
    <row r="1077" spans="1:10">
      <c r="A1077" s="41" t="str">
        <f>IF(B1077&gt;0,VLOOKUP(B1077,КВСР!A892:B2057,2),IF(C1077&gt;0,VLOOKUP(C1077,КФСР!A892:B2404,2),IF(D1077&gt;0,VLOOKUP(D1077,Программа!A$1:B$5063,2),IF(F1077&gt;0,VLOOKUP(F1077,КВР!A$1:B$5001,2),IF(E1077&gt;0,VLOOKUP(E1077,Направление!A$1:B$4755,2))))))</f>
        <v>Социальное обеспечение населения</v>
      </c>
      <c r="B1077" s="83"/>
      <c r="C1077" s="76">
        <v>1003</v>
      </c>
      <c r="D1077" s="77"/>
      <c r="E1077" s="83"/>
      <c r="F1077" s="77"/>
      <c r="G1077" s="494">
        <v>237942</v>
      </c>
      <c r="H1077" s="494">
        <f>H1079+H1082</f>
        <v>206427</v>
      </c>
      <c r="I1077" s="42">
        <f t="shared" ref="I1077:I1084" si="331">G1077+H1077</f>
        <v>444369</v>
      </c>
      <c r="J1077" s="494">
        <f>J1079+J1082</f>
        <v>357477</v>
      </c>
    </row>
    <row r="1078" spans="1:10" ht="94.5">
      <c r="A1078" s="41" t="str">
        <f>IF(B1078&gt;0,VLOOKUP(B1078,КВСР!A893:B2058,2),IF(C1078&gt;0,VLOOKUP(C1078,КФСР!A893:B2405,2),IF(D1078&gt;0,VLOOKUP(D1078,Программа!A$1:B$5063,2),IF(F1078&gt;0,VLOOKUP(F1078,КВР!A$1:B$5001,2),IF(E1078&gt;0,VLOOKUP(E1078,Направление!A$1:B$4755,2))))))</f>
        <v>Муниципальная программа  "Организация перевозок автомобильным и речным транспортом на территории Тутаевского муниципального района"</v>
      </c>
      <c r="B1078" s="83"/>
      <c r="C1078" s="76"/>
      <c r="D1078" s="77" t="s">
        <v>2866</v>
      </c>
      <c r="E1078" s="83"/>
      <c r="F1078" s="77"/>
      <c r="G1078" s="494">
        <v>237942</v>
      </c>
      <c r="H1078" s="494">
        <f>H1079+H1082</f>
        <v>206427</v>
      </c>
      <c r="I1078" s="494">
        <f>I1079+I1082</f>
        <v>444369</v>
      </c>
      <c r="J1078" s="494">
        <f>J1079+J1082</f>
        <v>357477</v>
      </c>
    </row>
    <row r="1079" spans="1:10" ht="94.5">
      <c r="A1079" s="41" t="str">
        <f>IF(B1079&gt;0,VLOOKUP(B1079,КВСР!A894:B2059,2),IF(C1079&gt;0,VLOOKUP(C1079,КФСР!A894:B2406,2),IF(D1079&gt;0,VLOOKUP(D1079,Программа!A$1:B$5063,2),IF(F1079&gt;0,VLOOKUP(F1079,КВР!A$1:B$5001,2),IF(E1079&gt;0,VLOOKUP(E1079,Направление!A$1:B$4755,2)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079" s="83"/>
      <c r="C1079" s="76"/>
      <c r="D1079" s="77" t="s">
        <v>2867</v>
      </c>
      <c r="E1079" s="83"/>
      <c r="F1079" s="77"/>
      <c r="G1079" s="494">
        <v>42478</v>
      </c>
      <c r="H1079" s="494">
        <f t="shared" ref="H1079:J1079" si="332">H1080</f>
        <v>3790</v>
      </c>
      <c r="I1079" s="42">
        <f t="shared" si="331"/>
        <v>46268</v>
      </c>
      <c r="J1079" s="494">
        <f t="shared" si="332"/>
        <v>17207</v>
      </c>
    </row>
    <row r="1080" spans="1:10" ht="94.5">
      <c r="A1080" s="41" t="str">
        <f>IF(B1080&gt;0,VLOOKUP(B1080,КВСР!A895:B2060,2),IF(C1080&gt;0,VLOOKUP(C1080,КФСР!A895:B2407,2),IF(D1080&gt;0,VLOOKUP(D1080,Программа!A$1:B$5063,2),IF(F1080&gt;0,VLOOKUP(F1080,КВР!A$1:B$5001,2),IF(E1080&gt;0,VLOOKUP(E1080,Направление!A$1:B$4755,2)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080" s="83"/>
      <c r="C1080" s="76"/>
      <c r="D1080" s="77"/>
      <c r="E1080" s="83">
        <v>72550</v>
      </c>
      <c r="F1080" s="77"/>
      <c r="G1080" s="494">
        <v>42478</v>
      </c>
      <c r="H1080" s="494">
        <f>H1081</f>
        <v>3790</v>
      </c>
      <c r="I1080" s="42">
        <f t="shared" si="331"/>
        <v>46268</v>
      </c>
      <c r="J1080" s="494">
        <f>J1081</f>
        <v>17207</v>
      </c>
    </row>
    <row r="1081" spans="1:10" ht="20.25" customHeight="1">
      <c r="A1081" s="41" t="str">
        <f>IF(B1081&gt;0,VLOOKUP(B1081,КВСР!A896:B2061,2),IF(C1081&gt;0,VLOOKUP(C1081,КФСР!A896:B2408,2),IF(D1081&gt;0,VLOOKUP(D1081,Программа!A$1:B$5063,2),IF(F1081&gt;0,VLOOKUP(F1081,КВР!A$1:B$5001,2),IF(E1081&gt;0,VLOOKUP(E1081,Направление!A$1:B$4755,2))))))</f>
        <v>Иные бюджетные ассигнования</v>
      </c>
      <c r="B1081" s="83"/>
      <c r="C1081" s="76"/>
      <c r="D1081" s="77"/>
      <c r="E1081" s="83"/>
      <c r="F1081" s="77">
        <v>800</v>
      </c>
      <c r="G1081" s="494">
        <v>42478</v>
      </c>
      <c r="H1081" s="339">
        <v>3790</v>
      </c>
      <c r="I1081" s="42">
        <f t="shared" si="331"/>
        <v>46268</v>
      </c>
      <c r="J1081" s="339">
        <v>17207</v>
      </c>
    </row>
    <row r="1082" spans="1:10" ht="82.5" customHeight="1">
      <c r="A1082" s="41" t="str">
        <f>IF(B1082&gt;0,VLOOKUP(B1082,КВСР!A897:B2062,2),IF(C1082&gt;0,VLOOKUP(C1082,КФСР!A897:B2409,2),IF(D1082&gt;0,VLOOKUP(D1082,Программа!A$1:B$5063,2),IF(F1082&gt;0,VLOOKUP(F1082,КВР!A$1:B$5001,2),IF(E1082&gt;0,VLOOKUP(E1082,Направление!A$1:B$4755,2)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082" s="83"/>
      <c r="C1082" s="76"/>
      <c r="D1082" s="77" t="s">
        <v>2868</v>
      </c>
      <c r="E1082" s="83"/>
      <c r="F1082" s="77"/>
      <c r="G1082" s="494">
        <v>195464</v>
      </c>
      <c r="H1082" s="494">
        <f>H1083</f>
        <v>202637</v>
      </c>
      <c r="I1082" s="42">
        <f t="shared" si="331"/>
        <v>398101</v>
      </c>
      <c r="J1082" s="494">
        <f>J1083</f>
        <v>340270</v>
      </c>
    </row>
    <row r="1083" spans="1:10" ht="93" customHeight="1">
      <c r="A1083" s="41" t="str">
        <f>IF(B1083&gt;0,VLOOKUP(B1083,КВСР!A898:B2063,2),IF(C1083&gt;0,VLOOKUP(C1083,КФСР!A898:B2410,2),IF(D1083&gt;0,VLOOKUP(D1083,Программа!A$1:B$5063,2),IF(F1083&gt;0,VLOOKUP(F1083,КВР!A$1:B$5001,2),IF(E1083&gt;0,VLOOKUP(E1083,Направление!A$1:B$4755,2)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1083" s="83"/>
      <c r="C1083" s="76"/>
      <c r="D1083" s="77"/>
      <c r="E1083" s="83">
        <v>72560</v>
      </c>
      <c r="F1083" s="77"/>
      <c r="G1083" s="494">
        <v>195464</v>
      </c>
      <c r="H1083" s="494">
        <f>H1084</f>
        <v>202637</v>
      </c>
      <c r="I1083" s="42">
        <f t="shared" si="331"/>
        <v>398101</v>
      </c>
      <c r="J1083" s="494">
        <f>J1084</f>
        <v>340270</v>
      </c>
    </row>
    <row r="1084" spans="1:10">
      <c r="A1084" s="41" t="str">
        <f>IF(B1084&gt;0,VLOOKUP(B1084,КВСР!A899:B2064,2),IF(C1084&gt;0,VLOOKUP(C1084,КФСР!A899:B2411,2),IF(D1084&gt;0,VLOOKUP(D1084,Программа!A$1:B$5063,2),IF(F1084&gt;0,VLOOKUP(F1084,КВР!A$1:B$5001,2),IF(E1084&gt;0,VLOOKUP(E1084,Направление!A$1:B$4755,2))))))</f>
        <v>Иные бюджетные ассигнования</v>
      </c>
      <c r="B1084" s="83"/>
      <c r="C1084" s="76"/>
      <c r="D1084" s="77"/>
      <c r="E1084" s="83"/>
      <c r="F1084" s="77">
        <v>800</v>
      </c>
      <c r="G1084" s="494">
        <v>195464</v>
      </c>
      <c r="H1084" s="339">
        <v>202637</v>
      </c>
      <c r="I1084" s="42">
        <f t="shared" si="331"/>
        <v>398101</v>
      </c>
      <c r="J1084" s="339">
        <v>340270</v>
      </c>
    </row>
    <row r="1085" spans="1:10">
      <c r="A1085" s="41" t="str">
        <f>IF(B1085&gt;0,VLOOKUP(B1085,КВСР!A900:B2065,2),IF(C1085&gt;0,VLOOKUP(C1085,КФСР!A900:B2412,2),IF(D1085&gt;0,VLOOKUP(D1085,Программа!A$1:B$5063,2),IF(F1085&gt;0,VLOOKUP(F1085,КВР!A$1:B$5001,2),IF(E1085&gt;0,VLOOKUP(E1085,Направление!A$1:B$4755,2))))))</f>
        <v>Массовый спорт</v>
      </c>
      <c r="B1085" s="83"/>
      <c r="C1085" s="76">
        <v>1102</v>
      </c>
      <c r="D1085" s="391"/>
      <c r="E1085" s="83"/>
      <c r="F1085" s="77"/>
      <c r="G1085" s="42">
        <v>13009679</v>
      </c>
      <c r="H1085" s="42">
        <f t="shared" ref="H1085:J1085" si="333">H1088</f>
        <v>-117065</v>
      </c>
      <c r="I1085" s="42">
        <f t="shared" si="304"/>
        <v>12892614</v>
      </c>
      <c r="J1085" s="42">
        <f t="shared" si="333"/>
        <v>7062419</v>
      </c>
    </row>
    <row r="1086" spans="1:10" ht="63">
      <c r="A1086" s="41" t="str">
        <f>IF(B1086&gt;0,VLOOKUP(B1086,КВСР!A901:B2066,2),IF(C1086&gt;0,VLOOKUP(C1086,КФСР!A901:B2413,2),IF(D1086&gt;0,VLOOKUP(D1086,Программа!A$1:B$5063,2),IF(F1086&gt;0,VLOOKUP(F1086,КВР!A$1:B$5001,2),IF(E1086&gt;0,VLOOKUP(E1086,Направление!A$1:B$4755,2))))))</f>
        <v>Муниципальная программа "Развитие образования, физической культуры и спорта в Тутаевском муниципальном районе"</v>
      </c>
      <c r="B1086" s="83"/>
      <c r="C1086" s="76"/>
      <c r="D1086" s="391" t="s">
        <v>2695</v>
      </c>
      <c r="E1086" s="83"/>
      <c r="F1086" s="77"/>
      <c r="G1086" s="42">
        <v>13009679</v>
      </c>
      <c r="H1086" s="42">
        <f t="shared" ref="H1086:J1086" si="334">H1088</f>
        <v>-117065</v>
      </c>
      <c r="I1086" s="42">
        <f t="shared" si="304"/>
        <v>12892614</v>
      </c>
      <c r="J1086" s="42">
        <f t="shared" si="334"/>
        <v>7062419</v>
      </c>
    </row>
    <row r="1087" spans="1:10" ht="63">
      <c r="A1087" s="41" t="str">
        <f>IF(B1087&gt;0,VLOOKUP(B1087,КВСР!A902:B2067,2),IF(C1087&gt;0,VLOOKUP(C1087,КФСР!A902:B2414,2),IF(D1087&gt;0,VLOOKUP(D1087,Программа!A$1:B$5063,2),IF(F1087&gt;0,VLOOKUP(F1087,КВР!A$1:B$5001,2),IF(E1087&gt;0,VLOOKUP(E1087,Направление!A$1:B$4755,2))))))</f>
        <v>Муниципальная целевая программа "Развитие физической культуры и спорта в Тутаевском муниципальном районе"</v>
      </c>
      <c r="B1087" s="83"/>
      <c r="C1087" s="76"/>
      <c r="D1087" s="391" t="s">
        <v>2812</v>
      </c>
      <c r="E1087" s="83"/>
      <c r="F1087" s="77"/>
      <c r="G1087" s="42">
        <v>13009679</v>
      </c>
      <c r="H1087" s="42">
        <f t="shared" ref="H1087:J1087" si="335">H1088</f>
        <v>-117065</v>
      </c>
      <c r="I1087" s="42">
        <f t="shared" si="304"/>
        <v>12892614</v>
      </c>
      <c r="J1087" s="42">
        <f t="shared" si="335"/>
        <v>7062419</v>
      </c>
    </row>
    <row r="1088" spans="1:10" ht="47.25">
      <c r="A1088" s="41" t="str">
        <f>IF(B1088&gt;0,VLOOKUP(B1088,КВСР!A903:B2068,2),IF(C1088&gt;0,VLOOKUP(C1088,КФСР!A903:B2415,2),IF(D1088&gt;0,VLOOKUP(D1088,Программа!A$1:B$5063,2),IF(F1088&gt;0,VLOOKUP(F1088,КВР!A$1:B$5001,2),IF(E1088&gt;0,VLOOKUP(E1088,Направление!A$1:B$4755,2))))))</f>
        <v>Строительство, реконструкция и капитальный ремонт спортивных сооружений</v>
      </c>
      <c r="B1088" s="83"/>
      <c r="C1088" s="76"/>
      <c r="D1088" s="391" t="s">
        <v>2816</v>
      </c>
      <c r="E1088" s="83"/>
      <c r="F1088" s="77"/>
      <c r="G1088" s="42">
        <v>13009679</v>
      </c>
      <c r="H1088" s="42">
        <f>H1091+H1089+H1093</f>
        <v>-117065</v>
      </c>
      <c r="I1088" s="42">
        <f>I1091+I1089+I1093</f>
        <v>12892614</v>
      </c>
      <c r="J1088" s="42">
        <f>J1091+J1089+J1093</f>
        <v>7062419</v>
      </c>
    </row>
    <row r="1089" spans="1:10" ht="47.25">
      <c r="A1089" s="41" t="str">
        <f>IF(B1089&gt;0,VLOOKUP(B1089,КВСР!A904:B2069,2),IF(C1089&gt;0,VLOOKUP(C1089,КФСР!A904:B2416,2),IF(D1089&gt;0,VLOOKUP(D1089,Программа!A$1:B$5063,2),IF(F1089&gt;0,VLOOKUP(F1089,КВР!A$1:B$5001,2),IF(E1089&gt;0,VLOOKUP(E1089,Направление!A$1:B$4755,2))))))</f>
        <v>Мероприятия по строительству, реконструкции и ремонту спортивных объектов</v>
      </c>
      <c r="B1089" s="83"/>
      <c r="C1089" s="76"/>
      <c r="D1089" s="391"/>
      <c r="E1089" s="83">
        <v>14100</v>
      </c>
      <c r="F1089" s="77"/>
      <c r="G1089" s="42">
        <v>31152</v>
      </c>
      <c r="H1089" s="42">
        <f t="shared" ref="H1089:J1089" si="336">H1090</f>
        <v>0</v>
      </c>
      <c r="I1089" s="42">
        <f t="shared" si="336"/>
        <v>31152</v>
      </c>
      <c r="J1089" s="42">
        <f t="shared" si="336"/>
        <v>31152</v>
      </c>
    </row>
    <row r="1090" spans="1:10">
      <c r="A1090" s="41" t="str">
        <f>IF(B1090&gt;0,VLOOKUP(B1090,КВСР!A905:B2070,2),IF(C1090&gt;0,VLOOKUP(C1090,КФСР!A905:B2417,2),IF(D1090&gt;0,VLOOKUP(D1090,Программа!A$1:B$5063,2),IF(F1090&gt;0,VLOOKUP(F1090,КВР!A$1:B$5001,2),IF(E1090&gt;0,VLOOKUP(E1090,Направление!A$1:B$4755,2))))))</f>
        <v>Бюджетные инвестиции</v>
      </c>
      <c r="B1090" s="83"/>
      <c r="C1090" s="76"/>
      <c r="D1090" s="391"/>
      <c r="E1090" s="83"/>
      <c r="F1090" s="77">
        <v>400</v>
      </c>
      <c r="G1090" s="42">
        <v>31152</v>
      </c>
      <c r="H1090" s="514"/>
      <c r="I1090" s="42">
        <f>G1090+H1090</f>
        <v>31152</v>
      </c>
      <c r="J1090" s="514">
        <v>31152</v>
      </c>
    </row>
    <row r="1091" spans="1:10" ht="47.25">
      <c r="A1091" s="41" t="str">
        <f>IF(B1091&gt;0,VLOOKUP(B1091,КВСР!A906:B2071,2),IF(C1091&gt;0,VLOOKUP(C1091,КФСР!A906:B2418,2),IF(D1091&gt;0,VLOOKUP(D1091,Программа!A$1:B$5063,2),IF(F1091&gt;0,VLOOKUP(F1091,КВР!A$1:B$5001,2),IF(E1091&gt;0,VLOOKUP(E1091,Направление!A$1:B$4755,2))))))</f>
        <v xml:space="preserve">Развитие сети плоскостных спортивных сооружений в муниципальных образованиях </v>
      </c>
      <c r="B1091" s="83"/>
      <c r="C1091" s="76"/>
      <c r="D1091" s="391"/>
      <c r="E1091" s="84" t="s">
        <v>2948</v>
      </c>
      <c r="F1091" s="86"/>
      <c r="G1091" s="42">
        <v>2227179</v>
      </c>
      <c r="H1091" s="42">
        <f t="shared" ref="H1091:J1091" si="337">H1092</f>
        <v>0</v>
      </c>
      <c r="I1091" s="42">
        <f t="shared" si="304"/>
        <v>2227179</v>
      </c>
      <c r="J1091" s="42">
        <f t="shared" si="337"/>
        <v>2227179</v>
      </c>
    </row>
    <row r="1092" spans="1:10" ht="63">
      <c r="A1092" s="41" t="str">
        <f>IF(B1092&gt;0,VLOOKUP(B1092,КВСР!A907:B2072,2),IF(C1092&gt;0,VLOOKUP(C1092,КФСР!A907:B2419,2),IF(D1092&gt;0,VLOOKUP(D1092,Программа!A$1:B$5063,2),IF(F1092&gt;0,VLOOKUP(F1092,КВР!A$1:B$5001,2),IF(E1092&gt;0,VLOOKUP(E1092,Направление!A$1:B$4755,2))))))</f>
        <v>Предоставление субсидий бюджетным, автономным учреждениям и иным некоммерческим организациям</v>
      </c>
      <c r="B1092" s="83"/>
      <c r="C1092" s="76"/>
      <c r="D1092" s="391"/>
      <c r="E1092" s="84"/>
      <c r="F1092" s="86">
        <v>600</v>
      </c>
      <c r="G1092" s="341">
        <v>2227179</v>
      </c>
      <c r="H1092" s="337"/>
      <c r="I1092" s="42">
        <f t="shared" si="304"/>
        <v>2227179</v>
      </c>
      <c r="J1092" s="337">
        <v>2227179</v>
      </c>
    </row>
    <row r="1093" spans="1:10" ht="47.25">
      <c r="A1093" s="41" t="str">
        <f>IF(B1093&gt;0,VLOOKUP(B1093,КВСР!A908:B2073,2),IF(C1093&gt;0,VLOOKUP(C1093,КФСР!A908:B2420,2),IF(D1093&gt;0,VLOOKUP(D1093,Программа!A$1:B$5063,2),IF(F1093&gt;0,VLOOKUP(F1093,КВР!A$1:B$5001,2),IF(E1093&gt;0,VLOOKUP(E1093,Направление!A$1:B$4755,2))))))</f>
        <v xml:space="preserve">Развитие сети плоскостных спортивных сооружений в муниципальных образованиях </v>
      </c>
      <c r="B1093" s="83"/>
      <c r="C1093" s="76"/>
      <c r="D1093" s="391"/>
      <c r="E1093" s="84">
        <v>71970</v>
      </c>
      <c r="F1093" s="86"/>
      <c r="G1093" s="341">
        <v>10751348</v>
      </c>
      <c r="H1093" s="341">
        <f t="shared" ref="H1093:I1093" si="338">H1094+H1095</f>
        <v>-117065</v>
      </c>
      <c r="I1093" s="341">
        <f t="shared" si="338"/>
        <v>10634283</v>
      </c>
      <c r="J1093" s="341">
        <f t="shared" ref="J1093" si="339">J1094+J1095</f>
        <v>4804088</v>
      </c>
    </row>
    <row r="1094" spans="1:10">
      <c r="A1094" s="41" t="str">
        <f>IF(B1094&gt;0,VLOOKUP(B1094,КВСР!A909:B2074,2),IF(C1094&gt;0,VLOOKUP(C1094,КФСР!A909:B2421,2),IF(D1094&gt;0,VLOOKUP(D1094,Программа!A$1:B$5063,2),IF(F1094&gt;0,VLOOKUP(F1094,КВР!A$1:B$5001,2),IF(E1094&gt;0,VLOOKUP(E1094,Направление!A$1:B$4755,2))))))</f>
        <v>Бюджетные инвестиции</v>
      </c>
      <c r="B1094" s="83"/>
      <c r="C1094" s="76"/>
      <c r="D1094" s="391"/>
      <c r="E1094" s="84"/>
      <c r="F1094" s="86">
        <v>400</v>
      </c>
      <c r="G1094" s="341">
        <v>1600000</v>
      </c>
      <c r="H1094" s="337"/>
      <c r="I1094" s="42">
        <f>G1094+H1094</f>
        <v>1600000</v>
      </c>
      <c r="J1094" s="337">
        <v>1600000</v>
      </c>
    </row>
    <row r="1095" spans="1:10" ht="63">
      <c r="A1095" s="41" t="str">
        <f>IF(B1095&gt;0,VLOOKUP(B1095,КВСР!A910:B2075,2),IF(C1095&gt;0,VLOOKUP(C1095,КФСР!A910:B2422,2),IF(D1095&gt;0,VLOOKUP(D1095,Программа!A$1:B$5063,2),IF(F1095&gt;0,VLOOKUP(F1095,КВР!A$1:B$5001,2),IF(E1095&gt;0,VLOOKUP(E1095,Направление!A$1:B$4755,2))))))</f>
        <v>Предоставление субсидий бюджетным, автономным учреждениям и иным некоммерческим организациям</v>
      </c>
      <c r="B1095" s="83"/>
      <c r="C1095" s="76"/>
      <c r="D1095" s="391"/>
      <c r="E1095" s="84"/>
      <c r="F1095" s="86">
        <v>600</v>
      </c>
      <c r="G1095" s="341">
        <v>9151348</v>
      </c>
      <c r="H1095" s="337">
        <v>-117065</v>
      </c>
      <c r="I1095" s="42">
        <f>G1095+H1095</f>
        <v>9034283</v>
      </c>
      <c r="J1095" s="337">
        <v>3204088</v>
      </c>
    </row>
    <row r="1096" spans="1:10" ht="31.5">
      <c r="A1096" s="41" t="str">
        <f>IF(B1096&gt;0,VLOOKUP(B1096,КВСР!A911:B2076,2),IF(C1096&gt;0,VLOOKUP(C1096,КФСР!A911:B2423,2),IF(D1096&gt;0,VLOOKUP(D1096,Программа!A$1:B$5063,2),IF(F1096&gt;0,VLOOKUP(F1096,КВР!A$1:B$5001,2),IF(E1096&gt;0,VLOOKUP(E1096,Направление!A$1:B$4755,2))))))</f>
        <v>МУ Контрольно-счетная палата ТМР</v>
      </c>
      <c r="B1096" s="79">
        <v>982</v>
      </c>
      <c r="C1096" s="87"/>
      <c r="D1096" s="395"/>
      <c r="E1096" s="79"/>
      <c r="F1096" s="91"/>
      <c r="G1096" s="48">
        <v>2193095</v>
      </c>
      <c r="H1096" s="48">
        <f t="shared" ref="H1096:J1097" si="340">H1097</f>
        <v>0</v>
      </c>
      <c r="I1096" s="78">
        <f t="shared" si="304"/>
        <v>2193095</v>
      </c>
      <c r="J1096" s="48">
        <f t="shared" si="340"/>
        <v>2173899</v>
      </c>
    </row>
    <row r="1097" spans="1:10" ht="78.75">
      <c r="A1097" s="41" t="str">
        <f>IF(B1097&gt;0,VLOOKUP(B1097,КВСР!A912:B2077,2),IF(C1097&gt;0,VLOOKUP(C1097,КФСР!A912:B2424,2),IF(D1097&gt;0,VLOOKUP(D1097,Программа!A$1:B$5063,2),IF(F1097&gt;0,VLOOKUP(F1097,КВР!A$1:B$5001,2),IF(E1097&gt;0,VLOOKUP(E1097,Направление!A$1:B$4755,2))))))</f>
        <v>Обеспечение деятельности финансовых, налоговых и таможенных органов и органов финансового (финансово-бюджетного) надзора</v>
      </c>
      <c r="B1097" s="88"/>
      <c r="C1097" s="76">
        <v>106</v>
      </c>
      <c r="D1097" s="396"/>
      <c r="E1097" s="88"/>
      <c r="F1097" s="90"/>
      <c r="G1097" s="44">
        <v>2193095</v>
      </c>
      <c r="H1097" s="44">
        <f t="shared" si="340"/>
        <v>0</v>
      </c>
      <c r="I1097" s="42">
        <f t="shared" si="304"/>
        <v>2193095</v>
      </c>
      <c r="J1097" s="44">
        <f t="shared" si="340"/>
        <v>2173899</v>
      </c>
    </row>
    <row r="1098" spans="1:10">
      <c r="A1098" s="41" t="str">
        <f>IF(B1098&gt;0,VLOOKUP(B1098,КВСР!A913:B2078,2),IF(C1098&gt;0,VLOOKUP(C1098,КФСР!A913:B2425,2),IF(D1098&gt;0,VLOOKUP(D1098,Программа!A$1:B$5063,2),IF(F1098&gt;0,VLOOKUP(F1098,КВР!A$1:B$5001,2),IF(E1098&gt;0,VLOOKUP(E1098,Направление!A$1:B$4755,2))))))</f>
        <v>Непрограммные расходы бюджета</v>
      </c>
      <c r="B1098" s="88"/>
      <c r="C1098" s="76"/>
      <c r="D1098" s="396" t="s">
        <v>2808</v>
      </c>
      <c r="E1098" s="88"/>
      <c r="F1098" s="90"/>
      <c r="G1098" s="44">
        <v>2193095</v>
      </c>
      <c r="H1098" s="44">
        <f t="shared" ref="H1098:J1098" si="341">H1099+H1103+H1105</f>
        <v>0</v>
      </c>
      <c r="I1098" s="42">
        <f t="shared" si="304"/>
        <v>2193095</v>
      </c>
      <c r="J1098" s="44">
        <f t="shared" si="341"/>
        <v>2173899</v>
      </c>
    </row>
    <row r="1099" spans="1:10">
      <c r="A1099" s="41" t="str">
        <f>IF(B1099&gt;0,VLOOKUP(B1099,КВСР!A914:B2079,2),IF(C1099&gt;0,VLOOKUP(C1099,КФСР!A914:B2426,2),IF(D1099&gt;0,VLOOKUP(D1099,Программа!A$1:B$5063,2),IF(F1099&gt;0,VLOOKUP(F1099,КВР!A$1:B$5001,2),IF(E1099&gt;0,VLOOKUP(E1099,Направление!A$1:B$4755,2))))))</f>
        <v>Содержание центрального аппарата</v>
      </c>
      <c r="B1099" s="88"/>
      <c r="C1099" s="89"/>
      <c r="D1099" s="69"/>
      <c r="E1099" s="82">
        <v>12010</v>
      </c>
      <c r="F1099" s="90"/>
      <c r="G1099" s="42">
        <v>1275080</v>
      </c>
      <c r="H1099" s="42">
        <f t="shared" ref="H1099:J1099" si="342">H1100+H1101+H1102</f>
        <v>-24700</v>
      </c>
      <c r="I1099" s="42">
        <f t="shared" si="304"/>
        <v>1250380</v>
      </c>
      <c r="J1099" s="42">
        <f t="shared" si="342"/>
        <v>1231210</v>
      </c>
    </row>
    <row r="1100" spans="1:10" ht="100.5" customHeight="1">
      <c r="A1100" s="41" t="str">
        <f>IF(B1100&gt;0,VLOOKUP(B1100,КВСР!A915:B2080,2),IF(C1100&gt;0,VLOOKUP(C1100,КФСР!A915:B2427,2),IF(D1100&gt;0,VLOOKUP(D1100,Программа!A$1:B$5063,2),IF(F1100&gt;0,VLOOKUP(F1100,КВР!A$1:B$5001,2),IF(E1100&gt;0,VLOOKUP(E1100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00" s="88"/>
      <c r="C1100" s="89"/>
      <c r="D1100" s="90"/>
      <c r="E1100" s="88"/>
      <c r="F1100" s="90">
        <v>100</v>
      </c>
      <c r="G1100" s="341">
        <v>945940</v>
      </c>
      <c r="H1100" s="337">
        <v>-24700</v>
      </c>
      <c r="I1100" s="42">
        <f>SUM(G1100:H1100)</f>
        <v>921240</v>
      </c>
      <c r="J1100" s="337">
        <v>912699</v>
      </c>
    </row>
    <row r="1101" spans="1:10" ht="31.5">
      <c r="A1101" s="41" t="str">
        <f>IF(B1101&gt;0,VLOOKUP(B1101,КВСР!A916:B2081,2),IF(C1101&gt;0,VLOOKUP(C1101,КФСР!A916:B2428,2),IF(D1101&gt;0,VLOOKUP(D1101,Программа!A$1:B$5063,2),IF(F1101&gt;0,VLOOKUP(F1101,КВР!A$1:B$5001,2),IF(E1101&gt;0,VLOOKUP(E1101,Направление!A$1:B$4755,2))))))</f>
        <v>Закупка товаров, работ и услуг для государственных нужд</v>
      </c>
      <c r="B1101" s="88"/>
      <c r="C1101" s="89"/>
      <c r="D1101" s="90"/>
      <c r="E1101" s="88"/>
      <c r="F1101" s="90">
        <v>200</v>
      </c>
      <c r="G1101" s="341">
        <v>328480</v>
      </c>
      <c r="H1101" s="337"/>
      <c r="I1101" s="42">
        <f t="shared" si="304"/>
        <v>328480</v>
      </c>
      <c r="J1101" s="337">
        <v>317855</v>
      </c>
    </row>
    <row r="1102" spans="1:10">
      <c r="A1102" s="41" t="str">
        <f>IF(B1102&gt;0,VLOOKUP(B1102,КВСР!A917:B2082,2),IF(C1102&gt;0,VLOOKUP(C1102,КФСР!A917:B2429,2),IF(D1102&gt;0,VLOOKUP(D1102,Программа!A$1:B$5063,2),IF(F1102&gt;0,VLOOKUP(F1102,КВР!A$1:B$5001,2),IF(E1102&gt;0,VLOOKUP(E1102,Направление!A$1:B$4755,2))))))</f>
        <v>Иные бюджетные ассигнования</v>
      </c>
      <c r="B1102" s="88"/>
      <c r="C1102" s="89"/>
      <c r="D1102" s="90"/>
      <c r="E1102" s="88"/>
      <c r="F1102" s="90">
        <v>800</v>
      </c>
      <c r="G1102" s="341">
        <v>660</v>
      </c>
      <c r="H1102" s="337"/>
      <c r="I1102" s="42">
        <f t="shared" si="304"/>
        <v>660</v>
      </c>
      <c r="J1102" s="337">
        <v>656</v>
      </c>
    </row>
    <row r="1103" spans="1:10" ht="54" customHeight="1">
      <c r="A1103" s="41" t="str">
        <f>IF(B1103&gt;0,VLOOKUP(B1103,КВСР!A918:B2083,2),IF(C1103&gt;0,VLOOKUP(C1103,КФСР!A918:B2430,2),IF(D1103&gt;0,VLOOKUP(D1103,Программа!A$1:B$5063,2),IF(F1103&gt;0,VLOOKUP(F1103,КВР!A$1:B$5001,2),IF(E1103&gt;0,VLOOKUP(E1103,Направление!A$1:B$4755,2))))))</f>
        <v>Содержание руководителя контрольно-счетной палаты муниципального образования и его заместителей</v>
      </c>
      <c r="B1103" s="88"/>
      <c r="C1103" s="89"/>
      <c r="D1103" s="396"/>
      <c r="E1103" s="88">
        <v>12030</v>
      </c>
      <c r="F1103" s="90"/>
      <c r="G1103" s="42">
        <v>864920</v>
      </c>
      <c r="H1103" s="42">
        <f t="shared" ref="H1103:J1103" si="343">H1104</f>
        <v>24700</v>
      </c>
      <c r="I1103" s="42">
        <f t="shared" si="304"/>
        <v>889620</v>
      </c>
      <c r="J1103" s="42">
        <f t="shared" si="343"/>
        <v>889594</v>
      </c>
    </row>
    <row r="1104" spans="1:10" ht="97.5" customHeight="1">
      <c r="A1104" s="41" t="str">
        <f>IF(B1104&gt;0,VLOOKUP(B1104,КВСР!A919:B2084,2),IF(C1104&gt;0,VLOOKUP(C1104,КФСР!A919:B2431,2),IF(D1104&gt;0,VLOOKUP(D1104,Программа!A$1:B$5063,2),IF(F1104&gt;0,VLOOKUP(F1104,КВР!A$1:B$5001,2),IF(E1104&gt;0,VLOOKUP(E1104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04" s="88"/>
      <c r="C1104" s="89"/>
      <c r="D1104" s="90"/>
      <c r="E1104" s="88"/>
      <c r="F1104" s="90">
        <v>100</v>
      </c>
      <c r="G1104" s="341">
        <v>864920</v>
      </c>
      <c r="H1104" s="337">
        <v>24700</v>
      </c>
      <c r="I1104" s="42">
        <f t="shared" si="304"/>
        <v>889620</v>
      </c>
      <c r="J1104" s="337">
        <v>889594</v>
      </c>
    </row>
    <row r="1105" spans="1:10" ht="47.25">
      <c r="A1105" s="41" t="str">
        <f>IF(B1105&gt;0,VLOOKUP(B1105,КВСР!A920:B2085,2),IF(C1105&gt;0,VLOOKUP(C1105,КФСР!A920:B2432,2),IF(D1105&gt;0,VLOOKUP(D1105,Программа!A$1:B$5063,2),IF(F1105&gt;0,VLOOKUP(F1105,КВР!A$1:B$5001,2),IF(E1105&gt;0,VLOOKUP(E1105,Направление!A$1:B$4755,2))))))</f>
        <v>Содержание органов местного самоуправления за счет средств поселений</v>
      </c>
      <c r="B1105" s="88"/>
      <c r="C1105" s="89"/>
      <c r="D1105" s="90"/>
      <c r="E1105" s="88">
        <v>29016</v>
      </c>
      <c r="F1105" s="90"/>
      <c r="G1105" s="42">
        <v>53095</v>
      </c>
      <c r="H1105" s="42">
        <f t="shared" ref="H1105:J1105" si="344">H1107+H1106</f>
        <v>0</v>
      </c>
      <c r="I1105" s="42">
        <f t="shared" si="304"/>
        <v>53095</v>
      </c>
      <c r="J1105" s="42">
        <f t="shared" si="344"/>
        <v>53095</v>
      </c>
    </row>
    <row r="1106" spans="1:10" ht="100.5" customHeight="1">
      <c r="A1106" s="41" t="str">
        <f>IF(B1106&gt;0,VLOOKUP(B1106,КВСР!A921:B2086,2),IF(C1106&gt;0,VLOOKUP(C1106,КФСР!A921:B2433,2),IF(D1106&gt;0,VLOOKUP(D1106,Программа!A$1:B$5063,2),IF(F1106&gt;0,VLOOKUP(F1106,КВР!A$1:B$5001,2),IF(E1106&gt;0,VLOOKUP(E1106,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06" s="88"/>
      <c r="C1106" s="89"/>
      <c r="D1106" s="90"/>
      <c r="E1106" s="88"/>
      <c r="F1106" s="90">
        <v>100</v>
      </c>
      <c r="G1106" s="341">
        <v>48268</v>
      </c>
      <c r="H1106" s="345"/>
      <c r="I1106" s="42">
        <f t="shared" si="304"/>
        <v>48268</v>
      </c>
      <c r="J1106" s="345">
        <v>48268</v>
      </c>
    </row>
    <row r="1107" spans="1:10" ht="31.5">
      <c r="A1107" s="41" t="str">
        <f>IF(B1107&gt;0,VLOOKUP(B1107,КВСР!A922:B2087,2),IF(C1107&gt;0,VLOOKUP(C1107,КФСР!A922:B2434,2),IF(D1107&gt;0,VLOOKUP(D1107,Программа!A$1:B$5063,2),IF(F1107&gt;0,VLOOKUP(F1107,КВР!A$1:B$5001,2),IF(E1107&gt;0,VLOOKUP(E1107,Направление!A$1:B$4755,2))))))</f>
        <v>Закупка товаров, работ и услуг для государственных нужд</v>
      </c>
      <c r="B1107" s="88"/>
      <c r="C1107" s="89"/>
      <c r="D1107" s="90"/>
      <c r="E1107" s="88"/>
      <c r="F1107" s="90">
        <v>200</v>
      </c>
      <c r="G1107" s="341">
        <v>4827</v>
      </c>
      <c r="H1107" s="337"/>
      <c r="I1107" s="42">
        <f t="shared" si="304"/>
        <v>4827</v>
      </c>
      <c r="J1107" s="337">
        <v>4827</v>
      </c>
    </row>
    <row r="1108" spans="1:10">
      <c r="A1108" s="46" t="s">
        <v>1137</v>
      </c>
      <c r="B1108" s="69"/>
      <c r="C1108" s="69"/>
      <c r="D1108" s="81"/>
      <c r="E1108" s="396"/>
      <c r="F1108" s="69"/>
      <c r="G1108" s="47">
        <v>2026512451.76</v>
      </c>
      <c r="H1108" s="47">
        <f>SUM(H10+H233+H270+H478+H596+H642+H800+H1096)</f>
        <v>76932930.900000006</v>
      </c>
      <c r="I1108" s="78">
        <f>SUM(G1108:H1108)</f>
        <v>2103445382.6600001</v>
      </c>
      <c r="J1108" s="47">
        <f>SUM(J10+J233+J270+J478+J596+J642+J800+J1096)</f>
        <v>1903124435</v>
      </c>
    </row>
    <row r="1109" spans="1:10">
      <c r="E1109" s="80"/>
    </row>
    <row r="1112" spans="1:10">
      <c r="G1112" s="367"/>
    </row>
  </sheetData>
  <sheetProtection formatCells="0"/>
  <protectedRanges>
    <protectedRange password="EE71" sqref="E1110:E1151 B1109:D1150 F1109:F1150" name="Диапазон1" securityDescriptor="O:WDG:WDD:(A;;CC;;;S-1-5-21-796845957-1547161642-725345543-1004)"/>
    <protectedRange sqref="G46:H57 G288:H290 G306:H312 G270:H270 G419:H419 G443:H443 G491:H494 G689:H689 G635:H636 G758:H764 G596:H596 I1078 G638:H641 G774:H796 G471:H472 G475:H475 I467 G1073:I1075 G1076:H1084 G58:I59 I57 G60:H68 G69:I69 G70:H70 G76:H83 G73:I75 G452:H468 G451:I451 G449:H450 G444:I448 G476:I476 G477:H477 G473:I474 I667:I669 I663 I661 G1054:H1067 G1072:H1072 G1068:I1071 G85:H94 G84:I84 G767:H768 G765:I766 G72:H72 G71:I71 G694:H694 G702:H702 G704:H712 G701:I701 G703:I703 G99:H107 G109:H112 G108:I108 I101 G696:H700 G695:I695 I65:I66 G652:H670 J288:J290 J306:J312 J270 J419 J491:J494 J689 J635:J636 J596 J638:J641 J774:J796 J443:J468 J471:J477 J1054:J1084 J758:J768 J46:J94 J99:J112 J694:J712 J652:J670" name="Диапазон1_14"/>
  </protectedRanges>
  <dataConsolidate/>
  <customSheetViews>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14">
    <mergeCell ref="J8:J9"/>
    <mergeCell ref="A1:J1"/>
    <mergeCell ref="A2:J2"/>
    <mergeCell ref="A3:J3"/>
    <mergeCell ref="A4:J4"/>
    <mergeCell ref="A6:J6"/>
    <mergeCell ref="H8:H9"/>
    <mergeCell ref="I8:I9"/>
    <mergeCell ref="G8:G9"/>
    <mergeCell ref="A8:A9"/>
    <mergeCell ref="B8:B9"/>
    <mergeCell ref="C8:C9"/>
    <mergeCell ref="D8:E8"/>
    <mergeCell ref="F8:F9"/>
  </mergeCells>
  <phoneticPr fontId="0" type="noConversion"/>
  <pageMargins left="0.70866141732283472" right="0.70866141732283472" top="0.74803149606299213" bottom="0.74803149606299213" header="0.31496062992125984" footer="0.31496062992125984"/>
  <pageSetup paperSize="9" scale="86" fitToHeight="100" orientation="portrait" r:id="rId7"/>
  <headerFooter alignWithMargins="0">
    <oddFooter>&amp;C&amp;P</oddFooter>
  </headerFooter>
  <rowBreaks count="2" manualBreakCount="2">
    <brk id="783" max="9" man="1"/>
    <brk id="809" max="9" man="1"/>
  </rowBreaks>
</worksheet>
</file>

<file path=xl/worksheets/sheet13.xml><?xml version="1.0" encoding="utf-8"?>
<worksheet xmlns="http://schemas.openxmlformats.org/spreadsheetml/2006/main" xmlns:r="http://schemas.openxmlformats.org/officeDocument/2006/relationships">
  <sheetPr codeName="Лист35">
    <pageSetUpPr fitToPage="1"/>
  </sheetPr>
  <dimension ref="A1:I123"/>
  <sheetViews>
    <sheetView showGridLines="0" view="pageBreakPreview" zoomScale="85" zoomScaleSheetLayoutView="85" workbookViewId="0">
      <selection activeCell="L16" sqref="L16"/>
    </sheetView>
  </sheetViews>
  <sheetFormatPr defaultColWidth="9.140625" defaultRowHeight="12.75"/>
  <cols>
    <col min="1" max="1" width="6.28515625" style="147" customWidth="1"/>
    <col min="2" max="2" width="42.28515625" style="147" customWidth="1"/>
    <col min="3" max="3" width="13.140625" style="147" customWidth="1"/>
    <col min="4" max="4" width="17.42578125" style="147" hidden="1" customWidth="1"/>
    <col min="5" max="5" width="17" style="147" hidden="1" customWidth="1"/>
    <col min="6" max="6" width="14.5703125" style="147" customWidth="1"/>
    <col min="7" max="7" width="15.85546875" style="147" hidden="1" customWidth="1"/>
    <col min="8" max="8" width="18.85546875" style="147" hidden="1" customWidth="1"/>
    <col min="9" max="9" width="17.28515625" style="147" customWidth="1"/>
    <col min="10" max="16384" width="9.140625" style="147"/>
  </cols>
  <sheetData>
    <row r="1" spans="1:9" ht="15.75" customHeight="1">
      <c r="A1" s="832" t="s">
        <v>51</v>
      </c>
      <c r="B1" s="832"/>
      <c r="C1" s="832"/>
      <c r="D1" s="832"/>
      <c r="E1" s="832"/>
      <c r="F1" s="832"/>
      <c r="G1" s="832"/>
      <c r="H1" s="832"/>
      <c r="I1" s="832"/>
    </row>
    <row r="2" spans="1:9" ht="15.75" customHeight="1">
      <c r="A2" s="832" t="s">
        <v>1058</v>
      </c>
      <c r="B2" s="832"/>
      <c r="C2" s="832"/>
      <c r="D2" s="832"/>
      <c r="E2" s="832"/>
      <c r="F2" s="832"/>
      <c r="G2" s="832"/>
      <c r="H2" s="832"/>
      <c r="I2" s="832"/>
    </row>
    <row r="3" spans="1:9" ht="15.75" customHeight="1">
      <c r="A3" s="832" t="s">
        <v>716</v>
      </c>
      <c r="B3" s="832"/>
      <c r="C3" s="832"/>
      <c r="D3" s="832"/>
      <c r="E3" s="832"/>
      <c r="F3" s="832"/>
      <c r="G3" s="832"/>
      <c r="H3" s="832"/>
      <c r="I3" s="832"/>
    </row>
    <row r="4" spans="1:9" ht="15.75" customHeight="1">
      <c r="A4" s="832" t="s">
        <v>2457</v>
      </c>
      <c r="B4" s="832"/>
      <c r="C4" s="832"/>
      <c r="D4" s="832"/>
      <c r="E4" s="832"/>
      <c r="F4" s="832"/>
      <c r="G4" s="832"/>
      <c r="H4" s="832"/>
      <c r="I4" s="832"/>
    </row>
    <row r="5" spans="1:9" ht="15.75">
      <c r="A5" s="290"/>
      <c r="B5" s="287"/>
      <c r="C5" s="291"/>
      <c r="D5" s="291"/>
      <c r="E5" s="833"/>
      <c r="F5" s="833"/>
      <c r="G5" s="833"/>
      <c r="H5" s="833"/>
      <c r="I5" s="833"/>
    </row>
    <row r="6" spans="1:9" ht="30" customHeight="1">
      <c r="A6" s="792" t="s">
        <v>2433</v>
      </c>
      <c r="B6" s="792"/>
      <c r="C6" s="792"/>
      <c r="D6" s="792"/>
      <c r="E6" s="792"/>
      <c r="F6" s="792"/>
      <c r="G6" s="792"/>
      <c r="H6" s="792"/>
      <c r="I6" s="792"/>
    </row>
    <row r="7" spans="1:9" ht="16.5" thickBot="1">
      <c r="A7" s="290"/>
      <c r="B7" s="287"/>
      <c r="C7" s="291"/>
      <c r="D7" s="291"/>
      <c r="E7" s="834"/>
      <c r="F7" s="834"/>
      <c r="G7" s="834"/>
      <c r="H7" s="834"/>
      <c r="I7" s="834"/>
    </row>
    <row r="8" spans="1:9" ht="13.5" thickBot="1">
      <c r="A8" s="824" t="s">
        <v>2049</v>
      </c>
      <c r="B8" s="824" t="s">
        <v>7</v>
      </c>
      <c r="C8" s="824" t="s">
        <v>2268</v>
      </c>
      <c r="D8" s="824" t="s">
        <v>2458</v>
      </c>
      <c r="E8" s="824" t="s">
        <v>1129</v>
      </c>
      <c r="F8" s="824" t="s">
        <v>2392</v>
      </c>
      <c r="G8" s="824" t="s">
        <v>2458</v>
      </c>
      <c r="H8" s="824" t="s">
        <v>1129</v>
      </c>
      <c r="I8" s="824" t="s">
        <v>2393</v>
      </c>
    </row>
    <row r="9" spans="1:9" ht="20.25" customHeight="1" thickBot="1">
      <c r="A9" s="824"/>
      <c r="B9" s="824"/>
      <c r="C9" s="835"/>
      <c r="D9" s="824"/>
      <c r="E9" s="824"/>
      <c r="F9" s="824"/>
      <c r="G9" s="824"/>
      <c r="H9" s="824"/>
      <c r="I9" s="824"/>
    </row>
    <row r="10" spans="1:9" ht="16.5" thickBot="1">
      <c r="A10" s="329">
        <v>1</v>
      </c>
      <c r="B10" s="322" t="e">
        <f>IF(C10&gt;0,VLOOKUP(C10,Программа!A$2:B$5063,2))</f>
        <v>#N/A</v>
      </c>
      <c r="C10" s="323">
        <v>10</v>
      </c>
      <c r="D10" s="324" t="e">
        <f>SUMIFS(#REF!,#REF!,C10)</f>
        <v>#REF!</v>
      </c>
      <c r="E10" s="324" t="e">
        <f>SUMIFS(#REF!,#REF!,C10)</f>
        <v>#REF!</v>
      </c>
      <c r="F10" s="324" t="e">
        <f>SUMIFS(#REF!,#REF!,C10)</f>
        <v>#REF!</v>
      </c>
      <c r="G10" s="324" t="e">
        <f>SUMIFS(#REF!,#REF!,C10)</f>
        <v>#REF!</v>
      </c>
      <c r="H10" s="324" t="e">
        <f>SUMIFS(#REF!,#REF!,C10)</f>
        <v>#REF!</v>
      </c>
      <c r="I10" s="324" t="e">
        <f>SUMIFS(#REF!,#REF!,C10)</f>
        <v>#REF!</v>
      </c>
    </row>
    <row r="11" spans="1:9" ht="16.5" thickBot="1">
      <c r="A11" s="331" t="s">
        <v>2399</v>
      </c>
      <c r="B11" s="322" t="e">
        <f>IF(C11&gt;0,VLOOKUP(C11,Программа!A$2:B$5063,2))</f>
        <v>#N/A</v>
      </c>
      <c r="C11" s="328">
        <v>11</v>
      </c>
      <c r="D11" s="324" t="e">
        <f>SUMIFS(#REF!,#REF!,C11)</f>
        <v>#REF!</v>
      </c>
      <c r="E11" s="324" t="e">
        <f>SUMIFS(#REF!,#REF!,C11)</f>
        <v>#REF!</v>
      </c>
      <c r="F11" s="324" t="e">
        <f>SUMIFS(#REF!,#REF!,C11)</f>
        <v>#REF!</v>
      </c>
      <c r="G11" s="324" t="e">
        <f>SUMIFS(#REF!,#REF!,C11)</f>
        <v>#REF!</v>
      </c>
      <c r="H11" s="324" t="e">
        <f>SUMIFS(#REF!,#REF!,C11)</f>
        <v>#REF!</v>
      </c>
      <c r="I11" s="324" t="e">
        <f>SUMIFS(#REF!,#REF!,C11)</f>
        <v>#REF!</v>
      </c>
    </row>
    <row r="12" spans="1:9" ht="16.5" thickBot="1">
      <c r="A12" s="331" t="s">
        <v>2400</v>
      </c>
      <c r="B12" s="322" t="e">
        <f>IF(C12&gt;0,VLOOKUP(C12,Программа!A$2:B$5063,2))</f>
        <v>#N/A</v>
      </c>
      <c r="C12" s="328">
        <v>12</v>
      </c>
      <c r="D12" s="324" t="e">
        <f>SUMIFS(#REF!,#REF!,C12)</f>
        <v>#REF!</v>
      </c>
      <c r="E12" s="324" t="e">
        <f>SUMIFS(#REF!,#REF!,C12)</f>
        <v>#REF!</v>
      </c>
      <c r="F12" s="324" t="e">
        <f>SUMIFS(#REF!,#REF!,C12)</f>
        <v>#REF!</v>
      </c>
      <c r="G12" s="324" t="e">
        <f>SUMIFS(#REF!,#REF!,C12)</f>
        <v>#REF!</v>
      </c>
      <c r="H12" s="324" t="e">
        <f>SUMIFS(#REF!,#REF!,C12)</f>
        <v>#REF!</v>
      </c>
      <c r="I12" s="324" t="e">
        <f>SUMIFS(#REF!,#REF!,C12)</f>
        <v>#REF!</v>
      </c>
    </row>
    <row r="13" spans="1:9" ht="16.5" hidden="1" thickBot="1">
      <c r="A13" s="332" t="s">
        <v>2401</v>
      </c>
      <c r="B13" s="322" t="e">
        <f>IF(C13&gt;0,VLOOKUP(C13,Программа!A$2:B$5063,2))</f>
        <v>#N/A</v>
      </c>
      <c r="C13" s="323">
        <v>13</v>
      </c>
      <c r="D13" s="324" t="e">
        <f>SUMIFS(#REF!,#REF!,C13)</f>
        <v>#REF!</v>
      </c>
      <c r="E13" s="324" t="e">
        <f>SUMIFS(#REF!,#REF!,C13)</f>
        <v>#REF!</v>
      </c>
      <c r="F13" s="324" t="e">
        <f>SUMIFS(#REF!,#REF!,C13)</f>
        <v>#REF!</v>
      </c>
      <c r="G13" s="324" t="e">
        <f>SUMIFS(#REF!,#REF!,C13)</f>
        <v>#REF!</v>
      </c>
      <c r="H13" s="324" t="e">
        <f>SUMIFS(#REF!,#REF!,C13)</f>
        <v>#REF!</v>
      </c>
      <c r="I13" s="324" t="e">
        <f>SUMIFS(#REF!,#REF!,C13)</f>
        <v>#REF!</v>
      </c>
    </row>
    <row r="14" spans="1:9" ht="16.5" thickBot="1">
      <c r="A14" s="329" t="s">
        <v>287</v>
      </c>
      <c r="B14" s="322" t="e">
        <f>IF(C14&gt;0,VLOOKUP(C14,Программа!A$2:B$5063,2))</f>
        <v>#N/A</v>
      </c>
      <c r="C14" s="323">
        <v>20</v>
      </c>
      <c r="D14" s="324" t="e">
        <f>SUMIFS(#REF!,#REF!,C14)</f>
        <v>#REF!</v>
      </c>
      <c r="E14" s="324" t="e">
        <f>SUMIFS(#REF!,#REF!,C14)</f>
        <v>#REF!</v>
      </c>
      <c r="F14" s="324" t="e">
        <f>SUMIFS(#REF!,#REF!,C14)</f>
        <v>#REF!</v>
      </c>
      <c r="G14" s="324" t="e">
        <f>SUMIFS(#REF!,#REF!,C14)</f>
        <v>#REF!</v>
      </c>
      <c r="H14" s="324" t="e">
        <f>SUMIFS(#REF!,#REF!,C14)</f>
        <v>#REF!</v>
      </c>
      <c r="I14" s="324" t="e">
        <f>SUMIFS(#REF!,#REF!,C14)</f>
        <v>#REF!</v>
      </c>
    </row>
    <row r="15" spans="1:9" ht="16.5" thickBot="1">
      <c r="A15" s="331" t="s">
        <v>2402</v>
      </c>
      <c r="B15" s="322" t="e">
        <f>IF(C15&gt;0,VLOOKUP(C15,Программа!A$2:B$5063,2))</f>
        <v>#N/A</v>
      </c>
      <c r="C15" s="323">
        <v>21</v>
      </c>
      <c r="D15" s="324" t="e">
        <f>SUMIFS(#REF!,#REF!,C15)</f>
        <v>#REF!</v>
      </c>
      <c r="E15" s="324" t="e">
        <f>SUMIFS(#REF!,#REF!,C15)</f>
        <v>#REF!</v>
      </c>
      <c r="F15" s="324" t="e">
        <f>SUMIFS(#REF!,#REF!,C15)</f>
        <v>#REF!</v>
      </c>
      <c r="G15" s="324" t="e">
        <f>SUMIFS(#REF!,#REF!,C15)</f>
        <v>#REF!</v>
      </c>
      <c r="H15" s="324" t="e">
        <f>SUMIFS(#REF!,#REF!,C15)</f>
        <v>#REF!</v>
      </c>
      <c r="I15" s="324" t="e">
        <f>SUMIFS(#REF!,#REF!,C15)</f>
        <v>#REF!</v>
      </c>
    </row>
    <row r="16" spans="1:9" ht="16.5" thickBot="1">
      <c r="A16" s="331" t="s">
        <v>2403</v>
      </c>
      <c r="B16" s="322" t="e">
        <f>IF(C16&gt;0,VLOOKUP(C16,Программа!A$2:B$5063,2))</f>
        <v>#N/A</v>
      </c>
      <c r="C16" s="323">
        <v>22</v>
      </c>
      <c r="D16" s="324" t="e">
        <f>SUMIFS(#REF!,#REF!,C16)</f>
        <v>#REF!</v>
      </c>
      <c r="E16" s="324" t="e">
        <f>SUMIFS(#REF!,#REF!,C16)</f>
        <v>#REF!</v>
      </c>
      <c r="F16" s="324" t="e">
        <f>SUMIFS(#REF!,#REF!,C16)</f>
        <v>#REF!</v>
      </c>
      <c r="G16" s="324" t="e">
        <f>SUMIFS(#REF!,#REF!,C16)</f>
        <v>#REF!</v>
      </c>
      <c r="H16" s="324" t="e">
        <f>SUMIFS(#REF!,#REF!,C16)</f>
        <v>#REF!</v>
      </c>
      <c r="I16" s="324" t="e">
        <f>SUMIFS(#REF!,#REF!,C16)</f>
        <v>#REF!</v>
      </c>
    </row>
    <row r="17" spans="1:9" ht="16.5" thickBot="1">
      <c r="A17" s="329" t="s">
        <v>2404</v>
      </c>
      <c r="B17" s="322" t="e">
        <f>IF(C17&gt;0,VLOOKUP(C17,Программа!A$2:B$5063,2))</f>
        <v>#N/A</v>
      </c>
      <c r="C17" s="323">
        <v>30</v>
      </c>
      <c r="D17" s="324" t="e">
        <f>SUMIFS(#REF!,#REF!,C17)</f>
        <v>#REF!</v>
      </c>
      <c r="E17" s="324" t="e">
        <f>SUMIFS(#REF!,#REF!,C17)</f>
        <v>#REF!</v>
      </c>
      <c r="F17" s="324" t="e">
        <f>SUMIFS(#REF!,#REF!,C17)</f>
        <v>#REF!</v>
      </c>
      <c r="G17" s="324" t="e">
        <f>SUMIFS(#REF!,#REF!,C17)</f>
        <v>#REF!</v>
      </c>
      <c r="H17" s="324" t="e">
        <f>SUMIFS(#REF!,#REF!,C17)</f>
        <v>#REF!</v>
      </c>
      <c r="I17" s="324" t="e">
        <f>SUMIFS(#REF!,#REF!,C17)</f>
        <v>#REF!</v>
      </c>
    </row>
    <row r="18" spans="1:9" ht="16.5" thickBot="1">
      <c r="A18" s="331" t="s">
        <v>2405</v>
      </c>
      <c r="B18" s="322" t="e">
        <f>IF(C18&gt;0,VLOOKUP(C18,Программа!A$2:B$5063,2))</f>
        <v>#N/A</v>
      </c>
      <c r="C18" s="323">
        <v>31</v>
      </c>
      <c r="D18" s="324" t="e">
        <f>SUMIFS(#REF!,#REF!,C18)</f>
        <v>#REF!</v>
      </c>
      <c r="E18" s="324" t="e">
        <f>SUMIFS(#REF!,#REF!,C18)</f>
        <v>#REF!</v>
      </c>
      <c r="F18" s="324" t="e">
        <f>SUMIFS(#REF!,#REF!,C18)</f>
        <v>#REF!</v>
      </c>
      <c r="G18" s="324" t="e">
        <f>SUMIFS(#REF!,#REF!,C18)</f>
        <v>#REF!</v>
      </c>
      <c r="H18" s="324" t="e">
        <f>SUMIFS(#REF!,#REF!,C18)</f>
        <v>#REF!</v>
      </c>
      <c r="I18" s="324" t="e">
        <f>SUMIFS(#REF!,#REF!,C18)</f>
        <v>#REF!</v>
      </c>
    </row>
    <row r="19" spans="1:9" ht="16.5" thickBot="1">
      <c r="A19" s="331" t="s">
        <v>2406</v>
      </c>
      <c r="B19" s="322" t="e">
        <f>IF(C19&gt;0,VLOOKUP(C19,Программа!A$2:B$5063,2))</f>
        <v>#N/A</v>
      </c>
      <c r="C19" s="323">
        <v>32</v>
      </c>
      <c r="D19" s="324" t="e">
        <f>SUMIFS(#REF!,#REF!,C19)</f>
        <v>#REF!</v>
      </c>
      <c r="E19" s="324" t="e">
        <f>SUMIFS(#REF!,#REF!,C19)</f>
        <v>#REF!</v>
      </c>
      <c r="F19" s="324" t="e">
        <f>SUMIFS(#REF!,#REF!,C19)</f>
        <v>#REF!</v>
      </c>
      <c r="G19" s="324" t="e">
        <f>SUMIFS(#REF!,#REF!,C19)</f>
        <v>#REF!</v>
      </c>
      <c r="H19" s="324" t="e">
        <f>SUMIFS(#REF!,#REF!,C19)</f>
        <v>#REF!</v>
      </c>
      <c r="I19" s="324" t="e">
        <f>SUMIFS(#REF!,#REF!,C19)</f>
        <v>#REF!</v>
      </c>
    </row>
    <row r="20" spans="1:9" ht="16.5" thickBot="1">
      <c r="A20" s="329" t="s">
        <v>2407</v>
      </c>
      <c r="B20" s="322" t="e">
        <f>IF(C20&gt;0,VLOOKUP(C20,Программа!A$2:B$5063,2))</f>
        <v>#N/A</v>
      </c>
      <c r="C20" s="323">
        <v>40</v>
      </c>
      <c r="D20" s="324" t="e">
        <f>SUMIFS(#REF!,#REF!,C20)</f>
        <v>#REF!</v>
      </c>
      <c r="E20" s="324" t="e">
        <f>SUMIFS(#REF!,#REF!,C20)</f>
        <v>#REF!</v>
      </c>
      <c r="F20" s="324" t="e">
        <f>SUMIFS(#REF!,#REF!,C20)</f>
        <v>#REF!</v>
      </c>
      <c r="G20" s="324" t="e">
        <f>SUMIFS(#REF!,#REF!,C20)</f>
        <v>#REF!</v>
      </c>
      <c r="H20" s="324" t="e">
        <f>SUMIFS(#REF!,#REF!,C20)</f>
        <v>#REF!</v>
      </c>
      <c r="I20" s="324" t="e">
        <f>SUMIFS(#REF!,#REF!,C20)</f>
        <v>#REF!</v>
      </c>
    </row>
    <row r="21" spans="1:9" ht="16.5" thickBot="1">
      <c r="A21" s="331" t="s">
        <v>2408</v>
      </c>
      <c r="B21" s="322" t="e">
        <f>IF(C21&gt;0,VLOOKUP(C21,Программа!A$2:B$5063,2))</f>
        <v>#N/A</v>
      </c>
      <c r="C21" s="323">
        <v>41</v>
      </c>
      <c r="D21" s="324" t="e">
        <f>SUMIFS(#REF!,#REF!,C21)</f>
        <v>#REF!</v>
      </c>
      <c r="E21" s="324" t="e">
        <f>SUMIFS(#REF!,#REF!,C21)</f>
        <v>#REF!</v>
      </c>
      <c r="F21" s="324" t="e">
        <f>SUMIFS(#REF!,#REF!,C21)</f>
        <v>#REF!</v>
      </c>
      <c r="G21" s="324" t="e">
        <f>SUMIFS(#REF!,#REF!,C21)</f>
        <v>#REF!</v>
      </c>
      <c r="H21" s="324" t="e">
        <f>SUMIFS(#REF!,#REF!,C21)</f>
        <v>#REF!</v>
      </c>
      <c r="I21" s="324" t="e">
        <f>SUMIFS(#REF!,#REF!,C21)</f>
        <v>#REF!</v>
      </c>
    </row>
    <row r="22" spans="1:9" ht="16.5" thickBot="1">
      <c r="A22" s="329" t="s">
        <v>2409</v>
      </c>
      <c r="B22" s="322" t="e">
        <f>IF(C22&gt;0,VLOOKUP(C22,Программа!A$2:B$5063,2))</f>
        <v>#N/A</v>
      </c>
      <c r="C22" s="323">
        <v>50</v>
      </c>
      <c r="D22" s="324" t="e">
        <f>SUMIFS(#REF!,#REF!,C22)</f>
        <v>#REF!</v>
      </c>
      <c r="E22" s="324" t="e">
        <f>SUMIFS(#REF!,#REF!,C22)</f>
        <v>#REF!</v>
      </c>
      <c r="F22" s="324" t="e">
        <f>SUMIFS(#REF!,#REF!,C22)</f>
        <v>#REF!</v>
      </c>
      <c r="G22" s="324" t="e">
        <f>SUMIFS(#REF!,#REF!,C22)</f>
        <v>#REF!</v>
      </c>
      <c r="H22" s="324" t="e">
        <f>SUMIFS(#REF!,#REF!,C22)</f>
        <v>#REF!</v>
      </c>
      <c r="I22" s="324" t="e">
        <f>SUMIFS(#REF!,#REF!,C22)</f>
        <v>#REF!</v>
      </c>
    </row>
    <row r="23" spans="1:9" ht="16.5" thickBot="1">
      <c r="A23" s="331" t="s">
        <v>2410</v>
      </c>
      <c r="B23" s="322" t="e">
        <f>IF(C23&gt;0,VLOOKUP(C23,Программа!A$2:B$5063,2))</f>
        <v>#N/A</v>
      </c>
      <c r="C23" s="323">
        <v>51</v>
      </c>
      <c r="D23" s="324" t="e">
        <f>SUMIFS(#REF!,#REF!,C23)</f>
        <v>#REF!</v>
      </c>
      <c r="E23" s="324" t="e">
        <f>SUMIFS(#REF!,#REF!,C23)</f>
        <v>#REF!</v>
      </c>
      <c r="F23" s="324" t="e">
        <f>SUMIFS(#REF!,#REF!,C23)</f>
        <v>#REF!</v>
      </c>
      <c r="G23" s="324" t="e">
        <f>SUMIFS(#REF!,#REF!,C23)</f>
        <v>#REF!</v>
      </c>
      <c r="H23" s="324" t="e">
        <f>SUMIFS(#REF!,#REF!,C23)</f>
        <v>#REF!</v>
      </c>
      <c r="I23" s="324" t="e">
        <f>SUMIFS(#REF!,#REF!,C23)</f>
        <v>#REF!</v>
      </c>
    </row>
    <row r="24" spans="1:9" ht="16.5" thickBot="1">
      <c r="A24" s="329" t="s">
        <v>2411</v>
      </c>
      <c r="B24" s="322" t="e">
        <f>IF(C24&gt;0,VLOOKUP(C24,Программа!A$2:B$5063,2))</f>
        <v>#N/A</v>
      </c>
      <c r="C24" s="323">
        <v>60</v>
      </c>
      <c r="D24" s="324" t="e">
        <f>SUMIFS(#REF!,#REF!,C24)</f>
        <v>#REF!</v>
      </c>
      <c r="E24" s="324" t="e">
        <f>SUMIFS(#REF!,#REF!,C24)</f>
        <v>#REF!</v>
      </c>
      <c r="F24" s="324" t="e">
        <f>SUMIFS(#REF!,#REF!,C24)</f>
        <v>#REF!</v>
      </c>
      <c r="G24" s="324" t="e">
        <f>SUMIFS(#REF!,#REF!,C24)</f>
        <v>#REF!</v>
      </c>
      <c r="H24" s="324" t="e">
        <f>SUMIFS(#REF!,#REF!,C24)</f>
        <v>#REF!</v>
      </c>
      <c r="I24" s="324" t="e">
        <f>SUMIFS(#REF!,#REF!,C24)</f>
        <v>#REF!</v>
      </c>
    </row>
    <row r="25" spans="1:9" ht="16.5" thickBot="1">
      <c r="A25" s="331" t="s">
        <v>2412</v>
      </c>
      <c r="B25" s="322" t="e">
        <f>IF(C25&gt;0,VLOOKUP(C25,Программа!A$2:B$5063,2))</f>
        <v>#N/A</v>
      </c>
      <c r="C25" s="323">
        <v>61</v>
      </c>
      <c r="D25" s="324" t="e">
        <f>SUMIFS(#REF!,#REF!,C25)</f>
        <v>#REF!</v>
      </c>
      <c r="E25" s="324" t="e">
        <f>SUMIFS(#REF!,#REF!,C25)</f>
        <v>#REF!</v>
      </c>
      <c r="F25" s="324" t="e">
        <f>SUMIFS(#REF!,#REF!,C25)</f>
        <v>#REF!</v>
      </c>
      <c r="G25" s="324" t="e">
        <f>SUMIFS(#REF!,#REF!,C25)</f>
        <v>#REF!</v>
      </c>
      <c r="H25" s="324" t="e">
        <f>SUMIFS(#REF!,#REF!,C25)</f>
        <v>#REF!</v>
      </c>
      <c r="I25" s="324" t="e">
        <f>SUMIFS(#REF!,#REF!,C25)</f>
        <v>#REF!</v>
      </c>
    </row>
    <row r="26" spans="1:9" ht="16.5" thickBot="1">
      <c r="A26" s="329" t="s">
        <v>2413</v>
      </c>
      <c r="B26" s="322" t="e">
        <f>IF(C26&gt;0,VLOOKUP(C26,Программа!A$2:B$5063,2))</f>
        <v>#N/A</v>
      </c>
      <c r="C26" s="323">
        <v>70</v>
      </c>
      <c r="D26" s="324" t="e">
        <f>SUMIFS(#REF!,#REF!,C26)</f>
        <v>#REF!</v>
      </c>
      <c r="E26" s="324" t="e">
        <f>SUMIFS(#REF!,#REF!,C26)</f>
        <v>#REF!</v>
      </c>
      <c r="F26" s="324" t="e">
        <f>SUMIFS(#REF!,#REF!,C26)</f>
        <v>#REF!</v>
      </c>
      <c r="G26" s="324" t="e">
        <f>SUMIFS(#REF!,#REF!,C26)</f>
        <v>#REF!</v>
      </c>
      <c r="H26" s="324" t="e">
        <f>SUMIFS(#REF!,#REF!,C26)</f>
        <v>#REF!</v>
      </c>
      <c r="I26" s="324" t="e">
        <f>SUMIFS(#REF!,#REF!,C26)</f>
        <v>#REF!</v>
      </c>
    </row>
    <row r="27" spans="1:9" ht="16.5" thickBot="1">
      <c r="A27" s="331" t="s">
        <v>2414</v>
      </c>
      <c r="B27" s="322" t="e">
        <f>IF(C27&gt;0,VLOOKUP(C27,Программа!A$2:B$5063,2))</f>
        <v>#N/A</v>
      </c>
      <c r="C27" s="323">
        <v>71</v>
      </c>
      <c r="D27" s="324" t="e">
        <f>SUMIFS(#REF!,#REF!,C27)</f>
        <v>#REF!</v>
      </c>
      <c r="E27" s="324" t="e">
        <f>SUMIFS(#REF!,#REF!,C27)</f>
        <v>#REF!</v>
      </c>
      <c r="F27" s="324" t="e">
        <f>SUMIFS(#REF!,#REF!,C27)</f>
        <v>#REF!</v>
      </c>
      <c r="G27" s="324" t="e">
        <f>SUMIFS(#REF!,#REF!,C27)</f>
        <v>#REF!</v>
      </c>
      <c r="H27" s="324" t="e">
        <f>SUMIFS(#REF!,#REF!,C27)</f>
        <v>#REF!</v>
      </c>
      <c r="I27" s="324" t="e">
        <f>SUMIFS(#REF!,#REF!,C27)</f>
        <v>#REF!</v>
      </c>
    </row>
    <row r="28" spans="1:9" ht="16.5" thickBot="1">
      <c r="A28" s="331" t="s">
        <v>2415</v>
      </c>
      <c r="B28" s="322" t="e">
        <f>IF(C28&gt;0,VLOOKUP(C28,Программа!A$2:B$5063,2))</f>
        <v>#N/A</v>
      </c>
      <c r="C28" s="323">
        <v>72</v>
      </c>
      <c r="D28" s="324" t="e">
        <f>SUMIFS(#REF!,#REF!,C28)</f>
        <v>#REF!</v>
      </c>
      <c r="E28" s="324" t="e">
        <f>SUMIFS(#REF!,#REF!,C28)</f>
        <v>#REF!</v>
      </c>
      <c r="F28" s="324" t="e">
        <f>SUMIFS(#REF!,#REF!,C28)</f>
        <v>#REF!</v>
      </c>
      <c r="G28" s="324" t="e">
        <f>SUMIFS(#REF!,#REF!,C28)</f>
        <v>#REF!</v>
      </c>
      <c r="H28" s="324" t="e">
        <f>SUMIFS(#REF!,#REF!,C28)</f>
        <v>#REF!</v>
      </c>
      <c r="I28" s="324" t="e">
        <f>SUMIFS(#REF!,#REF!,C28)</f>
        <v>#REF!</v>
      </c>
    </row>
    <row r="29" spans="1:9" ht="16.5" thickBot="1">
      <c r="A29" s="329" t="s">
        <v>2416</v>
      </c>
      <c r="B29" s="322" t="e">
        <f>IF(C29&gt;0,VLOOKUP(C29,Программа!A$2:B$5063,2))</f>
        <v>#N/A</v>
      </c>
      <c r="C29" s="323">
        <v>80</v>
      </c>
      <c r="D29" s="324" t="e">
        <f>SUMIFS(#REF!,#REF!,C29)</f>
        <v>#REF!</v>
      </c>
      <c r="E29" s="324" t="e">
        <f>SUMIFS(#REF!,#REF!,C29)</f>
        <v>#REF!</v>
      </c>
      <c r="F29" s="324" t="e">
        <f>SUMIFS(#REF!,#REF!,C29)</f>
        <v>#REF!</v>
      </c>
      <c r="G29" s="324" t="e">
        <f>SUMIFS(#REF!,#REF!,C29)</f>
        <v>#REF!</v>
      </c>
      <c r="H29" s="324" t="e">
        <f>SUMIFS(#REF!,#REF!,C29)</f>
        <v>#REF!</v>
      </c>
      <c r="I29" s="324" t="e">
        <f>SUMIFS(#REF!,#REF!,C29)</f>
        <v>#REF!</v>
      </c>
    </row>
    <row r="30" spans="1:9" ht="16.5" thickBot="1">
      <c r="A30" s="331" t="s">
        <v>2417</v>
      </c>
      <c r="B30" s="322" t="e">
        <f>IF(C30&gt;0,VLOOKUP(C30,Программа!A$2:B$5063,2))</f>
        <v>#N/A</v>
      </c>
      <c r="C30" s="323">
        <v>81</v>
      </c>
      <c r="D30" s="324" t="e">
        <f>SUMIFS(#REF!,#REF!,C30)</f>
        <v>#REF!</v>
      </c>
      <c r="E30" s="324" t="e">
        <f>SUMIFS(#REF!,#REF!,C30)</f>
        <v>#REF!</v>
      </c>
      <c r="F30" s="324" t="e">
        <f>SUMIFS(#REF!,#REF!,C30)</f>
        <v>#REF!</v>
      </c>
      <c r="G30" s="324" t="e">
        <f>SUMIFS(#REF!,#REF!,C30)</f>
        <v>#REF!</v>
      </c>
      <c r="H30" s="324" t="e">
        <f>SUMIFS(#REF!,#REF!,C30)</f>
        <v>#REF!</v>
      </c>
      <c r="I30" s="324" t="e">
        <f>SUMIFS(#REF!,#REF!,C30)</f>
        <v>#REF!</v>
      </c>
    </row>
    <row r="31" spans="1:9" ht="16.5" thickBot="1">
      <c r="A31" s="329" t="s">
        <v>2418</v>
      </c>
      <c r="B31" s="322" t="e">
        <f>IF(C31&gt;0,VLOOKUP(C31,Программа!A$2:B$5063,2))</f>
        <v>#N/A</v>
      </c>
      <c r="C31" s="323">
        <v>90</v>
      </c>
      <c r="D31" s="324" t="e">
        <f>SUMIFS(#REF!,#REF!,C31)</f>
        <v>#REF!</v>
      </c>
      <c r="E31" s="324" t="e">
        <f>SUMIFS(#REF!,#REF!,C31)</f>
        <v>#REF!</v>
      </c>
      <c r="F31" s="324" t="e">
        <f>SUMIFS(#REF!,#REF!,C31)</f>
        <v>#REF!</v>
      </c>
      <c r="G31" s="324" t="e">
        <f>SUMIFS(#REF!,#REF!,C31)</f>
        <v>#REF!</v>
      </c>
      <c r="H31" s="324" t="e">
        <f>SUMIFS(#REF!,#REF!,C31)</f>
        <v>#REF!</v>
      </c>
      <c r="I31" s="324" t="e">
        <f>SUMIFS(#REF!,#REF!,C31)</f>
        <v>#REF!</v>
      </c>
    </row>
    <row r="32" spans="1:9" ht="16.5" thickBot="1">
      <c r="A32" s="331" t="s">
        <v>2419</v>
      </c>
      <c r="B32" s="322" t="e">
        <f>IF(C32&gt;0,VLOOKUP(C32,Программа!A$2:B$5063,2))</f>
        <v>#N/A</v>
      </c>
      <c r="C32" s="323">
        <v>91</v>
      </c>
      <c r="D32" s="324" t="e">
        <f>SUMIFS(#REF!,#REF!,C32)</f>
        <v>#REF!</v>
      </c>
      <c r="E32" s="324" t="e">
        <f>SUMIFS(#REF!,#REF!,C32)</f>
        <v>#REF!</v>
      </c>
      <c r="F32" s="324" t="e">
        <f>SUMIFS(#REF!,#REF!,C32)</f>
        <v>#REF!</v>
      </c>
      <c r="G32" s="324" t="e">
        <f>SUMIFS(#REF!,#REF!,C32)</f>
        <v>#REF!</v>
      </c>
      <c r="H32" s="324" t="e">
        <f>SUMIFS(#REF!,#REF!,C32)</f>
        <v>#REF!</v>
      </c>
      <c r="I32" s="324" t="e">
        <f>SUMIFS(#REF!,#REF!,C32)</f>
        <v>#REF!</v>
      </c>
    </row>
    <row r="33" spans="1:9" ht="16.5" thickBot="1">
      <c r="A33" s="329" t="s">
        <v>2069</v>
      </c>
      <c r="B33" s="322" t="e">
        <f>IF(C33&gt;0,VLOOKUP(C33,Программа!A$2:B$5063,2))</f>
        <v>#N/A</v>
      </c>
      <c r="C33" s="323">
        <v>100</v>
      </c>
      <c r="D33" s="324" t="e">
        <f>SUMIFS(#REF!,#REF!,C33)</f>
        <v>#REF!</v>
      </c>
      <c r="E33" s="324" t="e">
        <f>SUMIFS(#REF!,#REF!,C33)</f>
        <v>#REF!</v>
      </c>
      <c r="F33" s="324" t="e">
        <f>SUMIFS(#REF!,#REF!,C33)</f>
        <v>#REF!</v>
      </c>
      <c r="G33" s="324" t="e">
        <f>SUMIFS(#REF!,#REF!,C33)</f>
        <v>#REF!</v>
      </c>
      <c r="H33" s="324" t="e">
        <f>SUMIFS(#REF!,#REF!,C33)</f>
        <v>#REF!</v>
      </c>
      <c r="I33" s="324" t="e">
        <f>SUMIFS(#REF!,#REF!,C33)</f>
        <v>#REF!</v>
      </c>
    </row>
    <row r="34" spans="1:9" ht="16.5" thickBot="1">
      <c r="A34" s="331" t="s">
        <v>2420</v>
      </c>
      <c r="B34" s="322" t="e">
        <f>IF(C34&gt;0,VLOOKUP(C34,Программа!A$2:B$5063,2))</f>
        <v>#N/A</v>
      </c>
      <c r="C34" s="323">
        <v>101</v>
      </c>
      <c r="D34" s="324" t="e">
        <f>SUMIFS(#REF!,#REF!,C34)</f>
        <v>#REF!</v>
      </c>
      <c r="E34" s="324" t="e">
        <f>SUMIFS(#REF!,#REF!,C34)</f>
        <v>#REF!</v>
      </c>
      <c r="F34" s="324" t="e">
        <f>SUMIFS(#REF!,#REF!,C34)</f>
        <v>#REF!</v>
      </c>
      <c r="G34" s="324" t="e">
        <f>SUMIFS(#REF!,#REF!,C34)</f>
        <v>#REF!</v>
      </c>
      <c r="H34" s="324" t="e">
        <f>SUMIFS(#REF!,#REF!,C34)</f>
        <v>#REF!</v>
      </c>
      <c r="I34" s="324" t="e">
        <f>SUMIFS(#REF!,#REF!,C34)</f>
        <v>#REF!</v>
      </c>
    </row>
    <row r="35" spans="1:9" ht="16.5" hidden="1" thickBot="1">
      <c r="A35" s="329" t="s">
        <v>291</v>
      </c>
      <c r="B35" s="322" t="e">
        <f>IF(C35&gt;0,VLOOKUP(C35,Программа!A$2:B$5063,2))</f>
        <v>#N/A</v>
      </c>
      <c r="C35" s="323">
        <v>110</v>
      </c>
      <c r="D35" s="324" t="e">
        <f>SUMIFS(#REF!,#REF!,C35)</f>
        <v>#REF!</v>
      </c>
      <c r="E35" s="324" t="e">
        <f>SUMIFS(#REF!,#REF!,C35)</f>
        <v>#REF!</v>
      </c>
      <c r="F35" s="324" t="e">
        <f>SUMIFS(#REF!,#REF!,C35)</f>
        <v>#REF!</v>
      </c>
      <c r="G35" s="324" t="e">
        <f>SUMIFS(#REF!,#REF!,C35)</f>
        <v>#REF!</v>
      </c>
      <c r="H35" s="324" t="e">
        <f>SUMIFS(#REF!,#REF!,C35)</f>
        <v>#REF!</v>
      </c>
      <c r="I35" s="324" t="e">
        <f>SUMIFS(#REF!,#REF!,C35)</f>
        <v>#REF!</v>
      </c>
    </row>
    <row r="36" spans="1:9" ht="16.5" hidden="1" thickBot="1">
      <c r="A36" s="331" t="s">
        <v>2421</v>
      </c>
      <c r="B36" s="322" t="e">
        <f>IF(C36&gt;0,VLOOKUP(C36,Программа!A$2:B$5063,2))</f>
        <v>#N/A</v>
      </c>
      <c r="C36" s="323">
        <v>111</v>
      </c>
      <c r="D36" s="324" t="e">
        <f>SUMIFS(#REF!,#REF!,C36)</f>
        <v>#REF!</v>
      </c>
      <c r="E36" s="324" t="e">
        <f>SUMIFS(#REF!,#REF!,C36)</f>
        <v>#REF!</v>
      </c>
      <c r="F36" s="324" t="e">
        <f>SUMIFS(#REF!,#REF!,C36)</f>
        <v>#REF!</v>
      </c>
      <c r="G36" s="324" t="e">
        <f>SUMIFS(#REF!,#REF!,C36)</f>
        <v>#REF!</v>
      </c>
      <c r="H36" s="324" t="e">
        <f>SUMIFS(#REF!,#REF!,C36)</f>
        <v>#REF!</v>
      </c>
      <c r="I36" s="324" t="e">
        <f>SUMIFS(#REF!,#REF!,C36)</f>
        <v>#REF!</v>
      </c>
    </row>
    <row r="37" spans="1:9" ht="16.5" thickBot="1">
      <c r="A37" s="329" t="s">
        <v>292</v>
      </c>
      <c r="B37" s="322" t="e">
        <f>IF(C37&gt;0,VLOOKUP(C37,Программа!A$2:B$5063,2))</f>
        <v>#N/A</v>
      </c>
      <c r="C37" s="323">
        <v>120</v>
      </c>
      <c r="D37" s="324" t="e">
        <f>SUMIFS(#REF!,#REF!,C37)</f>
        <v>#REF!</v>
      </c>
      <c r="E37" s="324" t="e">
        <f>SUMIFS(#REF!,#REF!,C37)</f>
        <v>#REF!</v>
      </c>
      <c r="F37" s="324" t="e">
        <f>SUMIFS(#REF!,#REF!,C37)</f>
        <v>#REF!</v>
      </c>
      <c r="G37" s="324" t="e">
        <f>SUMIFS(#REF!,#REF!,C37)</f>
        <v>#REF!</v>
      </c>
      <c r="H37" s="324" t="e">
        <f>SUMIFS(#REF!,#REF!,C37)</f>
        <v>#REF!</v>
      </c>
      <c r="I37" s="324" t="e">
        <f>SUMIFS(#REF!,#REF!,C37)</f>
        <v>#REF!</v>
      </c>
    </row>
    <row r="38" spans="1:9" ht="16.5" thickBot="1">
      <c r="A38" s="329" t="s">
        <v>2422</v>
      </c>
      <c r="B38" s="322" t="e">
        <f>IF(C38&gt;0,VLOOKUP(C38,Программа!A$2:B$5063,2))</f>
        <v>#N/A</v>
      </c>
      <c r="C38" s="323">
        <v>121</v>
      </c>
      <c r="D38" s="324" t="e">
        <f>SUMIFS(#REF!,#REF!,C38)</f>
        <v>#REF!</v>
      </c>
      <c r="E38" s="324" t="e">
        <f>SUMIFS(#REF!,#REF!,C38)</f>
        <v>#REF!</v>
      </c>
      <c r="F38" s="324" t="e">
        <f>SUMIFS(#REF!,#REF!,C38)</f>
        <v>#REF!</v>
      </c>
      <c r="G38" s="324" t="e">
        <f>SUMIFS(#REF!,#REF!,C38)</f>
        <v>#REF!</v>
      </c>
      <c r="H38" s="324" t="e">
        <f>SUMIFS(#REF!,#REF!,C38)</f>
        <v>#REF!</v>
      </c>
      <c r="I38" s="324" t="e">
        <f>SUMIFS(#REF!,#REF!,C38)</f>
        <v>#REF!</v>
      </c>
    </row>
    <row r="39" spans="1:9" ht="16.5" thickBot="1">
      <c r="A39" s="329" t="s">
        <v>2423</v>
      </c>
      <c r="B39" s="322" t="e">
        <f>IF(C39&gt;0,VLOOKUP(C39,Программа!A$2:B$5063,2))</f>
        <v>#N/A</v>
      </c>
      <c r="C39" s="323">
        <v>130</v>
      </c>
      <c r="D39" s="324" t="e">
        <f>SUMIFS(#REF!,#REF!,C39)</f>
        <v>#REF!</v>
      </c>
      <c r="E39" s="324" t="e">
        <f>SUMIFS(#REF!,#REF!,C39)</f>
        <v>#REF!</v>
      </c>
      <c r="F39" s="324" t="e">
        <f>SUMIFS(#REF!,#REF!,C39)</f>
        <v>#REF!</v>
      </c>
      <c r="G39" s="324" t="e">
        <f>SUMIFS(#REF!,#REF!,C39)</f>
        <v>#REF!</v>
      </c>
      <c r="H39" s="324" t="e">
        <f>SUMIFS(#REF!,#REF!,C39)</f>
        <v>#REF!</v>
      </c>
      <c r="I39" s="324" t="e">
        <f>SUMIFS(#REF!,#REF!,C39)</f>
        <v>#REF!</v>
      </c>
    </row>
    <row r="40" spans="1:9" ht="16.5" thickBot="1">
      <c r="A40" s="331" t="s">
        <v>2424</v>
      </c>
      <c r="B40" s="322" t="e">
        <f>IF(C40&gt;0,VLOOKUP(C40,Программа!A$2:B$5063,2))</f>
        <v>#N/A</v>
      </c>
      <c r="C40" s="323">
        <v>131</v>
      </c>
      <c r="D40" s="324" t="e">
        <f>SUMIFS(#REF!,#REF!,C40)</f>
        <v>#REF!</v>
      </c>
      <c r="E40" s="324" t="e">
        <f>SUMIFS(#REF!,#REF!,C40)</f>
        <v>#REF!</v>
      </c>
      <c r="F40" s="324" t="e">
        <f>SUMIFS(#REF!,#REF!,C40)</f>
        <v>#REF!</v>
      </c>
      <c r="G40" s="324" t="e">
        <f>SUMIFS(#REF!,#REF!,C40)</f>
        <v>#REF!</v>
      </c>
      <c r="H40" s="324" t="e">
        <f>SUMIFS(#REF!,#REF!,C40)</f>
        <v>#REF!</v>
      </c>
      <c r="I40" s="324" t="e">
        <f>SUMIFS(#REF!,#REF!,C40)</f>
        <v>#REF!</v>
      </c>
    </row>
    <row r="41" spans="1:9" ht="16.5" thickBot="1">
      <c r="A41" s="329" t="s">
        <v>293</v>
      </c>
      <c r="B41" s="322" t="e">
        <f>IF(C41&gt;0,VLOOKUP(C41,Программа!A$2:B$5063,2))</f>
        <v>#N/A</v>
      </c>
      <c r="C41" s="323">
        <v>140</v>
      </c>
      <c r="D41" s="324" t="e">
        <f>SUMIFS(#REF!,#REF!,C41)</f>
        <v>#REF!</v>
      </c>
      <c r="E41" s="324" t="e">
        <f>SUMIFS(#REF!,#REF!,C41)</f>
        <v>#REF!</v>
      </c>
      <c r="F41" s="324" t="e">
        <f>SUMIFS(#REF!,#REF!,C41)</f>
        <v>#REF!</v>
      </c>
      <c r="G41" s="324" t="e">
        <f>SUMIFS(#REF!,#REF!,C41)</f>
        <v>#REF!</v>
      </c>
      <c r="H41" s="324" t="e">
        <f>SUMIFS(#REF!,#REF!,C41)</f>
        <v>#REF!</v>
      </c>
      <c r="I41" s="324" t="e">
        <f>SUMIFS(#REF!,#REF!,C41)</f>
        <v>#REF!</v>
      </c>
    </row>
    <row r="42" spans="1:9" ht="16.5" hidden="1" thickBot="1">
      <c r="A42" s="331" t="s">
        <v>2425</v>
      </c>
      <c r="B42" s="322" t="e">
        <f>IF(C42&gt;0,VLOOKUP(C42,Программа!A$2:B$5063,2))</f>
        <v>#N/A</v>
      </c>
      <c r="C42" s="323">
        <v>141</v>
      </c>
      <c r="D42" s="324" t="e">
        <f>SUMIFS(#REF!,#REF!,C42)</f>
        <v>#REF!</v>
      </c>
      <c r="E42" s="324" t="e">
        <f>SUMIFS(#REF!,#REF!,C42)</f>
        <v>#REF!</v>
      </c>
      <c r="F42" s="324" t="e">
        <f>SUMIFS(#REF!,#REF!,C42)</f>
        <v>#REF!</v>
      </c>
      <c r="G42" s="324" t="e">
        <f>SUMIFS(#REF!,#REF!,C42)</f>
        <v>#REF!</v>
      </c>
      <c r="H42" s="324" t="e">
        <f>SUMIFS(#REF!,#REF!,C42)</f>
        <v>#REF!</v>
      </c>
      <c r="I42" s="324" t="e">
        <f>SUMIFS(#REF!,#REF!,C42)</f>
        <v>#REF!</v>
      </c>
    </row>
    <row r="43" spans="1:9" ht="16.5" thickBot="1">
      <c r="A43" s="331" t="s">
        <v>2426</v>
      </c>
      <c r="B43" s="322" t="e">
        <f>IF(C43&gt;0,VLOOKUP(C43,Программа!A$2:B$5063,2))</f>
        <v>#N/A</v>
      </c>
      <c r="C43" s="323">
        <v>142</v>
      </c>
      <c r="D43" s="324" t="e">
        <f>SUMIFS(#REF!,#REF!,C43)</f>
        <v>#REF!</v>
      </c>
      <c r="E43" s="324" t="e">
        <f>SUMIFS(#REF!,#REF!,C43)</f>
        <v>#REF!</v>
      </c>
      <c r="F43" s="324" t="e">
        <f>SUMIFS(#REF!,#REF!,C43)</f>
        <v>#REF!</v>
      </c>
      <c r="G43" s="324" t="e">
        <f>SUMIFS(#REF!,#REF!,C43)</f>
        <v>#REF!</v>
      </c>
      <c r="H43" s="324" t="e">
        <f>SUMIFS(#REF!,#REF!,C43)</f>
        <v>#REF!</v>
      </c>
      <c r="I43" s="324" t="e">
        <f>SUMIFS(#REF!,#REF!,C43)</f>
        <v>#REF!</v>
      </c>
    </row>
    <row r="44" spans="1:9" ht="16.5" thickBot="1">
      <c r="A44" s="329" t="s">
        <v>2427</v>
      </c>
      <c r="B44" s="322" t="e">
        <f>IF(C44&gt;0,VLOOKUP(C44,Программа!A$2:B$5063,2))</f>
        <v>#N/A</v>
      </c>
      <c r="C44" s="323">
        <v>150</v>
      </c>
      <c r="D44" s="324" t="e">
        <f>SUMIFS(#REF!,#REF!,C44)</f>
        <v>#REF!</v>
      </c>
      <c r="E44" s="324" t="e">
        <f>SUMIFS(#REF!,#REF!,C44)</f>
        <v>#REF!</v>
      </c>
      <c r="F44" s="324" t="e">
        <f>SUMIFS(#REF!,#REF!,C44)</f>
        <v>#REF!</v>
      </c>
      <c r="G44" s="324" t="e">
        <f>SUMIFS(#REF!,#REF!,C44)</f>
        <v>#REF!</v>
      </c>
      <c r="H44" s="324" t="e">
        <f>SUMIFS(#REF!,#REF!,C44)</f>
        <v>#REF!</v>
      </c>
      <c r="I44" s="324" t="e">
        <f>SUMIFS(#REF!,#REF!,C44)</f>
        <v>#REF!</v>
      </c>
    </row>
    <row r="45" spans="1:9" ht="16.5" thickBot="1">
      <c r="A45" s="331" t="s">
        <v>2428</v>
      </c>
      <c r="B45" s="322" t="e">
        <f>IF(C45&gt;0,VLOOKUP(C45,Программа!A$2:B$5063,2))</f>
        <v>#N/A</v>
      </c>
      <c r="C45" s="323">
        <v>151</v>
      </c>
      <c r="D45" s="324" t="e">
        <f>SUMIFS(#REF!,#REF!,C45)</f>
        <v>#REF!</v>
      </c>
      <c r="E45" s="324" t="e">
        <f>SUMIFS(#REF!,#REF!,C45)</f>
        <v>#REF!</v>
      </c>
      <c r="F45" s="324" t="e">
        <f>SUMIFS(#REF!,#REF!,C45)</f>
        <v>#REF!</v>
      </c>
      <c r="G45" s="324" t="e">
        <f>SUMIFS(#REF!,#REF!,C45)</f>
        <v>#REF!</v>
      </c>
      <c r="H45" s="324" t="e">
        <f>SUMIFS(#REF!,#REF!,C45)</f>
        <v>#REF!</v>
      </c>
      <c r="I45" s="324" t="e">
        <f>SUMIFS(#REF!,#REF!,C45)</f>
        <v>#REF!</v>
      </c>
    </row>
    <row r="46" spans="1:9" ht="16.5" thickBot="1">
      <c r="A46" s="331" t="s">
        <v>2429</v>
      </c>
      <c r="B46" s="322" t="e">
        <f>IF(C46&gt;0,VLOOKUP(C46,Программа!A$2:B$5063,2))</f>
        <v>#N/A</v>
      </c>
      <c r="C46" s="323">
        <v>152</v>
      </c>
      <c r="D46" s="324" t="e">
        <f>SUMIFS(#REF!,#REF!,C46)</f>
        <v>#REF!</v>
      </c>
      <c r="E46" s="324" t="e">
        <f>SUMIFS(#REF!,#REF!,C46)</f>
        <v>#REF!</v>
      </c>
      <c r="F46" s="324" t="e">
        <f>SUMIFS(#REF!,#REF!,C46)</f>
        <v>#REF!</v>
      </c>
      <c r="G46" s="324" t="e">
        <f>SUMIFS(#REF!,#REF!,C46)</f>
        <v>#REF!</v>
      </c>
      <c r="H46" s="324" t="e">
        <f>SUMIFS(#REF!,#REF!,C46)</f>
        <v>#REF!</v>
      </c>
      <c r="I46" s="324" t="e">
        <f>SUMIFS(#REF!,#REF!,C46)</f>
        <v>#REF!</v>
      </c>
    </row>
    <row r="47" spans="1:9" ht="16.5" thickBot="1">
      <c r="A47" s="329" t="s">
        <v>294</v>
      </c>
      <c r="B47" s="322" t="e">
        <f>IF(C47&gt;0,VLOOKUP(C47,Программа!A$2:B$5063,2))</f>
        <v>#N/A</v>
      </c>
      <c r="C47" s="323">
        <v>160</v>
      </c>
      <c r="D47" s="324" t="e">
        <f>SUMIFS(#REF!,#REF!,C47)</f>
        <v>#REF!</v>
      </c>
      <c r="E47" s="324" t="e">
        <f>SUMIFS(#REF!,#REF!,C47)</f>
        <v>#REF!</v>
      </c>
      <c r="F47" s="324" t="e">
        <f>SUMIFS(#REF!,#REF!,C47)</f>
        <v>#REF!</v>
      </c>
      <c r="G47" s="324" t="e">
        <f>SUMIFS(#REF!,#REF!,C47)</f>
        <v>#REF!</v>
      </c>
      <c r="H47" s="324" t="e">
        <f>SUMIFS(#REF!,#REF!,C47)</f>
        <v>#REF!</v>
      </c>
      <c r="I47" s="324" t="e">
        <f>SUMIFS(#REF!,#REF!,C47)</f>
        <v>#REF!</v>
      </c>
    </row>
    <row r="48" spans="1:9" ht="16.5" thickBot="1">
      <c r="A48" s="331" t="s">
        <v>2430</v>
      </c>
      <c r="B48" s="322" t="e">
        <f>IF(C48&gt;0,VLOOKUP(C48,Программа!A$2:B$5063,2))</f>
        <v>#N/A</v>
      </c>
      <c r="C48" s="323">
        <v>161</v>
      </c>
      <c r="D48" s="324" t="e">
        <f>SUMIFS(#REF!,#REF!,C48)</f>
        <v>#REF!</v>
      </c>
      <c r="E48" s="324" t="e">
        <f>SUMIFS(#REF!,#REF!,C48)</f>
        <v>#REF!</v>
      </c>
      <c r="F48" s="324" t="e">
        <f>SUMIFS(#REF!,#REF!,C48)</f>
        <v>#REF!</v>
      </c>
      <c r="G48" s="324" t="e">
        <f>SUMIFS(#REF!,#REF!,C48)</f>
        <v>#REF!</v>
      </c>
      <c r="H48" s="324" t="e">
        <f>SUMIFS(#REF!,#REF!,C48)</f>
        <v>#REF!</v>
      </c>
      <c r="I48" s="324" t="e">
        <f>SUMIFS(#REF!,#REF!,C48)</f>
        <v>#REF!</v>
      </c>
    </row>
    <row r="49" spans="1:9" ht="16.5" thickBot="1">
      <c r="A49" s="331"/>
      <c r="B49" s="325" t="s">
        <v>1137</v>
      </c>
      <c r="C49" s="336"/>
      <c r="D49" s="327" t="e">
        <f>D10+D14+D17+D20+D22+D24+D26+D29+D31+D33+D35+D37+D39+D41+D44+D47</f>
        <v>#REF!</v>
      </c>
      <c r="E49" s="327" t="e">
        <f t="shared" ref="E49:I49" si="0">E10+E14+E17+E20+E22+E24+E26+E29+E31+E33+E35+E37+E39+E41+E44+E47</f>
        <v>#REF!</v>
      </c>
      <c r="F49" s="327" t="e">
        <f t="shared" si="0"/>
        <v>#REF!</v>
      </c>
      <c r="G49" s="327" t="e">
        <f t="shared" si="0"/>
        <v>#REF!</v>
      </c>
      <c r="H49" s="327" t="e">
        <f t="shared" si="0"/>
        <v>#REF!</v>
      </c>
      <c r="I49" s="327" t="e">
        <f t="shared" si="0"/>
        <v>#REF!</v>
      </c>
    </row>
    <row r="50" spans="1:9" ht="31.5" customHeight="1" thickBot="1">
      <c r="A50" s="329" t="s">
        <v>2431</v>
      </c>
      <c r="B50" s="322" t="e">
        <f>IF(C50&gt;0,VLOOKUP(C50,Программа!A$2:B$5063,2))</f>
        <v>#N/A</v>
      </c>
      <c r="C50" s="323">
        <v>409</v>
      </c>
      <c r="D50" s="324" t="e">
        <f>SUMIFS(#REF!,#REF!,C50)</f>
        <v>#REF!</v>
      </c>
      <c r="E50" s="324" t="e">
        <f>SUMIFS(#REF!,#REF!,C50)</f>
        <v>#REF!</v>
      </c>
      <c r="F50" s="324" t="e">
        <f>SUMIFS(#REF!,#REF!,C50)</f>
        <v>#REF!</v>
      </c>
      <c r="G50" s="324" t="e">
        <f>SUMIFS(#REF!,#REF!,C50)</f>
        <v>#REF!</v>
      </c>
      <c r="H50" s="324" t="e">
        <f>SUMIFS(#REF!,#REF!,C50)</f>
        <v>#REF!</v>
      </c>
      <c r="I50" s="324" t="e">
        <f>SUMIFS(#REF!,#REF!,C50)</f>
        <v>#REF!</v>
      </c>
    </row>
    <row r="51" spans="1:9" ht="16.5" thickBot="1">
      <c r="A51" s="329" t="s">
        <v>2432</v>
      </c>
      <c r="B51" s="322" t="e">
        <f>IF(C51&gt;0,VLOOKUP(C51,Программа!A$2:B$5063,2))</f>
        <v>#N/A</v>
      </c>
      <c r="C51" s="323">
        <v>990</v>
      </c>
      <c r="D51" s="324" t="e">
        <f>SUMIFS(#REF!,#REF!,C51)</f>
        <v>#REF!</v>
      </c>
      <c r="E51" s="324" t="e">
        <f>SUMIFS(#REF!,#REF!,C51)</f>
        <v>#REF!</v>
      </c>
      <c r="F51" s="324" t="e">
        <f>SUMIFS(#REF!,#REF!,C51)</f>
        <v>#REF!</v>
      </c>
      <c r="G51" s="324" t="e">
        <f>SUMIFS(#REF!,#REF!,C51)</f>
        <v>#REF!</v>
      </c>
      <c r="H51" s="324" t="e">
        <f>SUMIFS(#REF!,#REF!,C51)</f>
        <v>#REF!</v>
      </c>
      <c r="I51" s="324" t="e">
        <f>SUMIFS(#REF!,#REF!,C51)</f>
        <v>#REF!</v>
      </c>
    </row>
    <row r="52" spans="1:9" ht="16.5" thickBot="1">
      <c r="A52" s="300"/>
      <c r="B52" s="325" t="s">
        <v>2435</v>
      </c>
      <c r="C52" s="326"/>
      <c r="D52" s="327" t="e">
        <f t="shared" ref="D52:I52" si="1">D51+D50+D47+D44+D41+D39+D37+D35+D33+D31+D29+D26+D24+D22+D20+D17+D14+D10</f>
        <v>#REF!</v>
      </c>
      <c r="E52" s="327" t="e">
        <f t="shared" si="1"/>
        <v>#REF!</v>
      </c>
      <c r="F52" s="327" t="e">
        <f t="shared" si="1"/>
        <v>#REF!</v>
      </c>
      <c r="G52" s="327" t="e">
        <f t="shared" si="1"/>
        <v>#REF!</v>
      </c>
      <c r="H52" s="327" t="e">
        <f t="shared" si="1"/>
        <v>#REF!</v>
      </c>
      <c r="I52" s="327" t="e">
        <f t="shared" si="1"/>
        <v>#REF!</v>
      </c>
    </row>
    <row r="53" spans="1:9">
      <c r="C53" s="236"/>
      <c r="D53" s="236"/>
    </row>
    <row r="54" spans="1:9">
      <c r="C54" s="236"/>
      <c r="D54" s="236"/>
    </row>
    <row r="55" spans="1:9">
      <c r="C55" s="236"/>
      <c r="D55" s="236"/>
    </row>
    <row r="56" spans="1:9">
      <c r="C56" s="236"/>
      <c r="D56" s="236"/>
    </row>
    <row r="57" spans="1:9">
      <c r="C57" s="236"/>
      <c r="D57" s="236"/>
    </row>
    <row r="58" spans="1:9">
      <c r="C58" s="236"/>
      <c r="D58" s="236"/>
    </row>
    <row r="59" spans="1:9">
      <c r="C59" s="236"/>
      <c r="D59" s="236"/>
    </row>
    <row r="60" spans="1:9">
      <c r="C60" s="236"/>
      <c r="D60" s="236"/>
    </row>
    <row r="61" spans="1:9">
      <c r="C61" s="236"/>
      <c r="D61" s="236"/>
    </row>
    <row r="62" spans="1:9">
      <c r="C62" s="236"/>
      <c r="D62" s="236"/>
    </row>
    <row r="63" spans="1:9">
      <c r="C63" s="236"/>
      <c r="D63" s="236"/>
    </row>
    <row r="64" spans="1:9">
      <c r="C64" s="236"/>
      <c r="D64" s="236"/>
    </row>
    <row r="65" spans="3:4">
      <c r="C65" s="236"/>
      <c r="D65" s="236"/>
    </row>
    <row r="66" spans="3:4">
      <c r="C66" s="236"/>
      <c r="D66" s="236"/>
    </row>
    <row r="67" spans="3:4">
      <c r="C67" s="236"/>
      <c r="D67" s="236"/>
    </row>
    <row r="68" spans="3:4">
      <c r="C68" s="236"/>
      <c r="D68" s="236"/>
    </row>
    <row r="69" spans="3:4">
      <c r="C69" s="236"/>
      <c r="D69" s="236"/>
    </row>
    <row r="70" spans="3:4">
      <c r="C70" s="236"/>
      <c r="D70" s="236"/>
    </row>
    <row r="71" spans="3:4">
      <c r="C71" s="236"/>
      <c r="D71" s="236"/>
    </row>
    <row r="72" spans="3:4">
      <c r="C72" s="236"/>
      <c r="D72" s="236"/>
    </row>
    <row r="73" spans="3:4">
      <c r="C73" s="236"/>
      <c r="D73" s="236"/>
    </row>
    <row r="74" spans="3:4">
      <c r="C74" s="236"/>
      <c r="D74" s="236"/>
    </row>
    <row r="75" spans="3:4">
      <c r="C75" s="236"/>
      <c r="D75" s="236"/>
    </row>
    <row r="76" spans="3:4">
      <c r="C76" s="236"/>
      <c r="D76" s="236"/>
    </row>
    <row r="77" spans="3:4">
      <c r="C77" s="236"/>
      <c r="D77" s="236"/>
    </row>
    <row r="78" spans="3:4">
      <c r="C78" s="236"/>
      <c r="D78" s="236"/>
    </row>
    <row r="79" spans="3:4">
      <c r="C79" s="236"/>
      <c r="D79" s="236"/>
    </row>
    <row r="80" spans="3:4">
      <c r="C80" s="236"/>
      <c r="D80" s="236"/>
    </row>
    <row r="81" spans="3:4">
      <c r="C81" s="236"/>
      <c r="D81" s="236"/>
    </row>
    <row r="82" spans="3:4">
      <c r="C82" s="236"/>
      <c r="D82" s="236"/>
    </row>
    <row r="83" spans="3:4">
      <c r="C83" s="236"/>
      <c r="D83" s="236"/>
    </row>
    <row r="84" spans="3:4">
      <c r="C84" s="236"/>
      <c r="D84" s="236"/>
    </row>
    <row r="85" spans="3:4">
      <c r="C85" s="236"/>
      <c r="D85" s="236"/>
    </row>
    <row r="86" spans="3:4">
      <c r="C86" s="236"/>
      <c r="D86" s="236"/>
    </row>
    <row r="87" spans="3:4">
      <c r="C87" s="236"/>
      <c r="D87" s="236"/>
    </row>
    <row r="88" spans="3:4">
      <c r="C88" s="236"/>
      <c r="D88" s="236"/>
    </row>
    <row r="89" spans="3:4">
      <c r="C89" s="236"/>
      <c r="D89" s="236"/>
    </row>
    <row r="90" spans="3:4">
      <c r="C90" s="236"/>
      <c r="D90" s="236"/>
    </row>
    <row r="91" spans="3:4">
      <c r="C91" s="236"/>
      <c r="D91" s="236"/>
    </row>
    <row r="92" spans="3:4">
      <c r="C92" s="236"/>
      <c r="D92" s="236"/>
    </row>
    <row r="93" spans="3:4">
      <c r="C93" s="236"/>
      <c r="D93" s="236"/>
    </row>
    <row r="94" spans="3:4">
      <c r="C94" s="236"/>
      <c r="D94" s="236"/>
    </row>
    <row r="95" spans="3:4">
      <c r="C95" s="236"/>
      <c r="D95" s="236"/>
    </row>
    <row r="96" spans="3:4">
      <c r="C96" s="236"/>
      <c r="D96" s="236"/>
    </row>
    <row r="97" spans="3:4">
      <c r="C97" s="236"/>
      <c r="D97" s="236"/>
    </row>
    <row r="98" spans="3:4">
      <c r="C98" s="236"/>
      <c r="D98" s="236"/>
    </row>
    <row r="99" spans="3:4">
      <c r="C99" s="236"/>
      <c r="D99" s="236"/>
    </row>
    <row r="100" spans="3:4">
      <c r="C100" s="236"/>
      <c r="D100" s="236"/>
    </row>
    <row r="101" spans="3:4">
      <c r="C101" s="236"/>
      <c r="D101" s="236"/>
    </row>
    <row r="102" spans="3:4">
      <c r="C102" s="236"/>
      <c r="D102" s="236"/>
    </row>
    <row r="103" spans="3:4">
      <c r="C103" s="236"/>
      <c r="D103" s="236"/>
    </row>
    <row r="104" spans="3:4">
      <c r="C104" s="236"/>
      <c r="D104" s="236"/>
    </row>
    <row r="105" spans="3:4">
      <c r="C105" s="236"/>
      <c r="D105" s="236"/>
    </row>
    <row r="106" spans="3:4">
      <c r="C106" s="236"/>
      <c r="D106" s="236"/>
    </row>
    <row r="107" spans="3:4">
      <c r="C107" s="236"/>
      <c r="D107" s="236"/>
    </row>
    <row r="108" spans="3:4">
      <c r="C108" s="236"/>
      <c r="D108" s="236"/>
    </row>
    <row r="109" spans="3:4">
      <c r="C109" s="236"/>
      <c r="D109" s="236"/>
    </row>
    <row r="110" spans="3:4">
      <c r="C110" s="236"/>
      <c r="D110" s="236"/>
    </row>
    <row r="111" spans="3:4">
      <c r="C111" s="236"/>
      <c r="D111" s="236"/>
    </row>
    <row r="112" spans="3:4">
      <c r="C112" s="236"/>
      <c r="D112" s="236"/>
    </row>
    <row r="113" spans="3:4">
      <c r="C113" s="236"/>
      <c r="D113" s="236"/>
    </row>
    <row r="114" spans="3:4">
      <c r="C114" s="236"/>
      <c r="D114" s="236"/>
    </row>
    <row r="115" spans="3:4">
      <c r="C115" s="236"/>
      <c r="D115" s="236"/>
    </row>
    <row r="116" spans="3:4">
      <c r="C116" s="236"/>
      <c r="D116" s="236"/>
    </row>
    <row r="117" spans="3:4">
      <c r="C117" s="236"/>
      <c r="D117" s="236"/>
    </row>
    <row r="118" spans="3:4">
      <c r="C118" s="236"/>
      <c r="D118" s="236"/>
    </row>
    <row r="119" spans="3:4">
      <c r="C119" s="236"/>
      <c r="D119" s="236"/>
    </row>
    <row r="120" spans="3:4">
      <c r="C120" s="236"/>
      <c r="D120" s="236"/>
    </row>
    <row r="121" spans="3:4">
      <c r="C121" s="236"/>
      <c r="D121" s="236"/>
    </row>
    <row r="122" spans="3:4">
      <c r="C122" s="236"/>
      <c r="D122" s="236"/>
    </row>
    <row r="123" spans="3:4">
      <c r="C123" s="236"/>
      <c r="D123" s="236"/>
    </row>
  </sheetData>
  <mergeCells count="16">
    <mergeCell ref="E7:I7"/>
    <mergeCell ref="A8:A9"/>
    <mergeCell ref="B8:B9"/>
    <mergeCell ref="C8:C9"/>
    <mergeCell ref="I8:I9"/>
    <mergeCell ref="F8:F9"/>
    <mergeCell ref="D8:D9"/>
    <mergeCell ref="E8:E9"/>
    <mergeCell ref="G8:G9"/>
    <mergeCell ref="H8:H9"/>
    <mergeCell ref="A6:I6"/>
    <mergeCell ref="A1:I1"/>
    <mergeCell ref="A2:I2"/>
    <mergeCell ref="A3:I3"/>
    <mergeCell ref="A4:I4"/>
    <mergeCell ref="E5:I5"/>
  </mergeCells>
  <pageMargins left="0.70866141732283472" right="0.70866141732283472" top="0.74803149606299213" bottom="0.74803149606299213" header="0.31496062992125984" footer="0.31496062992125984"/>
  <pageSetup paperSize="9" scale="95" fitToHeight="0"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codeName="Лист14"/>
  <dimension ref="A1:G419"/>
  <sheetViews>
    <sheetView showGridLines="0" view="pageBreakPreview" zoomScale="115" zoomScaleSheetLayoutView="115" workbookViewId="0">
      <selection activeCell="A4" sqref="A4:D4"/>
    </sheetView>
  </sheetViews>
  <sheetFormatPr defaultColWidth="9.140625" defaultRowHeight="15.75"/>
  <cols>
    <col min="1" max="1" width="50.42578125" style="248" customWidth="1"/>
    <col min="2" max="2" width="18" style="248" customWidth="1"/>
    <col min="3" max="3" width="14.85546875" style="248" customWidth="1"/>
    <col min="4" max="4" width="0.28515625" style="248" customWidth="1"/>
    <col min="5" max="7" width="9.140625" style="248"/>
    <col min="8" max="8" width="43.42578125" style="248" customWidth="1"/>
    <col min="9" max="16384" width="9.140625" style="248"/>
  </cols>
  <sheetData>
    <row r="1" spans="1:4">
      <c r="A1" s="839" t="s">
        <v>52</v>
      </c>
      <c r="B1" s="839"/>
      <c r="C1" s="839"/>
      <c r="D1" s="839"/>
    </row>
    <row r="2" spans="1:4">
      <c r="A2" s="839" t="s">
        <v>1058</v>
      </c>
      <c r="B2" s="839"/>
      <c r="C2" s="839"/>
      <c r="D2" s="839"/>
    </row>
    <row r="3" spans="1:4">
      <c r="A3" s="839" t="s">
        <v>716</v>
      </c>
      <c r="B3" s="839"/>
      <c r="C3" s="839"/>
      <c r="D3" s="839"/>
    </row>
    <row r="4" spans="1:4">
      <c r="A4" s="839" t="s">
        <v>2456</v>
      </c>
      <c r="B4" s="839"/>
      <c r="C4" s="839"/>
      <c r="D4" s="839"/>
    </row>
    <row r="5" spans="1:4" ht="15.75" customHeight="1">
      <c r="A5" s="245"/>
      <c r="B5" s="245"/>
      <c r="C5" s="245"/>
    </row>
    <row r="7" spans="1:4" ht="41.25" customHeight="1">
      <c r="A7" s="836" t="s">
        <v>2265</v>
      </c>
      <c r="B7" s="836"/>
      <c r="C7" s="836"/>
      <c r="D7" s="836"/>
    </row>
    <row r="8" spans="1:4" ht="14.25" customHeight="1">
      <c r="A8" s="249"/>
      <c r="B8" s="249"/>
      <c r="C8" s="249"/>
      <c r="D8" s="249"/>
    </row>
    <row r="9" spans="1:4" ht="34.5" customHeight="1">
      <c r="A9" s="837" t="s">
        <v>1632</v>
      </c>
      <c r="B9" s="837"/>
      <c r="C9" s="837"/>
      <c r="D9" s="838"/>
    </row>
    <row r="10" spans="1:4" ht="98.25" customHeight="1">
      <c r="A10" s="244" t="s">
        <v>1633</v>
      </c>
      <c r="B10" s="244" t="s">
        <v>2092</v>
      </c>
      <c r="C10" s="244" t="s">
        <v>2093</v>
      </c>
      <c r="D10" s="134"/>
    </row>
    <row r="11" spans="1:4" ht="26.25" customHeight="1">
      <c r="A11" s="250" t="s">
        <v>1383</v>
      </c>
      <c r="B11" s="251">
        <f>1670000+C11</f>
        <v>1830000</v>
      </c>
      <c r="C11" s="247">
        <v>160000</v>
      </c>
      <c r="D11" s="252"/>
    </row>
    <row r="12" spans="1:4" ht="30.75" customHeight="1">
      <c r="A12" s="250" t="s">
        <v>651</v>
      </c>
      <c r="B12" s="251">
        <f>1810000+C12</f>
        <v>2184000</v>
      </c>
      <c r="C12" s="247">
        <v>374000</v>
      </c>
      <c r="D12" s="252"/>
    </row>
    <row r="13" spans="1:4" ht="27" customHeight="1">
      <c r="A13" s="253" t="s">
        <v>1137</v>
      </c>
      <c r="B13" s="254">
        <f>SUM(B11:B12)</f>
        <v>4014000</v>
      </c>
      <c r="C13" s="254">
        <f>SUM(C11:C12)</f>
        <v>534000</v>
      </c>
      <c r="D13" s="255"/>
    </row>
    <row r="224" ht="54.75" customHeight="1"/>
    <row r="225" ht="27" customHeight="1"/>
    <row r="226" ht="85.5" customHeight="1"/>
    <row r="227" ht="27" customHeight="1"/>
    <row r="228" ht="38.25" customHeight="1"/>
    <row r="234" ht="54" customHeight="1"/>
    <row r="235" ht="37.5" customHeight="1"/>
    <row r="236" ht="69.75" customHeight="1"/>
    <row r="274" spans="1:6">
      <c r="A274" s="256"/>
      <c r="B274" s="256"/>
      <c r="C274" s="256"/>
      <c r="D274" s="256"/>
      <c r="E274" s="256"/>
      <c r="F274" s="256"/>
    </row>
    <row r="275" spans="1:6">
      <c r="A275" s="256"/>
      <c r="B275" s="256"/>
      <c r="C275" s="256"/>
      <c r="D275" s="256"/>
      <c r="E275" s="256"/>
      <c r="F275" s="256"/>
    </row>
    <row r="276" spans="1:6">
      <c r="A276" s="256"/>
      <c r="B276" s="256"/>
      <c r="C276" s="256"/>
      <c r="D276" s="256"/>
      <c r="E276" s="256"/>
      <c r="F276" s="256"/>
    </row>
    <row r="277" spans="1:6">
      <c r="A277" s="256"/>
      <c r="B277" s="256"/>
      <c r="C277" s="256"/>
      <c r="D277" s="256"/>
      <c r="E277" s="256"/>
      <c r="F277" s="256"/>
    </row>
    <row r="419" spans="4:7">
      <c r="D419" s="257"/>
      <c r="E419" s="257"/>
      <c r="F419" s="257"/>
      <c r="G419" s="257"/>
    </row>
  </sheetData>
  <mergeCells count="6">
    <mergeCell ref="A7:D7"/>
    <mergeCell ref="A9:D9"/>
    <mergeCell ref="A1:D1"/>
    <mergeCell ref="A2:D2"/>
    <mergeCell ref="A3:D3"/>
    <mergeCell ref="A4:D4"/>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Лист15"/>
  <dimension ref="A1:E15"/>
  <sheetViews>
    <sheetView showGridLines="0" view="pageBreakPreview" zoomScale="115" zoomScaleSheetLayoutView="115" workbookViewId="0">
      <selection activeCell="A4" sqref="A4:E4"/>
    </sheetView>
  </sheetViews>
  <sheetFormatPr defaultColWidth="9.140625" defaultRowHeight="15"/>
  <cols>
    <col min="1" max="1" width="34.7109375" style="258" customWidth="1"/>
    <col min="2" max="2" width="11.42578125" style="258" customWidth="1"/>
    <col min="3" max="3" width="13" style="258" customWidth="1"/>
    <col min="4" max="4" width="12.140625" style="258" customWidth="1"/>
    <col min="5" max="5" width="12.85546875" style="258" customWidth="1"/>
    <col min="6" max="7" width="9.140625" style="258"/>
    <col min="8" max="8" width="43.42578125" style="258" customWidth="1"/>
    <col min="9" max="16384" width="9.140625" style="258"/>
  </cols>
  <sheetData>
    <row r="1" spans="1:5" ht="15.75">
      <c r="A1" s="737" t="s">
        <v>2267</v>
      </c>
      <c r="B1" s="737"/>
      <c r="C1" s="737"/>
      <c r="D1" s="737"/>
      <c r="E1" s="840"/>
    </row>
    <row r="2" spans="1:5" ht="15.75">
      <c r="A2" s="737" t="s">
        <v>1058</v>
      </c>
      <c r="B2" s="737"/>
      <c r="C2" s="737"/>
      <c r="D2" s="737"/>
      <c r="E2" s="758"/>
    </row>
    <row r="3" spans="1:5" ht="15.75">
      <c r="A3" s="737" t="s">
        <v>716</v>
      </c>
      <c r="B3" s="737"/>
      <c r="C3" s="737"/>
      <c r="D3" s="737"/>
      <c r="E3" s="758"/>
    </row>
    <row r="4" spans="1:5" ht="15.75">
      <c r="A4" s="737" t="s">
        <v>2456</v>
      </c>
      <c r="B4" s="737"/>
      <c r="C4" s="737"/>
      <c r="D4" s="737"/>
      <c r="E4" s="758"/>
    </row>
    <row r="5" spans="1:5">
      <c r="A5" s="246"/>
      <c r="B5" s="246"/>
      <c r="C5" s="246"/>
      <c r="D5" s="1"/>
      <c r="E5" s="259"/>
    </row>
    <row r="6" spans="1:5">
      <c r="A6" s="1"/>
      <c r="B6" s="1"/>
      <c r="C6" s="1"/>
      <c r="D6" s="1"/>
      <c r="E6" s="259"/>
    </row>
    <row r="7" spans="1:5" ht="43.5" customHeight="1">
      <c r="A7" s="836" t="s">
        <v>2266</v>
      </c>
      <c r="B7" s="836"/>
      <c r="C7" s="836"/>
      <c r="D7" s="836"/>
      <c r="E7" s="761"/>
    </row>
    <row r="8" spans="1:5" ht="15.75">
      <c r="A8" s="249"/>
      <c r="B8" s="249"/>
      <c r="C8" s="249"/>
      <c r="D8" s="249"/>
      <c r="E8" s="260"/>
    </row>
    <row r="9" spans="1:5" ht="35.25" customHeight="1">
      <c r="A9" s="837" t="s">
        <v>1632</v>
      </c>
      <c r="B9" s="837"/>
      <c r="C9" s="837"/>
      <c r="D9" s="837"/>
      <c r="E9" s="837"/>
    </row>
    <row r="10" spans="1:5" ht="33.75" customHeight="1">
      <c r="A10" s="841" t="s">
        <v>1633</v>
      </c>
      <c r="B10" s="843" t="s">
        <v>2392</v>
      </c>
      <c r="C10" s="844"/>
      <c r="D10" s="843" t="s">
        <v>2393</v>
      </c>
      <c r="E10" s="844"/>
    </row>
    <row r="11" spans="1:5" ht="122.25" customHeight="1">
      <c r="A11" s="842"/>
      <c r="B11" s="244" t="s">
        <v>2092</v>
      </c>
      <c r="C11" s="244" t="s">
        <v>2093</v>
      </c>
      <c r="D11" s="244" t="s">
        <v>2092</v>
      </c>
      <c r="E11" s="244" t="s">
        <v>2093</v>
      </c>
    </row>
    <row r="12" spans="1:5" ht="30.75" customHeight="1">
      <c r="A12" s="250" t="s">
        <v>1383</v>
      </c>
      <c r="B12" s="251">
        <f>929000+C12</f>
        <v>1049000</v>
      </c>
      <c r="C12" s="247">
        <v>120000</v>
      </c>
      <c r="D12" s="251">
        <f>1074000+E12</f>
        <v>1204000</v>
      </c>
      <c r="E12" s="251">
        <v>130000</v>
      </c>
    </row>
    <row r="13" spans="1:5" ht="31.5">
      <c r="A13" s="250" t="s">
        <v>651</v>
      </c>
      <c r="B13" s="251">
        <f>71000+C13</f>
        <v>351000</v>
      </c>
      <c r="C13" s="247">
        <v>280000</v>
      </c>
      <c r="D13" s="251">
        <f>246000+E13</f>
        <v>550000</v>
      </c>
      <c r="E13" s="251">
        <v>304000</v>
      </c>
    </row>
    <row r="14" spans="1:5" ht="28.5" customHeight="1">
      <c r="A14" s="253" t="s">
        <v>1137</v>
      </c>
      <c r="B14" s="261">
        <f>B12+B13</f>
        <v>1400000</v>
      </c>
      <c r="C14" s="261">
        <f>C12+C13</f>
        <v>400000</v>
      </c>
      <c r="D14" s="261">
        <f>D12+D13</f>
        <v>1754000</v>
      </c>
      <c r="E14" s="261">
        <f>E12+E13</f>
        <v>434000</v>
      </c>
    </row>
    <row r="15" spans="1:5" ht="15.75">
      <c r="A15" s="262"/>
      <c r="B15" s="262"/>
      <c r="C15" s="262"/>
      <c r="D15" s="262"/>
      <c r="E15" s="262"/>
    </row>
  </sheetData>
  <mergeCells count="9">
    <mergeCell ref="A1:E1"/>
    <mergeCell ref="A2:E2"/>
    <mergeCell ref="A3:E3"/>
    <mergeCell ref="A4:E4"/>
    <mergeCell ref="A10:A11"/>
    <mergeCell ref="B10:C10"/>
    <mergeCell ref="D10:E10"/>
    <mergeCell ref="A9:E9"/>
    <mergeCell ref="A7:E7"/>
  </mergeCells>
  <phoneticPr fontId="34"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Лист11">
    <pageSetUpPr fitToPage="1"/>
  </sheetPr>
  <dimension ref="A1:C19"/>
  <sheetViews>
    <sheetView view="pageBreakPreview" zoomScaleSheetLayoutView="100" workbookViewId="0">
      <selection activeCell="A4" sqref="A4:C4"/>
    </sheetView>
  </sheetViews>
  <sheetFormatPr defaultRowHeight="12.75"/>
  <cols>
    <col min="1" max="1" width="4.140625" bestFit="1" customWidth="1"/>
    <col min="2" max="2" width="65.28515625" customWidth="1"/>
    <col min="3" max="3" width="22.28515625" customWidth="1"/>
  </cols>
  <sheetData>
    <row r="1" spans="1:3" ht="15.75">
      <c r="A1" s="737" t="s">
        <v>1631</v>
      </c>
      <c r="B1" s="737"/>
      <c r="C1" s="737"/>
    </row>
    <row r="2" spans="1:3" ht="15.75">
      <c r="A2" s="737" t="s">
        <v>1058</v>
      </c>
      <c r="B2" s="737"/>
      <c r="C2" s="737"/>
    </row>
    <row r="3" spans="1:3" ht="15.75">
      <c r="A3" s="737" t="s">
        <v>716</v>
      </c>
      <c r="B3" s="737"/>
      <c r="C3" s="737"/>
    </row>
    <row r="4" spans="1:3" ht="15.75">
      <c r="A4" s="737" t="s">
        <v>2198</v>
      </c>
      <c r="B4" s="737"/>
      <c r="C4" s="737"/>
    </row>
    <row r="6" spans="1:3" ht="44.25" customHeight="1">
      <c r="A6" s="845" t="s">
        <v>48</v>
      </c>
      <c r="B6" s="845"/>
      <c r="C6" s="845"/>
    </row>
    <row r="7" spans="1:3" ht="10.5" customHeight="1">
      <c r="A7" s="119"/>
    </row>
    <row r="8" spans="1:3" ht="15.75">
      <c r="A8" s="120" t="s">
        <v>1192</v>
      </c>
      <c r="B8" s="846" t="s">
        <v>964</v>
      </c>
      <c r="C8" s="121" t="s">
        <v>1193</v>
      </c>
    </row>
    <row r="9" spans="1:3" ht="15.75">
      <c r="A9" s="122" t="s">
        <v>1194</v>
      </c>
      <c r="B9" s="847"/>
      <c r="C9" s="123" t="s">
        <v>1195</v>
      </c>
    </row>
    <row r="10" spans="1:3" ht="18.75">
      <c r="A10" s="124">
        <v>1</v>
      </c>
      <c r="B10" s="103" t="s">
        <v>1196</v>
      </c>
      <c r="C10" s="125">
        <v>950</v>
      </c>
    </row>
    <row r="11" spans="1:3" ht="18.75">
      <c r="A11" s="124">
        <v>2</v>
      </c>
      <c r="B11" s="103" t="s">
        <v>1028</v>
      </c>
      <c r="C11" s="125">
        <v>952</v>
      </c>
    </row>
    <row r="12" spans="1:3" ht="18.75">
      <c r="A12" s="124">
        <v>3</v>
      </c>
      <c r="B12" s="103" t="s">
        <v>1029</v>
      </c>
      <c r="C12" s="125">
        <v>953</v>
      </c>
    </row>
    <row r="13" spans="1:3" ht="19.5" customHeight="1">
      <c r="A13" s="124">
        <v>4</v>
      </c>
      <c r="B13" s="104" t="s">
        <v>1197</v>
      </c>
      <c r="C13" s="126">
        <v>954</v>
      </c>
    </row>
    <row r="14" spans="1:3" ht="18.75">
      <c r="A14" s="124">
        <v>5</v>
      </c>
      <c r="B14" s="103" t="s">
        <v>1689</v>
      </c>
      <c r="C14" s="125">
        <v>955</v>
      </c>
    </row>
    <row r="15" spans="1:3" ht="31.5">
      <c r="A15" s="124">
        <v>6</v>
      </c>
      <c r="B15" s="103" t="s">
        <v>1245</v>
      </c>
      <c r="C15" s="125">
        <v>956</v>
      </c>
    </row>
    <row r="16" spans="1:3" ht="31.5">
      <c r="A16" s="124">
        <v>7</v>
      </c>
      <c r="B16" s="103" t="s">
        <v>1198</v>
      </c>
      <c r="C16" s="125">
        <v>957</v>
      </c>
    </row>
    <row r="17" spans="1:3" ht="31.5">
      <c r="A17" s="124">
        <v>8</v>
      </c>
      <c r="B17" s="103" t="s">
        <v>1199</v>
      </c>
      <c r="C17" s="125">
        <v>958</v>
      </c>
    </row>
    <row r="18" spans="1:3" ht="18.75">
      <c r="A18" s="124">
        <v>9</v>
      </c>
      <c r="B18" s="103" t="s">
        <v>1200</v>
      </c>
      <c r="C18" s="125">
        <v>974</v>
      </c>
    </row>
    <row r="19" spans="1:3" ht="18.75">
      <c r="A19" s="124">
        <v>10</v>
      </c>
      <c r="B19" s="104" t="s">
        <v>1521</v>
      </c>
      <c r="C19" s="102">
        <v>982</v>
      </c>
    </row>
  </sheetData>
  <mergeCells count="6">
    <mergeCell ref="A6:C6"/>
    <mergeCell ref="B8:B9"/>
    <mergeCell ref="A1:C1"/>
    <mergeCell ref="A2:C2"/>
    <mergeCell ref="A3:C3"/>
    <mergeCell ref="A4:C4"/>
  </mergeCells>
  <phoneticPr fontId="34"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Лист34">
    <pageSetUpPr fitToPage="1"/>
  </sheetPr>
  <dimension ref="A1:G202"/>
  <sheetViews>
    <sheetView showGridLines="0" view="pageBreakPreview" topLeftCell="B1" zoomScaleSheetLayoutView="100" workbookViewId="0">
      <selection activeCell="A6" sqref="A6:G6"/>
    </sheetView>
  </sheetViews>
  <sheetFormatPr defaultColWidth="9.140625" defaultRowHeight="12.75"/>
  <cols>
    <col min="1" max="1" width="5.85546875" style="330" hidden="1" customWidth="1"/>
    <col min="2" max="2" width="51.85546875" style="147" customWidth="1"/>
    <col min="3" max="3" width="13.28515625" style="147" customWidth="1"/>
    <col min="4" max="4" width="17" style="147" hidden="1" customWidth="1"/>
    <col min="5" max="5" width="14.5703125" style="147" hidden="1" customWidth="1"/>
    <col min="6" max="6" width="15.5703125" style="147" hidden="1" customWidth="1"/>
    <col min="7" max="7" width="15.7109375" style="147" customWidth="1"/>
    <col min="8" max="16384" width="9.140625" style="147"/>
  </cols>
  <sheetData>
    <row r="1" spans="1:7" ht="15.75">
      <c r="A1" s="848" t="s">
        <v>2057</v>
      </c>
      <c r="B1" s="848"/>
      <c r="C1" s="848"/>
      <c r="D1" s="848"/>
      <c r="E1" s="848"/>
      <c r="F1" s="848"/>
      <c r="G1" s="848"/>
    </row>
    <row r="2" spans="1:7" ht="15.75">
      <c r="A2" s="848" t="s">
        <v>1058</v>
      </c>
      <c r="B2" s="848"/>
      <c r="C2" s="848"/>
      <c r="D2" s="848"/>
      <c r="E2" s="848"/>
      <c r="F2" s="848"/>
      <c r="G2" s="848"/>
    </row>
    <row r="3" spans="1:7" ht="15.75">
      <c r="A3" s="848" t="s">
        <v>716</v>
      </c>
      <c r="B3" s="848"/>
      <c r="C3" s="848"/>
      <c r="D3" s="848"/>
      <c r="E3" s="848"/>
      <c r="F3" s="848"/>
      <c r="G3" s="848"/>
    </row>
    <row r="4" spans="1:7" ht="15.75">
      <c r="A4" s="848" t="s">
        <v>3095</v>
      </c>
      <c r="B4" s="848"/>
      <c r="C4" s="848"/>
      <c r="D4" s="848"/>
      <c r="E4" s="848"/>
      <c r="F4" s="848"/>
      <c r="G4" s="848"/>
    </row>
    <row r="5" spans="1:7" ht="10.5" customHeight="1">
      <c r="A5" s="589"/>
      <c r="B5" s="590"/>
      <c r="C5" s="590"/>
      <c r="D5" s="675"/>
      <c r="E5" s="675"/>
      <c r="F5" s="675"/>
      <c r="G5" s="148"/>
    </row>
    <row r="6" spans="1:7" ht="48" customHeight="1">
      <c r="A6" s="849" t="s">
        <v>3249</v>
      </c>
      <c r="B6" s="849"/>
      <c r="C6" s="849"/>
      <c r="D6" s="849"/>
      <c r="E6" s="849"/>
      <c r="F6" s="849"/>
      <c r="G6" s="849"/>
    </row>
    <row r="7" spans="1:7" ht="10.5" customHeight="1" thickBot="1">
      <c r="A7" s="589"/>
      <c r="B7" s="590"/>
      <c r="C7" s="590"/>
      <c r="D7" s="591"/>
      <c r="E7" s="591"/>
      <c r="F7" s="591"/>
      <c r="G7" s="148"/>
    </row>
    <row r="8" spans="1:7" ht="15.75" customHeight="1">
      <c r="A8" s="854" t="s">
        <v>2049</v>
      </c>
      <c r="B8" s="856" t="s">
        <v>7</v>
      </c>
      <c r="C8" s="850" t="s">
        <v>2268</v>
      </c>
      <c r="D8" s="850" t="s">
        <v>1092</v>
      </c>
      <c r="E8" s="850" t="s">
        <v>1092</v>
      </c>
      <c r="F8" s="852" t="s">
        <v>1092</v>
      </c>
      <c r="G8" s="736" t="s">
        <v>3247</v>
      </c>
    </row>
    <row r="9" spans="1:7" ht="15.75" customHeight="1" thickBot="1">
      <c r="A9" s="855"/>
      <c r="B9" s="857"/>
      <c r="C9" s="851"/>
      <c r="D9" s="851"/>
      <c r="E9" s="851"/>
      <c r="F9" s="853"/>
      <c r="G9" s="736"/>
    </row>
    <row r="10" spans="1:7" s="474" customFormat="1" ht="48" thickBot="1">
      <c r="A10" s="536">
        <v>1</v>
      </c>
      <c r="B10" s="554" t="str">
        <f>IF(C10&gt;0,VLOOKUP(C10,Программа!A$2:B$5063,2))</f>
        <v>Муниципальная программа  "Развитие культуры, туризма и молодежной политики в Тутаевском муниципальном районе"</v>
      </c>
      <c r="C10" s="555" t="s">
        <v>2677</v>
      </c>
      <c r="D10" s="556">
        <f>SUMIFS(Пр.5!G$10:G$1534,Пр.5!$D$10:$D$1534,C10)</f>
        <v>174141931</v>
      </c>
      <c r="E10" s="556">
        <f>SUMIFS(Пр.5!H$10:H$1534,Пр.5!$D$10:$D$1534,$C10)</f>
        <v>-1035359</v>
      </c>
      <c r="F10" s="557">
        <f>SUMIFS(Пр.5!I$10:I$1534,Пр.5!$D$10:$D$1534,$C10)</f>
        <v>173106572</v>
      </c>
      <c r="G10" s="557">
        <f>SUMIFS(Пр.5!J$10:J$1534,Пр.5!$D$10:$D$1534,$C10)</f>
        <v>161557278</v>
      </c>
    </row>
    <row r="11" spans="1:7" s="475" customFormat="1" ht="16.5" thickBot="1">
      <c r="A11" s="506" t="s">
        <v>2399</v>
      </c>
      <c r="B11" s="491" t="str">
        <f>IF(C11&gt;0,VLOOKUP(C11,Программа!A$2:B$5063,2))</f>
        <v>Ведомственная целевая программа «Молодежь»</v>
      </c>
      <c r="C11" s="542" t="s">
        <v>2678</v>
      </c>
      <c r="D11" s="543">
        <f>SUMIFS(Пр.5!G$10:G$1534,Пр.5!$D$10:$D$1534,C11)</f>
        <v>12522749</v>
      </c>
      <c r="E11" s="490">
        <f>SUMIFS(Пр.5!H$10:H$1534,Пр.5!$D$10:$D$1534,$C11)</f>
        <v>8056</v>
      </c>
      <c r="F11" s="558">
        <f>SUMIFS(Пр.5!I$10:I$1534,Пр.5!$D$10:$D$1534,$C11)</f>
        <v>12530805</v>
      </c>
      <c r="G11" s="558">
        <f>SUMIFS(Пр.5!J$10:J$1534,Пр.5!$D$10:$D$1534,$C11)</f>
        <v>11940198</v>
      </c>
    </row>
    <row r="12" spans="1:7" ht="48" thickBot="1">
      <c r="A12" s="487" t="s">
        <v>2400</v>
      </c>
      <c r="B12" s="492" t="str">
        <f>IF(C12&gt;0,VLOOKUP(C12,Программа!A$2:B$5063,2))</f>
        <v>Обеспечение условий для выполнения муниципального задания на оказание услуг, выполнение работ в сфере молодежной политики</v>
      </c>
      <c r="C12" s="544" t="s">
        <v>2679</v>
      </c>
      <c r="D12" s="490">
        <f>SUMIFS(Пр.5!G$10:G$1534,Пр.5!$D$10:$D$1534,C12)</f>
        <v>12522749</v>
      </c>
      <c r="E12" s="490">
        <f>SUMIFS(Пр.5!H$10:H$1534,Пр.5!$D$10:$D$1534,$C12)</f>
        <v>8056</v>
      </c>
      <c r="F12" s="558">
        <f>SUMIFS(Пр.5!I$10:I$1534,Пр.5!$D$10:$D$1534,$C12)</f>
        <v>12530805</v>
      </c>
      <c r="G12" s="558">
        <f>SUMIFS(Пр.5!J$10:J$1534,Пр.5!$D$10:$D$1534,$C12)</f>
        <v>11940198</v>
      </c>
    </row>
    <row r="13" spans="1:7" s="475" customFormat="1" ht="79.5" thickBot="1">
      <c r="A13" s="537" t="s">
        <v>2538</v>
      </c>
      <c r="B13" s="491" t="str">
        <f>IF(C13&gt;0,VLOOKUP(C13,Программа!A$2:B$5063,2))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3" s="545" t="s">
        <v>2680</v>
      </c>
      <c r="D13" s="543">
        <f>SUMIFS(Пр.5!G$10:G$1534,Пр.5!$D$10:$D$1534,C13)</f>
        <v>1833475</v>
      </c>
      <c r="E13" s="490">
        <f>SUMIFS(Пр.5!H$10:H$1534,Пр.5!$D$10:$D$1534,$C13)</f>
        <v>0</v>
      </c>
      <c r="F13" s="558">
        <f>SUMIFS(Пр.5!I$10:I$1534,Пр.5!$D$10:$D$1534,$C13)</f>
        <v>1833475</v>
      </c>
      <c r="G13" s="558">
        <f>SUMIFS(Пр.5!J$10:J$1534,Пр.5!$D$10:$D$1534,$C13)</f>
        <v>1833034</v>
      </c>
    </row>
    <row r="14" spans="1:7" ht="79.5" thickBot="1">
      <c r="A14" s="488" t="s">
        <v>2539</v>
      </c>
      <c r="B14" s="492" t="str">
        <f>IF(C14&gt;0,VLOOKUP(C14,Программа!A$2:B$5063,2))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4" s="546" t="s">
        <v>2681</v>
      </c>
      <c r="D14" s="490">
        <f>SUMIFS(Пр.5!G$10:G$1534,Пр.5!$D$10:$D$1534,C14)</f>
        <v>1833475</v>
      </c>
      <c r="E14" s="490">
        <f>SUMIFS(Пр.5!H$10:H$1534,Пр.5!$D$10:$D$1534,$C14)</f>
        <v>0</v>
      </c>
      <c r="F14" s="558">
        <f>SUMIFS(Пр.5!I$10:I$1534,Пр.5!$D$10:$D$1534,$C14)</f>
        <v>1833475</v>
      </c>
      <c r="G14" s="558">
        <f>SUMIFS(Пр.5!J$10:J$1534,Пр.5!$D$10:$D$1534,$C14)</f>
        <v>1833034</v>
      </c>
    </row>
    <row r="15" spans="1:7" ht="32.25" hidden="1" thickBot="1">
      <c r="A15" s="488"/>
      <c r="B15" s="492" t="str">
        <f>IF(C15&gt;0,VLOOKUP(C15,Программа!A$2:B$5063,2))</f>
        <v>Реализация мер направленных на пропаганду патриотических ценностей</v>
      </c>
      <c r="C15" s="546" t="s">
        <v>3091</v>
      </c>
      <c r="D15" s="490">
        <f>SUMIFS(Пр.5!G$10:G$1534,Пр.5!$D$10:$D$1534,C15)</f>
        <v>0</v>
      </c>
      <c r="E15" s="490">
        <f>SUMIFS(Пр.5!H$10:H$1534,Пр.5!$D$10:$D$1534,$C15)</f>
        <v>0</v>
      </c>
      <c r="F15" s="558">
        <f>SUMIFS(Пр.5!I$10:I$1534,Пр.5!$D$10:$D$1534,$C15)</f>
        <v>0</v>
      </c>
      <c r="G15" s="558">
        <f>SUMIFS(Пр.5!J$10:J$1534,Пр.5!$D$10:$D$1534,$C15)</f>
        <v>0</v>
      </c>
    </row>
    <row r="16" spans="1:7" s="475" customFormat="1" ht="54" customHeight="1" thickBot="1">
      <c r="A16" s="538" t="s">
        <v>287</v>
      </c>
      <c r="B16" s="491" t="str">
        <f>IF(C16&gt;0,VLOOKUP(C16,Программа!A$2:B$5063,2))</f>
        <v>Муниципальная целевая программа «Комплексные меры противодействия злоупотреблению наркотиками и их незаконному обороту»</v>
      </c>
      <c r="C16" s="545" t="s">
        <v>2682</v>
      </c>
      <c r="D16" s="543">
        <f>SUMIFS(Пр.5!G$10:G$1534,Пр.5!$D$10:$D$1534,C16)</f>
        <v>569945</v>
      </c>
      <c r="E16" s="490">
        <f>SUMIFS(Пр.5!H$10:H$1534,Пр.5!$D$10:$D$1534,$C16)</f>
        <v>-897</v>
      </c>
      <c r="F16" s="558">
        <f>SUMIFS(Пр.5!I$10:I$1534,Пр.5!$D$10:$D$1534,$C16)</f>
        <v>569048</v>
      </c>
      <c r="G16" s="558">
        <f>SUMIFS(Пр.5!J$10:J$1534,Пр.5!$D$10:$D$1534,$C16)</f>
        <v>446340</v>
      </c>
    </row>
    <row r="17" spans="1:7" ht="32.25" thickBot="1">
      <c r="A17" s="487" t="s">
        <v>2402</v>
      </c>
      <c r="B17" s="492" t="str">
        <f>IF(C17&gt;0,VLOOKUP(C17,Программа!A$2:B$5063,2))</f>
        <v>Развитие системы профилактики немедицинского потребления наркотиков</v>
      </c>
      <c r="C17" s="546" t="s">
        <v>2683</v>
      </c>
      <c r="D17" s="490">
        <f>SUMIFS(Пр.5!G$10:G$1534,Пр.5!$D$10:$D$1534,C17)</f>
        <v>569945</v>
      </c>
      <c r="E17" s="490">
        <f>SUMIFS(Пр.5!H$10:H$1534,Пр.5!$D$10:$D$1534,$C17)</f>
        <v>-897</v>
      </c>
      <c r="F17" s="558">
        <f>SUMIFS(Пр.5!I$10:I$1534,Пр.5!$D$10:$D$1534,$C17)</f>
        <v>569048</v>
      </c>
      <c r="G17" s="558">
        <f>SUMIFS(Пр.5!J$10:J$1534,Пр.5!$D$10:$D$1534,$C17)</f>
        <v>446340</v>
      </c>
    </row>
    <row r="18" spans="1:7" s="475" customFormat="1" ht="48" thickBot="1">
      <c r="A18" s="506" t="s">
        <v>2403</v>
      </c>
      <c r="B18" s="491" t="str">
        <f>IF(C18&gt;0,VLOOKUP(C18,Программа!A$2:B$5063,2))</f>
        <v>Ведомственная целевая программа «Сохранение и развитие культуры Тутаевского муниципального района»</v>
      </c>
      <c r="C18" s="545" t="s">
        <v>2684</v>
      </c>
      <c r="D18" s="543">
        <f>SUMIFS(Пр.5!G$10:G$1534,Пр.5!$D$10:$D$1534,C18)</f>
        <v>157924399</v>
      </c>
      <c r="E18" s="490">
        <f>SUMIFS(Пр.5!H$10:H$1534,Пр.5!$D$10:$D$1534,$C18)</f>
        <v>-973268</v>
      </c>
      <c r="F18" s="558">
        <f>SUMIFS(Пр.5!I$10:I$1534,Пр.5!$D$10:$D$1534,$C18)</f>
        <v>156951131</v>
      </c>
      <c r="G18" s="558">
        <f>SUMIFS(Пр.5!J$10:J$1534,Пр.5!$D$10:$D$1534,$C18)</f>
        <v>146494212</v>
      </c>
    </row>
    <row r="19" spans="1:7" ht="32.25" thickBot="1">
      <c r="A19" s="487" t="s">
        <v>2540</v>
      </c>
      <c r="B19" s="492" t="str">
        <f>IF(C19&gt;0,VLOOKUP(C19,Программа!A$2:B$5063,2))</f>
        <v>Реализация дополнительных образовательных программ в сфере культуры</v>
      </c>
      <c r="C19" s="546" t="s">
        <v>2685</v>
      </c>
      <c r="D19" s="490">
        <f>SUMIFS(Пр.5!G$10:G$1534,Пр.5!$D$10:$D$1534,C19)</f>
        <v>29516453</v>
      </c>
      <c r="E19" s="490">
        <f>SUMIFS(Пр.5!H$10:H$1534,Пр.5!$D$10:$D$1534,$C19)</f>
        <v>-47368</v>
      </c>
      <c r="F19" s="558">
        <f>SUMIFS(Пр.5!I$10:I$1534,Пр.5!$D$10:$D$1534,$C19)</f>
        <v>29469085</v>
      </c>
      <c r="G19" s="558">
        <f>SUMIFS(Пр.5!J$10:J$1534,Пр.5!$D$10:$D$1534,$C19)</f>
        <v>28766281</v>
      </c>
    </row>
    <row r="20" spans="1:7" ht="32.25" thickBot="1">
      <c r="A20" s="487" t="s">
        <v>2541</v>
      </c>
      <c r="B20" s="492" t="str">
        <f>IF(C20&gt;0,VLOOKUP(C20,Программа!A$2:B$5063,2))</f>
        <v>Содействие доступу граждан к культурным ценностям</v>
      </c>
      <c r="C20" s="546" t="s">
        <v>2687</v>
      </c>
      <c r="D20" s="490">
        <f>SUMIFS(Пр.5!G$10:G$1534,Пр.5!$D$10:$D$1534,C20)</f>
        <v>98935489</v>
      </c>
      <c r="E20" s="490">
        <f>SUMIFS(Пр.5!H$10:H$1534,Пр.5!$D$10:$D$1534,$C20)</f>
        <v>-840579</v>
      </c>
      <c r="F20" s="558">
        <f>SUMIFS(Пр.5!I$10:I$1534,Пр.5!$D$10:$D$1534,$C20)</f>
        <v>98094910</v>
      </c>
      <c r="G20" s="558">
        <f>SUMIFS(Пр.5!J$10:J$1534,Пр.5!$D$10:$D$1534,$C20)</f>
        <v>89617549</v>
      </c>
    </row>
    <row r="21" spans="1:7" ht="32.25" thickBot="1">
      <c r="A21" s="489" t="s">
        <v>2404</v>
      </c>
      <c r="B21" s="492" t="str">
        <f>IF(C21&gt;0,VLOOKUP(C21,Программа!A$2:B$5063,2))</f>
        <v>Поддержка доступа граждан к информационно-библиотечным ресурсам</v>
      </c>
      <c r="C21" s="546" t="s">
        <v>2690</v>
      </c>
      <c r="D21" s="490">
        <f>SUMIFS(Пр.5!G$10:G$1534,Пр.5!$D$10:$D$1534,C21)</f>
        <v>19435629</v>
      </c>
      <c r="E21" s="490">
        <f>SUMIFS(Пр.5!H$10:H$1534,Пр.5!$D$10:$D$1534,$C21)</f>
        <v>0</v>
      </c>
      <c r="F21" s="558">
        <f>SUMIFS(Пр.5!I$10:I$1534,Пр.5!$D$10:$D$1534,$C21)</f>
        <v>19435629</v>
      </c>
      <c r="G21" s="558">
        <f>SUMIFS(Пр.5!J$10:J$1534,Пр.5!$D$10:$D$1534,$C21)</f>
        <v>18460012</v>
      </c>
    </row>
    <row r="22" spans="1:7" ht="32.25" thickBot="1">
      <c r="A22" s="487" t="s">
        <v>2405</v>
      </c>
      <c r="B22" s="492" t="str">
        <f>IF(C22&gt;0,VLOOKUP(C22,Программа!A$2:B$5063,2))</f>
        <v>Обеспечение эффективности управления системой культуры</v>
      </c>
      <c r="C22" s="546" t="s">
        <v>2691</v>
      </c>
      <c r="D22" s="490">
        <f>SUMIFS(Пр.5!G$10:G$1534,Пр.5!$D$10:$D$1534,C22)</f>
        <v>10036828</v>
      </c>
      <c r="E22" s="490">
        <f>SUMIFS(Пр.5!H$10:H$1534,Пр.5!$D$10:$D$1534,$C22)</f>
        <v>-85321</v>
      </c>
      <c r="F22" s="558">
        <f>SUMIFS(Пр.5!I$10:I$1534,Пр.5!$D$10:$D$1534,$C22)</f>
        <v>9951507</v>
      </c>
      <c r="G22" s="558">
        <f>SUMIFS(Пр.5!J$10:J$1534,Пр.5!$D$10:$D$1534,$C22)</f>
        <v>9650370</v>
      </c>
    </row>
    <row r="23" spans="1:7" s="475" customFormat="1" ht="48" thickBot="1">
      <c r="A23" s="538" t="s">
        <v>2407</v>
      </c>
      <c r="B23" s="491" t="str">
        <f>IF(C23&gt;0,VLOOKUP(C23,Программа!A$2:B$5063,2))</f>
        <v>Муниципальная целевая программа «Развитие въездного и внутреннего туризма на территории Тутаевского муниципального района»</v>
      </c>
      <c r="C23" s="545" t="s">
        <v>2692</v>
      </c>
      <c r="D23" s="543">
        <f>SUMIFS(Пр.5!G$10:G$1534,Пр.5!$D$10:$D$1534,C23)</f>
        <v>1291363</v>
      </c>
      <c r="E23" s="490">
        <f>SUMIFS(Пр.5!H$10:H$1534,Пр.5!$D$10:$D$1534,$C23)</f>
        <v>-69250</v>
      </c>
      <c r="F23" s="558">
        <f>SUMIFS(Пр.5!I$10:I$1534,Пр.5!$D$10:$D$1534,$C23)</f>
        <v>1222113</v>
      </c>
      <c r="G23" s="558">
        <f>SUMIFS(Пр.5!J$10:J$1534,Пр.5!$D$10:$D$1534,$C23)</f>
        <v>843494</v>
      </c>
    </row>
    <row r="24" spans="1:7" ht="32.25" thickBot="1">
      <c r="A24" s="487" t="s">
        <v>2408</v>
      </c>
      <c r="B24" s="559" t="str">
        <f>IF(C24&gt;0,VLOOKUP(C24,Программа!A$2:B$5063,2))</f>
        <v>Создание благоприятных условий для развития туризма</v>
      </c>
      <c r="C24" s="560" t="s">
        <v>2693</v>
      </c>
      <c r="D24" s="561">
        <f>SUMIFS(Пр.5!G$10:G$1534,Пр.5!$D$10:$D$1534,C24)</f>
        <v>1291363</v>
      </c>
      <c r="E24" s="561">
        <f>SUMIFS(Пр.5!H$10:H$1534,Пр.5!$D$10:$D$1534,$C24)</f>
        <v>-69250</v>
      </c>
      <c r="F24" s="562">
        <f>SUMIFS(Пр.5!I$10:I$1534,Пр.5!$D$10:$D$1534,$C24)</f>
        <v>1222113</v>
      </c>
      <c r="G24" s="562">
        <f>SUMIFS(Пр.5!J$10:J$1534,Пр.5!$D$10:$D$1534,$C24)</f>
        <v>843494</v>
      </c>
    </row>
    <row r="25" spans="1:7" s="474" customFormat="1" ht="48" thickBot="1">
      <c r="A25" s="536" t="s">
        <v>2409</v>
      </c>
      <c r="B25" s="554" t="str">
        <f>IF(C25&gt;0,VLOOKUP(C25,Программа!A$2:B$5063,2))</f>
        <v>Муниципальная программа "Развитие образования, физической культуры и спорта в Тутаевском муниципальном районе"</v>
      </c>
      <c r="C25" s="555" t="s">
        <v>2695</v>
      </c>
      <c r="D25" s="556">
        <f>SUMIFS(Пр.5!G$10:G$1534,Пр.5!$D$10:$D$1534,C25)</f>
        <v>925695045</v>
      </c>
      <c r="E25" s="556">
        <f>SUMIFS(Пр.5!H$10:H$1534,Пр.5!$D$10:$D$1534,$C25)</f>
        <v>53406655</v>
      </c>
      <c r="F25" s="557">
        <f>SUMIFS(Пр.5!I$10:I$1534,Пр.5!$D$10:$D$1534,$C25)</f>
        <v>979101700</v>
      </c>
      <c r="G25" s="557">
        <f>SUMIFS(Пр.5!J$10:J$1534,Пр.5!$D$10:$D$1534,$C25)</f>
        <v>923436824</v>
      </c>
    </row>
    <row r="26" spans="1:7" s="475" customFormat="1" ht="48" thickBot="1">
      <c r="A26" s="538" t="s">
        <v>2410</v>
      </c>
      <c r="B26" s="491" t="str">
        <f>IF(C26&gt;0,VLOOKUP(C26,Программа!A$2:B$5063,2))</f>
        <v xml:space="preserve">Ведомственная целевая программа департамента образования Администрации Тутаевского муниципального района </v>
      </c>
      <c r="C26" s="545" t="s">
        <v>2696</v>
      </c>
      <c r="D26" s="543">
        <f>SUMIFS(Пр.5!G$10:G$1534,Пр.5!$D$10:$D$1534,C26)</f>
        <v>899591631</v>
      </c>
      <c r="E26" s="490">
        <f>SUMIFS(Пр.5!H$10:H$1534,Пр.5!$D$10:$D$1534,$C26)</f>
        <v>53728629</v>
      </c>
      <c r="F26" s="558">
        <f>SUMIFS(Пр.5!I$10:I$1534,Пр.5!$D$10:$D$1534,$C26)</f>
        <v>953320260</v>
      </c>
      <c r="G26" s="558">
        <f>SUMIFS(Пр.5!J$10:J$1534,Пр.5!$D$10:$D$1534,$C26)</f>
        <v>904291815</v>
      </c>
    </row>
    <row r="27" spans="1:7" ht="48" thickBot="1">
      <c r="A27" s="489" t="s">
        <v>2542</v>
      </c>
      <c r="B27" s="492" t="str">
        <f>IF(C27&gt;0,VLOOKUP(C27,Программа!A$2:B$5063,2))</f>
        <v>Организация предоставления муниципальных услуг и выполнения работ  муниципальными учреждениями сферы образования</v>
      </c>
      <c r="C27" s="546" t="s">
        <v>2697</v>
      </c>
      <c r="D27" s="490">
        <f>SUMIFS(Пр.5!G$10:G$1534,Пр.5!$D$10:$D$1534,C27)</f>
        <v>794917157</v>
      </c>
      <c r="E27" s="490">
        <f>SUMIFS(Пр.5!H$10:H$1534,Пр.5!$D$10:$D$1534,$C27)</f>
        <v>53620603</v>
      </c>
      <c r="F27" s="558">
        <f>SUMIFS(Пр.5!I$10:I$1534,Пр.5!$D$10:$D$1534,$C27)</f>
        <v>848537760</v>
      </c>
      <c r="G27" s="558">
        <f>SUMIFS(Пр.5!J$10:J$1534,Пр.5!$D$10:$D$1534,$C27)</f>
        <v>807877948</v>
      </c>
    </row>
    <row r="28" spans="1:7" ht="48" thickBot="1">
      <c r="A28" s="489" t="s">
        <v>2543</v>
      </c>
      <c r="B28" s="492" t="str">
        <f>IF(C28&gt;0,VLOOKUP(C28,Программа!A$2:B$5063,2))</f>
        <v>Методическая и консультационная помощь, психолого-педагогическое и медико-социальное сопровождение детей</v>
      </c>
      <c r="C28" s="546" t="s">
        <v>2702</v>
      </c>
      <c r="D28" s="490">
        <f>SUMIFS(Пр.5!G$10:G$1534,Пр.5!$D$10:$D$1534,C28)</f>
        <v>11714595</v>
      </c>
      <c r="E28" s="490">
        <f>SUMIFS(Пр.5!H$10:H$1534,Пр.5!$D$10:$D$1534,$C28)</f>
        <v>-24195</v>
      </c>
      <c r="F28" s="558">
        <f>SUMIFS(Пр.5!I$10:I$1534,Пр.5!$D$10:$D$1534,$C28)</f>
        <v>11690400</v>
      </c>
      <c r="G28" s="558">
        <f>SUMIFS(Пр.5!J$10:J$1534,Пр.5!$D$10:$D$1534,$C28)</f>
        <v>11690164</v>
      </c>
    </row>
    <row r="29" spans="1:7" ht="48" thickBot="1">
      <c r="A29" s="489" t="s">
        <v>2411</v>
      </c>
      <c r="B29" s="492" t="str">
        <f>IF(C29&gt;0,VLOOKUP(C29,Программа!A$2:B$5063,2))</f>
        <v>Обеспечение качества реализации мер по социальной поддержке детей-сирот и детей оставшихся без попечения родителей</v>
      </c>
      <c r="C29" s="546" t="s">
        <v>2703</v>
      </c>
      <c r="D29" s="490">
        <f>SUMIFS(Пр.5!G$10:G$1534,Пр.5!$D$10:$D$1534,C29)</f>
        <v>44140308</v>
      </c>
      <c r="E29" s="490">
        <f>SUMIFS(Пр.5!H$10:H$1534,Пр.5!$D$10:$D$1534,$C29)</f>
        <v>2374923</v>
      </c>
      <c r="F29" s="558">
        <f>SUMIFS(Пр.5!I$10:I$1534,Пр.5!$D$10:$D$1534,$C29)</f>
        <v>46515231</v>
      </c>
      <c r="G29" s="558">
        <f>SUMIFS(Пр.5!J$10:J$1534,Пр.5!$D$10:$D$1534,$C29)</f>
        <v>45653822</v>
      </c>
    </row>
    <row r="30" spans="1:7" ht="48" thickBot="1">
      <c r="A30" s="487" t="s">
        <v>2412</v>
      </c>
      <c r="B30" s="492" t="str">
        <f>IF(C30&gt;0,VLOOKUP(C30,Программа!A$2:B$5063,2))</f>
        <v>Мероприятия направленные на поддержку и мотивации участников образовательного процесса</v>
      </c>
      <c r="C30" s="546" t="s">
        <v>2705</v>
      </c>
      <c r="D30" s="490">
        <f>SUMIFS(Пр.5!G$10:G$1534,Пр.5!$D$10:$D$1534,C30)</f>
        <v>362200</v>
      </c>
      <c r="E30" s="490">
        <f>SUMIFS(Пр.5!H$10:H$1534,Пр.5!$D$10:$D$1534,$C30)</f>
        <v>-30100</v>
      </c>
      <c r="F30" s="558">
        <f>SUMIFS(Пр.5!I$10:I$1534,Пр.5!$D$10:$D$1534,$C30)</f>
        <v>332100</v>
      </c>
      <c r="G30" s="558">
        <f>SUMIFS(Пр.5!J$10:J$1534,Пр.5!$D$10:$D$1534,$C30)</f>
        <v>332100</v>
      </c>
    </row>
    <row r="31" spans="1:7" ht="32.25" thickBot="1">
      <c r="A31" s="489" t="s">
        <v>2413</v>
      </c>
      <c r="B31" s="492" t="str">
        <f>IF(C31&gt;0,VLOOKUP(C31,Программа!A$2:B$5063,2))</f>
        <v>Мероприятия направленные на осуществление отдельных полномочий в области образования</v>
      </c>
      <c r="C31" s="546" t="s">
        <v>2706</v>
      </c>
      <c r="D31" s="490">
        <f>SUMIFS(Пр.5!G$10:G$1534,Пр.5!$D$10:$D$1534,C31)</f>
        <v>18275436</v>
      </c>
      <c r="E31" s="490">
        <f>SUMIFS(Пр.5!H$10:H$1534,Пр.5!$D$10:$D$1534,$C31)</f>
        <v>-2212602</v>
      </c>
      <c r="F31" s="558">
        <f>SUMIFS(Пр.5!I$10:I$1534,Пр.5!$D$10:$D$1534,$C31)</f>
        <v>16062834</v>
      </c>
      <c r="G31" s="558">
        <f>SUMIFS(Пр.5!J$10:J$1534,Пр.5!$D$10:$D$1534,$C31)</f>
        <v>9313101</v>
      </c>
    </row>
    <row r="32" spans="1:7" ht="32.25" thickBot="1">
      <c r="A32" s="487" t="s">
        <v>2414</v>
      </c>
      <c r="B32" s="492" t="str">
        <f>IF(C32&gt;0,VLOOKUP(C32,Программа!A$2:B$5063,2))</f>
        <v>Обеспечение эффективности управления системой образования</v>
      </c>
      <c r="C32" s="546" t="s">
        <v>2707</v>
      </c>
      <c r="D32" s="490">
        <f>SUMIFS(Пр.5!G$10:G$1534,Пр.5!$D$10:$D$1534,C32)</f>
        <v>30181935</v>
      </c>
      <c r="E32" s="490">
        <f>SUMIFS(Пр.5!H$10:H$1534,Пр.5!$D$10:$D$1534,$C32)</f>
        <v>0</v>
      </c>
      <c r="F32" s="558">
        <f>SUMIFS(Пр.5!I$10:I$1534,Пр.5!$D$10:$D$1534,$C32)</f>
        <v>30181935</v>
      </c>
      <c r="G32" s="558">
        <f>SUMIFS(Пр.5!J$10:J$1534,Пр.5!$D$10:$D$1534,$C32)</f>
        <v>29424680</v>
      </c>
    </row>
    <row r="33" spans="1:7" s="475" customFormat="1" ht="48" thickBot="1">
      <c r="A33" s="506" t="s">
        <v>2415</v>
      </c>
      <c r="B33" s="491" t="str">
        <f>IF(C33&gt;0,VLOOKUP(C33,Программа!A$2:B$5063,2))</f>
        <v>Муниципальная целевая программа "Духовно-нравственное воспитание и просвещение населения Тутаевского муниципального района"</v>
      </c>
      <c r="C33" s="545" t="s">
        <v>2811</v>
      </c>
      <c r="D33" s="543">
        <f>SUMIFS(Пр.5!G$10:G$1534,Пр.5!$D$10:$D$1534,C33)</f>
        <v>80000</v>
      </c>
      <c r="E33" s="490">
        <f>SUMIFS(Пр.5!H$10:H$1534,Пр.5!$D$10:$D$1534,$C33)</f>
        <v>0</v>
      </c>
      <c r="F33" s="558">
        <f>SUMIFS(Пр.5!I$10:I$1534,Пр.5!$D$10:$D$1534,$C33)</f>
        <v>80000</v>
      </c>
      <c r="G33" s="558">
        <f>SUMIFS(Пр.5!J$10:J$1534,Пр.5!$D$10:$D$1534,$C33)</f>
        <v>80000</v>
      </c>
    </row>
    <row r="34" spans="1:7" ht="48" thickBot="1">
      <c r="A34" s="487"/>
      <c r="B34" s="492" t="str">
        <f>IF(C34&gt;0,VLOOKUP(C34,Программа!A$2:B$5063,2))</f>
        <v>Реализация мер по созданию целостной системы духовно-нравственного воспитания и просвещения населения</v>
      </c>
      <c r="C34" s="546" t="s">
        <v>2813</v>
      </c>
      <c r="D34" s="490">
        <f>SUMIFS(Пр.5!G$10:G$1534,Пр.5!$D$10:$D$1534,C34)</f>
        <v>80000</v>
      </c>
      <c r="E34" s="490">
        <f>SUMIFS(Пр.5!H$10:H$1534,Пр.5!$D$10:$D$1534,$C34)</f>
        <v>0</v>
      </c>
      <c r="F34" s="558">
        <f>SUMIFS(Пр.5!I$10:I$1534,Пр.5!$D$10:$D$1534,$C34)</f>
        <v>80000</v>
      </c>
      <c r="G34" s="558">
        <f>SUMIFS(Пр.5!J$10:J$1534,Пр.5!$D$10:$D$1534,$C34)</f>
        <v>80000</v>
      </c>
    </row>
    <row r="35" spans="1:7" s="475" customFormat="1" ht="48" thickBot="1">
      <c r="A35" s="506"/>
      <c r="B35" s="491" t="str">
        <f>IF(C35&gt;0,VLOOKUP(C35,Программа!A$2:B$5063,2))</f>
        <v>Муниципальная целевая программа "Развитие физической культуры и спорта в Тутаевском муниципальном районе"</v>
      </c>
      <c r="C35" s="545" t="s">
        <v>2812</v>
      </c>
      <c r="D35" s="543">
        <f>SUMIFS(Пр.5!G$10:G$1534,Пр.5!$D$10:$D$1534,C35)</f>
        <v>26023414</v>
      </c>
      <c r="E35" s="490">
        <f>SUMIFS(Пр.5!H$10:H$1534,Пр.5!$D$10:$D$1534,$C35)</f>
        <v>-321974</v>
      </c>
      <c r="F35" s="558">
        <f>SUMIFS(Пр.5!I$10:I$1534,Пр.5!$D$10:$D$1534,$C35)</f>
        <v>25701440</v>
      </c>
      <c r="G35" s="558">
        <f>SUMIFS(Пр.5!J$10:J$1534,Пр.5!$D$10:$D$1534,$C35)</f>
        <v>19065009</v>
      </c>
    </row>
    <row r="36" spans="1:7" ht="63.75" thickBot="1">
      <c r="A36" s="487"/>
      <c r="B36" s="492" t="str">
        <f>IF(C36&gt;0,VLOOKUP(C36,Программа!A$2:B$5063,2))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546" t="s">
        <v>2814</v>
      </c>
      <c r="D36" s="490">
        <f>SUMIFS(Пр.5!G$10:G$1534,Пр.5!$D$10:$D$1534,C36)</f>
        <v>2060000</v>
      </c>
      <c r="E36" s="490">
        <f>SUMIFS(Пр.5!H$10:H$1534,Пр.5!$D$10:$D$1534,$C36)</f>
        <v>0</v>
      </c>
      <c r="F36" s="558">
        <f>SUMIFS(Пр.5!I$10:I$1534,Пр.5!$D$10:$D$1534,$C36)</f>
        <v>2060000</v>
      </c>
      <c r="G36" s="558">
        <f>SUMIFS(Пр.5!J$10:J$1534,Пр.5!$D$10:$D$1534,$C36)</f>
        <v>1871617</v>
      </c>
    </row>
    <row r="37" spans="1:7" ht="32.25" thickBot="1">
      <c r="A37" s="487"/>
      <c r="B37" s="493" t="str">
        <f>IF(C37&gt;0,VLOOKUP(C37,Программа!A$2:B$5063,2))</f>
        <v>Строительство, реконструкция и капитальный ремонт спортивных сооружений</v>
      </c>
      <c r="C37" s="564" t="s">
        <v>2816</v>
      </c>
      <c r="D37" s="534">
        <f>SUMIFS(Пр.5!G$10:G$1534,Пр.5!$D$10:$D$1534,C37)</f>
        <v>23963414</v>
      </c>
      <c r="E37" s="534">
        <f>SUMIFS(Пр.5!H$10:H$1534,Пр.5!$D$10:$D$1534,$C37)</f>
        <v>-321974</v>
      </c>
      <c r="F37" s="592">
        <f>SUMIFS(Пр.5!I$10:I$1534,Пр.5!$D$10:$D$1534,$C37)</f>
        <v>23641440</v>
      </c>
      <c r="G37" s="592">
        <f>SUMIFS(Пр.5!J$10:J$1534,Пр.5!$D$10:$D$1534,$C37)</f>
        <v>17193392</v>
      </c>
    </row>
    <row r="38" spans="1:7" ht="32.25" hidden="1" thickBot="1">
      <c r="A38" s="487"/>
      <c r="B38" s="559" t="str">
        <f>IF(C38&gt;0,VLOOKUP(C38,Программа!A$2:B$5063,2))</f>
        <v>Текущий и капитальный ремонт спортивных залов в общеобразовательных школах</v>
      </c>
      <c r="C38" s="560" t="s">
        <v>2944</v>
      </c>
      <c r="D38" s="534">
        <f>SUMIFS(Пр.5!G$10:G$1534,Пр.5!$D$10:$D$1534,C38)</f>
        <v>0</v>
      </c>
      <c r="E38" s="534">
        <f>SUMIFS(Пр.5!H$10:H$1534,Пр.5!$D$10:$D$1534,$C38)</f>
        <v>0</v>
      </c>
      <c r="F38" s="592">
        <f>SUMIFS(Пр.5!I$10:I$1534,Пр.5!$D$10:$D$1534,$C38)</f>
        <v>0</v>
      </c>
      <c r="G38" s="592">
        <f>SUMIFS(Пр.5!J$10:J$1534,Пр.5!$D$10:$D$1534,$C38)</f>
        <v>0</v>
      </c>
    </row>
    <row r="39" spans="1:7" s="474" customFormat="1" ht="48" thickBot="1">
      <c r="A39" s="505"/>
      <c r="B39" s="554" t="str">
        <f>IF(C39&gt;0,VLOOKUP(C39,Программа!A$2:B$5063,2))</f>
        <v>Муниципальная программа "Социальная поддержка населения Тутаевского муниципального района"</v>
      </c>
      <c r="C39" s="555" t="s">
        <v>2765</v>
      </c>
      <c r="D39" s="556">
        <f>SUMIFS(Пр.5!G$10:G$1534,Пр.5!$D$10:$D$1534,C39)</f>
        <v>327957426</v>
      </c>
      <c r="E39" s="556">
        <f>SUMIFS(Пр.5!H$10:H$1534,Пр.5!$D$10:$D$1534,$C39)</f>
        <v>15851946.07</v>
      </c>
      <c r="F39" s="557">
        <f>SUMIFS(Пр.5!I$10:I$1534,Пр.5!$D$10:$D$1534,$C39)</f>
        <v>343809372.06999999</v>
      </c>
      <c r="G39" s="557">
        <f>SUMIFS(Пр.5!J$10:J$1534,Пр.5!$D$10:$D$1534,$C39)</f>
        <v>342628959</v>
      </c>
    </row>
    <row r="40" spans="1:7" s="475" customFormat="1" ht="48" thickBot="1">
      <c r="A40" s="506"/>
      <c r="B40" s="491" t="str">
        <f>IF(C40&gt;0,VLOOKUP(C40,Программа!A$2:B$5063,2))</f>
        <v xml:space="preserve">Ведомственная целевая программа «Социальная поддержка населения Тутаевского муниципального района» </v>
      </c>
      <c r="C40" s="545" t="s">
        <v>2767</v>
      </c>
      <c r="D40" s="543">
        <f>SUMIFS(Пр.5!G$10:G$1534,Пр.5!$D$10:$D$1534,C40)</f>
        <v>327546826</v>
      </c>
      <c r="E40" s="490">
        <f>SUMIFS(Пр.5!H$10:H$1534,Пр.5!$D$10:$D$1534,$C40)</f>
        <v>15860706.07</v>
      </c>
      <c r="F40" s="558">
        <f>SUMIFS(Пр.5!I$10:I$1534,Пр.5!$D$10:$D$1534,$C40)</f>
        <v>343407532.06999999</v>
      </c>
      <c r="G40" s="558">
        <f>SUMIFS(Пр.5!J$10:J$1534,Пр.5!$D$10:$D$1534,$C40)</f>
        <v>342227119</v>
      </c>
    </row>
    <row r="41" spans="1:7" ht="32.25" thickBot="1">
      <c r="A41" s="487"/>
      <c r="B41" s="492" t="str">
        <f>IF(C41&gt;0,VLOOKUP(C41,Программа!A$2:B$5063,2))</f>
        <v>Исполнение публичных обязательств по предоставлению выплат, пособий и компенсаций</v>
      </c>
      <c r="C41" s="546" t="s">
        <v>2818</v>
      </c>
      <c r="D41" s="490">
        <f>SUMIFS(Пр.5!G$10:G$1534,Пр.5!$D$10:$D$1534,C41)</f>
        <v>281963061</v>
      </c>
      <c r="E41" s="490">
        <f>SUMIFS(Пр.5!H$10:H$1534,Пр.5!$D$10:$D$1534,$C41)</f>
        <v>15864642</v>
      </c>
      <c r="F41" s="558">
        <f>SUMIFS(Пр.5!I$10:I$1534,Пр.5!$D$10:$D$1534,$C41)</f>
        <v>297827703</v>
      </c>
      <c r="G41" s="558">
        <f>SUMIFS(Пр.5!J$10:J$1534,Пр.5!$D$10:$D$1534,$C41)</f>
        <v>297491392</v>
      </c>
    </row>
    <row r="42" spans="1:7" ht="48" thickBot="1">
      <c r="A42" s="487"/>
      <c r="B42" s="492" t="str">
        <f>IF(C42&gt;0,VLOOKUP(C42,Программа!A$2:B$5063,2))</f>
        <v>Предоставление социальных услуг населению Тутаевского муниципального района на основе соблюдения стандартов и нормативов</v>
      </c>
      <c r="C42" s="546" t="s">
        <v>2819</v>
      </c>
      <c r="D42" s="490">
        <f>SUMIFS(Пр.5!G$10:G$1534,Пр.5!$D$10:$D$1534,C42)</f>
        <v>44976965</v>
      </c>
      <c r="E42" s="490">
        <f>SUMIFS(Пр.5!H$10:H$1534,Пр.5!$D$10:$D$1534,$C42)</f>
        <v>0</v>
      </c>
      <c r="F42" s="558">
        <f>SUMIFS(Пр.5!I$10:I$1534,Пр.5!$D$10:$D$1534,$C42)</f>
        <v>44976965</v>
      </c>
      <c r="G42" s="558">
        <f>SUMIFS(Пр.5!J$10:J$1534,Пр.5!$D$10:$D$1534,$C42)</f>
        <v>44132863</v>
      </c>
    </row>
    <row r="43" spans="1:7" ht="48" thickBot="1">
      <c r="A43" s="487"/>
      <c r="B43" s="492" t="str">
        <f>IF(C43&gt;0,VLOOKUP(C43,Программа!A$2:B$5063,2))</f>
        <v>Социальная защита семей с детьми, инвалидов, ветеранов, граждан и детей, оказавшихся в трудной жизненной ситуации</v>
      </c>
      <c r="C43" s="546" t="s">
        <v>2821</v>
      </c>
      <c r="D43" s="490">
        <f>SUMIFS(Пр.5!G$10:G$1534,Пр.5!$D$10:$D$1534,C43)</f>
        <v>606800</v>
      </c>
      <c r="E43" s="490">
        <f>SUMIFS(Пр.5!H$10:H$1534,Пр.5!$D$10:$D$1534,$C43)</f>
        <v>-3935.93</v>
      </c>
      <c r="F43" s="558">
        <f>SUMIFS(Пр.5!I$10:I$1534,Пр.5!$D$10:$D$1534,$C43)</f>
        <v>602864.06999999995</v>
      </c>
      <c r="G43" s="558">
        <f>SUMIFS(Пр.5!J$10:J$1534,Пр.5!$D$10:$D$1534,$C43)</f>
        <v>602864</v>
      </c>
    </row>
    <row r="44" spans="1:7" s="475" customFormat="1" ht="48" thickBot="1">
      <c r="A44" s="506"/>
      <c r="B44" s="491" t="str">
        <f>IF(C44&gt;0,VLOOKUP(C44,Программа!A$2:B$5063,2))</f>
        <v>Муниципальная целевая программа "Улучшение условий и охраны труда" по Тутаевскому муниципальному району</v>
      </c>
      <c r="C44" s="545" t="s">
        <v>2807</v>
      </c>
      <c r="D44" s="543">
        <f>SUMIFS(Пр.5!G$10:G$1534,Пр.5!$D$10:$D$1534,C44)</f>
        <v>410600</v>
      </c>
      <c r="E44" s="490">
        <f>SUMIFS(Пр.5!H$10:H$1534,Пр.5!$D$10:$D$1534,$C44)</f>
        <v>-8760</v>
      </c>
      <c r="F44" s="558">
        <f>SUMIFS(Пр.5!I$10:I$1534,Пр.5!$D$10:$D$1534,$C44)</f>
        <v>401840</v>
      </c>
      <c r="G44" s="558">
        <f>SUMIFS(Пр.5!J$10:J$1534,Пр.5!$D$10:$D$1534,$C44)</f>
        <v>401840</v>
      </c>
    </row>
    <row r="45" spans="1:7" ht="55.5" customHeight="1" thickBot="1">
      <c r="A45" s="487"/>
      <c r="B45" s="559" t="str">
        <f>IF(C45&gt;0,VLOOKUP(C45,Программа!A$2:B$5063,2))</f>
        <v>Мероприятия по оценке условий труда и  обучение специалистов по охране труда в учреждениях на территории Тутаевского муниципального района</v>
      </c>
      <c r="C45" s="560" t="s">
        <v>2926</v>
      </c>
      <c r="D45" s="561">
        <f>SUMIFS(Пр.5!G$10:G$1534,Пр.5!$D$10:$D$1534,C45)</f>
        <v>410600</v>
      </c>
      <c r="E45" s="561">
        <f>SUMIFS(Пр.5!H$10:H$1534,Пр.5!$D$10:$D$1534,$C45)</f>
        <v>-8760</v>
      </c>
      <c r="F45" s="562">
        <f>SUMIFS(Пр.5!I$10:I$1534,Пр.5!$D$10:$D$1534,$C45)</f>
        <v>401840</v>
      </c>
      <c r="G45" s="562">
        <f>SUMIFS(Пр.5!J$10:J$1534,Пр.5!$D$10:$D$1534,$C45)</f>
        <v>401840</v>
      </c>
    </row>
    <row r="46" spans="1:7" s="474" customFormat="1" ht="25.5" customHeight="1" thickBot="1">
      <c r="A46" s="505"/>
      <c r="B46" s="551" t="str">
        <f>IF(C46&gt;0,VLOOKUP(C46,Программа!A$2:B$5063,2))</f>
        <v>Муниципальная программа "Доступная среда "</v>
      </c>
      <c r="C46" s="552" t="s">
        <v>2823</v>
      </c>
      <c r="D46" s="553">
        <f>SUMIFS(Пр.5!G$10:G$1534,Пр.5!$D$10:$D$1534,C46)</f>
        <v>2386895</v>
      </c>
      <c r="E46" s="553">
        <f>SUMIFS(Пр.5!H$10:H$1534,Пр.5!$D$10:$D$1534,$C46)</f>
        <v>-48500</v>
      </c>
      <c r="F46" s="553">
        <f>SUMIFS(Пр.5!I$10:I$1534,Пр.5!$D$10:$D$1534,$C46)</f>
        <v>2338395</v>
      </c>
      <c r="G46" s="553">
        <f>SUMIFS(Пр.5!J$10:J$1534,Пр.5!$D$10:$D$1534,$C46)</f>
        <v>2333935</v>
      </c>
    </row>
    <row r="47" spans="1:7" ht="63.75" thickBot="1">
      <c r="A47" s="487"/>
      <c r="B47" s="563" t="str">
        <f>IF(C47&gt;0,VLOOKUP(C47,Программа!A$2:B$5063,2))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47" s="564" t="s">
        <v>2825</v>
      </c>
      <c r="D47" s="534">
        <f>SUMIFS(Пр.5!G$10:G$1534,Пр.5!$D$10:$D$1534,C47)</f>
        <v>2386895</v>
      </c>
      <c r="E47" s="534">
        <f>SUMIFS(Пр.5!H$10:H$1534,Пр.5!$D$10:$D$1534,$C47)</f>
        <v>-48500</v>
      </c>
      <c r="F47" s="534">
        <f>SUMIFS(Пр.5!I$10:I$1534,Пр.5!$D$10:$D$1534,$C47)</f>
        <v>2338395</v>
      </c>
      <c r="G47" s="534">
        <f>SUMIFS(Пр.5!J$10:J$1534,Пр.5!$D$10:$D$1534,$C47)</f>
        <v>2333935</v>
      </c>
    </row>
    <row r="48" spans="1:7" s="474" customFormat="1" ht="63.75" thickBot="1">
      <c r="A48" s="505"/>
      <c r="B48" s="554" t="str">
        <f>IF(C48&gt;0,VLOOKUP(C48,Программа!A$2:B$5063,2))</f>
        <v>Муниципальная программа "Обеспечение качественными коммунальными услугами населения Тутаевского муниципального района"</v>
      </c>
      <c r="C48" s="555" t="s">
        <v>2709</v>
      </c>
      <c r="D48" s="556">
        <f>SUMIFS(Пр.5!G$10:G$1534,Пр.5!$D$10:$D$1534,C48)</f>
        <v>54584453.310000002</v>
      </c>
      <c r="E48" s="556">
        <f>SUMIFS(Пр.5!H$10:H$1534,Пр.5!$D$10:$D$1534,$C48)</f>
        <v>-1740755</v>
      </c>
      <c r="F48" s="557">
        <f>SUMIFS(Пр.5!I$10:I$1534,Пр.5!$D$10:$D$1534,$C48)</f>
        <v>52843698.310000002</v>
      </c>
      <c r="G48" s="557">
        <f>SUMIFS(Пр.5!J$10:J$1534,Пр.5!$D$10:$D$1534,$C48)</f>
        <v>32129050</v>
      </c>
    </row>
    <row r="49" spans="1:7" s="475" customFormat="1" ht="63.75" thickBot="1">
      <c r="A49" s="506"/>
      <c r="B49" s="491" t="str">
        <f>IF(C49&gt;0,VLOOKUP(C49,Программа!A$2:B$5063,2))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49" s="545" t="s">
        <v>2711</v>
      </c>
      <c r="D49" s="543">
        <f>SUMIFS(Пр.5!G$10:G$1534,Пр.5!$D$10:$D$1534,C49)</f>
        <v>9247000</v>
      </c>
      <c r="E49" s="490">
        <f>SUMIFS(Пр.5!H$10:H$1534,Пр.5!$D$10:$D$1534,$C49)</f>
        <v>-887000</v>
      </c>
      <c r="F49" s="558">
        <f>SUMIFS(Пр.5!I$10:I$1534,Пр.5!$D$10:$D$1534,$C49)</f>
        <v>8360000</v>
      </c>
      <c r="G49" s="558">
        <f>SUMIFS(Пр.5!J$10:J$1534,Пр.5!$D$10:$D$1534,$C49)</f>
        <v>8303122</v>
      </c>
    </row>
    <row r="50" spans="1:7" ht="48" thickBot="1">
      <c r="A50" s="487"/>
      <c r="B50" s="492" t="str">
        <f>IF(C50&gt;0,VLOOKUP(C50,Программа!A$2:B$5063,2))</f>
        <v>Обеспечение надежного теплоснабжения жилищного фонда и функционирования учреждений бюджетной сферы</v>
      </c>
      <c r="C50" s="546" t="s">
        <v>2713</v>
      </c>
      <c r="D50" s="490">
        <f>SUMIFS(Пр.5!G$10:G$1534,Пр.5!$D$10:$D$1534,C50)</f>
        <v>8647000</v>
      </c>
      <c r="E50" s="490">
        <f>SUMIFS(Пр.5!H$10:H$1534,Пр.5!$D$10:$D$1534,$C50)</f>
        <v>-887000</v>
      </c>
      <c r="F50" s="558">
        <f>SUMIFS(Пр.5!I$10:I$1534,Пр.5!$D$10:$D$1534,$C50)</f>
        <v>7760000</v>
      </c>
      <c r="G50" s="558">
        <f>SUMIFS(Пр.5!J$10:J$1534,Пр.5!$D$10:$D$1534,$C50)</f>
        <v>7760000</v>
      </c>
    </row>
    <row r="51" spans="1:7" ht="16.5" thickBot="1">
      <c r="A51" s="487"/>
      <c r="B51" s="492" t="str">
        <f>IF(C51&gt;0,VLOOKUP(C51,Программа!A$2:B$5063,2))</f>
        <v xml:space="preserve">Обеспечение населения твердым топливом </v>
      </c>
      <c r="C51" s="546" t="s">
        <v>2775</v>
      </c>
      <c r="D51" s="490">
        <f>SUMIFS(Пр.5!G$10:G$1534,Пр.5!$D$10:$D$1534,C51)</f>
        <v>600000</v>
      </c>
      <c r="E51" s="490">
        <f>SUMIFS(Пр.5!H$10:H$1534,Пр.5!$D$10:$D$1534,$C51)</f>
        <v>0</v>
      </c>
      <c r="F51" s="558">
        <f>SUMIFS(Пр.5!I$10:I$1534,Пр.5!$D$10:$D$1534,$C51)</f>
        <v>600000</v>
      </c>
      <c r="G51" s="558">
        <f>SUMIFS(Пр.5!J$10:J$1534,Пр.5!$D$10:$D$1534,$C51)</f>
        <v>543122</v>
      </c>
    </row>
    <row r="52" spans="1:7" s="475" customFormat="1" ht="63.75" thickBot="1">
      <c r="A52" s="506"/>
      <c r="B52" s="491" t="str">
        <f>IF(C52&gt;0,VLOOKUP(C52,Программа!A$2:B$5063,2))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2" s="545" t="s">
        <v>2715</v>
      </c>
      <c r="D52" s="543">
        <f>SUMIFS(Пр.5!G$10:G$1534,Пр.5!$D$10:$D$1534,C52)</f>
        <v>21298038.990000002</v>
      </c>
      <c r="E52" s="490">
        <f>SUMIFS(Пр.5!H$10:H$1534,Пр.5!$D$10:$D$1534,$C52)</f>
        <v>-140000</v>
      </c>
      <c r="F52" s="558">
        <f>SUMIFS(Пр.5!I$10:I$1534,Пр.5!$D$10:$D$1534,$C52)</f>
        <v>21158038.990000002</v>
      </c>
      <c r="G52" s="558">
        <f>SUMIFS(Пр.5!J$10:J$1534,Пр.5!$D$10:$D$1534,$C52)</f>
        <v>14739019</v>
      </c>
    </row>
    <row r="53" spans="1:7" ht="48" thickBot="1">
      <c r="A53" s="487"/>
      <c r="B53" s="492" t="str">
        <f>IF(C53&gt;0,VLOOKUP(C53,Программа!A$2:B$5063,2))</f>
        <v>Модернизация объектов теплоснабжения с вводом их в эксплуатацию (строительство и реконструкция котельных)</v>
      </c>
      <c r="C53" s="546" t="s">
        <v>2717</v>
      </c>
      <c r="D53" s="490">
        <f>SUMIFS(Пр.5!G$10:G$1534,Пр.5!$D$10:$D$1534,C53)</f>
        <v>3563038</v>
      </c>
      <c r="E53" s="490">
        <f>SUMIFS(Пр.5!H$10:H$1534,Пр.5!$D$10:$D$1534,$C53)</f>
        <v>-100000</v>
      </c>
      <c r="F53" s="558">
        <f>SUMIFS(Пр.5!I$10:I$1534,Пр.5!$D$10:$D$1534,$C53)</f>
        <v>3463038</v>
      </c>
      <c r="G53" s="558">
        <f>SUMIFS(Пр.5!J$10:J$1534,Пр.5!$D$10:$D$1534,$C53)</f>
        <v>2015099</v>
      </c>
    </row>
    <row r="54" spans="1:7" ht="63.75" thickBot="1">
      <c r="A54" s="487"/>
      <c r="B54" s="492" t="str">
        <f>IF(C54&gt;0,VLOOKUP(C54,Программа!A$2:B$5063,2))</f>
        <v>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v>
      </c>
      <c r="C54" s="546" t="s">
        <v>2719</v>
      </c>
      <c r="D54" s="490">
        <f>SUMIFS(Пр.5!G$10:G$1534,Пр.5!$D$10:$D$1534,C54)</f>
        <v>17735000.989999998</v>
      </c>
      <c r="E54" s="490">
        <f>SUMIFS(Пр.5!H$10:H$1534,Пр.5!$D$10:$D$1534,$C54)</f>
        <v>-40000</v>
      </c>
      <c r="F54" s="558">
        <f>SUMIFS(Пр.5!I$10:I$1534,Пр.5!$D$10:$D$1534,$C54)</f>
        <v>17695000.989999998</v>
      </c>
      <c r="G54" s="558">
        <f>SUMIFS(Пр.5!J$10:J$1534,Пр.5!$D$10:$D$1534,$C54)</f>
        <v>12723920</v>
      </c>
    </row>
    <row r="55" spans="1:7" s="475" customFormat="1" ht="63.75" thickBot="1">
      <c r="A55" s="506"/>
      <c r="B55" s="491" t="str">
        <f>IF(C55&gt;0,VLOOKUP(C55,Программа!A$2:B$5063,2))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5" s="545" t="s">
        <v>2721</v>
      </c>
      <c r="D55" s="543">
        <f>SUMIFS(Пр.5!G$10:G$1534,Пр.5!$D$10:$D$1534,C55)</f>
        <v>6391886.3200000003</v>
      </c>
      <c r="E55" s="490">
        <f>SUMIFS(Пр.5!H$10:H$1534,Пр.5!$D$10:$D$1534,$C55)</f>
        <v>-105930</v>
      </c>
      <c r="F55" s="558">
        <f>SUMIFS(Пр.5!I$10:I$1534,Пр.5!$D$10:$D$1534,$C55)</f>
        <v>6285956.3200000003</v>
      </c>
      <c r="G55" s="558">
        <f>SUMIFS(Пр.5!J$10:J$1534,Пр.5!$D$10:$D$1534,$C55)</f>
        <v>5196940</v>
      </c>
    </row>
    <row r="56" spans="1:7" ht="48" thickBot="1">
      <c r="A56" s="487"/>
      <c r="B56" s="492" t="str">
        <f>IF(C56&gt;0,VLOOKUP(C56,Программа!A$2:B$5063,2))</f>
        <v>Повышение качества водоснабжения в результате модернизации существующих источников водоснабжения и строительство  новых</v>
      </c>
      <c r="C56" s="546" t="s">
        <v>2723</v>
      </c>
      <c r="D56" s="490">
        <f>SUMIFS(Пр.5!G$10:G$1534,Пр.5!$D$10:$D$1534,C56)</f>
        <v>5941886.3200000003</v>
      </c>
      <c r="E56" s="490">
        <f>SUMIFS(Пр.5!H$10:H$1534,Пр.5!$D$10:$D$1534,$C56)</f>
        <v>-105930</v>
      </c>
      <c r="F56" s="558">
        <f>SUMIFS(Пр.5!I$10:I$1534,Пр.5!$D$10:$D$1534,$C56)</f>
        <v>5835956.3200000003</v>
      </c>
      <c r="G56" s="558">
        <f>SUMIFS(Пр.5!J$10:J$1534,Пр.5!$D$10:$D$1534,$C56)</f>
        <v>4746940</v>
      </c>
    </row>
    <row r="57" spans="1:7" ht="63.75" customHeight="1" thickBot="1">
      <c r="A57" s="487"/>
      <c r="B57" s="492" t="str">
        <f>IF(C57&gt;0,VLOOKUP(C57,Программа!A$2:B$5063,2))</f>
        <v>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v>
      </c>
      <c r="C57" s="546" t="s">
        <v>2725</v>
      </c>
      <c r="D57" s="490">
        <f>SUMIFS(Пр.5!G$10:G$1534,Пр.5!$D$10:$D$1534,C57)</f>
        <v>450000</v>
      </c>
      <c r="E57" s="490">
        <f>SUMIFS(Пр.5!H$10:H$1534,Пр.5!$D$10:$D$1534,$C57)</f>
        <v>0</v>
      </c>
      <c r="F57" s="558">
        <f>SUMIFS(Пр.5!I$10:I$1534,Пр.5!$D$10:$D$1534,$C57)</f>
        <v>450000</v>
      </c>
      <c r="G57" s="558">
        <f>SUMIFS(Пр.5!J$10:J$1534,Пр.5!$D$10:$D$1534,$C57)</f>
        <v>450000</v>
      </c>
    </row>
    <row r="58" spans="1:7" s="475" customFormat="1" ht="63.75" thickBot="1">
      <c r="A58" s="506"/>
      <c r="B58" s="491" t="str">
        <f>IF(C58&gt;0,VLOOKUP(C58,Программа!A$2:B$5063,2))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58" s="545" t="s">
        <v>2727</v>
      </c>
      <c r="D58" s="543">
        <f>SUMIFS(Пр.5!G$10:G$1534,Пр.5!$D$10:$D$1534,C58)</f>
        <v>17647528</v>
      </c>
      <c r="E58" s="490">
        <f>SUMIFS(Пр.5!H$10:H$1534,Пр.5!$D$10:$D$1534,$C58)</f>
        <v>-607825</v>
      </c>
      <c r="F58" s="558">
        <f>SUMIFS(Пр.5!I$10:I$1534,Пр.5!$D$10:$D$1534,$C58)</f>
        <v>17039703</v>
      </c>
      <c r="G58" s="558">
        <f>SUMIFS(Пр.5!J$10:J$1534,Пр.5!$D$10:$D$1534,$C58)</f>
        <v>3889969</v>
      </c>
    </row>
    <row r="59" spans="1:7" ht="32.25" thickBot="1">
      <c r="A59" s="487"/>
      <c r="B59" s="492" t="str">
        <f>IF(C59&gt;0,VLOOKUP(C59,Программа!A$2:B$5063,2))</f>
        <v>Проведение комплекса работ по ремонту, замене и реконструкции объектов теплоснабжения</v>
      </c>
      <c r="C59" s="546" t="s">
        <v>2728</v>
      </c>
      <c r="D59" s="490">
        <f>SUMIFS(Пр.5!G$10:G$1534,Пр.5!$D$10:$D$1534,C59)</f>
        <v>9587086.8599999994</v>
      </c>
      <c r="E59" s="490">
        <f>SUMIFS(Пр.5!H$10:H$1534,Пр.5!$D$10:$D$1534,$C59)</f>
        <v>-404295</v>
      </c>
      <c r="F59" s="558">
        <f>SUMIFS(Пр.5!I$10:I$1534,Пр.5!$D$10:$D$1534,$C59)</f>
        <v>9182791.8599999994</v>
      </c>
      <c r="G59" s="558">
        <f>SUMIFS(Пр.5!J$10:J$1534,Пр.5!$D$10:$D$1534,$C59)</f>
        <v>1403603</v>
      </c>
    </row>
    <row r="60" spans="1:7" ht="48" thickBot="1">
      <c r="A60" s="487"/>
      <c r="B60" s="492" t="str">
        <f>IF(C60&gt;0,VLOOKUP(C60,Программа!A$2:B$5063,2))</f>
        <v>Проведение комплекса работ по ремонту, замене и реконструкции объектов водоснабжения, водоотведения и очистки сточных вод</v>
      </c>
      <c r="C60" s="546" t="s">
        <v>2730</v>
      </c>
      <c r="D60" s="490">
        <f>SUMIFS(Пр.5!G$10:G$1534,Пр.5!$D$10:$D$1534,C60)</f>
        <v>7821093.1299999999</v>
      </c>
      <c r="E60" s="490">
        <f>SUMIFS(Пр.5!H$10:H$1534,Пр.5!$D$10:$D$1534,$C60)</f>
        <v>-203530</v>
      </c>
      <c r="F60" s="558">
        <f>SUMIFS(Пр.5!I$10:I$1534,Пр.5!$D$10:$D$1534,$C60)</f>
        <v>7617563.1299999999</v>
      </c>
      <c r="G60" s="558">
        <f>SUMIFS(Пр.5!J$10:J$1534,Пр.5!$D$10:$D$1534,$C60)</f>
        <v>2258182</v>
      </c>
    </row>
    <row r="61" spans="1:7" ht="32.25" thickBot="1">
      <c r="A61" s="487"/>
      <c r="B61" s="559" t="str">
        <f>IF(C61&gt;0,VLOOKUP(C61,Программа!A$2:B$5063,2))</f>
        <v>Проведение комплекса работ по ремонту, замене и реконструкции объектов газоснабжения</v>
      </c>
      <c r="C61" s="560" t="s">
        <v>2732</v>
      </c>
      <c r="D61" s="561">
        <f>SUMIFS(Пр.5!G$10:G$1534,Пр.5!$D$10:$D$1534,C61)</f>
        <v>239348.01</v>
      </c>
      <c r="E61" s="561">
        <f>SUMIFS(Пр.5!H$10:H$1534,Пр.5!$D$10:$D$1534,$C61)</f>
        <v>0</v>
      </c>
      <c r="F61" s="562">
        <f>SUMIFS(Пр.5!I$10:I$1534,Пр.5!$D$10:$D$1534,$C61)</f>
        <v>239348.01</v>
      </c>
      <c r="G61" s="562">
        <f>SUMIFS(Пр.5!J$10:J$1534,Пр.5!$D$10:$D$1534,$C61)</f>
        <v>228184</v>
      </c>
    </row>
    <row r="62" spans="1:7" s="474" customFormat="1" ht="63.75" thickBot="1">
      <c r="A62" s="505"/>
      <c r="B62" s="554" t="str">
        <f>IF(C62&gt;0,VLOOKUP(C62,Программа!A$2:B$5063,2))</f>
        <v>Муниципальная  программа "Об энергосбережении и повышении энергетической эффективности Тутаевского муниципального района"</v>
      </c>
      <c r="C62" s="555" t="s">
        <v>2734</v>
      </c>
      <c r="D62" s="556">
        <f>SUMIFS(Пр.5!G$10:G$1534,Пр.5!$D$10:$D$1534,C62)</f>
        <v>2610613.1800000002</v>
      </c>
      <c r="E62" s="556">
        <f>SUMIFS(Пр.5!H$10:H$1534,Пр.5!$D$10:$D$1534,$C62)</f>
        <v>-451647</v>
      </c>
      <c r="F62" s="557">
        <f>SUMIFS(Пр.5!I$10:I$1534,Пр.5!$D$10:$D$1534,$C62)</f>
        <v>2158966.1800000002</v>
      </c>
      <c r="G62" s="557">
        <f>SUMIFS(Пр.5!J$10:J$1534,Пр.5!$D$10:$D$1534,$C62)</f>
        <v>2020786</v>
      </c>
    </row>
    <row r="63" spans="1:7" ht="74.25" customHeight="1" thickBot="1">
      <c r="A63" s="487"/>
      <c r="B63" s="492" t="str">
        <f>IF(C63&gt;0,VLOOKUP(C63,Программа!A$2:B$5063,2))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3" s="546" t="s">
        <v>2792</v>
      </c>
      <c r="D63" s="490">
        <f>SUMIFS(Пр.5!G$10:G$1534,Пр.5!$D$10:$D$1534,C63)</f>
        <v>2610613.1800000002</v>
      </c>
      <c r="E63" s="490">
        <f>SUMIFS(Пр.5!H$10:H$1534,Пр.5!$D$10:$D$1534,$C63)</f>
        <v>-451647</v>
      </c>
      <c r="F63" s="558">
        <f>SUMIFS(Пр.5!I$10:I$1534,Пр.5!$D$10:$D$1534,$C63)</f>
        <v>2158966.1800000002</v>
      </c>
      <c r="G63" s="558">
        <f>SUMIFS(Пр.5!J$10:J$1534,Пр.5!$D$10:$D$1534,$C63)</f>
        <v>2020786</v>
      </c>
    </row>
    <row r="64" spans="1:7" s="474" customFormat="1" ht="48" thickBot="1">
      <c r="A64" s="505"/>
      <c r="B64" s="565" t="str">
        <f>IF(C64&gt;0,VLOOKUP(C64,Программа!A$2:B$5063,2))</f>
        <v>Муниципальная программа "Развитие дорожного хозяйства и транспорта в Тутаевском муниципальном районе"</v>
      </c>
      <c r="C64" s="540" t="s">
        <v>2777</v>
      </c>
      <c r="D64" s="541">
        <f>SUMIFS(Пр.5!G$10:G$1534,Пр.5!$D$10:$D$1534,C64)</f>
        <v>111434796</v>
      </c>
      <c r="E64" s="541">
        <f>SUMIFS(Пр.5!H$10:H$1534,Пр.5!$D$10:$D$1534,$C64)</f>
        <v>-1203394</v>
      </c>
      <c r="F64" s="566">
        <f>SUMIFS(Пр.5!I$10:I$1534,Пр.5!$D$10:$D$1534,$C64)</f>
        <v>110231402</v>
      </c>
      <c r="G64" s="566">
        <f>SUMIFS(Пр.5!J$10:J$1534,Пр.5!$D$10:$D$1534,$C64)</f>
        <v>82341733</v>
      </c>
    </row>
    <row r="65" spans="1:7" s="475" customFormat="1" ht="63.75" thickBot="1">
      <c r="A65" s="506"/>
      <c r="B65" s="491" t="str">
        <f>IF(C65&gt;0,VLOOKUP(C65,Программа!A$2:B$5063,2))</f>
        <v>Муниципальная целевая программа «Повышение безопасности дорожного движения на территории Тутаевского муниципального района»</v>
      </c>
      <c r="C65" s="545" t="s">
        <v>2779</v>
      </c>
      <c r="D65" s="543">
        <f>SUMIFS(Пр.5!G$10:G$1534,Пр.5!$D$10:$D$1534,C65)</f>
        <v>4282855</v>
      </c>
      <c r="E65" s="490">
        <f>SUMIFS(Пр.5!H$10:H$1534,Пр.5!$D$10:$D$1534,$C65)</f>
        <v>0</v>
      </c>
      <c r="F65" s="558">
        <f>SUMIFS(Пр.5!I$10:I$1534,Пр.5!$D$10:$D$1534,$C65)</f>
        <v>4282855</v>
      </c>
      <c r="G65" s="558">
        <f>SUMIFS(Пр.5!J$10:J$1534,Пр.5!$D$10:$D$1534,$C65)</f>
        <v>3612625</v>
      </c>
    </row>
    <row r="66" spans="1:7" ht="32.25" thickBot="1">
      <c r="A66" s="487"/>
      <c r="B66" s="492" t="str">
        <f>IF(C66&gt;0,VLOOKUP(C66,Программа!A$2:B$5063,2))</f>
        <v>Повышение безопасности дорожного движения на автомобильных дорогах</v>
      </c>
      <c r="C66" s="546" t="s">
        <v>2780</v>
      </c>
      <c r="D66" s="490">
        <f>SUMIFS(Пр.5!G$10:G$1534,Пр.5!$D$10:$D$1534,C66)</f>
        <v>4282855</v>
      </c>
      <c r="E66" s="490">
        <f>SUMIFS(Пр.5!H$10:H$1534,Пр.5!$D$10:$D$1534,$C66)</f>
        <v>0</v>
      </c>
      <c r="F66" s="558">
        <f>SUMIFS(Пр.5!I$10:I$1534,Пр.5!$D$10:$D$1534,$C66)</f>
        <v>4282855</v>
      </c>
      <c r="G66" s="558">
        <f>SUMIFS(Пр.5!J$10:J$1534,Пр.5!$D$10:$D$1534,$C66)</f>
        <v>3612625</v>
      </c>
    </row>
    <row r="67" spans="1:7" s="475" customFormat="1" ht="48" thickBot="1">
      <c r="A67" s="506"/>
      <c r="B67" s="491" t="str">
        <f>IF(C67&gt;0,VLOOKUP(C67,Программа!A$2:B$5063,2))</f>
        <v>Муниципальная целевая программа «Сохранность автомобильных дорог общего пользования Тутаевского муниципального района»</v>
      </c>
      <c r="C67" s="545" t="s">
        <v>2781</v>
      </c>
      <c r="D67" s="543">
        <f>SUMIFS(Пр.5!G$10:G$1534,Пр.5!$D$10:$D$1534,C67)</f>
        <v>107151941</v>
      </c>
      <c r="E67" s="490">
        <f>SUMIFS(Пр.5!H$10:H$1534,Пр.5!$D$10:$D$1534,$C67)</f>
        <v>-1203394</v>
      </c>
      <c r="F67" s="558">
        <f>SUMIFS(Пр.5!I$10:I$1534,Пр.5!$D$10:$D$1534,$C67)</f>
        <v>105948547</v>
      </c>
      <c r="G67" s="558">
        <f>SUMIFS(Пр.5!J$10:J$1534,Пр.5!$D$10:$D$1534,$C67)</f>
        <v>78729108</v>
      </c>
    </row>
    <row r="68" spans="1:7" ht="32.25" thickBot="1">
      <c r="A68" s="487"/>
      <c r="B68" s="559" t="str">
        <f>IF(C68&gt;0,VLOOKUP(C68,Программа!A$2:B$5063,2))</f>
        <v>Приведение  в нормативное состояние автомобильных дорог общего пользования</v>
      </c>
      <c r="C68" s="560" t="s">
        <v>2782</v>
      </c>
      <c r="D68" s="561">
        <f>SUMIFS(Пр.5!G$10:G$1534,Пр.5!$D$10:$D$1534,C68)</f>
        <v>107151941</v>
      </c>
      <c r="E68" s="561">
        <f>SUMIFS(Пр.5!H$10:H$1534,Пр.5!$D$10:$D$1534,$C68)</f>
        <v>-1203394</v>
      </c>
      <c r="F68" s="562">
        <f>SUMIFS(Пр.5!I$10:I$1534,Пр.5!$D$10:$D$1534,$C68)</f>
        <v>105948547</v>
      </c>
      <c r="G68" s="562">
        <f>SUMIFS(Пр.5!J$10:J$1534,Пр.5!$D$10:$D$1534,$C68)</f>
        <v>78729108</v>
      </c>
    </row>
    <row r="69" spans="1:7" s="474" customFormat="1" ht="63.75" customHeight="1" thickBot="1">
      <c r="A69" s="505"/>
      <c r="B69" s="554" t="str">
        <f>IF(C69&gt;0,VLOOKUP(C69,Программа!A$2:B$5063,2))</f>
        <v>Муниципальная программа "Стимулирование развития жилищного строительства в Тутаевском муниципальном  районе Ярославской области"</v>
      </c>
      <c r="C69" s="555" t="s">
        <v>2736</v>
      </c>
      <c r="D69" s="556">
        <f>SUMIFS(Пр.5!G$10:G$1534,Пр.5!$D$10:$D$1534,C69)</f>
        <v>39123750.68</v>
      </c>
      <c r="E69" s="556">
        <f>SUMIFS(Пр.5!H$10:H$1534,Пр.5!$D$10:$D$1534,$C69)</f>
        <v>1789917.71</v>
      </c>
      <c r="F69" s="557">
        <f>SUMIFS(Пр.5!I$10:I$1534,Пр.5!$D$10:$D$1534,$C69)-1</f>
        <v>40913667.390000001</v>
      </c>
      <c r="G69" s="557">
        <f>SUMIFS(Пр.5!J$10:J$1534,Пр.5!$D$10:$D$1534,$C69)</f>
        <v>34933006</v>
      </c>
    </row>
    <row r="70" spans="1:7" s="475" customFormat="1" ht="79.5" customHeight="1" thickBot="1">
      <c r="A70" s="506"/>
      <c r="B70" s="491" t="str">
        <f>IF(C70&gt;0,VLOOKUP(C70,Программа!A$2:B$5063,2))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0" s="545" t="s">
        <v>2737</v>
      </c>
      <c r="D70" s="543">
        <f>SUMIFS(Пр.5!G$10:G$1534,Пр.5!$D$10:$D$1534,C70)</f>
        <v>3194615.88</v>
      </c>
      <c r="E70" s="490">
        <f>SUMIFS(Пр.5!H$10:H$1534,Пр.5!$D$10:$D$1534,$C70)</f>
        <v>0</v>
      </c>
      <c r="F70" s="558">
        <f>SUMIFS(Пр.5!I$10:I$1534,Пр.5!$D$10:$D$1534,$C70)</f>
        <v>3194615.88</v>
      </c>
      <c r="G70" s="558">
        <f>SUMIFS(Пр.5!J$10:J$1534,Пр.5!$D$10:$D$1534,$C70)</f>
        <v>2823130</v>
      </c>
    </row>
    <row r="71" spans="1:7" ht="95.25" customHeight="1" thickBot="1">
      <c r="A71" s="487"/>
      <c r="B71" s="492" t="str">
        <f>IF(C71&gt;0,VLOOKUP(C71,Программа!A$2:B$5063,2))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1" s="546" t="s">
        <v>2738</v>
      </c>
      <c r="D71" s="490">
        <f>SUMIFS(Пр.5!G$10:G$1534,Пр.5!$D$10:$D$1534,C71)</f>
        <v>3194615.88</v>
      </c>
      <c r="E71" s="490">
        <f>SUMIFS(Пр.5!H$10:H$1534,Пр.5!$D$10:$D$1534,$C71)</f>
        <v>0</v>
      </c>
      <c r="F71" s="558">
        <f>SUMIFS(Пр.5!I$10:I$1534,Пр.5!$D$10:$D$1534,$C71)</f>
        <v>3194615.88</v>
      </c>
      <c r="G71" s="558">
        <f>SUMIFS(Пр.5!J$10:J$1534,Пр.5!$D$10:$D$1534,$C71)</f>
        <v>2823130</v>
      </c>
    </row>
    <row r="72" spans="1:7" s="475" customFormat="1" ht="48" customHeight="1" thickBot="1">
      <c r="A72" s="506"/>
      <c r="B72" s="491" t="str">
        <f>IF(C72&gt;0,VLOOKUP(C72,Программа!A$2:B$5063,2))</f>
        <v>Муниципальная целевая программа "Переселение граждан из аварийного жилищного фонда в Тутаевском муниципальном районе"</v>
      </c>
      <c r="C72" s="545" t="s">
        <v>2739</v>
      </c>
      <c r="D72" s="543">
        <f>SUMIFS(Пр.5!G$10:G$1534,Пр.5!$D$10:$D$1534,C72)</f>
        <v>20349602.599999998</v>
      </c>
      <c r="E72" s="490">
        <f>SUMIFS(Пр.5!H$10:H$1534,Пр.5!$D$10:$D$1534,$C72)</f>
        <v>598806.71</v>
      </c>
      <c r="F72" s="558">
        <f>SUMIFS(Пр.5!I$10:I$1534,Пр.5!$D$10:$D$1534,$C72)</f>
        <v>20948409.309999999</v>
      </c>
      <c r="G72" s="558">
        <f>SUMIFS(Пр.5!J$10:J$1534,Пр.5!$D$10:$D$1534,$C72)</f>
        <v>15434435</v>
      </c>
    </row>
    <row r="73" spans="1:7" ht="63.75" customHeight="1" thickBot="1">
      <c r="A73" s="487"/>
      <c r="B73" s="492" t="str">
        <f>IF(C73&gt;0,VLOOKUP(C73,Программа!A$2:B$5063,2))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3" s="546" t="s">
        <v>2740</v>
      </c>
      <c r="D73" s="490">
        <f>SUMIFS(Пр.5!G$10:G$1534,Пр.5!$D$10:$D$1534,C73)</f>
        <v>20349602.599999998</v>
      </c>
      <c r="E73" s="490">
        <f>SUMIFS(Пр.5!H$10:H$1534,Пр.5!$D$10:$D$1534,$C73)</f>
        <v>598806.71</v>
      </c>
      <c r="F73" s="558">
        <f>SUMIFS(Пр.5!I$10:I$1534,Пр.5!$D$10:$D$1534,$C73)</f>
        <v>20948409.309999999</v>
      </c>
      <c r="G73" s="558">
        <f>SUMIFS(Пр.5!J$10:J$1534,Пр.5!$D$10:$D$1534,$C73)</f>
        <v>15434435</v>
      </c>
    </row>
    <row r="74" spans="1:7" s="475" customFormat="1" ht="79.5" customHeight="1" thickBot="1">
      <c r="A74" s="506"/>
      <c r="B74" s="491" t="str">
        <f>IF(C74&gt;0,VLOOKUP(C74,Программа!A$2:B$5063,2))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4" s="545" t="s">
        <v>2741</v>
      </c>
      <c r="D74" s="543">
        <f>SUMIFS(Пр.5!G$10:G$1534,Пр.5!$D$10:$D$1534,C74)</f>
        <v>11284076</v>
      </c>
      <c r="E74" s="490">
        <f>SUMIFS(Пр.5!H$10:H$1534,Пр.5!$D$10:$D$1534,$C74)</f>
        <v>1126621</v>
      </c>
      <c r="F74" s="558">
        <f>SUMIFS(Пр.5!I$10:I$1534,Пр.5!$D$10:$D$1534,$C74)</f>
        <v>12410697</v>
      </c>
      <c r="G74" s="558">
        <f>SUMIFS(Пр.5!J$10:J$1534,Пр.5!$D$10:$D$1534,$C74)</f>
        <v>12315497</v>
      </c>
    </row>
    <row r="75" spans="1:7" ht="63.75" customHeight="1" thickBot="1">
      <c r="A75" s="487"/>
      <c r="B75" s="492" t="str">
        <f>IF(C75&gt;0,VLOOKUP(C75,Программа!A$2:B$5063,2))</f>
        <v>Финансовое и организационное обеспечение переселения граждан из непригодного для проживания жилищного фонда с высоким уровнем износа</v>
      </c>
      <c r="C75" s="546" t="s">
        <v>2742</v>
      </c>
      <c r="D75" s="490">
        <f>SUMIFS(Пр.5!G$10:G$1534,Пр.5!$D$10:$D$1534,C75)</f>
        <v>11284076</v>
      </c>
      <c r="E75" s="490">
        <f>SUMIFS(Пр.5!H$10:H$1534,Пр.5!$D$10:$D$1534,$C75)</f>
        <v>1126621</v>
      </c>
      <c r="F75" s="558">
        <f>SUMIFS(Пр.5!I$10:I$1534,Пр.5!$D$10:$D$1534,$C75)</f>
        <v>12410697</v>
      </c>
      <c r="G75" s="558">
        <f>SUMIFS(Пр.5!J$10:J$1534,Пр.5!$D$10:$D$1534,$C75)</f>
        <v>12315497</v>
      </c>
    </row>
    <row r="76" spans="1:7" s="475" customFormat="1" ht="63.75" customHeight="1" thickBot="1">
      <c r="A76" s="506"/>
      <c r="B76" s="491" t="str">
        <f>IF(C76&gt;0,VLOOKUP(C76,Программа!A$2:B$5063,2))</f>
        <v>Муниципальная целевая программа "Предоставление молодым семьям социальных выплат на приобретение(строительство) жилья"</v>
      </c>
      <c r="C76" s="545" t="s">
        <v>2743</v>
      </c>
      <c r="D76" s="543">
        <f>SUMIFS(Пр.5!G$10:G$1534,Пр.5!$D$10:$D$1534,C76)</f>
        <v>4295456.2</v>
      </c>
      <c r="E76" s="490">
        <f>SUMIFS(Пр.5!H$10:H$1534,Пр.5!$D$10:$D$1534,$C76)</f>
        <v>64490</v>
      </c>
      <c r="F76" s="558">
        <f>SUMIFS(Пр.5!I$10:I$1534,Пр.5!$D$10:$D$1534,$C76)</f>
        <v>4359946.2</v>
      </c>
      <c r="G76" s="558">
        <f>SUMIFS(Пр.5!J$10:J$1534,Пр.5!$D$10:$D$1534,$C76)</f>
        <v>4359944</v>
      </c>
    </row>
    <row r="77" spans="1:7" ht="32.25" customHeight="1" thickBot="1">
      <c r="A77" s="487"/>
      <c r="B77" s="559" t="str">
        <f>IF(C77&gt;0,VLOOKUP(C77,Программа!A$2:B$5063,2))</f>
        <v>Создание условий для поддержки  молодых семей в приобретении (строительстве) жилья</v>
      </c>
      <c r="C77" s="560" t="s">
        <v>2744</v>
      </c>
      <c r="D77" s="561">
        <f>SUMIFS(Пр.5!G$10:G$1534,Пр.5!$D$10:$D$1534,C77)</f>
        <v>4295456.2</v>
      </c>
      <c r="E77" s="561">
        <f>SUMIFS(Пр.5!H$10:H$1534,Пр.5!$D$10:$D$1534,$C77)</f>
        <v>64490</v>
      </c>
      <c r="F77" s="562">
        <f>SUMIFS(Пр.5!I$10:I$1534,Пр.5!$D$10:$D$1534,$C77)</f>
        <v>4359946.2</v>
      </c>
      <c r="G77" s="562">
        <f>SUMIFS(Пр.5!J$10:J$1534,Пр.5!$D$10:$D$1534,$C77)</f>
        <v>4359944</v>
      </c>
    </row>
    <row r="78" spans="1:7" s="474" customFormat="1" ht="70.5" customHeight="1" thickBot="1">
      <c r="A78" s="505"/>
      <c r="B78" s="554" t="str">
        <f>IF(C78&gt;0,VLOOKUP(C78,Программа!A$2:B$5063,2))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78" s="555" t="s">
        <v>2769</v>
      </c>
      <c r="D78" s="556">
        <f>SUMIFS(Пр.5!G$10:G$1534,Пр.5!$D$10:$D$1534,C78)</f>
        <v>2478521</v>
      </c>
      <c r="E78" s="556">
        <f>SUMIFS(Пр.5!H$10:H$1534,Пр.5!$D$10:$D$1534,$C78)</f>
        <v>2270200</v>
      </c>
      <c r="F78" s="557">
        <f>SUMIFS(Пр.5!I$10:I$1534,Пр.5!$D$10:$D$1534,$C78)</f>
        <v>4748721</v>
      </c>
      <c r="G78" s="557">
        <f>SUMIFS(Пр.5!J$10:J$1534,Пр.5!$D$10:$D$1534,$C78)</f>
        <v>4728549</v>
      </c>
    </row>
    <row r="79" spans="1:7" s="475" customFormat="1" ht="63.75" thickBot="1">
      <c r="A79" s="506"/>
      <c r="B79" s="491" t="str">
        <f>IF(C79&gt;0,VLOOKUP(C79,Программа!A$2:B$5063,2))</f>
        <v>Муниципальная целевая программа «Развитие субъектов малого и среднего предпринимательства Тутаевского муниципального района»</v>
      </c>
      <c r="C79" s="547" t="s">
        <v>2786</v>
      </c>
      <c r="D79" s="543">
        <f>SUMIFS(Пр.5!G$10:G$1534,Пр.5!$D$10:$D$1534,C79)</f>
        <v>888000</v>
      </c>
      <c r="E79" s="490">
        <f>SUMIFS(Пр.5!H$10:H$1534,Пр.5!$D$10:$D$1534,$C79)</f>
        <v>2270200</v>
      </c>
      <c r="F79" s="558">
        <f>SUMIFS(Пр.5!I$10:I$1534,Пр.5!$D$10:$D$1534,$C79)</f>
        <v>3158200</v>
      </c>
      <c r="G79" s="558">
        <f>SUMIFS(Пр.5!J$10:J$1534,Пр.5!$D$10:$D$1534,$C79)</f>
        <v>3158200</v>
      </c>
    </row>
    <row r="80" spans="1:7" ht="63.75" thickBot="1">
      <c r="A80" s="487"/>
      <c r="B80" s="492" t="str">
        <f>IF(C80&gt;0,VLOOKUP(C80,Программа!A$2:B$5063,2))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0" s="548" t="s">
        <v>2787</v>
      </c>
      <c r="D80" s="490">
        <f>SUMIFS(Пр.5!G$10:G$1534,Пр.5!$D$10:$D$1534,C80)</f>
        <v>70000</v>
      </c>
      <c r="E80" s="490">
        <f>SUMIFS(Пр.5!H$10:H$1534,Пр.5!$D$10:$D$1534,$C80)</f>
        <v>-2200</v>
      </c>
      <c r="F80" s="558">
        <f>SUMIFS(Пр.5!I$10:I$1534,Пр.5!$D$10:$D$1534,$C80)</f>
        <v>67800</v>
      </c>
      <c r="G80" s="558">
        <f>SUMIFS(Пр.5!J$10:J$1534,Пр.5!$D$10:$D$1534,$C80)</f>
        <v>67800</v>
      </c>
    </row>
    <row r="81" spans="1:7" ht="48" thickBot="1">
      <c r="A81" s="487"/>
      <c r="B81" s="492" t="str">
        <f>IF(C81&gt;0,VLOOKUP(C81,Программа!A$2:B$5063,2))</f>
        <v>Развитие системы финансовой поддержки субъектов малого и среднего предпринимательства</v>
      </c>
      <c r="C81" s="548" t="s">
        <v>2789</v>
      </c>
      <c r="D81" s="490">
        <f>SUMIFS(Пр.5!G$10:G$1534,Пр.5!$D$10:$D$1534,C81)</f>
        <v>818000</v>
      </c>
      <c r="E81" s="490">
        <f>SUMIFS(Пр.5!H$10:H$1534,Пр.5!$D$10:$D$1534,$C81)</f>
        <v>2272400</v>
      </c>
      <c r="F81" s="558">
        <f>SUMIFS(Пр.5!I$10:I$1534,Пр.5!$D$10:$D$1534,$C81)</f>
        <v>3090400</v>
      </c>
      <c r="G81" s="558">
        <f>SUMIFS(Пр.5!J$10:J$1534,Пр.5!$D$10:$D$1534,$C81)</f>
        <v>3090400</v>
      </c>
    </row>
    <row r="82" spans="1:7" s="475" customFormat="1" ht="48" thickBot="1">
      <c r="A82" s="506"/>
      <c r="B82" s="491" t="str">
        <f>IF(C82&gt;0,VLOOKUP(C82,Программа!A$2:B$5063,2))</f>
        <v>Муниципальная целевая программа "Развитие потребительского рынка Тутаевского муниципального района "</v>
      </c>
      <c r="C82" s="547" t="s">
        <v>2770</v>
      </c>
      <c r="D82" s="543">
        <f>SUMIFS(Пр.5!G$10:G$1534,Пр.5!$D$10:$D$1534,C82)</f>
        <v>172421</v>
      </c>
      <c r="E82" s="490">
        <f>SUMIFS(Пр.5!H$10:H$1534,Пр.5!$D$10:$D$1534,$C82)</f>
        <v>0</v>
      </c>
      <c r="F82" s="558">
        <f>SUMIFS(Пр.5!I$10:I$1534,Пр.5!$D$10:$D$1534,$C82)</f>
        <v>172421</v>
      </c>
      <c r="G82" s="558">
        <f>SUMIFS(Пр.5!J$10:J$1534,Пр.5!$D$10:$D$1534,$C82)</f>
        <v>152249</v>
      </c>
    </row>
    <row r="83" spans="1:7" ht="48" thickBot="1">
      <c r="A83" s="487"/>
      <c r="B83" s="492" t="str">
        <f>IF(C83&gt;0,VLOOKUP(C83,Программа!A$2:B$5063,2))</f>
        <v>Обеспечение доступности товаров для сельского населения путем оказания государственной поддержки</v>
      </c>
      <c r="C83" s="548" t="s">
        <v>2771</v>
      </c>
      <c r="D83" s="490">
        <f>SUMIFS(Пр.5!G$10:G$1534,Пр.5!$D$10:$D$1534,C83)</f>
        <v>172421</v>
      </c>
      <c r="E83" s="490">
        <f>SUMIFS(Пр.5!H$10:H$1534,Пр.5!$D$10:$D$1534,$C83)</f>
        <v>0</v>
      </c>
      <c r="F83" s="558">
        <f>SUMIFS(Пр.5!I$10:I$1534,Пр.5!$D$10:$D$1534,$C83)</f>
        <v>172421</v>
      </c>
      <c r="G83" s="558">
        <f>SUMIFS(Пр.5!J$10:J$1534,Пр.5!$D$10:$D$1534,$C83)</f>
        <v>152249</v>
      </c>
    </row>
    <row r="84" spans="1:7" s="475" customFormat="1" ht="63.75" thickBot="1">
      <c r="A84" s="506"/>
      <c r="B84" s="491" t="str">
        <f>IF(C84&gt;0,VLOOKUP(C84,Программа!A$2:B$5063,2))</f>
        <v>Муниципальная целевая программа "Развитие агропромышленного комплекса и сельских территорий Тутаевского муниципального района"</v>
      </c>
      <c r="C84" s="547" t="s">
        <v>2773</v>
      </c>
      <c r="D84" s="543">
        <f>SUMIFS(Пр.5!G$10:G$1534,Пр.5!$D$10:$D$1534,C84)</f>
        <v>1418100</v>
      </c>
      <c r="E84" s="490">
        <f>SUMIFS(Пр.5!H$10:H$1534,Пр.5!$D$10:$D$1534,$C84)</f>
        <v>0</v>
      </c>
      <c r="F84" s="558">
        <f>SUMIFS(Пр.5!I$10:I$1534,Пр.5!$D$10:$D$1534,$C84)</f>
        <v>1418100</v>
      </c>
      <c r="G84" s="558">
        <f>SUMIFS(Пр.5!J$10:J$1534,Пр.5!$D$10:$D$1534,$C84)</f>
        <v>1418100</v>
      </c>
    </row>
    <row r="85" spans="1:7" ht="48" thickBot="1">
      <c r="A85" s="487"/>
      <c r="B85" s="492" t="str">
        <f>IF(C85&gt;0,VLOOKUP(C85,Программа!A$2:B$5063,2))</f>
        <v>Поддержка сельскохозяйственного производства в рамках субсидирования  (молоко, овцеводство) сельскохозяйственных товаропроизводителей</v>
      </c>
      <c r="C85" s="548" t="s">
        <v>2774</v>
      </c>
      <c r="D85" s="490">
        <f>SUMIFS(Пр.5!G$10:G$1534,Пр.5!$D$10:$D$1534,C85)</f>
        <v>1080100</v>
      </c>
      <c r="E85" s="490">
        <f>SUMIFS(Пр.5!H$10:H$1534,Пр.5!$D$10:$D$1534,$C85)</f>
        <v>0</v>
      </c>
      <c r="F85" s="558">
        <f>SUMIFS(Пр.5!I$10:I$1534,Пр.5!$D$10:$D$1534,$C85)</f>
        <v>1080100</v>
      </c>
      <c r="G85" s="558">
        <f>SUMIFS(Пр.5!J$10:J$1534,Пр.5!$D$10:$D$1534,$C85)</f>
        <v>1080100</v>
      </c>
    </row>
    <row r="86" spans="1:7" ht="32.25" hidden="1" thickBot="1">
      <c r="A86" s="487"/>
      <c r="B86" s="492" t="str">
        <f>IF(C86&gt;0,VLOOKUP(C86,Программа!A$2:B$5063,2))</f>
        <v xml:space="preserve">Кадровое обеспечение агропромышленного комплекса </v>
      </c>
      <c r="C86" s="548" t="s">
        <v>2803</v>
      </c>
      <c r="D86" s="490">
        <f>SUMIFS(Пр.5!G$10:G$1534,Пр.5!$D$10:$D$1534,C86)</f>
        <v>0</v>
      </c>
      <c r="E86" s="490">
        <f>SUMIFS(Пр.5!H$10:H$1534,Пр.5!$D$10:$D$1534,$C86)</f>
        <v>0</v>
      </c>
      <c r="F86" s="558">
        <f>SUMIFS(Пр.5!I$10:I$1534,Пр.5!$D$10:$D$1534,$C86)</f>
        <v>0</v>
      </c>
      <c r="G86" s="558">
        <f>SUMIFS(Пр.5!J$10:J$1534,Пр.5!$D$10:$D$1534,$C86)</f>
        <v>0</v>
      </c>
    </row>
    <row r="87" spans="1:7" ht="79.5" thickBot="1">
      <c r="A87" s="487"/>
      <c r="B87" s="559" t="str">
        <f>IF(C87&gt;0,VLOOKUP(C87,Программа!A$2:B$5063,2))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87" s="567" t="s">
        <v>2805</v>
      </c>
      <c r="D87" s="561">
        <f>SUMIFS(Пр.5!G$10:G$1534,Пр.5!$D$10:$D$1534,C87)</f>
        <v>248000</v>
      </c>
      <c r="E87" s="561">
        <f>SUMIFS(Пр.5!H$10:H$1534,Пр.5!$D$10:$D$1534,$C87)</f>
        <v>0</v>
      </c>
      <c r="F87" s="562">
        <f>SUMIFS(Пр.5!I$10:I$1534,Пр.5!$D$10:$D$1534,$C87)</f>
        <v>248000</v>
      </c>
      <c r="G87" s="562">
        <f>SUMIFS(Пр.5!J$10:J$1534,Пр.5!$D$10:$D$1534,$C87)</f>
        <v>248000</v>
      </c>
    </row>
    <row r="88" spans="1:7" ht="63.75" thickBot="1">
      <c r="A88" s="487"/>
      <c r="B88" s="559" t="str">
        <f>IF(C88&gt;0,VLOOKUP(C88,Программа!A$2:B$5063,2))</f>
        <v>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v>
      </c>
      <c r="C88" s="570" t="s">
        <v>3103</v>
      </c>
      <c r="D88" s="561">
        <f>SUMIFS(Пр.5!G$10:G$1534,Пр.5!$D$10:$D$1534,C88)</f>
        <v>90000</v>
      </c>
      <c r="E88" s="561">
        <f>SUMIFS(Пр.5!H$10:H$1534,Пр.5!$D$10:$D$1534,$C88)</f>
        <v>0</v>
      </c>
      <c r="F88" s="562">
        <f>SUMIFS(Пр.5!I$10:I$1534,Пр.5!$D$10:$D$1534,$C88)</f>
        <v>90000</v>
      </c>
      <c r="G88" s="562">
        <f>SUMIFS(Пр.5!J$10:J$1534,Пр.5!$D$10:$D$1534,$C88)</f>
        <v>90000</v>
      </c>
    </row>
    <row r="89" spans="1:7" s="474" customFormat="1" ht="48" thickBot="1">
      <c r="A89" s="505"/>
      <c r="B89" s="554" t="str">
        <f>IF(C89&gt;0,VLOOKUP(C89,Программа!A$2:B$5063,2))</f>
        <v>Муниципальная программа "Повышение эффективности управления муниципальными финансами"</v>
      </c>
      <c r="C89" s="555" t="s">
        <v>2795</v>
      </c>
      <c r="D89" s="556">
        <f>SUMIFS(Пр.5!G$10:G$1534,Пр.5!$D$10:$D$1534,C89)</f>
        <v>38974025</v>
      </c>
      <c r="E89" s="556">
        <f>SUMIFS(Пр.5!H$10:H$1534,Пр.5!$D$10:$D$1534,$C89)</f>
        <v>-204907</v>
      </c>
      <c r="F89" s="557">
        <f>SUMIFS(Пр.5!I$10:I$1534,Пр.5!$D$10:$D$1534,$C89)</f>
        <v>38769118</v>
      </c>
      <c r="G89" s="557">
        <f>SUMIFS(Пр.5!J$10:J$1534,Пр.5!$D$10:$D$1534,$C89)</f>
        <v>37914013</v>
      </c>
    </row>
    <row r="90" spans="1:7" ht="16.5" thickBot="1">
      <c r="A90" s="487"/>
      <c r="B90" s="492" t="str">
        <f>IF(C90&gt;0,VLOOKUP(C90,Программа!A$2:B$5063,2))</f>
        <v>Совершенствование межбюджетных отношений</v>
      </c>
      <c r="C90" s="548" t="s">
        <v>2796</v>
      </c>
      <c r="D90" s="490">
        <f>SUMIFS(Пр.5!G$10:G$1534,Пр.5!$D$10:$D$1534,C90)</f>
        <v>20748000</v>
      </c>
      <c r="E90" s="490">
        <f>SUMIFS(Пр.5!H$10:H$1534,Пр.5!$D$10:$D$1534,$C90)</f>
        <v>0</v>
      </c>
      <c r="F90" s="558">
        <f>SUMIFS(Пр.5!I$10:I$1534,Пр.5!$D$10:$D$1534,$C90)</f>
        <v>20748000</v>
      </c>
      <c r="G90" s="558">
        <f>SUMIFS(Пр.5!J$10:J$1534,Пр.5!$D$10:$D$1534,$C90)</f>
        <v>20007000</v>
      </c>
    </row>
    <row r="91" spans="1:7" ht="32.25" thickBot="1">
      <c r="A91" s="487"/>
      <c r="B91" s="492" t="str">
        <f>IF(C91&gt;0,VLOOKUP(C91,Программа!A$2:B$5063,2))</f>
        <v xml:space="preserve">Повышение эффективности управления муниципальным долгом </v>
      </c>
      <c r="C91" s="548" t="s">
        <v>2798</v>
      </c>
      <c r="D91" s="490">
        <f>SUMIFS(Пр.5!G$10:G$1534,Пр.5!$D$10:$D$1534,C91)</f>
        <v>1800000</v>
      </c>
      <c r="E91" s="490">
        <f>SUMIFS(Пр.5!H$10:H$1534,Пр.5!$D$10:$D$1534,$C91)</f>
        <v>0</v>
      </c>
      <c r="F91" s="558">
        <f>SUMIFS(Пр.5!I$10:I$1534,Пр.5!$D$10:$D$1534,$C91)</f>
        <v>1800000</v>
      </c>
      <c r="G91" s="558">
        <f>SUMIFS(Пр.5!J$10:J$1534,Пр.5!$D$10:$D$1534,$C91)</f>
        <v>1760327</v>
      </c>
    </row>
    <row r="92" spans="1:7" s="475" customFormat="1" ht="48" thickBot="1">
      <c r="A92" s="506"/>
      <c r="B92" s="491" t="str">
        <f>IF(C92&gt;0,VLOOKUP(C92,Программа!A$2:B$5063,2))</f>
        <v>Ведомственная целевая программа департамента финансов администрации Тутаевского муниципального района</v>
      </c>
      <c r="C92" s="547" t="s">
        <v>2800</v>
      </c>
      <c r="D92" s="543">
        <f>SUMIFS(Пр.5!G$10:G$1534,Пр.5!$D$10:$D$1534,C92)</f>
        <v>16186025</v>
      </c>
      <c r="E92" s="490">
        <f>SUMIFS(Пр.5!H$10:H$1534,Пр.5!$D$10:$D$1534,$C92)</f>
        <v>-204907</v>
      </c>
      <c r="F92" s="558">
        <f>SUMIFS(Пр.5!I$10:I$1534,Пр.5!$D$10:$D$1534,$C92)</f>
        <v>15981118</v>
      </c>
      <c r="G92" s="558">
        <f>SUMIFS(Пр.5!J$10:J$1534,Пр.5!$D$10:$D$1534,$C92)</f>
        <v>15906686</v>
      </c>
    </row>
    <row r="93" spans="1:7" ht="16.5" thickBot="1">
      <c r="A93" s="487"/>
      <c r="B93" s="492" t="str">
        <f>IF(C93&gt;0,VLOOKUP(C93,Программа!A$2:B$5063,2))</f>
        <v>Обеспечение деятельности финансового органа</v>
      </c>
      <c r="C93" s="548" t="s">
        <v>2829</v>
      </c>
      <c r="D93" s="490">
        <f>SUMIFS(Пр.5!G$10:G$1534,Пр.5!$D$10:$D$1534,C93)</f>
        <v>16186025</v>
      </c>
      <c r="E93" s="490">
        <f>SUMIFS(Пр.5!H$10:H$1534,Пр.5!$D$10:$D$1534,$C93)</f>
        <v>-204907</v>
      </c>
      <c r="F93" s="558">
        <f>SUMIFS(Пр.5!I$10:I$1534,Пр.5!$D$10:$D$1534,$C93)</f>
        <v>15981118</v>
      </c>
      <c r="G93" s="558">
        <f>SUMIFS(Пр.5!J$10:J$1534,Пр.5!$D$10:$D$1534,$C93)</f>
        <v>15906686</v>
      </c>
    </row>
    <row r="94" spans="1:7" s="475" customFormat="1" ht="48" thickBot="1">
      <c r="A94" s="506"/>
      <c r="B94" s="491" t="str">
        <f>IF(C94&gt;0,VLOOKUP(C94,Программа!A$2:B$5063,2))</f>
        <v>Муниципальная целевая программа "Развитие системы муниципальных закупок в Тутаевском муниципальном районе"</v>
      </c>
      <c r="C94" s="547" t="s">
        <v>2801</v>
      </c>
      <c r="D94" s="543">
        <f>SUMIFS(Пр.5!G$10:G$1534,Пр.5!$D$10:$D$1534,C94)</f>
        <v>240000</v>
      </c>
      <c r="E94" s="490">
        <f>SUMIFS(Пр.5!H$10:H$1534,Пр.5!$D$10:$D$1534,$C94)</f>
        <v>0</v>
      </c>
      <c r="F94" s="558">
        <f>SUMIFS(Пр.5!I$10:I$1534,Пр.5!$D$10:$D$1534,$C94)</f>
        <v>240000</v>
      </c>
      <c r="G94" s="558">
        <f>SUMIFS(Пр.5!J$10:J$1534,Пр.5!$D$10:$D$1534,$C94)</f>
        <v>240000</v>
      </c>
    </row>
    <row r="95" spans="1:7" ht="48" thickBot="1">
      <c r="A95" s="487"/>
      <c r="B95" s="559" t="str">
        <f>IF(C95&gt;0,VLOOKUP(C95,Программа!A$2:B$5063,2))</f>
        <v xml:space="preserve">Организация системы подготовки, планирования, сопровождения и осуществления муниципальных закупок </v>
      </c>
      <c r="C95" s="567" t="s">
        <v>2830</v>
      </c>
      <c r="D95" s="561">
        <f>SUMIFS(Пр.5!G$10:G$1534,Пр.5!$D$10:$D$1534,C95)</f>
        <v>240000</v>
      </c>
      <c r="E95" s="561">
        <f>SUMIFS(Пр.5!H$10:H$1534,Пр.5!$D$10:$D$1534,$C95)</f>
        <v>0</v>
      </c>
      <c r="F95" s="562">
        <f>SUMIFS(Пр.5!I$10:I$1534,Пр.5!$D$10:$D$1534,$C95)</f>
        <v>240000</v>
      </c>
      <c r="G95" s="562">
        <f>SUMIFS(Пр.5!J$10:J$1534,Пр.5!$D$10:$D$1534,$C95)</f>
        <v>240000</v>
      </c>
    </row>
    <row r="96" spans="1:7" s="474" customFormat="1" ht="32.25" thickBot="1">
      <c r="A96" s="505"/>
      <c r="B96" s="554" t="str">
        <f>IF(C96&gt;0,VLOOKUP(C96,Программа!A$2:B$5063,2))</f>
        <v>Программа развития муниципальной службы в Тутаевском муниципальном районе</v>
      </c>
      <c r="C96" s="568" t="s">
        <v>2836</v>
      </c>
      <c r="D96" s="556">
        <f>SUMIFS(Пр.5!G$10:G$1534,Пр.5!$D$10:$D$1534,C96)</f>
        <v>50000</v>
      </c>
      <c r="E96" s="556">
        <f>SUMIFS(Пр.5!H$10:H$1534,Пр.5!$D$10:$D$1534,$C96)</f>
        <v>-13050</v>
      </c>
      <c r="F96" s="557">
        <f>SUMIFS(Пр.5!I$10:I$1534,Пр.5!$D$10:$D$1534,$C96)</f>
        <v>36950</v>
      </c>
      <c r="G96" s="557">
        <f>SUMIFS(Пр.5!J$10:J$1534,Пр.5!$D$10:$D$1534,$C96)</f>
        <v>36950</v>
      </c>
    </row>
    <row r="97" spans="1:7" ht="32.25" thickBot="1">
      <c r="A97" s="487"/>
      <c r="B97" s="559" t="str">
        <f>IF(C97&gt;0,VLOOKUP(C97,Программа!A$2:B$5063,2))</f>
        <v>Мероприятия по повышению квалификации  муниципальных служащих</v>
      </c>
      <c r="C97" s="567" t="s">
        <v>2837</v>
      </c>
      <c r="D97" s="561">
        <f>SUMIFS(Пр.5!G$10:G$1534,Пр.5!$D$10:$D$1534,C97)</f>
        <v>50000</v>
      </c>
      <c r="E97" s="561">
        <f>SUMIFS(Пр.5!H$10:H$1534,Пр.5!$D$10:$D$1534,$C97)</f>
        <v>-13050</v>
      </c>
      <c r="F97" s="562">
        <f>SUMIFS(Пр.5!I$10:I$1534,Пр.5!$D$10:$D$1534,$C97)</f>
        <v>36950</v>
      </c>
      <c r="G97" s="562">
        <f>SUMIFS(Пр.5!J$10:J$1534,Пр.5!$D$10:$D$1534,$C97)</f>
        <v>36950</v>
      </c>
    </row>
    <row r="98" spans="1:7" s="474" customFormat="1" ht="54" customHeight="1" thickBot="1">
      <c r="A98" s="505"/>
      <c r="B98" s="554" t="str">
        <f>IF(C98&gt;0,VLOOKUP(C98,Программа!A$2:B$5063,2))</f>
        <v>Муниципальная программа "Информатизация управленческой деятельности Администрации Тутаевского муниципального района"</v>
      </c>
      <c r="C98" s="568" t="s">
        <v>2838</v>
      </c>
      <c r="D98" s="556">
        <f>SUMIFS(Пр.5!G$10:G$1534,Пр.5!$D$10:$D$1534,C98)</f>
        <v>2884430</v>
      </c>
      <c r="E98" s="556">
        <f>SUMIFS(Пр.5!H$10:H$1534,Пр.5!$D$10:$D$1534,$C98)</f>
        <v>-240838</v>
      </c>
      <c r="F98" s="557">
        <f>SUMIFS(Пр.5!I$10:I$1534,Пр.5!$D$10:$D$1534,$C98)</f>
        <v>2643592</v>
      </c>
      <c r="G98" s="557">
        <f>SUMIFS(Пр.5!J$10:J$1534,Пр.5!$D$10:$D$1534,$C98)</f>
        <v>2455579</v>
      </c>
    </row>
    <row r="99" spans="1:7" ht="32.25" thickBot="1">
      <c r="A99" s="487"/>
      <c r="B99" s="492" t="str">
        <f>IF(C99&gt;0,VLOOKUP(C99,Программа!A$2:B$5063,2))</f>
        <v>Обеспечение бесперебойного функционирования  программного обеспечения</v>
      </c>
      <c r="C99" s="548" t="s">
        <v>2839</v>
      </c>
      <c r="D99" s="490">
        <f>SUMIFS(Пр.5!G$10:G$1534,Пр.5!$D$10:$D$1534,C99)</f>
        <v>1599963</v>
      </c>
      <c r="E99" s="490">
        <f>SUMIFS(Пр.5!H$10:H$1534,Пр.5!$D$10:$D$1534,$C99)</f>
        <v>-138652</v>
      </c>
      <c r="F99" s="558">
        <f>SUMIFS(Пр.5!I$10:I$1534,Пр.5!$D$10:$D$1534,$C99)</f>
        <v>1461311</v>
      </c>
      <c r="G99" s="558">
        <f>SUMIFS(Пр.5!J$10:J$1534,Пр.5!$D$10:$D$1534,$C99)</f>
        <v>1376298</v>
      </c>
    </row>
    <row r="100" spans="1:7" ht="48" thickBot="1">
      <c r="A100" s="487"/>
      <c r="B100" s="559" t="str">
        <f>IF(C100&gt;0,VLOOKUP(C100,Программа!A$2:B$5063,2))</f>
        <v>Закупка компьютерного оборудования  и оргтехники для бесперебойного обеспечения деятельности органов местного самоуправления</v>
      </c>
      <c r="C100" s="567" t="s">
        <v>2847</v>
      </c>
      <c r="D100" s="561">
        <f>SUMIFS(Пр.5!G$10:G$1534,Пр.5!$D$10:$D$1534,C100)</f>
        <v>1284467</v>
      </c>
      <c r="E100" s="561">
        <f>SUMIFS(Пр.5!H$10:H$1534,Пр.5!$D$10:$D$1534,$C100)</f>
        <v>-102186</v>
      </c>
      <c r="F100" s="562">
        <f>SUMIFS(Пр.5!I$10:I$1534,Пр.5!$D$10:$D$1534,$C100)</f>
        <v>1182281</v>
      </c>
      <c r="G100" s="562">
        <f>SUMIFS(Пр.5!J$10:J$1534,Пр.5!$D$10:$D$1534,$C100)</f>
        <v>1079281</v>
      </c>
    </row>
    <row r="101" spans="1:7" s="474" customFormat="1" ht="79.5" thickBot="1">
      <c r="A101" s="505"/>
      <c r="B101" s="554" t="str">
        <f>IF(C101&gt;0,VLOOKUP(C101,Программа!A$2:B$5063,2))</f>
        <v>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v>
      </c>
      <c r="C101" s="568" t="s">
        <v>2840</v>
      </c>
      <c r="D101" s="556">
        <f>SUMIFS(Пр.5!G$10:G$1534,Пр.5!$D$10:$D$1534,C101)</f>
        <v>1191949</v>
      </c>
      <c r="E101" s="556">
        <f>SUMIFS(Пр.5!H$10:H$1534,Пр.5!$D$10:$D$1534,$C101)</f>
        <v>0</v>
      </c>
      <c r="F101" s="557">
        <f>SUMIFS(Пр.5!I$10:I$1534,Пр.5!$D$10:$D$1534,$C101)</f>
        <v>1191949</v>
      </c>
      <c r="G101" s="557">
        <f>SUMIFS(Пр.5!J$10:J$1534,Пр.5!$D$10:$D$1534,$C101)</f>
        <v>1191949</v>
      </c>
    </row>
    <row r="102" spans="1:7" ht="48" thickBot="1">
      <c r="A102" s="487"/>
      <c r="B102" s="559" t="str">
        <f>IF(C102&gt;0,VLOOKUP(C102,Программа!A$2:B$5063,2))</f>
        <v>Размещение форм поддержки деятельности социально ориентированных некоммерческих организаций в средствах массовой информации</v>
      </c>
      <c r="C102" s="567" t="s">
        <v>2841</v>
      </c>
      <c r="D102" s="561">
        <f>SUMIFS(Пр.5!G$10:G$1534,Пр.5!$D$10:$D$1534,C102)</f>
        <v>1191949</v>
      </c>
      <c r="E102" s="561">
        <f>SUMIFS(Пр.5!H$10:H$1534,Пр.5!$D$10:$D$1534,$C102)</f>
        <v>0</v>
      </c>
      <c r="F102" s="562">
        <f>SUMIFS(Пр.5!I$10:I$1534,Пр.5!$D$10:$D$1534,$C102)</f>
        <v>1191949</v>
      </c>
      <c r="G102" s="562">
        <f>SUMIFS(Пр.5!J$10:J$1534,Пр.5!$D$10:$D$1534,$C102)</f>
        <v>1191949</v>
      </c>
    </row>
    <row r="103" spans="1:7" ht="48" hidden="1" customHeight="1" thickBot="1">
      <c r="A103" s="489" t="s">
        <v>2416</v>
      </c>
      <c r="B103" s="569" t="str">
        <f>IF(C103&gt;0,VLOOKUP(C103,Программа!A$2:B$5063,2))</f>
        <v xml:space="preserve">Стимулирование развития деятельности социально ориентированных некоммерческих организаций </v>
      </c>
      <c r="C103" s="570" t="s">
        <v>2844</v>
      </c>
      <c r="D103" s="571">
        <f>SUMIFS(Пр.5!G$10:G$1534,Пр.5!$D$10:$D$1534,C103)</f>
        <v>0</v>
      </c>
      <c r="E103" s="571">
        <f>SUMIFS(Пр.5!H$10:H$1534,Пр.5!$D$10:$D$1534,$C103)</f>
        <v>0</v>
      </c>
      <c r="F103" s="571">
        <f>SUMIFS(Пр.5!I$10:I$1534,Пр.5!$D$10:$D$1534,$C103)</f>
        <v>0</v>
      </c>
      <c r="G103" s="571">
        <f>SUMIFS(Пр.5!J$10:J$1534,Пр.5!$D$10:$D$1534,$C103)</f>
        <v>0</v>
      </c>
    </row>
    <row r="104" spans="1:7" s="474" customFormat="1" ht="63.75" thickBot="1">
      <c r="A104" s="505" t="s">
        <v>2417</v>
      </c>
      <c r="B104" s="554" t="str">
        <f>IF(C104&gt;0,VLOOKUP(C104,Программа!A$2:B$5063,2))</f>
        <v>Муниципальная программа "Профилактика правонарушений и усиление борьбы с преступностью в Тутаевском муниципальном районе"</v>
      </c>
      <c r="C104" s="568" t="s">
        <v>2833</v>
      </c>
      <c r="D104" s="556">
        <f>SUMIFS(Пр.5!G$10:G$1534,Пр.5!$D$10:$D$1534,C104)</f>
        <v>296000</v>
      </c>
      <c r="E104" s="556">
        <f>SUMIFS(Пр.5!H$10:H$1534,Пр.5!$D$10:$D$1534,$C104)</f>
        <v>-2600</v>
      </c>
      <c r="F104" s="557">
        <f>SUMIFS(Пр.5!I$10:I$1534,Пр.5!$D$10:$D$1534,$C104)</f>
        <v>293400</v>
      </c>
      <c r="G104" s="557">
        <f>SUMIFS(Пр.5!J$10:J$1534,Пр.5!$D$10:$D$1534,$C104)</f>
        <v>291915</v>
      </c>
    </row>
    <row r="105" spans="1:7" ht="32.25" thickBot="1">
      <c r="A105" s="489" t="s">
        <v>2418</v>
      </c>
      <c r="B105" s="492" t="str">
        <f>IF(C105&gt;0,VLOOKUP(C105,Программа!A$2:B$5063,2))</f>
        <v>Реализация мероприятий по профилактике правонарушений</v>
      </c>
      <c r="C105" s="548" t="s">
        <v>2835</v>
      </c>
      <c r="D105" s="490">
        <f>SUMIFS(Пр.5!G$10:G$1534,Пр.5!$D$10:$D$1534,C105)</f>
        <v>146000</v>
      </c>
      <c r="E105" s="490">
        <f>SUMIFS(Пр.5!H$10:H$1534,Пр.5!$D$10:$D$1534,$C105)</f>
        <v>-2600</v>
      </c>
      <c r="F105" s="558">
        <f>SUMIFS(Пр.5!I$10:I$1534,Пр.5!$D$10:$D$1534,$C105)</f>
        <v>143400</v>
      </c>
      <c r="G105" s="558">
        <f>SUMIFS(Пр.5!J$10:J$1534,Пр.5!$D$10:$D$1534,$C105)</f>
        <v>143400</v>
      </c>
    </row>
    <row r="106" spans="1:7" ht="32.25" thickBot="1">
      <c r="A106" s="489"/>
      <c r="B106" s="559" t="str">
        <f>IF(C106&gt;0,VLOOKUP(C106,Программа!A$2:B$5063,2))</f>
        <v>Реализация мероприятий по деятельности народных дружин</v>
      </c>
      <c r="C106" s="567" t="s">
        <v>3016</v>
      </c>
      <c r="D106" s="561">
        <f>SUMIFS(Пр.5!G$10:G$1534,Пр.5!$D$10:$D$1534,C106)</f>
        <v>150000</v>
      </c>
      <c r="E106" s="561">
        <f>SUMIFS(Пр.5!H$10:H$1534,Пр.5!$D$10:$D$1534,$C106)</f>
        <v>0</v>
      </c>
      <c r="F106" s="562">
        <f>SUMIFS(Пр.5!I$10:I$1534,Пр.5!$D$10:$D$1534,$C106)</f>
        <v>150000</v>
      </c>
      <c r="G106" s="562">
        <f>SUMIFS(Пр.5!J$10:J$1534,Пр.5!$D$10:$D$1534,$C106)</f>
        <v>148515</v>
      </c>
    </row>
    <row r="107" spans="1:7" s="474" customFormat="1" ht="63.75" thickBot="1">
      <c r="A107" s="505" t="s">
        <v>2419</v>
      </c>
      <c r="B107" s="554" t="str">
        <f>IF(C107&gt;0,VLOOKUP(C107,Программа!A$2:B$5063,2))</f>
        <v>Муниципальная программа  "Организация перевозок автомобильным и речным транспортом на территории Тутаевского муниципального района"</v>
      </c>
      <c r="C107" s="568" t="s">
        <v>2866</v>
      </c>
      <c r="D107" s="556">
        <f>SUMIFS(Пр.5!G$10:G$1534,Пр.5!$D$10:$D$1534,C107)</f>
        <v>26920942</v>
      </c>
      <c r="E107" s="556">
        <f>SUMIFS(Пр.5!H$10:H$1534,Пр.5!$D$10:$D$1534,$C107)</f>
        <v>206427</v>
      </c>
      <c r="F107" s="557">
        <f>SUMIFS(Пр.5!I$10:I$1534,Пр.5!$D$10:$D$1534,$C107)</f>
        <v>27127369</v>
      </c>
      <c r="G107" s="557">
        <f>SUMIFS(Пр.5!J$10:J$1534,Пр.5!$D$10:$D$1534,$C107)</f>
        <v>21732530</v>
      </c>
    </row>
    <row r="108" spans="1:7" ht="63.75" thickBot="1">
      <c r="A108" s="487" t="s">
        <v>2544</v>
      </c>
      <c r="B108" s="492" t="str">
        <f>IF(C108&gt;0,VLOOKUP(C108,Программа!A$2:B$5063,2))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548" t="s">
        <v>2867</v>
      </c>
      <c r="D108" s="490">
        <f>SUMIFS(Пр.5!G$10:G$1534,Пр.5!$D$10:$D$1534,C108)</f>
        <v>42478</v>
      </c>
      <c r="E108" s="490">
        <f>SUMIFS(Пр.5!H$10:H$1534,Пр.5!$D$10:$D$1534,$C108)</f>
        <v>3790</v>
      </c>
      <c r="F108" s="558">
        <f>SUMIFS(Пр.5!I$10:I$1534,Пр.5!$D$10:$D$1534,$C108)</f>
        <v>46268</v>
      </c>
      <c r="G108" s="558">
        <f>SUMIFS(Пр.5!J$10:J$1534,Пр.5!$D$10:$D$1534,$C108)</f>
        <v>17207</v>
      </c>
    </row>
    <row r="109" spans="1:7" ht="63.75" thickBot="1">
      <c r="A109" s="487" t="s">
        <v>2545</v>
      </c>
      <c r="B109" s="492" t="str">
        <f>IF(C109&gt;0,VLOOKUP(C109,Программа!A$2:B$5063,2))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548" t="s">
        <v>2868</v>
      </c>
      <c r="D109" s="490">
        <f>SUMIFS(Пр.5!G$10:G$1534,Пр.5!$D$10:$D$1534,C109)</f>
        <v>195464</v>
      </c>
      <c r="E109" s="490">
        <f>SUMIFS(Пр.5!H$10:H$1534,Пр.5!$D$10:$D$1534,$C109)</f>
        <v>202637</v>
      </c>
      <c r="F109" s="558">
        <f>SUMIFS(Пр.5!I$10:I$1534,Пр.5!$D$10:$D$1534,$C109)</f>
        <v>398101</v>
      </c>
      <c r="G109" s="558">
        <f>SUMIFS(Пр.5!J$10:J$1534,Пр.5!$D$10:$D$1534,$C109)</f>
        <v>340270</v>
      </c>
    </row>
    <row r="110" spans="1:7" ht="48.75" customHeight="1" thickBot="1">
      <c r="A110" s="487" t="s">
        <v>2546</v>
      </c>
      <c r="B110" s="492" t="str">
        <f>IF(C110&gt;0,VLOOKUP(C110,Программа!A$2:B$5063,2))</f>
        <v>Организация предоставления транспортных услуг по перевозке пассажиров автомобильным транспортом, транспортом общего пользования</v>
      </c>
      <c r="C110" s="548" t="s">
        <v>2869</v>
      </c>
      <c r="D110" s="490">
        <f>SUMIFS(Пр.5!G$10:G$1534,Пр.5!$D$10:$D$1534,C110)</f>
        <v>19510000</v>
      </c>
      <c r="E110" s="490">
        <f>SUMIFS(Пр.5!H$10:H$1534,Пр.5!$D$10:$D$1534,$C110)</f>
        <v>0</v>
      </c>
      <c r="F110" s="558">
        <f>SUMIFS(Пр.5!I$10:I$1534,Пр.5!$D$10:$D$1534,$C110)</f>
        <v>19510000</v>
      </c>
      <c r="G110" s="558">
        <f>SUMIFS(Пр.5!J$10:J$1534,Пр.5!$D$10:$D$1534,$C110)</f>
        <v>16593453</v>
      </c>
    </row>
    <row r="111" spans="1:7" ht="42" customHeight="1" thickBot="1">
      <c r="A111" s="487"/>
      <c r="B111" s="559" t="s">
        <v>3094</v>
      </c>
      <c r="C111" s="567" t="s">
        <v>3022</v>
      </c>
      <c r="D111" s="561">
        <f>SUMIFS(Пр.5!G$10:G$1534,Пр.5!$D$10:$D$1534,C111)</f>
        <v>7173000</v>
      </c>
      <c r="E111" s="561">
        <f>SUMIFS(Пр.5!H$10:H$1534,Пр.5!$D$10:$D$1534,$C111)</f>
        <v>0</v>
      </c>
      <c r="F111" s="562">
        <f>SUMIFS(Пр.5!I$10:I$1534,Пр.5!$D$10:$D$1534,$C111)</f>
        <v>7173000</v>
      </c>
      <c r="G111" s="562">
        <f>SUMIFS(Пр.5!J$10:J$1534,Пр.5!$D$10:$D$1534,$C111)</f>
        <v>4781600</v>
      </c>
    </row>
    <row r="112" spans="1:7" s="474" customFormat="1" ht="48" customHeight="1" thickBot="1">
      <c r="A112" s="536" t="s">
        <v>2069</v>
      </c>
      <c r="B112" s="554" t="str">
        <f>IF(C112&gt;0,VLOOKUP(C112,Программа!A$2:B$5063,2))</f>
        <v>Муниципальная программа  "Развитие жилищного хозяйства Тутаевского муниципального района"</v>
      </c>
      <c r="C112" s="572" t="s">
        <v>2746</v>
      </c>
      <c r="D112" s="556">
        <f>SUMIFS(Пр.5!G$10:G$1534,Пр.5!$D$10:$D$1534,C112)</f>
        <v>10102463</v>
      </c>
      <c r="E112" s="556">
        <f>SUMIFS(Пр.5!H$10:H$1534,Пр.5!$D$10:$D$1534,$C112)</f>
        <v>-2876283</v>
      </c>
      <c r="F112" s="557">
        <f>SUMIFS(Пр.5!I$10:I$1534,Пр.5!$D$10:$D$1534,$C112)</f>
        <v>7226180</v>
      </c>
      <c r="G112" s="557">
        <f>SUMIFS(Пр.5!J$10:J$1534,Пр.5!$D$10:$D$1534,$C112)</f>
        <v>4434439</v>
      </c>
    </row>
    <row r="113" spans="1:7" s="475" customFormat="1" ht="63.75" customHeight="1" thickBot="1">
      <c r="A113" s="506" t="s">
        <v>2420</v>
      </c>
      <c r="B113" s="491" t="str">
        <f>IF(C113&gt;0,VLOOKUP(C113,Программа!A$2:B$5063,2))</f>
        <v>Муниципальная целевая программа "Развитие  лифтового хозяйства на территории городского поселения Тутаев Тутаевского муниципального района"</v>
      </c>
      <c r="C113" s="549" t="s">
        <v>2748</v>
      </c>
      <c r="D113" s="543">
        <f>SUMIFS(Пр.5!G$10:G$1534,Пр.5!$D$10:$D$1534,C113)</f>
        <v>7200000</v>
      </c>
      <c r="E113" s="490">
        <f>SUMIFS(Пр.5!H$10:H$1534,Пр.5!$D$10:$D$1534,$C113)</f>
        <v>-2876283</v>
      </c>
      <c r="F113" s="558">
        <f>SUMIFS(Пр.5!I$10:I$1534,Пр.5!$D$10:$D$1534,$C113)</f>
        <v>4323717</v>
      </c>
      <c r="G113" s="558">
        <f>SUMIFS(Пр.5!J$10:J$1534,Пр.5!$D$10:$D$1534,$C113)</f>
        <v>3935915</v>
      </c>
    </row>
    <row r="114" spans="1:7" ht="32.25" customHeight="1" thickBot="1">
      <c r="A114" s="487" t="s">
        <v>2547</v>
      </c>
      <c r="B114" s="492" t="str">
        <f>IF(C114&gt;0,VLOOKUP(C114,Программа!A$2:B$5063,2))</f>
        <v>Обеспечение мероприятий по восстановлению лифтового хозяйства многоквартирных домов</v>
      </c>
      <c r="C114" s="500" t="s">
        <v>2760</v>
      </c>
      <c r="D114" s="490">
        <f>SUMIFS(Пр.5!G$10:G$1534,Пр.5!$D$10:$D$1534,C114)</f>
        <v>7200000</v>
      </c>
      <c r="E114" s="490">
        <f>SUMIFS(Пр.5!H$10:H$1534,Пр.5!$D$10:$D$1534,$C114)</f>
        <v>-2876283</v>
      </c>
      <c r="F114" s="558">
        <f>SUMIFS(Пр.5!I$10:I$1534,Пр.5!$D$10:$D$1534,$C114)</f>
        <v>4323717</v>
      </c>
      <c r="G114" s="558">
        <f>SUMIFS(Пр.5!J$10:J$1534,Пр.5!$D$10:$D$1534,$C114)</f>
        <v>3935915</v>
      </c>
    </row>
    <row r="115" spans="1:7" s="475" customFormat="1" ht="48" customHeight="1" thickBot="1">
      <c r="A115" s="506" t="s">
        <v>2548</v>
      </c>
      <c r="B115" s="491" t="str">
        <f>IF(C115&gt;0,VLOOKUP(C115,Программа!A$2:B$5063,2))</f>
        <v>Муниципальная целевая программа "Ремонт и содержание муниципального жилищного фонда   Тутаевского муниципального района"</v>
      </c>
      <c r="C115" s="549" t="s">
        <v>2870</v>
      </c>
      <c r="D115" s="543">
        <f>SUMIFS(Пр.5!G$10:G$1534,Пр.5!$D$10:$D$1534,C115)</f>
        <v>2902463</v>
      </c>
      <c r="E115" s="490">
        <f>SUMIFS(Пр.5!H$10:H$1534,Пр.5!$D$10:$D$1534,$C115)</f>
        <v>0</v>
      </c>
      <c r="F115" s="558">
        <f>SUMIFS(Пр.5!I$10:I$1534,Пр.5!$D$10:$D$1534,$C115)</f>
        <v>2902463</v>
      </c>
      <c r="G115" s="558">
        <f>SUMIFS(Пр.5!J$10:J$1534,Пр.5!$D$10:$D$1534,$C115)</f>
        <v>498524</v>
      </c>
    </row>
    <row r="116" spans="1:7" ht="32.25" customHeight="1" thickBot="1">
      <c r="A116" s="489" t="s">
        <v>291</v>
      </c>
      <c r="B116" s="492" t="str">
        <f>IF(C116&gt;0,VLOOKUP(C116,Программа!A$2:B$5063,2))</f>
        <v>Обеспечение мероприятий по замене приборов учета в муниципальном жилищном фонде</v>
      </c>
      <c r="C116" s="500" t="s">
        <v>2871</v>
      </c>
      <c r="D116" s="490">
        <f>SUMIFS(Пр.5!G$10:G$1534,Пр.5!$D$10:$D$1534,C116)</f>
        <v>150000</v>
      </c>
      <c r="E116" s="490">
        <f>SUMIFS(Пр.5!H$10:H$1534,Пр.5!$D$10:$D$1534,$C116)</f>
        <v>0</v>
      </c>
      <c r="F116" s="558">
        <f>SUMIFS(Пр.5!I$10:I$1534,Пр.5!$D$10:$D$1534,$C116)</f>
        <v>150000</v>
      </c>
      <c r="G116" s="558">
        <f>SUMIFS(Пр.5!J$10:J$1534,Пр.5!$D$10:$D$1534,$C116)</f>
        <v>120483</v>
      </c>
    </row>
    <row r="117" spans="1:7" ht="32.25" customHeight="1" thickBot="1">
      <c r="A117" s="487" t="s">
        <v>2421</v>
      </c>
      <c r="B117" s="492" t="str">
        <f>IF(C117&gt;0,VLOOKUP(C117,Программа!A$2:B$5063,2))</f>
        <v>Обеспечение мероприятий по ремонту общедомового имущества</v>
      </c>
      <c r="C117" s="500" t="s">
        <v>2872</v>
      </c>
      <c r="D117" s="490">
        <f>SUMIFS(Пр.5!G$10:G$1534,Пр.5!$D$10:$D$1534,C117)</f>
        <v>1914079</v>
      </c>
      <c r="E117" s="490">
        <f>SUMIFS(Пр.5!H$10:H$1534,Пр.5!$D$10:$D$1534,$C117)</f>
        <v>0</v>
      </c>
      <c r="F117" s="558">
        <f>SUMIFS(Пр.5!I$10:I$1534,Пр.5!$D$10:$D$1534,$C117)</f>
        <v>1914079</v>
      </c>
      <c r="G117" s="558">
        <f>SUMIFS(Пр.5!J$10:J$1534,Пр.5!$D$10:$D$1534,$C117)</f>
        <v>287128</v>
      </c>
    </row>
    <row r="118" spans="1:7" ht="32.25" customHeight="1" thickBot="1">
      <c r="A118" s="489" t="s">
        <v>292</v>
      </c>
      <c r="B118" s="559" t="str">
        <f>IF(C118&gt;0,VLOOKUP(C118,Программа!A$2:B$5063,2))</f>
        <v>Обеспечение мероприятий по ремонту муниципавльных квартир</v>
      </c>
      <c r="C118" s="573" t="s">
        <v>2873</v>
      </c>
      <c r="D118" s="561">
        <f>SUMIFS(Пр.5!G$10:G$1534,Пр.5!$D$10:$D$1534,C118)</f>
        <v>838384</v>
      </c>
      <c r="E118" s="561">
        <f>SUMIFS(Пр.5!H$10:H$1534,Пр.5!$D$10:$D$1534,$C118)</f>
        <v>0</v>
      </c>
      <c r="F118" s="562">
        <f>SUMIFS(Пр.5!I$10:I$1534,Пр.5!$D$10:$D$1534,$C118)</f>
        <v>838384</v>
      </c>
      <c r="G118" s="562">
        <f>SUMIFS(Пр.5!J$10:J$1534,Пр.5!$D$10:$D$1534,$C118)</f>
        <v>90913</v>
      </c>
    </row>
    <row r="119" spans="1:7" s="474" customFormat="1" ht="48" customHeight="1" thickBot="1">
      <c r="A119" s="505"/>
      <c r="B119" s="554" t="str">
        <f>IF(C119&gt;0,VLOOKUP(C119,Программа!A$2:B$5063,2))</f>
        <v>Муниципальная программа "Благоустройство  и санитарно-эпидемиологическая безопасность  Тутаевского муниципального района</v>
      </c>
      <c r="C119" s="572" t="s">
        <v>2750</v>
      </c>
      <c r="D119" s="556">
        <f>SUMIFS(Пр.5!G$10:G$1534,Пр.5!$D$10:$D$1534,C119)</f>
        <v>34334218.160000004</v>
      </c>
      <c r="E119" s="556">
        <f>SUMIFS(Пр.5!H$10:H$1534,Пр.5!$D$10:$D$1534,$C119)</f>
        <v>2822398</v>
      </c>
      <c r="F119" s="557">
        <f>SUMIFS(Пр.5!I$10:I$1534,Пр.5!$D$10:$D$1534,$C119)</f>
        <v>37156616.159999996</v>
      </c>
      <c r="G119" s="557">
        <f>SUMIFS(Пр.5!J$10:J$1534,Пр.5!$D$10:$D$1534,$C119)</f>
        <v>25233422</v>
      </c>
    </row>
    <row r="120" spans="1:7" s="475" customFormat="1" ht="48" customHeight="1" thickBot="1">
      <c r="A120" s="506"/>
      <c r="B120" s="491" t="str">
        <f>IF(C120&gt;0,VLOOKUP(C120,Программа!A$2:B$5063,2))</f>
        <v>Муниципальная целевая программа "Организация и развитие ритуальных услуг и мест захоронения в Тутаевском муниципальном районе"</v>
      </c>
      <c r="C120" s="549" t="s">
        <v>2751</v>
      </c>
      <c r="D120" s="543">
        <f>SUMIFS(Пр.5!G$10:G$1534,Пр.5!$D$10:$D$1534,C120)</f>
        <v>1100000</v>
      </c>
      <c r="E120" s="490">
        <f>SUMIFS(Пр.5!H$10:H$1534,Пр.5!$D$10:$D$1534,$C120)</f>
        <v>0</v>
      </c>
      <c r="F120" s="558">
        <f>SUMIFS(Пр.5!I$10:I$1534,Пр.5!$D$10:$D$1534,$C120)</f>
        <v>1100000</v>
      </c>
      <c r="G120" s="558">
        <f>SUMIFS(Пр.5!J$10:J$1534,Пр.5!$D$10:$D$1534,$C120)</f>
        <v>857717</v>
      </c>
    </row>
    <row r="121" spans="1:7" ht="32.25" customHeight="1" thickBot="1">
      <c r="A121" s="487"/>
      <c r="B121" s="492" t="str">
        <f>IF(C121&gt;0,VLOOKUP(C121,Программа!A$2:B$5063,2))</f>
        <v>Обеспечение комплекса работ по повышению уровня благоустройства мест погребений</v>
      </c>
      <c r="C121" s="500" t="s">
        <v>2753</v>
      </c>
      <c r="D121" s="490">
        <f>SUMIFS(Пр.5!G$10:G$1534,Пр.5!$D$10:$D$1534,C121)</f>
        <v>1100000</v>
      </c>
      <c r="E121" s="490">
        <f>SUMIFS(Пр.5!H$10:H$1534,Пр.5!$D$10:$D$1534,$C121)</f>
        <v>0</v>
      </c>
      <c r="F121" s="558">
        <f>SUMIFS(Пр.5!I$10:I$1534,Пр.5!$D$10:$D$1534,$C121)</f>
        <v>1100000</v>
      </c>
      <c r="G121" s="558">
        <f>SUMIFS(Пр.5!J$10:J$1534,Пр.5!$D$10:$D$1534,$C121)</f>
        <v>857717</v>
      </c>
    </row>
    <row r="122" spans="1:7" s="475" customFormat="1" ht="48" customHeight="1" thickBot="1">
      <c r="A122" s="506"/>
      <c r="B122" s="491" t="str">
        <f>IF(C122&gt;0,VLOOKUP(C122,Программа!A$2:B$5063,2))</f>
        <v>Муниципальная целевая программа "Благоустройство и озеленение территории  в Тутаевского муниципального  района"</v>
      </c>
      <c r="C122" s="549" t="s">
        <v>2754</v>
      </c>
      <c r="D122" s="543">
        <f>SUMIFS(Пр.5!G$10:G$1534,Пр.5!$D$10:$D$1534,C122)</f>
        <v>33234218.160000004</v>
      </c>
      <c r="E122" s="490">
        <f>SUMIFS(Пр.5!H$10:H$1534,Пр.5!$D$10:$D$1534,$C122)</f>
        <v>2822398</v>
      </c>
      <c r="F122" s="558">
        <f>SUMIFS(Пр.5!I$10:I$1534,Пр.5!$D$10:$D$1534,$C122)</f>
        <v>36056616.159999996</v>
      </c>
      <c r="G122" s="558">
        <f>SUMIFS(Пр.5!J$10:J$1534,Пр.5!$D$10:$D$1534,$C122)</f>
        <v>24375705</v>
      </c>
    </row>
    <row r="123" spans="1:7" ht="48" customHeight="1" thickBot="1">
      <c r="A123" s="487"/>
      <c r="B123" s="492" t="str">
        <f>IF(C123&gt;0,VLOOKUP(C123,Программа!A$2:B$5063,2))</f>
        <v>Улучшение уровня внешнего благоустройства и санитарного  состояния территорий Тутаевского муниципального района</v>
      </c>
      <c r="C123" s="500" t="s">
        <v>2755</v>
      </c>
      <c r="D123" s="490">
        <f>SUMIFS(Пр.5!G$10:G$1534,Пр.5!$D$10:$D$1534,C123)</f>
        <v>18393444.260000002</v>
      </c>
      <c r="E123" s="490">
        <f>SUMIFS(Пр.5!H$10:H$1534,Пр.5!$D$10:$D$1534,$C123)</f>
        <v>320265</v>
      </c>
      <c r="F123" s="558">
        <f>SUMIFS(Пр.5!I$10:I$1534,Пр.5!$D$10:$D$1534,$C123)</f>
        <v>18713709.260000002</v>
      </c>
      <c r="G123" s="558">
        <f>SUMIFS(Пр.5!J$10:J$1534,Пр.5!$D$10:$D$1534,$C123)</f>
        <v>16772753</v>
      </c>
    </row>
    <row r="124" spans="1:7" ht="35.25" customHeight="1" thickBot="1">
      <c r="A124" s="487"/>
      <c r="B124" s="492" t="str">
        <f>IF(C124&gt;0,VLOOKUP(C124,Программа!A$2:B$5063,2))</f>
        <v xml:space="preserve">Обеспечение мероприятий по совершенствованию  эстетического  состояния территорий </v>
      </c>
      <c r="C124" s="500" t="s">
        <v>2757</v>
      </c>
      <c r="D124" s="490">
        <f>SUMIFS(Пр.5!G$10:G$1534,Пр.5!$D$10:$D$1534,C124)</f>
        <v>2072680.2</v>
      </c>
      <c r="E124" s="490">
        <f>SUMIFS(Пр.5!H$10:H$1534,Пр.5!$D$10:$D$1534,$C124)</f>
        <v>0</v>
      </c>
      <c r="F124" s="558">
        <f>SUMIFS(Пр.5!I$10:I$1534,Пр.5!$D$10:$D$1534,$C124)</f>
        <v>2072680.2</v>
      </c>
      <c r="G124" s="558">
        <f>SUMIFS(Пр.5!J$10:J$1534,Пр.5!$D$10:$D$1534,$C124)</f>
        <v>2017779</v>
      </c>
    </row>
    <row r="125" spans="1:7" ht="32.25" customHeight="1" thickBot="1">
      <c r="A125" s="487"/>
      <c r="B125" s="559" t="str">
        <f>IF(C125&gt;0,VLOOKUP(C125,Программа!A$2:B$5063,2))</f>
        <v>Обеспечение мероприятий по благоустройству мест массового отдыха населения</v>
      </c>
      <c r="C125" s="573" t="s">
        <v>2758</v>
      </c>
      <c r="D125" s="561">
        <f>SUMIFS(Пр.5!G$10:G$1534,Пр.5!$D$10:$D$1534,C125)</f>
        <v>12768093.700000001</v>
      </c>
      <c r="E125" s="561">
        <f>SUMIFS(Пр.5!H$10:H$1534,Пр.5!$D$10:$D$1534,$C125)</f>
        <v>2502133</v>
      </c>
      <c r="F125" s="562">
        <f>SUMIFS(Пр.5!I$10:I$1534,Пр.5!$D$10:$D$1534,$C125)</f>
        <v>15270226.699999999</v>
      </c>
      <c r="G125" s="562">
        <f>SUMIFS(Пр.5!J$10:J$1534,Пр.5!$D$10:$D$1534,$C125)</f>
        <v>5585173</v>
      </c>
    </row>
    <row r="126" spans="1:7" s="474" customFormat="1" ht="48" customHeight="1" thickBot="1">
      <c r="A126" s="505"/>
      <c r="B126" s="565" t="str">
        <f>IF(C126&gt;0,VLOOKUP(C126,Программа!A$2:B$5063,2))</f>
        <v>Муниципальная программа "Обеспечение населения Тутаевского муниципального района банными услугами"</v>
      </c>
      <c r="C126" s="568" t="s">
        <v>2877</v>
      </c>
      <c r="D126" s="556">
        <f>SUMIFS(Пр.5!G$10:G$1534,Пр.5!$D$10:$D$1534,C126)</f>
        <v>6900000</v>
      </c>
      <c r="E126" s="556">
        <f>SUMIFS(Пр.5!H$10:H$1534,Пр.5!$D$10:$D$1534,$C126)</f>
        <v>0</v>
      </c>
      <c r="F126" s="557">
        <f>SUMIFS(Пр.5!I$10:I$1534,Пр.5!$D$10:$D$1534,$C126)</f>
        <v>6900000</v>
      </c>
      <c r="G126" s="557">
        <f>SUMIFS(Пр.5!J$10:J$1534,Пр.5!$D$10:$D$1534,$C126)</f>
        <v>6400465</v>
      </c>
    </row>
    <row r="127" spans="1:7" ht="32.25" customHeight="1" thickBot="1">
      <c r="A127" s="487"/>
      <c r="B127" s="559" t="str">
        <f>IF(C127&gt;0,VLOOKUP(C127,Программа!A$2:B$5063,2))</f>
        <v>Обеспечение населения Тутаевского муниципального района банными услугами</v>
      </c>
      <c r="C127" s="573" t="s">
        <v>2878</v>
      </c>
      <c r="D127" s="561">
        <f>SUMIFS(Пр.5!G$10:G$1534,Пр.5!$D$10:$D$1534,C127)</f>
        <v>6900000</v>
      </c>
      <c r="E127" s="561">
        <f>SUMIFS(Пр.5!H$10:H$1534,Пр.5!$D$10:$D$1534,$C127)</f>
        <v>0</v>
      </c>
      <c r="F127" s="562">
        <f>SUMIFS(Пр.5!I$10:I$1534,Пр.5!$D$10:$D$1534,$C127)</f>
        <v>6900000</v>
      </c>
      <c r="G127" s="562">
        <f>SUMIFS(Пр.5!J$10:J$1534,Пр.5!$D$10:$D$1534,$C127)</f>
        <v>6400465</v>
      </c>
    </row>
    <row r="128" spans="1:7" ht="23.25" customHeight="1" thickBot="1">
      <c r="A128" s="487"/>
      <c r="B128" s="574" t="s">
        <v>1137</v>
      </c>
      <c r="C128" s="575"/>
      <c r="D128" s="576">
        <f>D126+D119+D112+D107+D104+D101+D98+D96+D89+D78+D69+D64+D62+D48+D46+D39+D25+D10</f>
        <v>1762067458.3299999</v>
      </c>
      <c r="E128" s="576">
        <f>E126+E119+E112+E107+E104+E101+E98+E96+E89+E78+E69+E64+E62+E48+E46+E39+E25+E10</f>
        <v>68530210.780000001</v>
      </c>
      <c r="F128" s="576">
        <f>F126+F119+F112+F107+F104+F101+F98+F96+F89+F78+F69+F64+F62+F48+F46+F39+F25+F10</f>
        <v>1830597668.1100001</v>
      </c>
      <c r="G128" s="576">
        <f>G126+G119+G112+G107+G104+G101+G98+G96+G89+G78+G69+G64+G62+G48+G46+G39+G25+G10</f>
        <v>1685801382</v>
      </c>
    </row>
    <row r="129" spans="1:7" ht="24.75" customHeight="1" thickBot="1">
      <c r="A129" s="489" t="s">
        <v>2431</v>
      </c>
      <c r="B129" s="535" t="str">
        <f>IF(C129&gt;0,VLOOKUP(C129,Программа!A$2:B$5063,2))</f>
        <v>Непрограммные расходы бюджета</v>
      </c>
      <c r="C129" s="546" t="s">
        <v>2808</v>
      </c>
      <c r="D129" s="490">
        <f>SUMIFS(Пр.5!G$10:G$1534,Пр.5!$D$10:$D$1534,C129)</f>
        <v>118448848.70999999</v>
      </c>
      <c r="E129" s="490">
        <f>SUMIFS(Пр.5!H$10:H$1534,Пр.5!$D$10:$D$1534,$C129)</f>
        <v>-2722992.83</v>
      </c>
      <c r="F129" s="490">
        <f>SUMIFS(Пр.5!I$10:I$1534,Пр.5!$D$10:$D$1534,$C129)</f>
        <v>115725855.88</v>
      </c>
      <c r="G129" s="490">
        <f>SUMIFS(Пр.5!J$10:J$1534,Пр.5!$D$10:$D$1534,$C129)</f>
        <v>112380599</v>
      </c>
    </row>
    <row r="130" spans="1:7" ht="29.25" customHeight="1" thickBot="1">
      <c r="A130" s="489" t="s">
        <v>2432</v>
      </c>
      <c r="B130" s="535" t="str">
        <f>IF(C130&gt;0,VLOOKUP(C130,Программа!A$2:B$5063,2))</f>
        <v>Межбюджетные трансферты  поселениям района</v>
      </c>
      <c r="C130" s="546" t="s">
        <v>2809</v>
      </c>
      <c r="D130" s="490">
        <f>SUMIFS(Пр.5!G$10:G$1534,Пр.5!$D$10:$D$1534,C130)</f>
        <v>145996145.22</v>
      </c>
      <c r="E130" s="490">
        <f>SUMIFS(Пр.5!H$10:H$1534,Пр.5!$D$10:$D$1534,$C130)</f>
        <v>11125712.950000001</v>
      </c>
      <c r="F130" s="490">
        <f>SUMIFS(Пр.5!I$10:I$1534,Пр.5!$D$10:$D$1534,$C130)</f>
        <v>157121858.17000002</v>
      </c>
      <c r="G130" s="490">
        <f>SUMIFS(Пр.5!J$10:J$1534,Пр.5!$D$10:$D$1534,$C130)</f>
        <v>104942454</v>
      </c>
    </row>
    <row r="131" spans="1:7" ht="16.5" thickBot="1">
      <c r="A131" s="489"/>
      <c r="B131" s="539" t="s">
        <v>2435</v>
      </c>
      <c r="C131" s="550"/>
      <c r="D131" s="541">
        <f t="shared" ref="D131" si="0">D128+D129+D130</f>
        <v>2026512452.26</v>
      </c>
      <c r="E131" s="541">
        <f>E128+E129+E130</f>
        <v>76932930.900000006</v>
      </c>
      <c r="F131" s="541">
        <f>F128+F129+F130+1</f>
        <v>2103445383.1600003</v>
      </c>
      <c r="G131" s="541">
        <f>G128+G129+G130</f>
        <v>1903124435</v>
      </c>
    </row>
    <row r="132" spans="1:7">
      <c r="C132" s="236"/>
    </row>
    <row r="133" spans="1:7">
      <c r="C133" s="236"/>
    </row>
    <row r="134" spans="1:7">
      <c r="C134" s="236"/>
    </row>
    <row r="135" spans="1:7">
      <c r="C135" s="236"/>
    </row>
    <row r="136" spans="1:7">
      <c r="C136" s="236"/>
    </row>
    <row r="137" spans="1:7">
      <c r="C137" s="236"/>
    </row>
    <row r="138" spans="1:7">
      <c r="C138" s="236"/>
    </row>
    <row r="139" spans="1:7">
      <c r="C139" s="236"/>
    </row>
    <row r="140" spans="1:7">
      <c r="C140" s="236"/>
    </row>
    <row r="141" spans="1:7">
      <c r="C141" s="236"/>
    </row>
    <row r="142" spans="1:7">
      <c r="C142" s="236"/>
    </row>
    <row r="143" spans="1:7">
      <c r="C143" s="236"/>
    </row>
    <row r="144" spans="1:7">
      <c r="C144" s="236"/>
    </row>
    <row r="145" spans="3:3">
      <c r="C145" s="236"/>
    </row>
    <row r="146" spans="3:3">
      <c r="C146" s="236"/>
    </row>
    <row r="147" spans="3:3">
      <c r="C147" s="236"/>
    </row>
    <row r="148" spans="3:3">
      <c r="C148" s="236"/>
    </row>
    <row r="149" spans="3:3">
      <c r="C149" s="236"/>
    </row>
    <row r="150" spans="3:3">
      <c r="C150" s="236"/>
    </row>
    <row r="151" spans="3:3">
      <c r="C151" s="236"/>
    </row>
    <row r="152" spans="3:3">
      <c r="C152" s="236"/>
    </row>
    <row r="153" spans="3:3">
      <c r="C153" s="236"/>
    </row>
    <row r="154" spans="3:3">
      <c r="C154" s="236"/>
    </row>
    <row r="155" spans="3:3">
      <c r="C155" s="236"/>
    </row>
    <row r="156" spans="3:3">
      <c r="C156" s="236"/>
    </row>
    <row r="157" spans="3:3">
      <c r="C157" s="236"/>
    </row>
    <row r="158" spans="3:3">
      <c r="C158" s="236"/>
    </row>
    <row r="159" spans="3:3">
      <c r="C159" s="236"/>
    </row>
    <row r="160" spans="3:3">
      <c r="C160" s="236"/>
    </row>
    <row r="161" spans="3:3">
      <c r="C161" s="236"/>
    </row>
    <row r="162" spans="3:3">
      <c r="C162" s="236"/>
    </row>
    <row r="163" spans="3:3">
      <c r="C163" s="236"/>
    </row>
    <row r="164" spans="3:3">
      <c r="C164" s="236"/>
    </row>
    <row r="165" spans="3:3">
      <c r="C165" s="236"/>
    </row>
    <row r="166" spans="3:3">
      <c r="C166" s="236"/>
    </row>
    <row r="167" spans="3:3">
      <c r="C167" s="236"/>
    </row>
    <row r="168" spans="3:3">
      <c r="C168" s="236"/>
    </row>
    <row r="169" spans="3:3">
      <c r="C169" s="236"/>
    </row>
    <row r="170" spans="3:3">
      <c r="C170" s="236"/>
    </row>
    <row r="171" spans="3:3">
      <c r="C171" s="236"/>
    </row>
    <row r="172" spans="3:3">
      <c r="C172" s="236"/>
    </row>
    <row r="173" spans="3:3">
      <c r="C173" s="236"/>
    </row>
    <row r="174" spans="3:3">
      <c r="C174" s="236"/>
    </row>
    <row r="175" spans="3:3">
      <c r="C175" s="236"/>
    </row>
    <row r="176" spans="3:3">
      <c r="C176" s="236"/>
    </row>
    <row r="177" spans="3:3">
      <c r="C177" s="236"/>
    </row>
    <row r="178" spans="3:3">
      <c r="C178" s="236"/>
    </row>
    <row r="179" spans="3:3">
      <c r="C179" s="236"/>
    </row>
    <row r="180" spans="3:3">
      <c r="C180" s="236"/>
    </row>
    <row r="181" spans="3:3">
      <c r="C181" s="236"/>
    </row>
    <row r="182" spans="3:3">
      <c r="C182" s="236"/>
    </row>
    <row r="183" spans="3:3">
      <c r="C183" s="236"/>
    </row>
    <row r="184" spans="3:3">
      <c r="C184" s="236"/>
    </row>
    <row r="185" spans="3:3">
      <c r="C185" s="236"/>
    </row>
    <row r="186" spans="3:3">
      <c r="C186" s="236"/>
    </row>
    <row r="187" spans="3:3">
      <c r="C187" s="236"/>
    </row>
    <row r="188" spans="3:3">
      <c r="C188" s="236"/>
    </row>
    <row r="189" spans="3:3">
      <c r="C189" s="236"/>
    </row>
    <row r="190" spans="3:3">
      <c r="C190" s="236"/>
    </row>
    <row r="191" spans="3:3">
      <c r="C191" s="236"/>
    </row>
    <row r="192" spans="3:3">
      <c r="C192" s="236"/>
    </row>
    <row r="193" spans="3:3">
      <c r="C193" s="236"/>
    </row>
    <row r="194" spans="3:3">
      <c r="C194" s="236"/>
    </row>
    <row r="195" spans="3:3">
      <c r="C195" s="236"/>
    </row>
    <row r="196" spans="3:3">
      <c r="C196" s="236"/>
    </row>
    <row r="197" spans="3:3">
      <c r="C197" s="236"/>
    </row>
    <row r="198" spans="3:3">
      <c r="C198" s="236"/>
    </row>
    <row r="199" spans="3:3">
      <c r="C199" s="236"/>
    </row>
    <row r="200" spans="3:3">
      <c r="C200" s="236"/>
    </row>
    <row r="201" spans="3:3">
      <c r="C201" s="236"/>
    </row>
    <row r="202" spans="3:3">
      <c r="C202" s="236"/>
    </row>
  </sheetData>
  <mergeCells count="12">
    <mergeCell ref="G8:G9"/>
    <mergeCell ref="E8:E9"/>
    <mergeCell ref="F8:F9"/>
    <mergeCell ref="A8:A9"/>
    <mergeCell ref="B8:B9"/>
    <mergeCell ref="C8:C9"/>
    <mergeCell ref="D8:D9"/>
    <mergeCell ref="A1:G1"/>
    <mergeCell ref="A2:G2"/>
    <mergeCell ref="A3:G3"/>
    <mergeCell ref="A4:G4"/>
    <mergeCell ref="A6:G6"/>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Лист37"/>
  <dimension ref="A1:D23"/>
  <sheetViews>
    <sheetView showGridLines="0" workbookViewId="0">
      <selection sqref="A1:D1"/>
    </sheetView>
  </sheetViews>
  <sheetFormatPr defaultColWidth="9.140625" defaultRowHeight="12.75"/>
  <cols>
    <col min="1" max="1" width="50.42578125" style="147" customWidth="1"/>
    <col min="2" max="2" width="18" style="147" customWidth="1"/>
    <col min="3" max="3" width="18.5703125" style="147" customWidth="1"/>
    <col min="4" max="4" width="0.28515625" style="147" customWidth="1"/>
    <col min="5" max="16384" width="9.140625" style="147"/>
  </cols>
  <sheetData>
    <row r="1" spans="1:4" ht="15.75">
      <c r="A1" s="839" t="s">
        <v>2468</v>
      </c>
      <c r="B1" s="839"/>
      <c r="C1" s="839"/>
      <c r="D1" s="839"/>
    </row>
    <row r="2" spans="1:4" ht="15.75">
      <c r="A2" s="839" t="s">
        <v>1058</v>
      </c>
      <c r="B2" s="839"/>
      <c r="C2" s="839"/>
      <c r="D2" s="839"/>
    </row>
    <row r="3" spans="1:4" ht="15.75">
      <c r="A3" s="839" t="s">
        <v>716</v>
      </c>
      <c r="B3" s="839"/>
      <c r="C3" s="839"/>
      <c r="D3" s="839"/>
    </row>
    <row r="4" spans="1:4" ht="15.75">
      <c r="A4" s="839" t="s">
        <v>2470</v>
      </c>
      <c r="B4" s="839"/>
      <c r="C4" s="839"/>
      <c r="D4" s="839"/>
    </row>
    <row r="5" spans="1:4" ht="15.75">
      <c r="A5" s="356"/>
      <c r="B5" s="356"/>
      <c r="C5" s="356"/>
      <c r="D5" s="248"/>
    </row>
    <row r="6" spans="1:4" ht="15.75">
      <c r="A6" s="248"/>
      <c r="B6" s="248"/>
      <c r="C6" s="248"/>
      <c r="D6" s="248"/>
    </row>
    <row r="7" spans="1:4" ht="38.25" customHeight="1">
      <c r="A7" s="836" t="s">
        <v>2265</v>
      </c>
      <c r="B7" s="836"/>
      <c r="C7" s="836"/>
      <c r="D7" s="836"/>
    </row>
    <row r="8" spans="1:4" ht="15.75">
      <c r="A8" s="357"/>
      <c r="B8" s="357"/>
      <c r="C8" s="357"/>
      <c r="D8" s="357"/>
    </row>
    <row r="9" spans="1:4" ht="34.5" customHeight="1">
      <c r="A9" s="837" t="s">
        <v>1632</v>
      </c>
      <c r="B9" s="837"/>
      <c r="C9" s="837"/>
      <c r="D9" s="838"/>
    </row>
    <row r="10" spans="1:4" ht="78.75">
      <c r="A10" s="355" t="s">
        <v>1633</v>
      </c>
      <c r="B10" s="355" t="s">
        <v>2092</v>
      </c>
      <c r="C10" s="355" t="s">
        <v>2093</v>
      </c>
      <c r="D10" s="358"/>
    </row>
    <row r="11" spans="1:4" ht="15.75">
      <c r="A11" s="250" t="s">
        <v>1383</v>
      </c>
      <c r="B11" s="251">
        <f>1670000+C11</f>
        <v>1830000</v>
      </c>
      <c r="C11" s="247">
        <v>160000</v>
      </c>
      <c r="D11" s="252"/>
    </row>
    <row r="12" spans="1:4" ht="15.75">
      <c r="A12" s="250" t="s">
        <v>651</v>
      </c>
      <c r="B12" s="251">
        <f>1810000+C12</f>
        <v>2184000</v>
      </c>
      <c r="C12" s="247">
        <v>374000</v>
      </c>
      <c r="D12" s="252"/>
    </row>
    <row r="13" spans="1:4" ht="15.75">
      <c r="A13" s="253" t="s">
        <v>1137</v>
      </c>
      <c r="B13" s="254">
        <f>SUM(B11:B12)</f>
        <v>4014000</v>
      </c>
      <c r="C13" s="254">
        <f>SUM(C11:C12)</f>
        <v>534000</v>
      </c>
      <c r="D13" s="255"/>
    </row>
    <row r="14" spans="1:4" ht="15.75">
      <c r="A14" s="361"/>
      <c r="B14" s="255"/>
      <c r="C14" s="255"/>
      <c r="D14" s="255"/>
    </row>
    <row r="15" spans="1:4" ht="61.5" customHeight="1">
      <c r="A15" s="837" t="s">
        <v>2480</v>
      </c>
      <c r="B15" s="837"/>
      <c r="C15" s="837"/>
      <c r="D15" s="838"/>
    </row>
    <row r="16" spans="1:4" ht="15.75">
      <c r="A16" s="359" t="s">
        <v>1633</v>
      </c>
      <c r="B16" s="843" t="s">
        <v>2092</v>
      </c>
      <c r="C16" s="844"/>
      <c r="D16" s="360"/>
    </row>
    <row r="17" spans="1:4" ht="15.75">
      <c r="A17" s="250" t="s">
        <v>2471</v>
      </c>
      <c r="B17" s="858">
        <v>335000</v>
      </c>
      <c r="C17" s="859"/>
      <c r="D17" s="252"/>
    </row>
    <row r="18" spans="1:4" ht="15.75">
      <c r="A18" s="250" t="s">
        <v>2472</v>
      </c>
      <c r="B18" s="858">
        <v>1462000</v>
      </c>
      <c r="C18" s="859"/>
      <c r="D18" s="252"/>
    </row>
    <row r="19" spans="1:4" ht="15.75">
      <c r="A19" s="253" t="s">
        <v>1137</v>
      </c>
      <c r="B19" s="860">
        <f>SUM(B17:C18)</f>
        <v>1797000</v>
      </c>
      <c r="C19" s="861"/>
      <c r="D19" s="255"/>
    </row>
    <row r="20" spans="1:4" ht="15.75">
      <c r="A20" s="361"/>
      <c r="B20" s="255"/>
      <c r="C20" s="255"/>
      <c r="D20" s="255"/>
    </row>
    <row r="21" spans="1:4" ht="0.75" customHeight="1">
      <c r="A21" s="361"/>
      <c r="B21" s="255"/>
      <c r="C21" s="255"/>
      <c r="D21" s="255"/>
    </row>
    <row r="22" spans="1:4" ht="15.75" hidden="1">
      <c r="A22" s="361"/>
      <c r="B22" s="255"/>
      <c r="C22" s="255"/>
      <c r="D22" s="255"/>
    </row>
    <row r="23" spans="1:4" ht="15.75" hidden="1">
      <c r="A23" s="248"/>
      <c r="B23" s="248"/>
      <c r="C23" s="248"/>
      <c r="D23" s="248"/>
    </row>
  </sheetData>
  <mergeCells count="11">
    <mergeCell ref="B16:C16"/>
    <mergeCell ref="B17:C17"/>
    <mergeCell ref="B18:C18"/>
    <mergeCell ref="B19:C19"/>
    <mergeCell ref="A9:D9"/>
    <mergeCell ref="A15:D15"/>
    <mergeCell ref="A1:D1"/>
    <mergeCell ref="A2:D2"/>
    <mergeCell ref="A3:D3"/>
    <mergeCell ref="A4:D4"/>
    <mergeCell ref="A7:D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Лист17"/>
  <dimension ref="A1:D31"/>
  <sheetViews>
    <sheetView showGridLines="0" view="pageBreakPreview" zoomScaleSheetLayoutView="100" workbookViewId="0">
      <selection activeCell="B4" sqref="B4:D4"/>
    </sheetView>
  </sheetViews>
  <sheetFormatPr defaultColWidth="9.140625" defaultRowHeight="15.75"/>
  <cols>
    <col min="1" max="1" width="4.140625" style="271" customWidth="1"/>
    <col min="2" max="2" width="55.140625" style="271" customWidth="1"/>
    <col min="3" max="4" width="13.5703125" style="271" customWidth="1"/>
    <col min="5" max="7" width="9.140625" style="271"/>
    <col min="8" max="8" width="43.42578125" style="271" customWidth="1"/>
    <col min="9" max="16384" width="9.140625" style="271"/>
  </cols>
  <sheetData>
    <row r="1" spans="1:4">
      <c r="A1" s="248"/>
      <c r="B1" s="839" t="s">
        <v>2043</v>
      </c>
      <c r="C1" s="839"/>
      <c r="D1" s="757"/>
    </row>
    <row r="2" spans="1:4">
      <c r="A2" s="248"/>
      <c r="B2" s="839" t="s">
        <v>1058</v>
      </c>
      <c r="C2" s="839"/>
      <c r="D2" s="757"/>
    </row>
    <row r="3" spans="1:4">
      <c r="A3" s="248"/>
      <c r="B3" s="839" t="s">
        <v>716</v>
      </c>
      <c r="C3" s="839"/>
      <c r="D3" s="757"/>
    </row>
    <row r="4" spans="1:4">
      <c r="A4" s="248"/>
      <c r="B4" s="839" t="s">
        <v>2456</v>
      </c>
      <c r="C4" s="839"/>
      <c r="D4" s="757"/>
    </row>
    <row r="5" spans="1:4" ht="6.75" customHeight="1">
      <c r="A5" s="248"/>
      <c r="B5" s="265"/>
      <c r="C5" s="248"/>
      <c r="D5" s="248"/>
    </row>
    <row r="6" spans="1:4" hidden="1">
      <c r="A6" s="248"/>
      <c r="B6" s="248"/>
      <c r="C6" s="248"/>
      <c r="D6" s="248"/>
    </row>
    <row r="7" spans="1:4" ht="48.75" customHeight="1">
      <c r="A7" s="836" t="s">
        <v>2434</v>
      </c>
      <c r="B7" s="836"/>
      <c r="C7" s="836"/>
      <c r="D7" s="761"/>
    </row>
    <row r="8" spans="1:4" ht="60" customHeight="1">
      <c r="A8" s="837" t="s">
        <v>2104</v>
      </c>
      <c r="B8" s="837"/>
      <c r="C8" s="837"/>
      <c r="D8" s="837"/>
    </row>
    <row r="9" spans="1:4" ht="31.5">
      <c r="A9" s="736" t="s">
        <v>1633</v>
      </c>
      <c r="B9" s="736"/>
      <c r="C9" s="286" t="s">
        <v>2392</v>
      </c>
      <c r="D9" s="286" t="s">
        <v>2393</v>
      </c>
    </row>
    <row r="10" spans="1:4">
      <c r="A10" s="863" t="s">
        <v>9</v>
      </c>
      <c r="B10" s="864"/>
      <c r="C10" s="251">
        <v>10400000</v>
      </c>
      <c r="D10" s="251">
        <v>6200000</v>
      </c>
    </row>
    <row r="11" spans="1:4">
      <c r="A11" s="865" t="s">
        <v>1137</v>
      </c>
      <c r="B11" s="866"/>
      <c r="C11" s="272">
        <f>C10</f>
        <v>10400000</v>
      </c>
      <c r="D11" s="272">
        <f>D10</f>
        <v>6200000</v>
      </c>
    </row>
    <row r="12" spans="1:4" ht="12.75" customHeight="1">
      <c r="A12" s="867" t="s">
        <v>2378</v>
      </c>
      <c r="B12" s="867"/>
      <c r="C12" s="867"/>
      <c r="D12" s="867"/>
    </row>
    <row r="13" spans="1:4" ht="27.75" customHeight="1">
      <c r="A13" s="837"/>
      <c r="B13" s="837"/>
      <c r="C13" s="837"/>
      <c r="D13" s="837"/>
    </row>
    <row r="14" spans="1:4" ht="31.5">
      <c r="A14" s="736" t="s">
        <v>1633</v>
      </c>
      <c r="B14" s="736"/>
      <c r="C14" s="286" t="s">
        <v>2392</v>
      </c>
      <c r="D14" s="286" t="s">
        <v>2393</v>
      </c>
    </row>
    <row r="15" spans="1:4">
      <c r="A15" s="863" t="s">
        <v>2171</v>
      </c>
      <c r="B15" s="864"/>
      <c r="C15" s="273">
        <v>1000000</v>
      </c>
      <c r="D15" s="273">
        <v>1500000</v>
      </c>
    </row>
    <row r="16" spans="1:4">
      <c r="A16" s="863" t="s">
        <v>8</v>
      </c>
      <c r="B16" s="864"/>
      <c r="C16" s="273">
        <v>500000</v>
      </c>
      <c r="D16" s="273">
        <v>500000</v>
      </c>
    </row>
    <row r="17" spans="1:4">
      <c r="A17" s="863" t="s">
        <v>2172</v>
      </c>
      <c r="B17" s="864"/>
      <c r="C17" s="251">
        <v>1500000</v>
      </c>
      <c r="D17" s="251">
        <v>1500000</v>
      </c>
    </row>
    <row r="18" spans="1:4">
      <c r="A18" s="863" t="s">
        <v>9</v>
      </c>
      <c r="B18" s="864"/>
      <c r="C18" s="251">
        <v>18000000</v>
      </c>
      <c r="D18" s="251">
        <v>19500000</v>
      </c>
    </row>
    <row r="19" spans="1:4">
      <c r="A19" s="862" t="s">
        <v>1137</v>
      </c>
      <c r="B19" s="862"/>
      <c r="C19" s="73">
        <f>SUM(C15:C18)</f>
        <v>21000000</v>
      </c>
      <c r="D19" s="73">
        <f>SUM(D15:D18)</f>
        <v>23000000</v>
      </c>
    </row>
    <row r="20" spans="1:4">
      <c r="A20" s="867"/>
      <c r="B20" s="867"/>
      <c r="C20" s="867"/>
      <c r="D20" s="868"/>
    </row>
    <row r="21" spans="1:4" ht="51" customHeight="1">
      <c r="A21" s="837" t="s">
        <v>2381</v>
      </c>
      <c r="B21" s="837"/>
      <c r="C21" s="837"/>
      <c r="D21" s="837"/>
    </row>
    <row r="22" spans="1:4" ht="31.5">
      <c r="A22" s="736" t="s">
        <v>1633</v>
      </c>
      <c r="B22" s="736"/>
      <c r="C22" s="286" t="s">
        <v>2392</v>
      </c>
      <c r="D22" s="286" t="s">
        <v>2393</v>
      </c>
    </row>
    <row r="23" spans="1:4">
      <c r="A23" s="863" t="s">
        <v>9</v>
      </c>
      <c r="B23" s="864"/>
      <c r="C23" s="251">
        <v>1000000</v>
      </c>
      <c r="D23" s="251">
        <v>2793765</v>
      </c>
    </row>
    <row r="24" spans="1:4">
      <c r="A24" s="865" t="s">
        <v>1137</v>
      </c>
      <c r="B24" s="866"/>
      <c r="C24" s="272">
        <f>C23</f>
        <v>1000000</v>
      </c>
      <c r="D24" s="272">
        <f>D23</f>
        <v>2793765</v>
      </c>
    </row>
    <row r="25" spans="1:4">
      <c r="A25" s="270"/>
      <c r="B25" s="270"/>
      <c r="C25" s="270"/>
      <c r="D25" s="274"/>
    </row>
    <row r="26" spans="1:4">
      <c r="A26" s="867" t="s">
        <v>2382</v>
      </c>
      <c r="B26" s="867"/>
      <c r="C26" s="867"/>
      <c r="D26" s="867"/>
    </row>
    <row r="27" spans="1:4" ht="54.75" customHeight="1">
      <c r="A27" s="837"/>
      <c r="B27" s="837"/>
      <c r="C27" s="837"/>
      <c r="D27" s="837"/>
    </row>
    <row r="28" spans="1:4" ht="31.5">
      <c r="A28" s="736" t="s">
        <v>1633</v>
      </c>
      <c r="B28" s="736"/>
      <c r="C28" s="286" t="s">
        <v>2392</v>
      </c>
      <c r="D28" s="286" t="s">
        <v>2393</v>
      </c>
    </row>
    <row r="29" spans="1:4">
      <c r="A29" s="863" t="s">
        <v>1383</v>
      </c>
      <c r="B29" s="864"/>
      <c r="C29" s="273">
        <v>1424800</v>
      </c>
      <c r="D29" s="273">
        <v>0</v>
      </c>
    </row>
    <row r="30" spans="1:4">
      <c r="A30" s="862" t="s">
        <v>1137</v>
      </c>
      <c r="B30" s="862"/>
      <c r="C30" s="73">
        <f>SUM(C29:C29)</f>
        <v>1424800</v>
      </c>
      <c r="D30" s="73">
        <f>SUM(D29:D29)</f>
        <v>0</v>
      </c>
    </row>
    <row r="31" spans="1:4" ht="15.75" customHeight="1">
      <c r="A31" s="862" t="s">
        <v>2184</v>
      </c>
      <c r="B31" s="862"/>
      <c r="C31" s="335">
        <f>C11+C19+C24+C30</f>
        <v>33824800</v>
      </c>
      <c r="D31" s="335">
        <f>D11+D19+D24+D30</f>
        <v>31993765</v>
      </c>
    </row>
  </sheetData>
  <mergeCells count="26">
    <mergeCell ref="A8:D8"/>
    <mergeCell ref="A14:B14"/>
    <mergeCell ref="A9:B9"/>
    <mergeCell ref="A20:D20"/>
    <mergeCell ref="A19:B19"/>
    <mergeCell ref="A10:B10"/>
    <mergeCell ref="A12:D13"/>
    <mergeCell ref="A15:B15"/>
    <mergeCell ref="A16:B16"/>
    <mergeCell ref="A18:B18"/>
    <mergeCell ref="A11:B11"/>
    <mergeCell ref="A17:B17"/>
    <mergeCell ref="B1:D1"/>
    <mergeCell ref="B2:D2"/>
    <mergeCell ref="B3:D3"/>
    <mergeCell ref="B4:D4"/>
    <mergeCell ref="A7:D7"/>
    <mergeCell ref="A31:B31"/>
    <mergeCell ref="A22:B22"/>
    <mergeCell ref="A23:B23"/>
    <mergeCell ref="A24:B24"/>
    <mergeCell ref="A21:D21"/>
    <mergeCell ref="A30:B30"/>
    <mergeCell ref="A26:D27"/>
    <mergeCell ref="A28:B28"/>
    <mergeCell ref="A29:B29"/>
  </mergeCells>
  <phoneticPr fontId="34"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3">
    <pageSetUpPr fitToPage="1"/>
  </sheetPr>
  <dimension ref="A1:F122"/>
  <sheetViews>
    <sheetView showGridLines="0" view="pageBreakPreview" topLeftCell="A73" zoomScaleSheetLayoutView="100" workbookViewId="0">
      <selection activeCell="I118" sqref="I118"/>
    </sheetView>
  </sheetViews>
  <sheetFormatPr defaultColWidth="11.85546875" defaultRowHeight="15.75"/>
  <cols>
    <col min="1" max="1" width="10.7109375" style="13" customWidth="1"/>
    <col min="2" max="2" width="59.42578125" style="9" customWidth="1"/>
    <col min="3" max="3" width="20" style="3" hidden="1" customWidth="1"/>
    <col min="4" max="4" width="15.140625" style="3" hidden="1" customWidth="1"/>
    <col min="5" max="5" width="17.7109375" style="3" hidden="1" customWidth="1"/>
    <col min="6" max="6" width="25.7109375" style="3" customWidth="1"/>
    <col min="7" max="16384" width="11.85546875" style="3"/>
  </cols>
  <sheetData>
    <row r="1" spans="1:6" s="9" customFormat="1" ht="16.5" customHeight="1">
      <c r="A1" s="737" t="s">
        <v>5</v>
      </c>
      <c r="B1" s="737"/>
      <c r="C1" s="737"/>
      <c r="D1" s="737"/>
      <c r="E1" s="737"/>
      <c r="F1" s="737"/>
    </row>
    <row r="2" spans="1:6" s="9" customFormat="1" ht="16.5" customHeight="1">
      <c r="A2" s="737" t="s">
        <v>1058</v>
      </c>
      <c r="B2" s="737"/>
      <c r="C2" s="737"/>
      <c r="D2" s="737"/>
      <c r="E2" s="737"/>
      <c r="F2" s="737"/>
    </row>
    <row r="3" spans="1:6" s="9" customFormat="1" ht="15" customHeight="1">
      <c r="A3" s="737" t="s">
        <v>716</v>
      </c>
      <c r="B3" s="737"/>
      <c r="C3" s="737"/>
      <c r="D3" s="737"/>
      <c r="E3" s="737"/>
      <c r="F3" s="737"/>
    </row>
    <row r="4" spans="1:6" s="9" customFormat="1" ht="15" customHeight="1">
      <c r="A4" s="737" t="s">
        <v>3095</v>
      </c>
      <c r="B4" s="737"/>
      <c r="C4" s="737"/>
      <c r="D4" s="737"/>
      <c r="E4" s="737"/>
      <c r="F4" s="737"/>
    </row>
    <row r="5" spans="1:6" s="9" customFormat="1">
      <c r="A5" s="10"/>
      <c r="B5" s="8"/>
    </row>
    <row r="6" spans="1:6" s="9" customFormat="1" ht="58.5" customHeight="1">
      <c r="A6" s="741" t="s">
        <v>3245</v>
      </c>
      <c r="B6" s="741"/>
      <c r="C6" s="741"/>
      <c r="D6" s="741"/>
      <c r="E6" s="741"/>
      <c r="F6" s="741"/>
    </row>
    <row r="7" spans="1:6" s="9" customFormat="1" ht="16.5" thickBot="1">
      <c r="A7" s="11"/>
    </row>
    <row r="8" spans="1:6" s="12" customFormat="1" ht="16.5" thickBot="1">
      <c r="A8" s="292" t="s">
        <v>963</v>
      </c>
      <c r="B8" s="293" t="s">
        <v>964</v>
      </c>
      <c r="C8" s="293" t="s">
        <v>3220</v>
      </c>
      <c r="D8" s="293" t="s">
        <v>1129</v>
      </c>
      <c r="E8" s="293" t="s">
        <v>1092</v>
      </c>
      <c r="F8" s="690" t="s">
        <v>3247</v>
      </c>
    </row>
    <row r="9" spans="1:6" s="4" customFormat="1" ht="16.5" thickBot="1">
      <c r="A9" s="294">
        <v>100</v>
      </c>
      <c r="B9" s="295" t="s">
        <v>447</v>
      </c>
      <c r="C9" s="296">
        <f>C11+C13+C15+C20+C22+C14+C16</f>
        <v>121451625</v>
      </c>
      <c r="D9" s="296">
        <f t="shared" ref="D9:F9" si="0">D11+D13+D15+D20+D22+D14+D16</f>
        <v>-2494047</v>
      </c>
      <c r="E9" s="670">
        <f t="shared" si="0"/>
        <v>118957578</v>
      </c>
      <c r="F9" s="296">
        <f t="shared" si="0"/>
        <v>104417182</v>
      </c>
    </row>
    <row r="10" spans="1:6" s="4" customFormat="1" ht="15.75" hidden="1" customHeight="1" thickBot="1">
      <c r="A10" s="297">
        <v>101</v>
      </c>
      <c r="B10" s="298" t="s">
        <v>778</v>
      </c>
      <c r="C10" s="299">
        <f>SUMIF(Пр.5!C10:C1104,101,Пр.5!G10:G1104)</f>
        <v>0</v>
      </c>
      <c r="D10" s="299">
        <f>SUMIF(Пр.5!D10:D1104,101,Пр.5!H10:H1104)</f>
        <v>0</v>
      </c>
      <c r="E10" s="671">
        <f ca="1">SUMIF(Пр.5!E10:E1105,101,Пр.5!I10:I1104)</f>
        <v>0</v>
      </c>
      <c r="F10" s="671">
        <f ca="1">SUMIF(Пр.5!F10:F1105,101,Пр.5!J10:J1104)</f>
        <v>0</v>
      </c>
    </row>
    <row r="11" spans="1:6" s="4" customFormat="1" ht="48" thickBot="1">
      <c r="A11" s="297">
        <v>102</v>
      </c>
      <c r="B11" s="300" t="s">
        <v>748</v>
      </c>
      <c r="C11" s="299">
        <f>SUMIF(Пр.5!C7:C1125,102,Пр.5!G7:G1125)</f>
        <v>845506</v>
      </c>
      <c r="D11" s="299">
        <f>SUMIF(Пр.5!C7:C1125,102,Пр.5!H7:H1125)</f>
        <v>-1</v>
      </c>
      <c r="E11" s="299">
        <f>SUMIF(Пр.5!C7:C1125,102,Пр.5!I7:I1125)</f>
        <v>845505</v>
      </c>
      <c r="F11" s="299">
        <f>SUMIF(Пр.5!C7:C1125,102,Пр.5!J7:J1125)</f>
        <v>845505</v>
      </c>
    </row>
    <row r="12" spans="1:6" s="4" customFormat="1" ht="48" hidden="1" thickBot="1">
      <c r="A12" s="297">
        <v>103</v>
      </c>
      <c r="B12" s="300" t="s">
        <v>663</v>
      </c>
      <c r="C12" s="299">
        <f>SUMIF(Пр.5!C8:C1126,103,Пр.5!G8:G1126)</f>
        <v>0</v>
      </c>
      <c r="D12" s="299">
        <f>SUMIF(Пр.5!C8:C1126,103,Пр.5!H8:H1126)</f>
        <v>0</v>
      </c>
      <c r="E12" s="299">
        <f>SUMIF(Пр.5!C8:C1126,103,Пр.5!I8:I1126)</f>
        <v>0</v>
      </c>
      <c r="F12" s="299">
        <f>SUMIF(Пр.5!C8:C1126,103,Пр.5!J8:J1126)</f>
        <v>0</v>
      </c>
    </row>
    <row r="13" spans="1:6" ht="63.75" thickBot="1">
      <c r="A13" s="297">
        <v>104</v>
      </c>
      <c r="B13" s="300" t="s">
        <v>354</v>
      </c>
      <c r="C13" s="299">
        <f>SUMIF(Пр.5!C9:C1127,104,Пр.5!G9:G1127)</f>
        <v>37640362</v>
      </c>
      <c r="D13" s="299">
        <f>SUMIF(Пр.5!C9:C1127,104,Пр.5!H9:H1127)</f>
        <v>-610266</v>
      </c>
      <c r="E13" s="299">
        <f>SUMIF(Пр.5!C9:C1127,104,Пр.5!I9:I1127)</f>
        <v>37030096</v>
      </c>
      <c r="F13" s="299">
        <f>SUMIF(Пр.5!C9:C1127,104,Пр.5!J9:J1127)</f>
        <v>36948204</v>
      </c>
    </row>
    <row r="14" spans="1:6" ht="16.5" thickBot="1">
      <c r="A14" s="297">
        <v>105</v>
      </c>
      <c r="B14" s="300" t="s">
        <v>1185</v>
      </c>
      <c r="C14" s="299">
        <f>SUMIF(Пр.5!C7:C1101,105,Пр.5!G7:G1101)</f>
        <v>32650</v>
      </c>
      <c r="D14" s="299">
        <f>SUMIF(Пр.5!C7:C1101,105,Пр.5!H7:H1101)</f>
        <v>0</v>
      </c>
      <c r="E14" s="299">
        <f>SUMIF(Пр.5!C7:C1101,105,Пр.5!I7:I1101)</f>
        <v>32650</v>
      </c>
      <c r="F14" s="299">
        <f>SUMIF(Пр.5!C7:C1101,105,Пр.5!J7:J1101)</f>
        <v>32650</v>
      </c>
    </row>
    <row r="15" spans="1:6" ht="48" thickBot="1">
      <c r="A15" s="297">
        <v>106</v>
      </c>
      <c r="B15" s="300" t="s">
        <v>69</v>
      </c>
      <c r="C15" s="299">
        <f>SUMIF(Пр.5!C10:C1128,106,Пр.5!G10:G1128)</f>
        <v>18379120</v>
      </c>
      <c r="D15" s="299">
        <f>SUMIF(Пр.5!C10:C1128,106,Пр.5!H10:H1128)</f>
        <v>-204907</v>
      </c>
      <c r="E15" s="299">
        <f>SUMIF(Пр.5!C10:C1128,106,Пр.5!I10:I1128)</f>
        <v>18174213</v>
      </c>
      <c r="F15" s="299">
        <f>SUMIF(Пр.5!C10:C1128,106,Пр.5!J10:J1128)</f>
        <v>18080585</v>
      </c>
    </row>
    <row r="16" spans="1:6" ht="16.5" thickBot="1">
      <c r="A16" s="297">
        <v>107</v>
      </c>
      <c r="B16" s="300" t="s">
        <v>79</v>
      </c>
      <c r="C16" s="299">
        <f>SUMIF(Пр.5!C10:C1104,107,Пр.5!G10:G1104)</f>
        <v>434662</v>
      </c>
      <c r="D16" s="299">
        <f>SUMIF(Пр.5!C10:C1104,107,Пр.5!H10:H1104)</f>
        <v>0</v>
      </c>
      <c r="E16" s="299">
        <f>SUMIF(Пр.5!C10:C1104,107,Пр.5!I10:I1104)</f>
        <v>434662</v>
      </c>
      <c r="F16" s="299">
        <f>SUMIF(Пр.5!C10:C1104,107,Пр.5!J10:J1104)</f>
        <v>434662</v>
      </c>
    </row>
    <row r="17" spans="1:6" s="4" customFormat="1" ht="32.25" hidden="1" thickBot="1">
      <c r="A17" s="297">
        <v>108</v>
      </c>
      <c r="B17" s="300" t="s">
        <v>1529</v>
      </c>
      <c r="C17" s="299">
        <f>SUMIF(Пр.5!C10:C1104,108,Пр.5!G10:G1104)</f>
        <v>0</v>
      </c>
      <c r="D17" s="299">
        <f>SUMIF(Пр.5!C10:C1104,108,Пр.5!H10:H1104)</f>
        <v>0</v>
      </c>
      <c r="E17" s="299">
        <f>SUMIF(Пр.5!C10:C1104,108,Пр.5!I10:I1104)</f>
        <v>0</v>
      </c>
      <c r="F17" s="299">
        <f>SUMIF(Пр.5!C10:C1104,108,Пр.5!J10:J1104)</f>
        <v>0</v>
      </c>
    </row>
    <row r="18" spans="1:6" ht="15.75" hidden="1" customHeight="1" thickBot="1">
      <c r="A18" s="297">
        <v>109</v>
      </c>
      <c r="B18" s="300" t="s">
        <v>838</v>
      </c>
      <c r="C18" s="299">
        <f>SUMIF(Пр.5!C10:C1104,109,Пр.5!G10:G1104)</f>
        <v>0</v>
      </c>
      <c r="D18" s="299">
        <f>SUMIF(Пр.5!D10:D1104,109,Пр.5!H10:H1104)</f>
        <v>0</v>
      </c>
      <c r="E18" s="299">
        <f>SUMIF(Пр.5!C10:C1104,109,Пр.5!I10:I1104)</f>
        <v>0</v>
      </c>
      <c r="F18" s="299">
        <f>SUMIF(Пр.5!C10:C1104,109,Пр.5!J10:J1104)</f>
        <v>0</v>
      </c>
    </row>
    <row r="19" spans="1:6" ht="16.5" hidden="1" thickBot="1">
      <c r="A19" s="297">
        <v>110</v>
      </c>
      <c r="B19" s="300" t="s">
        <v>839</v>
      </c>
      <c r="C19" s="299">
        <f>SUMIF(Пр.5!C10:C1104,110,Пр.5!G10:G1104)</f>
        <v>0</v>
      </c>
      <c r="D19" s="299">
        <f>SUMIF(Пр.5!D10:D1104,110,Пр.5!H10:H1104)</f>
        <v>0</v>
      </c>
      <c r="E19" s="299">
        <f>SUMIF(Пр.5!C10:C1104,110,Пр.5!I10:I1104)</f>
        <v>0</v>
      </c>
      <c r="F19" s="299">
        <f>SUMIF(Пр.5!C10:C1104,110,Пр.5!J10:J1104)</f>
        <v>0</v>
      </c>
    </row>
    <row r="20" spans="1:6" s="4" customFormat="1" ht="17.25" hidden="1" customHeight="1" thickBot="1">
      <c r="A20" s="297">
        <v>111</v>
      </c>
      <c r="B20" s="300" t="s">
        <v>834</v>
      </c>
      <c r="C20" s="299">
        <f>SUMIF(Пр.5!C10:C1104,111,Пр.5!G10:G1104)</f>
        <v>802120</v>
      </c>
      <c r="D20" s="299">
        <f>SUMIF(Пр.5!C10:C1104,111,Пр.5!H10:H1104)</f>
        <v>-802120</v>
      </c>
      <c r="E20" s="299">
        <f>SUMIF(Пр.5!C10:C1104,111,Пр.5!I10:I1104)</f>
        <v>0</v>
      </c>
      <c r="F20" s="299">
        <f>SUMIF(Пр.5!C10:C1104,111,Пр.5!J10:J1104)</f>
        <v>0</v>
      </c>
    </row>
    <row r="21" spans="1:6" ht="32.25" hidden="1" thickBot="1">
      <c r="A21" s="297">
        <v>112</v>
      </c>
      <c r="B21" s="300" t="s">
        <v>1519</v>
      </c>
      <c r="C21" s="299">
        <f>SUMIF(Пр.5!C10:C1104,112,Пр.5!G10:G1104)</f>
        <v>0</v>
      </c>
      <c r="D21" s="299">
        <f>SUMIF(Пр.5!C10:C1104,112,Пр.5!H10:H1104)</f>
        <v>0</v>
      </c>
      <c r="E21" s="299">
        <f>SUMIF(Пр.5!C10:C1104,112,Пр.5!I10:I1104)</f>
        <v>0</v>
      </c>
      <c r="F21" s="299">
        <f>SUMIF(Пр.5!C10:C1104,112,Пр.5!J10:J1104)</f>
        <v>0</v>
      </c>
    </row>
    <row r="22" spans="1:6" ht="16.5" thickBot="1">
      <c r="A22" s="297">
        <v>113</v>
      </c>
      <c r="B22" s="300" t="s">
        <v>835</v>
      </c>
      <c r="C22" s="299">
        <f>SUMIF(Пр.5!C10:C1125,113,Пр.5!G10:G1125)</f>
        <v>63317205</v>
      </c>
      <c r="D22" s="299">
        <f>SUMIF(Пр.5!C10:C1125,113,Пр.5!H10:H1125)</f>
        <v>-876753</v>
      </c>
      <c r="E22" s="299">
        <f>SUMIF(Пр.5!C10:C1125,113,Пр.5!I10:I1125)</f>
        <v>62440452</v>
      </c>
      <c r="F22" s="299">
        <f>SUMIF(Пр.5!C10:C1125,113,Пр.5!J10:J1125)</f>
        <v>48075576</v>
      </c>
    </row>
    <row r="23" spans="1:6" ht="16.5" thickBot="1">
      <c r="A23" s="294">
        <v>200</v>
      </c>
      <c r="B23" s="301" t="s">
        <v>70</v>
      </c>
      <c r="C23" s="296">
        <f>SUM(C24:C32)</f>
        <v>682902</v>
      </c>
      <c r="D23" s="296">
        <f t="shared" ref="D23:E23" si="1">SUM(D24:D32)</f>
        <v>0</v>
      </c>
      <c r="E23" s="296">
        <f t="shared" si="1"/>
        <v>682902</v>
      </c>
      <c r="F23" s="296">
        <f t="shared" ref="F23" si="2">SUM(F24:F32)</f>
        <v>682902</v>
      </c>
    </row>
    <row r="24" spans="1:6" ht="16.5" hidden="1" thickBot="1">
      <c r="A24" s="297">
        <v>201</v>
      </c>
      <c r="B24" s="300" t="s">
        <v>1110</v>
      </c>
      <c r="C24" s="299">
        <f>SUMIF(Пр.5!C10:C1104,201,Пр.5!G10:G1104)</f>
        <v>0</v>
      </c>
      <c r="D24" s="299">
        <f>SUMIF(Пр.5!D10:D1104,201,Пр.5!H10:H1104)</f>
        <v>0</v>
      </c>
      <c r="E24" s="299">
        <f>SUMIF(Пр.5!C10:C1104,201,Пр.5!I10:I1104)</f>
        <v>0</v>
      </c>
      <c r="F24" s="299">
        <f>SUMIF(Пр.5!C10:C1104,201,Пр.5!J10:J1104)</f>
        <v>0</v>
      </c>
    </row>
    <row r="25" spans="1:6" s="4" customFormat="1" ht="32.25" hidden="1" thickBot="1">
      <c r="A25" s="297">
        <v>202</v>
      </c>
      <c r="B25" s="300" t="s">
        <v>714</v>
      </c>
      <c r="C25" s="299">
        <f>SUMIF(Пр.5!C10:C1104,202,Пр.5!G10:G1104)</f>
        <v>0</v>
      </c>
      <c r="D25" s="299">
        <f>SUMIF(Пр.5!D10:D1104,202,Пр.5!H10:H1104)</f>
        <v>0</v>
      </c>
      <c r="E25" s="299">
        <f>SUMIF(Пр.5!C10:C1104,202,Пр.5!I10:I1104)</f>
        <v>0</v>
      </c>
      <c r="F25" s="299">
        <f>SUMIF(Пр.5!C10:C1104,202,Пр.5!J10:J1104)</f>
        <v>0</v>
      </c>
    </row>
    <row r="26" spans="1:6" s="4" customFormat="1" ht="16.5" thickBot="1">
      <c r="A26" s="297">
        <v>203</v>
      </c>
      <c r="B26" s="300" t="s">
        <v>155</v>
      </c>
      <c r="C26" s="299">
        <f>SUMIF(Пр.5!C10:C1104,203,Пр.5!G10:G1104)</f>
        <v>682902</v>
      </c>
      <c r="D26" s="299">
        <f>SUMIF(Пр.5!C10:C1104,203,Пр.5!H10:H1104)</f>
        <v>0</v>
      </c>
      <c r="E26" s="299">
        <f>SUMIF(Пр.5!C10:C1104,203,Пр.5!I10:I1104)</f>
        <v>682902</v>
      </c>
      <c r="F26" s="299">
        <f>SUMIF(Пр.5!C10:C1104,203,Пр.5!J10:J1104)</f>
        <v>682902</v>
      </c>
    </row>
    <row r="27" spans="1:6" ht="16.5" hidden="1" thickBot="1">
      <c r="A27" s="297">
        <v>204</v>
      </c>
      <c r="B27" s="300" t="s">
        <v>257</v>
      </c>
      <c r="C27" s="299">
        <f>SUMIF(Пр.5!C10:C1104,204,Пр.5!G10:G1104)</f>
        <v>0</v>
      </c>
      <c r="D27" s="299">
        <f>SUMIF(Пр.5!D10:D1104,204,Пр.5!H10:H1104)</f>
        <v>0</v>
      </c>
      <c r="E27" s="299">
        <f>SUMIF(Пр.5!C10:C1104,204,Пр.5!I10:I1104)</f>
        <v>0</v>
      </c>
      <c r="F27" s="299">
        <f>SUMIF(Пр.5!C10:C1104,204,Пр.5!J10:J1104)</f>
        <v>0</v>
      </c>
    </row>
    <row r="28" spans="1:6" ht="32.25" hidden="1" thickBot="1">
      <c r="A28" s="297">
        <v>205</v>
      </c>
      <c r="B28" s="300" t="s">
        <v>797</v>
      </c>
      <c r="C28" s="299">
        <f>SUMIF(Пр.5!C10:C1104,205,Пр.5!G10:G1104)</f>
        <v>0</v>
      </c>
      <c r="D28" s="299">
        <f>SUMIF(Пр.5!D10:D1104,205,Пр.5!H10:H1104)</f>
        <v>0</v>
      </c>
      <c r="E28" s="299">
        <f>SUMIF(Пр.5!C10:C1104,205,Пр.5!I10:I1104)</f>
        <v>0</v>
      </c>
      <c r="F28" s="299">
        <f>SUMIF(Пр.5!C10:C1104,205,Пр.5!J10:J1104)</f>
        <v>0</v>
      </c>
    </row>
    <row r="29" spans="1:6" ht="16.5" hidden="1" thickBot="1">
      <c r="A29" s="297">
        <v>206</v>
      </c>
      <c r="B29" s="300" t="s">
        <v>1414</v>
      </c>
      <c r="C29" s="299">
        <f>SUMIF(Пр.5!C10:C1104,206,Пр.5!G10:G1104)</f>
        <v>0</v>
      </c>
      <c r="D29" s="299">
        <f>SUMIF(Пр.5!D10:D1104,206,Пр.5!H10:H1104)</f>
        <v>0</v>
      </c>
      <c r="E29" s="299">
        <f>SUMIF(Пр.5!C10:C1104,206,Пр.5!I10:I1104)</f>
        <v>0</v>
      </c>
      <c r="F29" s="299">
        <f>SUMIF(Пр.5!C10:C1104,206,Пр.5!J10:J1104)</f>
        <v>0</v>
      </c>
    </row>
    <row r="30" spans="1:6" s="4" customFormat="1" ht="32.25" hidden="1" thickBot="1">
      <c r="A30" s="297">
        <v>207</v>
      </c>
      <c r="B30" s="300" t="s">
        <v>924</v>
      </c>
      <c r="C30" s="299">
        <f>SUMIF(Пр.5!C10:C1104,207,Пр.5!G10:G1104)</f>
        <v>0</v>
      </c>
      <c r="D30" s="299">
        <f>SUMIF(Пр.5!D10:D1104,207,Пр.5!H10:H1104)</f>
        <v>0</v>
      </c>
      <c r="E30" s="299">
        <f>SUMIF(Пр.5!C10:C1104,207,Пр.5!I10:I1104)</f>
        <v>0</v>
      </c>
      <c r="F30" s="299">
        <f>SUMIF(Пр.5!C10:C1104,207,Пр.5!J10:J1104)</f>
        <v>0</v>
      </c>
    </row>
    <row r="31" spans="1:6" ht="32.25" hidden="1" thickBot="1">
      <c r="A31" s="297">
        <v>208</v>
      </c>
      <c r="B31" s="300" t="s">
        <v>346</v>
      </c>
      <c r="C31" s="299">
        <f>SUMIF(Пр.5!C10:C1104,208,Пр.5!G10:G1104)</f>
        <v>0</v>
      </c>
      <c r="D31" s="299">
        <f>SUMIF(Пр.5!D10:D1104,208,Пр.5!H10:H1104)</f>
        <v>0</v>
      </c>
      <c r="E31" s="299">
        <f>SUMIF(Пр.5!C10:C1104,208,Пр.5!I10:I1104)</f>
        <v>0</v>
      </c>
      <c r="F31" s="299">
        <f>SUMIF(Пр.5!C10:C1104,208,Пр.5!J10:J1104)</f>
        <v>0</v>
      </c>
    </row>
    <row r="32" spans="1:6" ht="16.5" hidden="1" thickBot="1">
      <c r="A32" s="297">
        <v>209</v>
      </c>
      <c r="B32" s="300" t="s">
        <v>347</v>
      </c>
      <c r="C32" s="299">
        <f>SUMIF(Пр.5!C10:C1104,209,Пр.5!G10:G1104)</f>
        <v>0</v>
      </c>
      <c r="D32" s="299">
        <f>SUMIF(Пр.5!D10:D1104,209,Пр.5!H10:H1104)</f>
        <v>0</v>
      </c>
      <c r="E32" s="299">
        <f>SUMIF(Пр.5!C10:C1104,209,Пр.5!I10:I1104)</f>
        <v>0</v>
      </c>
      <c r="F32" s="299">
        <f>SUMIF(Пр.5!C10:C1104,209,Пр.5!J10:J1104)</f>
        <v>0</v>
      </c>
    </row>
    <row r="33" spans="1:6" ht="32.25" thickBot="1">
      <c r="A33" s="294">
        <v>300</v>
      </c>
      <c r="B33" s="301" t="s">
        <v>1</v>
      </c>
      <c r="C33" s="302">
        <f>SUM(C34:C45)</f>
        <v>3062969</v>
      </c>
      <c r="D33" s="302">
        <f t="shared" ref="D33:E33" si="3">SUM(D34:D45)</f>
        <v>-123530</v>
      </c>
      <c r="E33" s="302">
        <f t="shared" si="3"/>
        <v>2939439</v>
      </c>
      <c r="F33" s="302">
        <f t="shared" ref="F33" si="4">SUM(F34:F45)</f>
        <v>2850067</v>
      </c>
    </row>
    <row r="34" spans="1:6" ht="16.5" hidden="1" thickBot="1">
      <c r="A34" s="297">
        <v>303</v>
      </c>
      <c r="B34" s="300" t="s">
        <v>349</v>
      </c>
      <c r="C34" s="299">
        <f>SUMIF(Пр.5!C10:C1104,303,Пр.5!G10:G1104)</f>
        <v>0</v>
      </c>
      <c r="D34" s="299">
        <f>SUMIF(Пр.5!D10:D1104,303,Пр.5!H10:H1104)</f>
        <v>0</v>
      </c>
      <c r="E34" s="299">
        <f>SUMIF(Пр.5!C10:C1104,303,Пр.5!I10:I1104)</f>
        <v>0</v>
      </c>
      <c r="F34" s="299">
        <f>SUMIF(Пр.5!C10:C1104,303,Пр.5!J10:J1104)</f>
        <v>0</v>
      </c>
    </row>
    <row r="35" spans="1:6" s="4" customFormat="1" ht="16.5" hidden="1" thickBot="1">
      <c r="A35" s="297">
        <v>304</v>
      </c>
      <c r="B35" s="300" t="s">
        <v>159</v>
      </c>
      <c r="C35" s="299">
        <f>SUMIF(Пр.5!C10:C1104,304,Пр.5!G10:G1104)</f>
        <v>0</v>
      </c>
      <c r="D35" s="299">
        <f>SUMIF(Пр.5!D10:D1104,304,Пр.5!H10:H1104)</f>
        <v>0</v>
      </c>
      <c r="E35" s="299">
        <f>SUMIF(Пр.5!C10:C1104,304,Пр.5!I10:I1104)</f>
        <v>0</v>
      </c>
      <c r="F35" s="299">
        <f>SUMIF(Пр.5!C10:C1104,304,Пр.5!J10:J1104)</f>
        <v>0</v>
      </c>
    </row>
    <row r="36" spans="1:6" ht="16.5" hidden="1" thickBot="1">
      <c r="A36" s="297">
        <v>305</v>
      </c>
      <c r="B36" s="300" t="s">
        <v>1542</v>
      </c>
      <c r="C36" s="299">
        <f>SUMIF(Пр.5!C10:C1104,305,Пр.5!G10:G1104)</f>
        <v>0</v>
      </c>
      <c r="D36" s="299">
        <f>SUMIF(Пр.5!D10:D1104,305,Пр.5!H10:H1104)</f>
        <v>0</v>
      </c>
      <c r="E36" s="299">
        <f>SUMIF(Пр.5!C10:C1104,305,Пр.5!I10:I1104)</f>
        <v>0</v>
      </c>
      <c r="F36" s="299">
        <f>SUMIF(Пр.5!C10:C1104,305,Пр.5!J10:J1104)</f>
        <v>0</v>
      </c>
    </row>
    <row r="37" spans="1:6" ht="16.5" hidden="1" thickBot="1">
      <c r="A37" s="297">
        <v>306</v>
      </c>
      <c r="B37" s="300" t="s">
        <v>1620</v>
      </c>
      <c r="C37" s="299">
        <f>SUMIF(Пр.5!C10:C1104,306,Пр.5!G10:G1104)</f>
        <v>0</v>
      </c>
      <c r="D37" s="299">
        <f>SUMIF(Пр.5!D10:D1104,306,Пр.5!H10:H1104)</f>
        <v>0</v>
      </c>
      <c r="E37" s="299">
        <f>SUMIF(Пр.5!C10:C1104,306,Пр.5!I10:I1104)</f>
        <v>0</v>
      </c>
      <c r="F37" s="299">
        <f>SUMIF(Пр.5!C10:C1104,306,Пр.5!J10:J1104)</f>
        <v>0</v>
      </c>
    </row>
    <row r="38" spans="1:6" ht="16.5" hidden="1" thickBot="1">
      <c r="A38" s="297">
        <v>307</v>
      </c>
      <c r="B38" s="300" t="s">
        <v>1621</v>
      </c>
      <c r="C38" s="299">
        <f>SUMIF(Пр.5!C10:C1104,307,Пр.5!G10:G1104)</f>
        <v>0</v>
      </c>
      <c r="D38" s="299">
        <f>SUMIF(Пр.5!D10:D1104,307,Пр.5!H10:H1104)</f>
        <v>0</v>
      </c>
      <c r="E38" s="299">
        <f>SUMIF(Пр.5!C10:C1104,307,Пр.5!I10:I1104)</f>
        <v>0</v>
      </c>
      <c r="F38" s="299">
        <f>SUMIF(Пр.5!C10:C1104,307,Пр.5!J10:J1104)</f>
        <v>0</v>
      </c>
    </row>
    <row r="39" spans="1:6" s="4" customFormat="1" ht="32.25" hidden="1" thickBot="1">
      <c r="A39" s="297">
        <v>308</v>
      </c>
      <c r="B39" s="300" t="s">
        <v>1516</v>
      </c>
      <c r="C39" s="299">
        <f>SUMIF(Пр.5!C10:C1104,308,Пр.5!G10:G1104)</f>
        <v>0</v>
      </c>
      <c r="D39" s="299">
        <f>SUMIF(Пр.5!D10:D1104,308,Пр.5!H10:H1104)</f>
        <v>0</v>
      </c>
      <c r="E39" s="299">
        <f>SUMIF(Пр.5!C10:C1104,308,Пр.5!I10:I1104)</f>
        <v>0</v>
      </c>
      <c r="F39" s="299">
        <f>SUMIF(Пр.5!C10:C1104,308,Пр.5!J10:J1104)</f>
        <v>0</v>
      </c>
    </row>
    <row r="40" spans="1:6" ht="48" thickBot="1">
      <c r="A40" s="297">
        <v>309</v>
      </c>
      <c r="B40" s="300" t="s">
        <v>394</v>
      </c>
      <c r="C40" s="299">
        <f>SUMIF(Пр.5!C10:C1104,309,Пр.5!G10:G1104)</f>
        <v>2912969</v>
      </c>
      <c r="D40" s="299">
        <f>SUMIF(Пр.5!C36:C1153,309,Пр.5!H36:H1153)</f>
        <v>-123530</v>
      </c>
      <c r="E40" s="299">
        <f>SUMIF(Пр.5!C10:C1104,309,Пр.5!I10:I1104)</f>
        <v>2789439</v>
      </c>
      <c r="F40" s="299">
        <f>SUMIF(Пр.5!C10:C1104,309,Пр.5!J10:J1104)</f>
        <v>2701552</v>
      </c>
    </row>
    <row r="41" spans="1:6" ht="16.5" hidden="1" thickBot="1">
      <c r="A41" s="297">
        <v>310</v>
      </c>
      <c r="B41" s="300" t="s">
        <v>395</v>
      </c>
      <c r="C41" s="299">
        <f>SUMIF(Пр.5!C10:C1104,310,Пр.5!G10:G1104)</f>
        <v>0</v>
      </c>
      <c r="D41" s="299">
        <f>SUMIF(Пр.5!D10:D1104,310,Пр.5!H10:H1104)</f>
        <v>0</v>
      </c>
      <c r="E41" s="299">
        <f>SUMIF(Пр.5!C10:C1104,310,Пр.5!I10:I1104)</f>
        <v>0</v>
      </c>
      <c r="F41" s="299">
        <f>SUMIF(Пр.5!C10:C1104,310,Пр.5!J10:J1104)</f>
        <v>0</v>
      </c>
    </row>
    <row r="42" spans="1:6" ht="16.5" hidden="1" thickBot="1">
      <c r="A42" s="297">
        <v>311</v>
      </c>
      <c r="B42" s="300" t="s">
        <v>792</v>
      </c>
      <c r="C42" s="299">
        <f>SUMIF(Пр.5!C10:C1104,311,Пр.5!G10:G1104)</f>
        <v>0</v>
      </c>
      <c r="D42" s="299">
        <f>SUMIF(Пр.5!D10:D1104,311,Пр.5!H10:H1104)</f>
        <v>0</v>
      </c>
      <c r="E42" s="299">
        <f>SUMIF(Пр.5!C10:C1104,311,Пр.5!I10:I1104)</f>
        <v>0</v>
      </c>
      <c r="F42" s="299">
        <f>SUMIF(Пр.5!C10:C1104,311,Пр.5!J10:J1104)</f>
        <v>0</v>
      </c>
    </row>
    <row r="43" spans="1:6" ht="32.25" hidden="1" thickBot="1">
      <c r="A43" s="297">
        <v>312</v>
      </c>
      <c r="B43" s="300" t="s">
        <v>396</v>
      </c>
      <c r="C43" s="299">
        <f>SUMIF(Пр.5!C10:C1104,312,Пр.5!G10:G1104)</f>
        <v>0</v>
      </c>
      <c r="D43" s="299">
        <f>SUMIF(Пр.5!D10:D1104,312,Пр.5!H10:H1104)</f>
        <v>0</v>
      </c>
      <c r="E43" s="299">
        <f>SUMIF(Пр.5!C10:C1104,312,Пр.5!I10:I1104)</f>
        <v>0</v>
      </c>
      <c r="F43" s="299">
        <f>SUMIF(Пр.5!C10:C1104,312,Пр.5!J10:J1104)</f>
        <v>0</v>
      </c>
    </row>
    <row r="44" spans="1:6" ht="48" hidden="1" thickBot="1">
      <c r="A44" s="297">
        <v>313</v>
      </c>
      <c r="B44" s="300" t="s">
        <v>793</v>
      </c>
      <c r="C44" s="299">
        <f>SUMIF(Пр.5!C10:C1104,313,Пр.5!G10:G1104)</f>
        <v>0</v>
      </c>
      <c r="D44" s="299">
        <f>SUMIF(Пр.5!D10:D1104,313,Пр.5!H10:H1104)</f>
        <v>0</v>
      </c>
      <c r="E44" s="299">
        <f>SUMIF(Пр.5!C10:C1104,313,Пр.5!I10:I1104)</f>
        <v>0</v>
      </c>
      <c r="F44" s="299">
        <f>SUMIF(Пр.5!C10:C1104,313,Пр.5!J10:J1104)</f>
        <v>0</v>
      </c>
    </row>
    <row r="45" spans="1:6" ht="32.25" thickBot="1">
      <c r="A45" s="297">
        <v>314</v>
      </c>
      <c r="B45" s="300" t="s">
        <v>873</v>
      </c>
      <c r="C45" s="299">
        <f>SUMIF(Пр.5!C10:C1104,314,Пр.5!G10:G1104)</f>
        <v>150000</v>
      </c>
      <c r="D45" s="299">
        <f>SUMIF(Пр.5!C41:C1158,314,Пр.5!H41:H1158)</f>
        <v>0</v>
      </c>
      <c r="E45" s="299">
        <f>SUMIF(Пр.5!C10:C1104,314,Пр.5!I10:I1104)</f>
        <v>150000</v>
      </c>
      <c r="F45" s="299">
        <f>SUMIF(Пр.5!C10:C1104,314,Пр.5!J10:J1104)</f>
        <v>148515</v>
      </c>
    </row>
    <row r="46" spans="1:6" ht="16.5" thickBot="1">
      <c r="A46" s="294">
        <v>400</v>
      </c>
      <c r="B46" s="301" t="s">
        <v>397</v>
      </c>
      <c r="C46" s="302">
        <f>C48+C51+C54+C55+C58</f>
        <v>194313089.18000001</v>
      </c>
      <c r="D46" s="302">
        <f>D48+D51+D54+D55+D58+D52</f>
        <v>360276</v>
      </c>
      <c r="E46" s="302">
        <f>E48+E51+E54+E55+E58+E52</f>
        <v>194673365.18000001</v>
      </c>
      <c r="F46" s="302">
        <f>F48+F51+F54+F55+F58+F52</f>
        <v>149103693</v>
      </c>
    </row>
    <row r="47" spans="1:6" ht="16.5" hidden="1" thickBot="1">
      <c r="A47" s="297">
        <v>401</v>
      </c>
      <c r="B47" s="303" t="s">
        <v>1670</v>
      </c>
      <c r="C47" s="299">
        <f>SUMIF(Пр.5!C10:C1104,401,Пр.5!G10:G1104)</f>
        <v>0</v>
      </c>
      <c r="D47" s="299">
        <f>SUMIF(Пр.5!D10:D1104,401,Пр.5!H10:H1104)</f>
        <v>0</v>
      </c>
      <c r="E47" s="299">
        <f>SUMIF(Пр.5!C10:C1104,401,Пр.5!I10:I1104)</f>
        <v>0</v>
      </c>
      <c r="F47" s="299">
        <f>SUMIF(Пр.5!C10:C1104,401,Пр.5!J10:J1104)</f>
        <v>0</v>
      </c>
    </row>
    <row r="48" spans="1:6" ht="16.5" thickBot="1">
      <c r="A48" s="297">
        <v>402</v>
      </c>
      <c r="B48" s="298" t="s">
        <v>246</v>
      </c>
      <c r="C48" s="304">
        <f>SUMIF(Пр.5!C10:C1104,402,Пр.5!G10:G1104)</f>
        <v>3210613.18</v>
      </c>
      <c r="D48" s="304">
        <f>SUMIF(Пр.5!C10:C1104,402,Пр.5!H10:H1104)</f>
        <v>-451647</v>
      </c>
      <c r="E48" s="304">
        <f>SUMIF(Пр.5!C10:C1104,402,Пр.5!I10:I1104)</f>
        <v>2758966.18</v>
      </c>
      <c r="F48" s="304">
        <f>SUMIF(Пр.5!C10:C1104,402,Пр.5!J10:J1104)</f>
        <v>2563908</v>
      </c>
    </row>
    <row r="49" spans="1:6" ht="32.25" hidden="1" thickBot="1">
      <c r="A49" s="297">
        <v>403</v>
      </c>
      <c r="B49" s="300" t="s">
        <v>1406</v>
      </c>
      <c r="C49" s="304">
        <f>SUMIF(Пр.5!C10:C1104,403,Пр.5!G10:G1104)</f>
        <v>0</v>
      </c>
      <c r="D49" s="304">
        <f>SUMIF(Пр.5!C10:C1104,403,Пр.5!H10:H1104)</f>
        <v>0</v>
      </c>
      <c r="E49" s="304">
        <f>SUMIF(Пр.5!C10:C1104,403,Пр.5!I10:I1104)</f>
        <v>0</v>
      </c>
      <c r="F49" s="304">
        <f>SUMIF(Пр.5!C10:C1104,403,Пр.5!J10:J1104)</f>
        <v>0</v>
      </c>
    </row>
    <row r="50" spans="1:6" ht="16.5" hidden="1" thickBot="1">
      <c r="A50" s="297">
        <v>404</v>
      </c>
      <c r="B50" s="300" t="s">
        <v>1407</v>
      </c>
      <c r="C50" s="304">
        <f>SUMIF(Пр.5!C10:C1104,404,Пр.5!G10:G1104)</f>
        <v>0</v>
      </c>
      <c r="D50" s="304">
        <f>SUMIF(Пр.5!C10:C1104,404,Пр.5!H10:H1104)</f>
        <v>0</v>
      </c>
      <c r="E50" s="304">
        <f>SUMIF(Пр.5!C10:C1104,404,Пр.5!I10:I1104)</f>
        <v>0</v>
      </c>
      <c r="F50" s="304">
        <f>SUMIF(Пр.5!C10:C1104,404,Пр.5!J10:J1104)</f>
        <v>0</v>
      </c>
    </row>
    <row r="51" spans="1:6" ht="16.5" thickBot="1">
      <c r="A51" s="297">
        <v>405</v>
      </c>
      <c r="B51" s="300" t="s">
        <v>1888</v>
      </c>
      <c r="C51" s="304">
        <f>SUMIF(Пр.5!C10:C1104,405,Пр.5!G10:G1104)</f>
        <v>2244150</v>
      </c>
      <c r="D51" s="304">
        <f>SUMIF(Пр.5!C10:C1104,405,Пр.5!H10:H1104)</f>
        <v>-275350</v>
      </c>
      <c r="E51" s="304">
        <f>SUMIF(Пр.5!C10:C1104,405,Пр.5!I10:I1104)</f>
        <v>1968800</v>
      </c>
      <c r="F51" s="304">
        <f>SUMIF(Пр.5!C10:C1104,405,Пр.5!J10:J1104)</f>
        <v>1967808</v>
      </c>
    </row>
    <row r="52" spans="1:6" ht="16.5" thickBot="1">
      <c r="A52" s="297">
        <v>406</v>
      </c>
      <c r="B52" s="300" t="s">
        <v>1408</v>
      </c>
      <c r="C52" s="304">
        <f>SUMIF(Пр.5!C10:C1104,406,Пр.5!G10:G1104)</f>
        <v>0</v>
      </c>
      <c r="D52" s="304">
        <f>SUMIF(Пр.5!C10:C1104,406,Пр.5!H10:H1104)</f>
        <v>98017</v>
      </c>
      <c r="E52" s="304">
        <f>SUMIF(Пр.5!C10:C1104,406,Пр.5!I10:I1104)</f>
        <v>98017</v>
      </c>
      <c r="F52" s="304">
        <f>SUMIF(Пр.5!C10:C1104,406,Пр.5!J10:J1104)</f>
        <v>98017</v>
      </c>
    </row>
    <row r="53" spans="1:6" ht="16.5" hidden="1" thickBot="1">
      <c r="A53" s="297">
        <v>407</v>
      </c>
      <c r="B53" s="300" t="s">
        <v>1409</v>
      </c>
      <c r="C53" s="304">
        <f>SUMIF(Пр.5!C10:C1104,407,Пр.5!G10:G1104)</f>
        <v>0</v>
      </c>
      <c r="D53" s="304">
        <f>SUMIF(Пр.5!C10:C1104,407,Пр.5!H10:H1104)</f>
        <v>0</v>
      </c>
      <c r="E53" s="304">
        <f>SUMIF(Пр.5!C10:C1104,407,Пр.5!I10:I1104)</f>
        <v>0</v>
      </c>
      <c r="F53" s="304">
        <f>SUMIF(Пр.5!C10:C1104,407,Пр.5!J10:J1104)</f>
        <v>0</v>
      </c>
    </row>
    <row r="54" spans="1:6" ht="16.5" thickBot="1">
      <c r="A54" s="297">
        <v>408</v>
      </c>
      <c r="B54" s="300" t="s">
        <v>1889</v>
      </c>
      <c r="C54" s="304">
        <f>SUMIF(Пр.5!C10:C1104,408,Пр.5!G10:G1104)</f>
        <v>26683000</v>
      </c>
      <c r="D54" s="304">
        <f>SUMIF(Пр.5!C10:C1104,408,Пр.5!H10:H1104)</f>
        <v>0</v>
      </c>
      <c r="E54" s="304">
        <f>SUMIF(Пр.5!C10:C1104,408,Пр.5!I10:I1104)</f>
        <v>26683000</v>
      </c>
      <c r="F54" s="304">
        <f>SUMIF(Пр.5!C10:C1104,408,Пр.5!J10:J1104)</f>
        <v>21375053</v>
      </c>
    </row>
    <row r="55" spans="1:6" ht="16.5" thickBot="1">
      <c r="A55" s="297">
        <v>409</v>
      </c>
      <c r="B55" s="300" t="s">
        <v>385</v>
      </c>
      <c r="C55" s="304">
        <f>SUMIF(Пр.5!C10:C1104,409,Пр.5!G10:G1104)</f>
        <v>159563542</v>
      </c>
      <c r="D55" s="304">
        <f>SUMIF(Пр.5!C10:C1104,409,Пр.5!H10:H1104)</f>
        <v>-1203394</v>
      </c>
      <c r="E55" s="304">
        <f>SUMIF(Пр.5!C10:C1104,409,Пр.5!I10:I1104)</f>
        <v>158360148</v>
      </c>
      <c r="F55" s="304">
        <f>SUMIF(Пр.5!C10:C1104,409,Пр.5!J10:J1104)</f>
        <v>118482571</v>
      </c>
    </row>
    <row r="56" spans="1:6" ht="16.5" hidden="1" thickBot="1">
      <c r="A56" s="297">
        <v>410</v>
      </c>
      <c r="B56" s="300" t="s">
        <v>461</v>
      </c>
      <c r="C56" s="304">
        <f>SUMIF(Пр.5!C10:C1104,410,Пр.5!G10:G1104)</f>
        <v>0</v>
      </c>
      <c r="D56" s="304">
        <f>SUMIF(Пр.5!C10:C1104,410,Пр.5!H10:H1104)</f>
        <v>0</v>
      </c>
      <c r="E56" s="304">
        <f>SUMIF(Пр.5!C10:C1104,410,Пр.5!I10:I1104)</f>
        <v>0</v>
      </c>
      <c r="F56" s="304">
        <f>SUMIF(Пр.5!C10:C1104,410,Пр.5!J10:J1104)</f>
        <v>0</v>
      </c>
    </row>
    <row r="57" spans="1:6" ht="32.25" hidden="1" thickBot="1">
      <c r="A57" s="297">
        <v>411</v>
      </c>
      <c r="B57" s="300" t="s">
        <v>1410</v>
      </c>
      <c r="C57" s="304">
        <f>SUMIF(Пр.5!C10:C1104,411,Пр.5!G10:G1104)</f>
        <v>0</v>
      </c>
      <c r="D57" s="304">
        <f>SUMIF(Пр.5!D10:D1104,411,Пр.5!H10:H1104)</f>
        <v>0</v>
      </c>
      <c r="E57" s="304">
        <f>SUMIF(Пр.5!C10:C1104,411,Пр.5!I10:I1104)</f>
        <v>0</v>
      </c>
      <c r="F57" s="304">
        <f>SUMIF(Пр.5!C10:C1104,411,Пр.5!J10:J1104)</f>
        <v>0</v>
      </c>
    </row>
    <row r="58" spans="1:6" ht="16.5" thickBot="1">
      <c r="A58" s="297">
        <v>412</v>
      </c>
      <c r="B58" s="300" t="s">
        <v>875</v>
      </c>
      <c r="C58" s="304">
        <f>SUMIF(Пр.5!C10:C1104,412,Пр.5!G10:G1104)</f>
        <v>2611784</v>
      </c>
      <c r="D58" s="304">
        <f>SUMIF(Пр.5!C10:C1104,412,Пр.5!H10:H1104)</f>
        <v>2192650</v>
      </c>
      <c r="E58" s="304">
        <f>SUMIF(Пр.5!C10:C1104,412,Пр.5!I10:I1104)</f>
        <v>4804434</v>
      </c>
      <c r="F58" s="304">
        <f>SUMIF(Пр.5!C10:C1104,412,Пр.5!J10:J1104)</f>
        <v>4616336</v>
      </c>
    </row>
    <row r="59" spans="1:6" ht="16.5" thickBot="1">
      <c r="A59" s="294">
        <v>500</v>
      </c>
      <c r="B59" s="301" t="s">
        <v>841</v>
      </c>
      <c r="C59" s="302">
        <f>C60+C61+C62+C63+C64</f>
        <v>234645470.55000001</v>
      </c>
      <c r="D59" s="302">
        <f>D60+D61+D62+D63+D64</f>
        <v>10602469.66</v>
      </c>
      <c r="E59" s="302">
        <f>E60+E61+E62+E63+E64</f>
        <v>245247940.21000001</v>
      </c>
      <c r="F59" s="302">
        <f>F60+F61+F62+F63+F64</f>
        <v>176295004</v>
      </c>
    </row>
    <row r="60" spans="1:6" ht="16.5" thickBot="1">
      <c r="A60" s="297">
        <v>501</v>
      </c>
      <c r="B60" s="300" t="s">
        <v>574</v>
      </c>
      <c r="C60" s="304">
        <f>SUMIF(Пр.5!C10:C1104,501,Пр.5!G10:G1104)</f>
        <v>103711164.08000001</v>
      </c>
      <c r="D60" s="304">
        <f>SUMIF(Пр.5!C10:C1104,501,Пр.5!H10:H1104)</f>
        <v>10292859.66</v>
      </c>
      <c r="E60" s="304">
        <f>SUMIF(Пр.5!C10:C1104,501,Пр.5!I10:I1104)</f>
        <v>114004023.74000001</v>
      </c>
      <c r="F60" s="304">
        <f>SUMIF(Пр.5!C10:C1104,501,Пр.5!J10:J1104)</f>
        <v>83333804</v>
      </c>
    </row>
    <row r="61" spans="1:6" ht="16.5" thickBot="1">
      <c r="A61" s="297">
        <v>502</v>
      </c>
      <c r="B61" s="300" t="s">
        <v>575</v>
      </c>
      <c r="C61" s="304">
        <f>SUMIF(Пр.5!C10:C1104,502,Пр.5!G10:G1104)</f>
        <v>80003043.310000002</v>
      </c>
      <c r="D61" s="304">
        <f>SUMIF(Пр.5!C10:C1104,502,Пр.5!H10:H1104)</f>
        <v>-1925788</v>
      </c>
      <c r="E61" s="304">
        <f>SUMIF(Пр.5!C10:C1104,502,Пр.5!I10:I1104)</f>
        <v>78077255.310000002</v>
      </c>
      <c r="F61" s="304">
        <f>SUMIF(Пр.5!C10:C1104,502,Пр.5!J10:J1104)</f>
        <v>53999903</v>
      </c>
    </row>
    <row r="62" spans="1:6" ht="16.5" thickBot="1">
      <c r="A62" s="297">
        <v>503</v>
      </c>
      <c r="B62" s="298" t="s">
        <v>350</v>
      </c>
      <c r="C62" s="304">
        <f>SUMIF(Пр.5!C10:C1104,503,Пр.5!G10:G1104)</f>
        <v>36434218.160000004</v>
      </c>
      <c r="D62" s="304">
        <f>SUMIF(Пр.5!C10:C1104,503,Пр.5!H10:H1104)</f>
        <v>2822398</v>
      </c>
      <c r="E62" s="304">
        <f>SUMIF(Пр.5!C10:C1104,503,Пр.5!I10:I1104)</f>
        <v>39256616.159999996</v>
      </c>
      <c r="F62" s="304">
        <f>SUMIF(Пр.5!C10:C1104,503,Пр.5!J10:J1104)</f>
        <v>27021166</v>
      </c>
    </row>
    <row r="63" spans="1:6" ht="32.25" hidden="1" thickBot="1">
      <c r="A63" s="297">
        <v>504</v>
      </c>
      <c r="B63" s="300" t="s">
        <v>718</v>
      </c>
      <c r="C63" s="304">
        <f>SUMIF(Пр.5!C10:C1104,504,Пр.5!G10:G1104)</f>
        <v>0</v>
      </c>
      <c r="D63" s="304">
        <f>SUMIF(Пр.5!C10:C1104,504,Пр.5!H10:H1104)</f>
        <v>0</v>
      </c>
      <c r="E63" s="304">
        <f>SUMIF(Пр.5!C10:C1104,504,Пр.5!I10:I1104)</f>
        <v>0</v>
      </c>
      <c r="F63" s="304">
        <f>SUMIF(Пр.5!C10:C1104,504,Пр.5!J10:J1104)</f>
        <v>0</v>
      </c>
    </row>
    <row r="64" spans="1:6" ht="32.25" customHeight="1" thickBot="1">
      <c r="A64" s="297">
        <v>505</v>
      </c>
      <c r="B64" s="300" t="s">
        <v>780</v>
      </c>
      <c r="C64" s="304">
        <f>SUMIF(Пр.5!C10:C1104,505,Пр.5!G10:G1104)</f>
        <v>14497045</v>
      </c>
      <c r="D64" s="304">
        <f>SUMIF(Пр.5!C10:C1104,505,Пр.5!H10:H1104)</f>
        <v>-587000</v>
      </c>
      <c r="E64" s="304">
        <f>SUMIF(Пр.5!C10:C1104,505,Пр.5!I10:I1104)</f>
        <v>13910045</v>
      </c>
      <c r="F64" s="304">
        <f>SUMIF(Пр.5!C10:C1104,505,Пр.5!J10:J1104)</f>
        <v>11940131</v>
      </c>
    </row>
    <row r="65" spans="1:6" ht="16.5" thickBot="1">
      <c r="A65" s="294">
        <v>600</v>
      </c>
      <c r="B65" s="305" t="s">
        <v>584</v>
      </c>
      <c r="C65" s="302">
        <f>SUM(C66:C70)</f>
        <v>16000</v>
      </c>
      <c r="D65" s="302">
        <f t="shared" ref="D65:E65" si="5">SUM(D66:D70)</f>
        <v>-6876.83</v>
      </c>
      <c r="E65" s="302">
        <f t="shared" si="5"/>
        <v>9123.17</v>
      </c>
      <c r="F65" s="302">
        <f t="shared" ref="F65" si="6">SUM(F66:F70)</f>
        <v>9123</v>
      </c>
    </row>
    <row r="66" spans="1:6" ht="16.5" hidden="1" thickBot="1">
      <c r="A66" s="297">
        <v>601</v>
      </c>
      <c r="B66" s="298" t="s">
        <v>585</v>
      </c>
      <c r="C66" s="304">
        <f>SUMIF(Пр.5!C10:C1104,601,Пр.5!G10:G1104)</f>
        <v>0</v>
      </c>
      <c r="D66" s="304">
        <f>SUMIF(Пр.5!D10:D1104,601,Пр.5!H10:H1104)</f>
        <v>0</v>
      </c>
      <c r="E66" s="304">
        <f>SUMIF(Пр.5!C10:C1104,601,Пр.5!I10:I1104)</f>
        <v>0</v>
      </c>
      <c r="F66" s="304">
        <f>SUMIF(Пр.5!C10:C1104,601,Пр.5!J10:J1104)</f>
        <v>0</v>
      </c>
    </row>
    <row r="67" spans="1:6" ht="16.5" hidden="1" thickBot="1">
      <c r="A67" s="297">
        <v>602</v>
      </c>
      <c r="B67" s="300" t="s">
        <v>1686</v>
      </c>
      <c r="C67" s="304">
        <f>SUMIF(Пр.5!C10:C1104,602,Пр.5!G10:G1104)</f>
        <v>0</v>
      </c>
      <c r="D67" s="304">
        <f>SUMIF(Пр.5!D10:D1104,602,Пр.5!H10:H1104)</f>
        <v>0</v>
      </c>
      <c r="E67" s="304">
        <f>SUMIF(Пр.5!C10:C1104,602,Пр.5!I10:I1104)</f>
        <v>0</v>
      </c>
      <c r="F67" s="304">
        <f>SUMIF(Пр.5!C10:C1104,602,Пр.5!J10:J1104)</f>
        <v>0</v>
      </c>
    </row>
    <row r="68" spans="1:6" ht="32.25" hidden="1" thickBot="1">
      <c r="A68" s="297">
        <v>603</v>
      </c>
      <c r="B68" s="300" t="s">
        <v>1687</v>
      </c>
      <c r="C68" s="304">
        <f>SUMIF(Пр.5!C10:C1104,603,Пр.5!G10:G1104)</f>
        <v>0</v>
      </c>
      <c r="D68" s="304">
        <f>SUMIF(Пр.5!D10:D1104,603,Пр.5!H10:H1104)</f>
        <v>0</v>
      </c>
      <c r="E68" s="304">
        <f>SUMIF(Пр.5!C10:C1104,603,Пр.5!I10:I1104)</f>
        <v>0</v>
      </c>
      <c r="F68" s="304">
        <f>SUMIF(Пр.5!C10:C1104,603,Пр.5!J10:J1104)</f>
        <v>0</v>
      </c>
    </row>
    <row r="69" spans="1:6" ht="32.25" hidden="1" thickBot="1">
      <c r="A69" s="297">
        <v>604</v>
      </c>
      <c r="B69" s="300" t="s">
        <v>1894</v>
      </c>
      <c r="C69" s="304">
        <f>SUMIF(Пр.5!C10:C1104,604,Пр.5!G10:G1104)</f>
        <v>0</v>
      </c>
      <c r="D69" s="304">
        <f>SUMIF(Пр.5!D10:D1104,604,Пр.5!H10:H1104)</f>
        <v>0</v>
      </c>
      <c r="E69" s="304">
        <f>SUMIF(Пр.5!C10:C1104,604,Пр.5!I10:I1104)</f>
        <v>0</v>
      </c>
      <c r="F69" s="304">
        <f>SUMIF(Пр.5!C10:C1104,604,Пр.5!J10:J1104)</f>
        <v>0</v>
      </c>
    </row>
    <row r="70" spans="1:6" ht="16.5" thickBot="1">
      <c r="A70" s="297">
        <v>605</v>
      </c>
      <c r="B70" s="300" t="s">
        <v>527</v>
      </c>
      <c r="C70" s="304">
        <f>SUMIF(Пр.5!C10:C1104,605,Пр.5!G10:G1104)</f>
        <v>16000</v>
      </c>
      <c r="D70" s="304">
        <f>SUMIF(Пр.5!C10:C1104,605,Пр.5!H10:H1104)</f>
        <v>-6876.83</v>
      </c>
      <c r="E70" s="304">
        <f>SUMIF(Пр.5!C10:C1104,605,Пр.5!I10:I1104)</f>
        <v>9123.17</v>
      </c>
      <c r="F70" s="304">
        <f>SUMIF(Пр.5!C10:C1104,605,Пр.5!J10:J1104)</f>
        <v>9123</v>
      </c>
    </row>
    <row r="71" spans="1:6" ht="16.5" thickBot="1">
      <c r="A71" s="294">
        <v>700</v>
      </c>
      <c r="B71" s="305" t="s">
        <v>1688</v>
      </c>
      <c r="C71" s="302">
        <f>C72+C73+C78+C80</f>
        <v>908334226</v>
      </c>
      <c r="D71" s="302">
        <f t="shared" ref="D71:E71" si="7">D72+D73+D78+D80</f>
        <v>51101847</v>
      </c>
      <c r="E71" s="302">
        <f t="shared" si="7"/>
        <v>959436073</v>
      </c>
      <c r="F71" s="302">
        <f t="shared" ref="F71" si="8">F72+F73+F78+F80</f>
        <v>908611718</v>
      </c>
    </row>
    <row r="72" spans="1:6" ht="16.5" thickBot="1">
      <c r="A72" s="297">
        <v>701</v>
      </c>
      <c r="B72" s="300" t="s">
        <v>62</v>
      </c>
      <c r="C72" s="304">
        <f>SUMIF(Пр.5!C10:C1104,701,Пр.5!G10:G1104)</f>
        <v>303293631</v>
      </c>
      <c r="D72" s="304">
        <f>SUMIF(Пр.5!C10:C1104,701,Пр.5!H10:H1104)</f>
        <v>19251303</v>
      </c>
      <c r="E72" s="304">
        <f>SUMIF(Пр.5!C10:C1104,701,Пр.5!I10:I1104)</f>
        <v>322544934</v>
      </c>
      <c r="F72" s="304">
        <f>SUMIF(Пр.5!C10:C1104,701,Пр.5!J10:J1104)</f>
        <v>309225288</v>
      </c>
    </row>
    <row r="73" spans="1:6" ht="16.5" thickBot="1">
      <c r="A73" s="297">
        <v>702</v>
      </c>
      <c r="B73" s="300" t="s">
        <v>108</v>
      </c>
      <c r="C73" s="304">
        <f>SUMIF(Пр.5!C10:C1104,702,Пр.5!G10:G1104)</f>
        <v>527455128</v>
      </c>
      <c r="D73" s="304">
        <f>SUMIF(Пр.5!C10:C1104,702,Пр.5!H10:H1104)</f>
        <v>31999018</v>
      </c>
      <c r="E73" s="304">
        <f>SUMIF(Пр.5!C10:C1104,702,Пр.5!I10:I1104)</f>
        <v>559454146</v>
      </c>
      <c r="F73" s="304">
        <f>SUMIF(Пр.5!C10:C1104,702,Пр.5!J10:J1104)</f>
        <v>531818442</v>
      </c>
    </row>
    <row r="74" spans="1:6" ht="16.5" hidden="1" thickBot="1">
      <c r="A74" s="297">
        <v>703</v>
      </c>
      <c r="B74" s="300" t="s">
        <v>1895</v>
      </c>
      <c r="C74" s="304">
        <f>SUMIF(Пр.5!C10:C1104,703,Пр.5!G10:G1104)</f>
        <v>0</v>
      </c>
      <c r="D74" s="304">
        <f>SUMIF(Пр.5!C10:C1104,703,Пр.5!H10:H1104)</f>
        <v>0</v>
      </c>
      <c r="E74" s="304">
        <f>SUMIF(Пр.5!C10:C1104,703,Пр.5!I10:I1104)</f>
        <v>0</v>
      </c>
      <c r="F74" s="304">
        <f>SUMIF(Пр.5!C10:C1104,703,Пр.5!J10:J1104)</f>
        <v>0</v>
      </c>
    </row>
    <row r="75" spans="1:6" ht="16.5" hidden="1" thickBot="1">
      <c r="A75" s="297">
        <v>704</v>
      </c>
      <c r="B75" s="300" t="s">
        <v>392</v>
      </c>
      <c r="C75" s="304">
        <f>SUMIF(Пр.5!C10:C1104,704,Пр.5!G10:G1104)</f>
        <v>0</v>
      </c>
      <c r="D75" s="304">
        <f>SUMIF(Пр.5!C10:C1104,704,Пр.5!H10:H1104)</f>
        <v>0</v>
      </c>
      <c r="E75" s="304">
        <f>SUMIF(Пр.5!C10:C1104,704,Пр.5!I10:I1104)</f>
        <v>0</v>
      </c>
      <c r="F75" s="304">
        <f>SUMIF(Пр.5!C10:C1104,704,Пр.5!J10:J1104)</f>
        <v>0</v>
      </c>
    </row>
    <row r="76" spans="1:6" ht="32.25" hidden="1" thickBot="1">
      <c r="A76" s="297">
        <v>705</v>
      </c>
      <c r="B76" s="300" t="s">
        <v>1055</v>
      </c>
      <c r="C76" s="304">
        <f>SUMIF(Пр.5!C10:C1104,705,Пр.5!G10:G1104)</f>
        <v>0</v>
      </c>
      <c r="D76" s="304">
        <f>SUMIF(Пр.5!C10:C1104,705,Пр.5!H10:H1104)</f>
        <v>0</v>
      </c>
      <c r="E76" s="304">
        <f>SUMIF(Пр.5!C10:C1104,705,Пр.5!I10:I1104)</f>
        <v>0</v>
      </c>
      <c r="F76" s="304">
        <f>SUMIF(Пр.5!C10:C1104,705,Пр.5!J10:J1104)</f>
        <v>0</v>
      </c>
    </row>
    <row r="77" spans="1:6" ht="16.5" hidden="1" thickBot="1">
      <c r="A77" s="306">
        <v>706</v>
      </c>
      <c r="B77" s="307" t="s">
        <v>1056</v>
      </c>
      <c r="C77" s="304">
        <f>SUMIF(Пр.5!C10:C1104,706,Пр.5!G10:G1104)</f>
        <v>0</v>
      </c>
      <c r="D77" s="304">
        <f>SUMIF(Пр.5!C10:C1104,706,Пр.5!H10:H1104)</f>
        <v>0</v>
      </c>
      <c r="E77" s="304">
        <f>SUMIF(Пр.5!C10:C1104,706,Пр.5!I10:I1104)</f>
        <v>0</v>
      </c>
      <c r="F77" s="304">
        <f>SUMIF(Пр.5!C10:C1104,706,Пр.5!J10:J1104)</f>
        <v>0</v>
      </c>
    </row>
    <row r="78" spans="1:6" ht="16.5" thickBot="1">
      <c r="A78" s="297">
        <v>707</v>
      </c>
      <c r="B78" s="300" t="s">
        <v>823</v>
      </c>
      <c r="C78" s="304">
        <f>SUMIF(Пр.5!C10:C1104,707,Пр.5!G10:G1104)</f>
        <v>19546424</v>
      </c>
      <c r="D78" s="304">
        <f>SUMIF(Пр.5!C10:C1104,707,Пр.5!H10:H1104)</f>
        <v>-521444</v>
      </c>
      <c r="E78" s="304">
        <f>SUMIF(Пр.5!C10:C1104,707,Пр.5!I10:I1104)</f>
        <v>19024980</v>
      </c>
      <c r="F78" s="304">
        <f>SUMIF(Пр.5!C10:C1104,707,Пр.5!J10:J1104)</f>
        <v>18291962</v>
      </c>
    </row>
    <row r="79" spans="1:6" ht="32.25" hidden="1" thickBot="1">
      <c r="A79" s="297">
        <v>708</v>
      </c>
      <c r="B79" s="300" t="s">
        <v>589</v>
      </c>
      <c r="C79" s="304">
        <f>SUMIF(Пр.5!C10:C1104,708,Пр.5!G10:G1104)</f>
        <v>0</v>
      </c>
      <c r="D79" s="304">
        <f>SUMIF(Пр.5!C10:C1104,708,Пр.5!H10:H1104)</f>
        <v>0</v>
      </c>
      <c r="E79" s="304">
        <f>SUMIF(Пр.5!C10:C1104,708,Пр.5!I10:I1104)</f>
        <v>0</v>
      </c>
      <c r="F79" s="304">
        <f>SUMIF(Пр.5!C10:C1104,708,Пр.5!J10:J1104)</f>
        <v>0</v>
      </c>
    </row>
    <row r="80" spans="1:6" ht="16.5" thickBot="1">
      <c r="A80" s="297">
        <v>709</v>
      </c>
      <c r="B80" s="300" t="s">
        <v>82</v>
      </c>
      <c r="C80" s="304">
        <f>SUMIF(Пр.5!C10:C1104,709,Пр.5!G10:G1104)</f>
        <v>58039043</v>
      </c>
      <c r="D80" s="304">
        <f>SUMIF(Пр.5!C10:C1104,709,Пр.5!H10:H1104)</f>
        <v>372970</v>
      </c>
      <c r="E80" s="304">
        <f>SUMIF(Пр.5!C10:C1104,709,Пр.5!I10:I1104)</f>
        <v>58412013</v>
      </c>
      <c r="F80" s="304">
        <f>SUMIF(Пр.5!C10:C1104,709,Пр.5!J10:J1104)</f>
        <v>49276026</v>
      </c>
    </row>
    <row r="81" spans="1:6" ht="16.5" thickBot="1">
      <c r="A81" s="294">
        <v>800</v>
      </c>
      <c r="B81" s="305" t="s">
        <v>1306</v>
      </c>
      <c r="C81" s="302">
        <f>C82+C85</f>
        <v>130441679</v>
      </c>
      <c r="D81" s="302">
        <f t="shared" ref="D81:E81" si="9">D82+D85</f>
        <v>-978680</v>
      </c>
      <c r="E81" s="302">
        <f t="shared" si="9"/>
        <v>129462999</v>
      </c>
      <c r="F81" s="302">
        <f t="shared" ref="F81" si="10">F82+F85</f>
        <v>119062543</v>
      </c>
    </row>
    <row r="82" spans="1:6" ht="16.5" thickBot="1">
      <c r="A82" s="297">
        <v>801</v>
      </c>
      <c r="B82" s="300" t="s">
        <v>408</v>
      </c>
      <c r="C82" s="304">
        <f>SUMIF(Пр.5!C10:C1104,801,Пр.5!G10:G1104)</f>
        <v>119808461</v>
      </c>
      <c r="D82" s="304">
        <f>SUMIF(Пр.5!C10:C1104,801,Пр.5!H10:H1104)</f>
        <v>-861591</v>
      </c>
      <c r="E82" s="304">
        <f>SUMIF(Пр.5!C10:C1104,801,Пр.5!I10:I1104)</f>
        <v>118946870</v>
      </c>
      <c r="F82" s="304">
        <f>SUMIF(Пр.5!C10:C1104,801,Пр.5!J10:J1104)</f>
        <v>108859253</v>
      </c>
    </row>
    <row r="83" spans="1:6" ht="16.5" hidden="1" thickBot="1">
      <c r="A83" s="297">
        <v>802</v>
      </c>
      <c r="B83" s="300" t="s">
        <v>355</v>
      </c>
      <c r="C83" s="304">
        <f>SUMIF(Пр.5!C10:C1104,802,Пр.5!G10:G1104)</f>
        <v>0</v>
      </c>
      <c r="D83" s="304">
        <f>SUMIF(Пр.5!C10:C1104,802,Пр.5!H10:H1104)</f>
        <v>0</v>
      </c>
      <c r="E83" s="304">
        <f>SUMIF(Пр.5!C10:C1104,802,Пр.5!I10:I1104)</f>
        <v>0</v>
      </c>
      <c r="F83" s="304">
        <f>SUMIF(Пр.5!C10:C1104,802,Пр.5!J10:J1104)</f>
        <v>0</v>
      </c>
    </row>
    <row r="84" spans="1:6" ht="32.25" hidden="1" thickBot="1">
      <c r="A84" s="297">
        <v>803</v>
      </c>
      <c r="B84" s="300" t="s">
        <v>1307</v>
      </c>
      <c r="C84" s="304">
        <f>SUMIF(Пр.5!C10:C1104,803,Пр.5!G10:G1104)</f>
        <v>0</v>
      </c>
      <c r="D84" s="304">
        <f>SUMIF(Пр.5!C10:C1104,803,Пр.5!H10:H1104)</f>
        <v>0</v>
      </c>
      <c r="E84" s="304">
        <f>SUMIF(Пр.5!C10:C1104,803,Пр.5!I10:I1104)</f>
        <v>0</v>
      </c>
      <c r="F84" s="304">
        <f>SUMIF(Пр.5!C10:C1104,803,Пр.5!J10:J1104)</f>
        <v>0</v>
      </c>
    </row>
    <row r="85" spans="1:6" ht="16.5" thickBot="1">
      <c r="A85" s="297">
        <v>804</v>
      </c>
      <c r="B85" s="300" t="s">
        <v>1325</v>
      </c>
      <c r="C85" s="304">
        <f>SUMIF(Пр.5!C10:C1104,804,Пр.5!G10:G1104)</f>
        <v>10633218</v>
      </c>
      <c r="D85" s="304">
        <f>SUMIF(Пр.5!C10:C1104,804,Пр.5!H10:H1104)</f>
        <v>-117089</v>
      </c>
      <c r="E85" s="304">
        <f>SUMIF(Пр.5!C10:C1104,804,Пр.5!I10:I1104)</f>
        <v>10516129</v>
      </c>
      <c r="F85" s="304">
        <f>SUMIF(Пр.5!C10:C1104,804,Пр.5!J10:J1104)</f>
        <v>10203290</v>
      </c>
    </row>
    <row r="86" spans="1:6" ht="16.5" hidden="1" thickBot="1">
      <c r="A86" s="294">
        <v>900</v>
      </c>
      <c r="B86" s="305" t="s">
        <v>1326</v>
      </c>
      <c r="C86" s="302">
        <f>SUM(C87:C95)</f>
        <v>0</v>
      </c>
      <c r="D86" s="302">
        <f t="shared" ref="D86:E86" si="11">SUM(D87:D95)</f>
        <v>0</v>
      </c>
      <c r="E86" s="302">
        <f t="shared" si="11"/>
        <v>0</v>
      </c>
      <c r="F86" s="302">
        <f t="shared" ref="F86" si="12">SUM(F87:F95)</f>
        <v>0</v>
      </c>
    </row>
    <row r="87" spans="1:6" ht="16.5" hidden="1" thickBot="1">
      <c r="A87" s="297">
        <v>901</v>
      </c>
      <c r="B87" s="300" t="s">
        <v>267</v>
      </c>
      <c r="C87" s="304">
        <f>SUMIF(Пр.5!C10:C1104,901,Пр.5!G10:G1104)</f>
        <v>0</v>
      </c>
      <c r="D87" s="304">
        <f>SUMIF(Пр.5!D10:D1104,901,Пр.5!H10:H1104)</f>
        <v>0</v>
      </c>
      <c r="E87" s="304">
        <f>SUMIF(Пр.5!C10:C1104,901,Пр.5!I10:I1104)</f>
        <v>0</v>
      </c>
      <c r="F87" s="304">
        <f>SUMIF(Пр.5!C10:C1104,901,Пр.5!J10:J1104)</f>
        <v>0</v>
      </c>
    </row>
    <row r="88" spans="1:6" ht="16.5" hidden="1" thickBot="1">
      <c r="A88" s="297">
        <v>902</v>
      </c>
      <c r="B88" s="300" t="s">
        <v>268</v>
      </c>
      <c r="C88" s="304">
        <f>SUMIF(Пр.5!C10:C1104,902,Пр.5!G10:G1104)</f>
        <v>0</v>
      </c>
      <c r="D88" s="304">
        <f>SUMIF(Пр.5!D10:D1104,902,Пр.5!H10:H1104)</f>
        <v>0</v>
      </c>
      <c r="E88" s="304">
        <f>SUMIF(Пр.5!C10:C1104,902,Пр.5!I10:I1104)</f>
        <v>0</v>
      </c>
      <c r="F88" s="304">
        <f>SUMIF(Пр.5!C10:C1104,902,Пр.5!J10:J1104)</f>
        <v>0</v>
      </c>
    </row>
    <row r="89" spans="1:6" ht="16.5" hidden="1" thickBot="1">
      <c r="A89" s="297">
        <v>903</v>
      </c>
      <c r="B89" s="300" t="s">
        <v>221</v>
      </c>
      <c r="C89" s="304">
        <f>SUMIF(Пр.5!C10:C1104,903,Пр.5!G10:G1104)</f>
        <v>0</v>
      </c>
      <c r="D89" s="304">
        <f>SUMIF(Пр.5!D10:D1104,903,Пр.5!H10:H1104)</f>
        <v>0</v>
      </c>
      <c r="E89" s="304">
        <f>SUMIF(Пр.5!C10:C1104,903,Пр.5!I10:I1104)</f>
        <v>0</v>
      </c>
      <c r="F89" s="304">
        <f>SUMIF(Пр.5!C10:C1104,903,Пр.5!J10:J1104)</f>
        <v>0</v>
      </c>
    </row>
    <row r="90" spans="1:6" ht="16.5" hidden="1" thickBot="1">
      <c r="A90" s="297">
        <v>904</v>
      </c>
      <c r="B90" s="300" t="s">
        <v>258</v>
      </c>
      <c r="C90" s="304">
        <f>SUMIF(Пр.5!C10:C1104,904,Пр.5!G10:G1104)</f>
        <v>0</v>
      </c>
      <c r="D90" s="304">
        <f>SUMIF(Пр.5!D10:D1104,904,Пр.5!H10:H1104)</f>
        <v>0</v>
      </c>
      <c r="E90" s="304">
        <f>SUMIF(Пр.5!C10:C1104,904,Пр.5!I10:I1104)</f>
        <v>0</v>
      </c>
      <c r="F90" s="304">
        <f>SUMIF(Пр.5!C10:C1104,904,Пр.5!J10:J1104)</f>
        <v>0</v>
      </c>
    </row>
    <row r="91" spans="1:6" ht="16.5" hidden="1" thickBot="1">
      <c r="A91" s="297">
        <v>905</v>
      </c>
      <c r="B91" s="308" t="s">
        <v>87</v>
      </c>
      <c r="C91" s="304">
        <f>SUMIF(Пр.5!C10:C1104,905,Пр.5!G10:G1104)</f>
        <v>0</v>
      </c>
      <c r="D91" s="304">
        <f>SUMIF(Пр.5!D10:D1104,905,Пр.5!H10:H1104)</f>
        <v>0</v>
      </c>
      <c r="E91" s="304">
        <f>SUMIF(Пр.5!C10:C1104,905,Пр.5!I10:I1104)</f>
        <v>0</v>
      </c>
      <c r="F91" s="304">
        <f>SUMIF(Пр.5!C10:C1104,905,Пр.5!J10:J1104)</f>
        <v>0</v>
      </c>
    </row>
    <row r="92" spans="1:6" ht="32.25" hidden="1" thickBot="1">
      <c r="A92" s="297">
        <v>906</v>
      </c>
      <c r="B92" s="308" t="s">
        <v>926</v>
      </c>
      <c r="C92" s="304">
        <f>SUMIF(Пр.5!C10:C1104,906,Пр.5!G10:G1104)</f>
        <v>0</v>
      </c>
      <c r="D92" s="304">
        <f>SUMIF(Пр.5!D10:D1104,906,Пр.5!H10:H1104)</f>
        <v>0</v>
      </c>
      <c r="E92" s="304">
        <f>SUMIF(Пр.5!C10:C1104,906,Пр.5!I10:I1104)</f>
        <v>0</v>
      </c>
      <c r="F92" s="304">
        <f>SUMIF(Пр.5!C10:C1104,906,Пр.5!J10:J1104)</f>
        <v>0</v>
      </c>
    </row>
    <row r="93" spans="1:6" ht="16.5" hidden="1" thickBot="1">
      <c r="A93" s="297">
        <v>907</v>
      </c>
      <c r="B93" s="300" t="s">
        <v>927</v>
      </c>
      <c r="C93" s="304">
        <f>SUMIF(Пр.5!C10:C1104,907,Пр.5!G10:G1104)</f>
        <v>0</v>
      </c>
      <c r="D93" s="304">
        <f>SUMIF(Пр.5!D10:D1104,907,Пр.5!H10:H1104)</f>
        <v>0</v>
      </c>
      <c r="E93" s="304">
        <f>SUMIF(Пр.5!C10:C1104,907,Пр.5!I10:I1104)</f>
        <v>0</v>
      </c>
      <c r="F93" s="304">
        <f>SUMIF(Пр.5!C10:C1104,907,Пр.5!J10:J1104)</f>
        <v>0</v>
      </c>
    </row>
    <row r="94" spans="1:6" ht="32.25" hidden="1" thickBot="1">
      <c r="A94" s="297">
        <v>908</v>
      </c>
      <c r="B94" s="298" t="s">
        <v>1327</v>
      </c>
      <c r="C94" s="304">
        <f>SUMIF(Пр.5!C10:C1104,908,Пр.5!G10:G1104)</f>
        <v>0</v>
      </c>
      <c r="D94" s="304">
        <f>SUMIF(Пр.5!D10:D1104,908,Пр.5!H10:H1104)</f>
        <v>0</v>
      </c>
      <c r="E94" s="304">
        <f>SUMIF(Пр.5!C10:C1104,908,Пр.5!I10:I1104)</f>
        <v>0</v>
      </c>
      <c r="F94" s="304">
        <f>SUMIF(Пр.5!C10:C1104,908,Пр.5!J10:J1104)</f>
        <v>0</v>
      </c>
    </row>
    <row r="95" spans="1:6" ht="16.5" hidden="1" thickBot="1">
      <c r="A95" s="297">
        <v>909</v>
      </c>
      <c r="B95" s="300" t="s">
        <v>1328</v>
      </c>
      <c r="C95" s="304">
        <f>SUMIF(Пр.5!C10:C1104,909,Пр.5!G10:G1104)</f>
        <v>0</v>
      </c>
      <c r="D95" s="304">
        <f>SUMIF(Пр.5!D10:D1104,909,Пр.5!H10:H1104)</f>
        <v>0</v>
      </c>
      <c r="E95" s="304">
        <f>SUMIF(Пр.5!C10:C1104,909,Пр.5!I10:I1104)</f>
        <v>0</v>
      </c>
      <c r="F95" s="304">
        <f>SUMIF(Пр.5!C10:C1104,909,Пр.5!J10:J1104)</f>
        <v>0</v>
      </c>
    </row>
    <row r="96" spans="1:6" ht="16.5" thickBot="1">
      <c r="A96" s="294">
        <v>1000</v>
      </c>
      <c r="B96" s="305" t="s">
        <v>1039</v>
      </c>
      <c r="C96" s="302">
        <f>C97+C98+C99+C100+C102</f>
        <v>387493077.52999997</v>
      </c>
      <c r="D96" s="302">
        <f t="shared" ref="D96:E96" si="13">D97+D98+D99+D100+D102</f>
        <v>18611296.07</v>
      </c>
      <c r="E96" s="302">
        <f t="shared" si="13"/>
        <v>406104373.60000002</v>
      </c>
      <c r="F96" s="302">
        <f t="shared" ref="F96" si="14">F97+F98+F99+F100+F102</f>
        <v>403208365</v>
      </c>
    </row>
    <row r="97" spans="1:6" ht="16.5" thickBot="1">
      <c r="A97" s="297">
        <v>1001</v>
      </c>
      <c r="B97" s="300" t="s">
        <v>445</v>
      </c>
      <c r="C97" s="304">
        <f>SUMIF(Пр.5!C10:C1104,1001,Пр.5!G10:G1104)</f>
        <v>2940000</v>
      </c>
      <c r="D97" s="304">
        <f>SUMIF(Пр.5!C10:C1104,1001,Пр.5!H10:H1104)</f>
        <v>5100</v>
      </c>
      <c r="E97" s="304">
        <f>SUMIF(Пр.5!C10:C1104,1001,Пр.5!I10:I1104)</f>
        <v>2945100</v>
      </c>
      <c r="F97" s="304">
        <f>SUMIF(Пр.5!C10:C1104,1001,Пр.5!J10:J1104)</f>
        <v>2944578</v>
      </c>
    </row>
    <row r="98" spans="1:6" ht="16.5" thickBot="1">
      <c r="A98" s="297">
        <v>1002</v>
      </c>
      <c r="B98" s="300" t="s">
        <v>104</v>
      </c>
      <c r="C98" s="304">
        <f>SUMIF(Пр.5!C10:C1104,1002,Пр.5!G10:G1104)</f>
        <v>46138413</v>
      </c>
      <c r="D98" s="304">
        <f>SUMIF(Пр.5!C10:C1104,1002,Пр.5!H10:H1104)</f>
        <v>0</v>
      </c>
      <c r="E98" s="304">
        <f>SUMIF(Пр.5!C10:C1104,1002,Пр.5!I10:I1104)</f>
        <v>46138413</v>
      </c>
      <c r="F98" s="304">
        <f>SUMIF(Пр.5!C10:C1104,1002,Пр.5!J10:J1104)</f>
        <v>45294310</v>
      </c>
    </row>
    <row r="99" spans="1:6" ht="16.5" thickBot="1">
      <c r="A99" s="297">
        <v>1003</v>
      </c>
      <c r="B99" s="300" t="s">
        <v>372</v>
      </c>
      <c r="C99" s="304">
        <f>SUMIF(Пр.5!C10:C1104,1003,Пр.5!G10:G1104)</f>
        <v>230507645.53</v>
      </c>
      <c r="D99" s="304">
        <f>SUMIF(Пр.5!C10:C1104,1003,Пр.5!H10:H1104)</f>
        <v>7306891.0700000003</v>
      </c>
      <c r="E99" s="304">
        <f>SUMIF(Пр.5!C10:C1104,1003,Пр.5!I10:I1104)</f>
        <v>237814536.59999999</v>
      </c>
      <c r="F99" s="304">
        <f>SUMIF(Пр.5!C10:C1104,1003,Пр.5!J10:J1104)</f>
        <v>236838448</v>
      </c>
    </row>
    <row r="100" spans="1:6" ht="16.5" thickBot="1">
      <c r="A100" s="297">
        <v>1004</v>
      </c>
      <c r="B100" s="298" t="s">
        <v>1040</v>
      </c>
      <c r="C100" s="304">
        <f>SUMIF(Пр.5!C10:C1104,1004,Пр.5!G10:G1104)</f>
        <v>94108908</v>
      </c>
      <c r="D100" s="304">
        <f>SUMIF(Пр.5!C10:C1104,1004,Пр.5!H10:H1104)</f>
        <v>10630385</v>
      </c>
      <c r="E100" s="304">
        <f>SUMIF(Пр.5!C10:C1104,1004,Пр.5!I10:I1104)</f>
        <v>104739293</v>
      </c>
      <c r="F100" s="304">
        <f>SUMIF(Пр.5!C10:C1104,1004,Пр.5!J10:J1104)</f>
        <v>103875439</v>
      </c>
    </row>
    <row r="101" spans="1:6" ht="32.25" hidden="1" thickBot="1">
      <c r="A101" s="297">
        <v>1005</v>
      </c>
      <c r="B101" s="300" t="s">
        <v>1043</v>
      </c>
      <c r="C101" s="304">
        <f>SUMIF(Пр.5!C10:C1104,1005,Пр.5!G10:G1104)</f>
        <v>0</v>
      </c>
      <c r="D101" s="304">
        <f>SUMIF(Пр.5!C10:C1104,1005,Пр.5!H10:H1104)</f>
        <v>0</v>
      </c>
      <c r="E101" s="304">
        <f>SUMIF(Пр.5!C10:C1104,1005,Пр.5!I10:I1104)</f>
        <v>0</v>
      </c>
      <c r="F101" s="304">
        <f>SUMIF(Пр.5!C10:C1104,1005,Пр.5!J10:J1104)</f>
        <v>0</v>
      </c>
    </row>
    <row r="102" spans="1:6" ht="16.5" thickBot="1">
      <c r="A102" s="297">
        <v>1006</v>
      </c>
      <c r="B102" s="300" t="s">
        <v>105</v>
      </c>
      <c r="C102" s="304">
        <f>SUMIF(Пр.5!C10:C1104,1006,Пр.5!G10:G1104)</f>
        <v>13798111</v>
      </c>
      <c r="D102" s="304">
        <f>SUMIF(Пр.5!C10:C1104,1006,Пр.5!H10:H1104)</f>
        <v>668920</v>
      </c>
      <c r="E102" s="304">
        <f>SUMIF(Пр.5!C10:C1104,1006,Пр.5!I10:I1104)</f>
        <v>14467031</v>
      </c>
      <c r="F102" s="304">
        <f>SUMIF(Пр.5!C10:C1104,1006,Пр.5!J10:J1104)</f>
        <v>14255590</v>
      </c>
    </row>
    <row r="103" spans="1:6" ht="16.5" thickBot="1">
      <c r="A103" s="294">
        <v>1100</v>
      </c>
      <c r="B103" s="305" t="s">
        <v>1329</v>
      </c>
      <c r="C103" s="302">
        <f>SUM(C104:C108)</f>
        <v>19463414</v>
      </c>
      <c r="D103" s="302">
        <f t="shared" ref="D103:E103" si="15">SUM(D104:D108)</f>
        <v>-139824</v>
      </c>
      <c r="E103" s="302">
        <f t="shared" si="15"/>
        <v>19323590</v>
      </c>
      <c r="F103" s="302">
        <f t="shared" ref="F103" si="16">SUM(F104:F108)</f>
        <v>13056511</v>
      </c>
    </row>
    <row r="104" spans="1:6" ht="16.5" thickBot="1">
      <c r="A104" s="297">
        <v>1101</v>
      </c>
      <c r="B104" s="300" t="s">
        <v>1330</v>
      </c>
      <c r="C104" s="304">
        <f>SUMIF(Пр.5!C10:C1104,1101,Пр.5!G10:G1104)</f>
        <v>200000</v>
      </c>
      <c r="D104" s="304">
        <f>SUMIF(Пр.5!C9:C1103,1101,Пр.5!H9:H1103)</f>
        <v>0</v>
      </c>
      <c r="E104" s="304">
        <f>SUMIF(Пр.5!C10:C1104,1101,Пр.5!I10:I1104)</f>
        <v>200000</v>
      </c>
      <c r="F104" s="304">
        <f>SUMIF(Пр.5!C10:C1104,1101,Пр.5!J10:J1104)</f>
        <v>200000</v>
      </c>
    </row>
    <row r="105" spans="1:6" ht="16.5" thickBot="1">
      <c r="A105" s="297">
        <v>1102</v>
      </c>
      <c r="B105" s="308" t="s">
        <v>1331</v>
      </c>
      <c r="C105" s="304">
        <f>SUMIF(Пр.5!C10:C1104,1102,Пр.5!G10:G1104)</f>
        <v>19263414</v>
      </c>
      <c r="D105" s="304">
        <f>SUMIF(Пр.5!C10:C1104,1102,Пр.5!H10:H1104)</f>
        <v>-139824</v>
      </c>
      <c r="E105" s="304">
        <f>SUMIF(Пр.5!C10:C1104,1102,Пр.5!I10:I1104)</f>
        <v>19123590</v>
      </c>
      <c r="F105" s="304">
        <f>SUMIF(Пр.5!C10:C1104,1102,Пр.5!J10:J1104)</f>
        <v>12856511</v>
      </c>
    </row>
    <row r="106" spans="1:6" ht="16.5" hidden="1" thickBot="1">
      <c r="A106" s="297">
        <v>1103</v>
      </c>
      <c r="B106" s="300" t="s">
        <v>1332</v>
      </c>
      <c r="C106" s="304">
        <f>SUMIF(Пр.5!C10:C1104,1103,Пр.5!G10:G1104)</f>
        <v>0</v>
      </c>
      <c r="D106" s="304">
        <f>SUMIF(Пр.5!D10:D1104,1103,Пр.5!H10:H1104)</f>
        <v>0</v>
      </c>
      <c r="E106" s="304">
        <f>SUMIF(Пр.5!C10:C1104,1103,Пр.5!I10:I1104)</f>
        <v>0</v>
      </c>
      <c r="F106" s="304">
        <f>SUMIF(Пр.5!C10:C1104,1103,Пр.5!J10:J1104)</f>
        <v>0</v>
      </c>
    </row>
    <row r="107" spans="1:6" ht="32.25" hidden="1" thickBot="1">
      <c r="A107" s="297">
        <v>1104</v>
      </c>
      <c r="B107" s="300" t="s">
        <v>1333</v>
      </c>
      <c r="C107" s="304">
        <f>SUMIF(Пр.5!C10:C1104,1104,Пр.5!G10:G1104)</f>
        <v>0</v>
      </c>
      <c r="D107" s="304">
        <f>SUMIF(Пр.5!D10:D1104,1104,Пр.5!H10:H1104)</f>
        <v>0</v>
      </c>
      <c r="E107" s="304">
        <f>SUMIF(Пр.5!C10:C1104,1104,Пр.5!I10:I1104)</f>
        <v>0</v>
      </c>
      <c r="F107" s="304">
        <f>SUMIF(Пр.5!C10:C1104,1104,Пр.5!J10:J1104)</f>
        <v>0</v>
      </c>
    </row>
    <row r="108" spans="1:6" ht="16.5" hidden="1" thickBot="1">
      <c r="A108" s="297">
        <v>1105</v>
      </c>
      <c r="B108" s="300" t="s">
        <v>1334</v>
      </c>
      <c r="C108" s="304">
        <f>SUMIF(Пр.5!C10:C1104,1105,Пр.5!G10:G1104)</f>
        <v>0</v>
      </c>
      <c r="D108" s="304">
        <f>SUMIF(Пр.5!D10:D1104,1105,Пр.5!H10:H1104)</f>
        <v>0</v>
      </c>
      <c r="E108" s="304">
        <f>SUMIF(Пр.5!C10:C1104,1105,Пр.5!I10:I1104)</f>
        <v>0</v>
      </c>
      <c r="F108" s="304">
        <f>SUMIF(Пр.5!C10:C1104,1105,Пр.5!J10:J1104)</f>
        <v>0</v>
      </c>
    </row>
    <row r="109" spans="1:6" ht="16.5" thickBot="1">
      <c r="A109" s="294">
        <v>1200</v>
      </c>
      <c r="B109" s="305" t="s">
        <v>1335</v>
      </c>
      <c r="C109" s="302">
        <f>SUM(C110:C113)</f>
        <v>4060000</v>
      </c>
      <c r="D109" s="302">
        <f t="shared" ref="D109:E109" si="17">SUM(D110:D113)</f>
        <v>0</v>
      </c>
      <c r="E109" s="302">
        <f t="shared" si="17"/>
        <v>4060000</v>
      </c>
      <c r="F109" s="302">
        <f t="shared" ref="F109" si="18">SUM(F110:F113)</f>
        <v>4060000</v>
      </c>
    </row>
    <row r="110" spans="1:6" ht="16.5" hidden="1" thickBot="1">
      <c r="A110" s="297">
        <v>1201</v>
      </c>
      <c r="B110" s="300" t="s">
        <v>356</v>
      </c>
      <c r="C110" s="304">
        <f>SUMIF(Пр.5!C10:C1104,1201,Пр.5!G10:G1104)</f>
        <v>0</v>
      </c>
      <c r="D110" s="304">
        <f>SUMIF(Пр.5!D10:D1104,1201,Пр.5!H10:H1104)</f>
        <v>0</v>
      </c>
      <c r="E110" s="304">
        <f>SUMIF(Пр.5!C10:C1104,1201,Пр.5!I10:I1104)</f>
        <v>0</v>
      </c>
      <c r="F110" s="304">
        <f>SUMIF(Пр.5!C10:C1104,1201,Пр.5!J10:J1104)</f>
        <v>0</v>
      </c>
    </row>
    <row r="111" spans="1:6" ht="16.5" thickBot="1">
      <c r="A111" s="297">
        <v>1202</v>
      </c>
      <c r="B111" s="300" t="s">
        <v>214</v>
      </c>
      <c r="C111" s="304">
        <f>SUMIF(Пр.5!C10:C1104,1202,Пр.5!G10:G1104)</f>
        <v>4060000</v>
      </c>
      <c r="D111" s="304">
        <f>SUMIF(Пр.5!C10:C1104,1202,Пр.5!H10:H1104)</f>
        <v>0</v>
      </c>
      <c r="E111" s="304">
        <f>SUMIF(Пр.5!C10:C1104,1202,Пр.5!I10:I1104)</f>
        <v>4060000</v>
      </c>
      <c r="F111" s="304">
        <f>SUMIF(Пр.5!C10:C1104,1202,Пр.5!J10:J1104)</f>
        <v>4060000</v>
      </c>
    </row>
    <row r="112" spans="1:6" ht="32.25" hidden="1" thickBot="1">
      <c r="A112" s="297">
        <v>1203</v>
      </c>
      <c r="B112" s="300" t="s">
        <v>1336</v>
      </c>
      <c r="C112" s="304">
        <f>SUMIF(Пр.5!C10:C1104,1203,Пр.5!G10:G1104)</f>
        <v>0</v>
      </c>
      <c r="D112" s="304">
        <f>SUMIF(Пр.5!C10:C1104,1203,Пр.5!H10:H1104)</f>
        <v>0</v>
      </c>
      <c r="E112" s="304">
        <f>SUMIF(Пр.5!C10:C1104,1203,Пр.5!I10:I1104)</f>
        <v>0</v>
      </c>
      <c r="F112" s="304">
        <f>SUMIF(Пр.5!C10:C1104,1203,Пр.5!J10:J1104)</f>
        <v>0</v>
      </c>
    </row>
    <row r="113" spans="1:6" ht="16.5" hidden="1" thickBot="1">
      <c r="A113" s="297">
        <v>1204</v>
      </c>
      <c r="B113" s="300" t="s">
        <v>1337</v>
      </c>
      <c r="C113" s="304">
        <f>SUMIF(Пр.5!C10:C1104,1204,Пр.5!G10:G1104)</f>
        <v>0</v>
      </c>
      <c r="D113" s="304">
        <f>SUMIF(Пр.5!C10:C1104,1204,Пр.5!H10:H1104)</f>
        <v>0</v>
      </c>
      <c r="E113" s="304">
        <f>SUMIF(Пр.5!C10:C1104,1204,Пр.5!I10:I1104)</f>
        <v>0</v>
      </c>
      <c r="F113" s="304">
        <f>SUMIF(Пр.5!C10:C1104,1204,Пр.5!J10:J1104)</f>
        <v>0</v>
      </c>
    </row>
    <row r="114" spans="1:6" ht="32.25" thickBot="1">
      <c r="A114" s="294">
        <v>1300</v>
      </c>
      <c r="B114" s="305" t="s">
        <v>1338</v>
      </c>
      <c r="C114" s="302">
        <f>SUM(C115:C116)</f>
        <v>1800000</v>
      </c>
      <c r="D114" s="302">
        <f t="shared" ref="D114:E114" si="19">SUM(D115:D116)</f>
        <v>0</v>
      </c>
      <c r="E114" s="302">
        <f t="shared" si="19"/>
        <v>1800000</v>
      </c>
      <c r="F114" s="302">
        <f t="shared" ref="F114" si="20">SUM(F115:F116)</f>
        <v>1760327</v>
      </c>
    </row>
    <row r="115" spans="1:6" ht="32.25" thickBot="1">
      <c r="A115" s="297">
        <v>1301</v>
      </c>
      <c r="B115" s="300" t="s">
        <v>528</v>
      </c>
      <c r="C115" s="304">
        <f>SUMIF(Пр.5!C10:C1104,1301,Пр.5!G10:G1104)</f>
        <v>1800000</v>
      </c>
      <c r="D115" s="304">
        <f>SUMIF(Пр.5!C10:C1104,1301,Пр.5!H10:H1104)</f>
        <v>0</v>
      </c>
      <c r="E115" s="304">
        <f>SUMIF(Пр.5!C10:C1104,1301,Пр.5!I10:I1104)</f>
        <v>1800000</v>
      </c>
      <c r="F115" s="304">
        <f>SUMIF(Пр.5!C10:C1104,1301,Пр.5!J10:J1104)</f>
        <v>1760327</v>
      </c>
    </row>
    <row r="116" spans="1:6" ht="16.5" hidden="1" thickBot="1">
      <c r="A116" s="297">
        <v>1302</v>
      </c>
      <c r="B116" s="300" t="s">
        <v>874</v>
      </c>
      <c r="C116" s="304">
        <f>SUMIF(Пр.5!C10:C1104,1302,Пр.5!G10:G1104)</f>
        <v>0</v>
      </c>
      <c r="D116" s="304">
        <f>SUMIF(Пр.5!C10:C1104,1302,Пр.5!H10:H1104)</f>
        <v>0</v>
      </c>
      <c r="E116" s="304">
        <f>SUMIF(Пр.5!C10:C1104,1302,Пр.5!I10:I1104)</f>
        <v>0</v>
      </c>
      <c r="F116" s="304">
        <f>SUMIF(Пр.5!C10:C1104,1302,Пр.5!J10:J1104)</f>
        <v>0</v>
      </c>
    </row>
    <row r="117" spans="1:6" ht="63.75" thickBot="1">
      <c r="A117" s="294">
        <v>1400</v>
      </c>
      <c r="B117" s="305" t="s">
        <v>888</v>
      </c>
      <c r="C117" s="302">
        <f>SUM(C118:C120)</f>
        <v>20748000</v>
      </c>
      <c r="D117" s="302">
        <f t="shared" ref="D117:E117" si="21">SUM(D118:D120)</f>
        <v>0</v>
      </c>
      <c r="E117" s="302">
        <f t="shared" si="21"/>
        <v>20748000</v>
      </c>
      <c r="F117" s="302">
        <f t="shared" ref="F117" si="22">SUM(F118:F120)</f>
        <v>20007000</v>
      </c>
    </row>
    <row r="118" spans="1:6" ht="48" thickBot="1">
      <c r="A118" s="297">
        <v>1401</v>
      </c>
      <c r="B118" s="300" t="s">
        <v>889</v>
      </c>
      <c r="C118" s="304">
        <f>SUMIF(Пр.5!C10:C1104,1401,Пр.5!G10:G1104)</f>
        <v>20748000</v>
      </c>
      <c r="D118" s="304">
        <f>SUMIF(Пр.5!C10:C1104,1401,Пр.5!H10:H1104)</f>
        <v>0</v>
      </c>
      <c r="E118" s="304">
        <f>SUMIF(Пр.5!C10:C1104,1401,Пр.5!I10:I1104)</f>
        <v>20748000</v>
      </c>
      <c r="F118" s="304">
        <f>SUMIF(Пр.5!C10:C1104,1401,Пр.5!J10:J1104)</f>
        <v>20007000</v>
      </c>
    </row>
    <row r="119" spans="1:6" ht="16.5" hidden="1" thickBot="1">
      <c r="A119" s="297">
        <v>1402</v>
      </c>
      <c r="B119" s="300" t="s">
        <v>890</v>
      </c>
      <c r="C119" s="304">
        <f>SUMIF(Пр.5!C10:C1104,1402,Пр.5!G10:G1104)</f>
        <v>0</v>
      </c>
      <c r="D119" s="304">
        <f>SUMIF(Пр.5!C10:C1104,1402,Пр.5!H10:H1104)</f>
        <v>0</v>
      </c>
      <c r="E119" s="304">
        <f>SUMIF(Пр.5!C10:C1104,1402,Пр.5!I10:I1104)</f>
        <v>0</v>
      </c>
      <c r="F119" s="304">
        <f>SUMIF(Пр.5!C10:C1104,1402,Пр.5!J10:J1104)</f>
        <v>0</v>
      </c>
    </row>
    <row r="120" spans="1:6" ht="48" hidden="1" thickBot="1">
      <c r="A120" s="297">
        <v>1403</v>
      </c>
      <c r="B120" s="300" t="s">
        <v>891</v>
      </c>
      <c r="C120" s="304">
        <f>SUMIF(Пр.5!C10:C1104,1403,Пр.5!G10:G1104)</f>
        <v>0</v>
      </c>
      <c r="D120" s="304">
        <f>SUMIF(Пр.5!C10:C1104,1403,Пр.5!H10:H1104)</f>
        <v>0</v>
      </c>
      <c r="E120" s="304">
        <f>SUMIF(Пр.5!C10:C1104,1403,Пр.5!I10:I1104)</f>
        <v>0</v>
      </c>
      <c r="F120" s="304">
        <f>SUMIF(Пр.5!C10:C1104,1403,Пр.5!J10:J1104)</f>
        <v>0</v>
      </c>
    </row>
    <row r="121" spans="1:6" ht="16.5" thickBot="1">
      <c r="A121" s="740" t="s">
        <v>1137</v>
      </c>
      <c r="B121" s="740"/>
      <c r="C121" s="296">
        <f>C9+C23+C33+C46+C59+C65+C71+C81+C96+C103+C109+C114+C117</f>
        <v>2026512452.26</v>
      </c>
      <c r="D121" s="296">
        <f>D9+D23+D33+D46+D59+D65+D71+D81+D96+D103+D109+D114+D117</f>
        <v>76932930.900000006</v>
      </c>
      <c r="E121" s="296">
        <f>E9+E23+E33+E46+E59+E65+E71+E81+E96+E103+E109+E114+E117</f>
        <v>2103445383.1599998</v>
      </c>
      <c r="F121" s="296">
        <f>F9+F23+F33+F46+F59+F65+F71+F81+F96+F103+F109+F114+F117</f>
        <v>1903124435</v>
      </c>
    </row>
    <row r="122" spans="1:6" ht="16.5" thickBot="1">
      <c r="A122" s="740" t="s">
        <v>3020</v>
      </c>
      <c r="B122" s="740"/>
      <c r="C122" s="309">
        <f>Пр.1!J171-Пр.2!C121</f>
        <v>-15918988.190000057</v>
      </c>
      <c r="D122" s="309">
        <f>Пр.1!K171-Пр.2!D121</f>
        <v>887000.04999999702</v>
      </c>
      <c r="E122" s="309">
        <f>Пр.1!L171-Пр.2!E121</f>
        <v>-15031988.139999866</v>
      </c>
      <c r="F122" s="309">
        <f>Пр.1!M171-Пр.2!F121</f>
        <v>11638936</v>
      </c>
    </row>
  </sheetData>
  <sheetProtection formatCells="0"/>
  <customSheetViews>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2"/>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5"/>
      <headerFooter alignWithMargins="0">
        <oddFooter>&amp;C&amp;P</oddFooter>
      </headerFooter>
    </customSheetView>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2:B122"/>
    <mergeCell ref="A121:B121"/>
    <mergeCell ref="A1:F1"/>
    <mergeCell ref="A2:F2"/>
    <mergeCell ref="A3:F3"/>
    <mergeCell ref="A4:F4"/>
    <mergeCell ref="A6:F6"/>
  </mergeCells>
  <phoneticPr fontId="0" type="noConversion"/>
  <pageMargins left="0.70866141732283472" right="0.70866141732283472" top="0.74803149606299213" bottom="0.74803149606299213" header="0.31496062992125984" footer="0.31496062992125984"/>
  <pageSetup paperSize="9" scale="93" fitToHeight="0" orientation="portrait" r:id="rId7"/>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Лист18"/>
  <dimension ref="A1:D17"/>
  <sheetViews>
    <sheetView view="pageBreakPreview" zoomScaleSheetLayoutView="100" workbookViewId="0">
      <selection activeCell="A4" sqref="A4:D4"/>
    </sheetView>
  </sheetViews>
  <sheetFormatPr defaultRowHeight="12.75" outlineLevelCol="1"/>
  <cols>
    <col min="1" max="1" width="64" customWidth="1"/>
    <col min="2" max="2" width="12.85546875" hidden="1" customWidth="1" outlineLevel="1"/>
    <col min="3" max="3" width="13.28515625" hidden="1" customWidth="1" outlineLevel="1"/>
    <col min="4" max="4" width="18" customWidth="1" collapsed="1"/>
    <col min="8" max="8" width="43.42578125" customWidth="1"/>
  </cols>
  <sheetData>
    <row r="1" spans="1:4" ht="15.75">
      <c r="A1" s="737" t="s">
        <v>2042</v>
      </c>
      <c r="B1" s="737"/>
      <c r="C1" s="737"/>
      <c r="D1" s="737"/>
    </row>
    <row r="2" spans="1:4" ht="15.75">
      <c r="A2" s="737" t="s">
        <v>1058</v>
      </c>
      <c r="B2" s="737"/>
      <c r="C2" s="737"/>
      <c r="D2" s="737"/>
    </row>
    <row r="3" spans="1:4" ht="15.75">
      <c r="A3" s="737" t="s">
        <v>716</v>
      </c>
      <c r="B3" s="737"/>
      <c r="C3" s="737"/>
      <c r="D3" s="737"/>
    </row>
    <row r="4" spans="1:4" ht="15.75">
      <c r="A4" s="737" t="s">
        <v>2456</v>
      </c>
      <c r="B4" s="737"/>
      <c r="C4" s="737"/>
      <c r="D4" s="737"/>
    </row>
    <row r="5" spans="1:4">
      <c r="A5" s="105"/>
      <c r="B5" s="105"/>
      <c r="C5" s="105"/>
    </row>
    <row r="7" spans="1:4" ht="49.5" customHeight="1">
      <c r="A7" s="738" t="s">
        <v>2380</v>
      </c>
      <c r="B7" s="738"/>
      <c r="C7" s="738"/>
      <c r="D7" s="738"/>
    </row>
    <row r="8" spans="1:4" ht="49.5" customHeight="1">
      <c r="A8" s="5"/>
      <c r="B8" s="5"/>
      <c r="C8" s="5"/>
    </row>
    <row r="9" spans="1:4" ht="38.25" customHeight="1">
      <c r="A9" s="738" t="s">
        <v>735</v>
      </c>
      <c r="B9" s="738"/>
      <c r="C9" s="738"/>
      <c r="D9" s="738"/>
    </row>
    <row r="10" spans="1:4" ht="18.75">
      <c r="A10" s="22"/>
      <c r="B10" s="22"/>
      <c r="C10" s="22"/>
    </row>
    <row r="11" spans="1:4" ht="19.5" thickBot="1">
      <c r="A11" s="22"/>
      <c r="B11" s="22"/>
      <c r="C11" s="22"/>
    </row>
    <row r="12" spans="1:4" ht="31.5">
      <c r="A12" s="138" t="s">
        <v>1633</v>
      </c>
      <c r="B12" s="139" t="s">
        <v>2436</v>
      </c>
      <c r="C12" s="139" t="s">
        <v>632</v>
      </c>
      <c r="D12" s="286" t="s">
        <v>2391</v>
      </c>
    </row>
    <row r="13" spans="1:4" ht="15.75">
      <c r="A13" s="140" t="s">
        <v>1383</v>
      </c>
      <c r="B13" s="227">
        <v>59000</v>
      </c>
      <c r="C13" s="227"/>
      <c r="D13" s="225">
        <f>B13+C13</f>
        <v>59000</v>
      </c>
    </row>
    <row r="14" spans="1:4" ht="15.75">
      <c r="A14" s="140" t="s">
        <v>650</v>
      </c>
      <c r="B14" s="227">
        <v>59000</v>
      </c>
      <c r="C14" s="227"/>
      <c r="D14" s="225">
        <f t="shared" ref="D14:D17" si="0">B14+C14</f>
        <v>59000</v>
      </c>
    </row>
    <row r="15" spans="1:4" ht="15.75">
      <c r="A15" s="140" t="s">
        <v>8</v>
      </c>
      <c r="B15" s="227">
        <v>388000</v>
      </c>
      <c r="C15" s="227"/>
      <c r="D15" s="225">
        <f t="shared" si="0"/>
        <v>388000</v>
      </c>
    </row>
    <row r="16" spans="1:4" ht="15.75">
      <c r="A16" s="140" t="s">
        <v>651</v>
      </c>
      <c r="B16" s="227">
        <v>194000</v>
      </c>
      <c r="C16" s="227"/>
      <c r="D16" s="225">
        <f t="shared" si="0"/>
        <v>194000</v>
      </c>
    </row>
    <row r="17" spans="1:4" ht="16.5" thickBot="1">
      <c r="A17" s="141" t="s">
        <v>1137</v>
      </c>
      <c r="B17" s="226">
        <v>700000</v>
      </c>
      <c r="C17" s="226">
        <f>SUM(C13:C16)</f>
        <v>0</v>
      </c>
      <c r="D17" s="340">
        <f t="shared" si="0"/>
        <v>700000</v>
      </c>
    </row>
  </sheetData>
  <mergeCells count="6">
    <mergeCell ref="A7:D7"/>
    <mergeCell ref="A9:D9"/>
    <mergeCell ref="A1:D1"/>
    <mergeCell ref="A2:D2"/>
    <mergeCell ref="A3:D3"/>
    <mergeCell ref="A4:D4"/>
  </mergeCells>
  <phoneticPr fontId="34" type="noConversion"/>
  <pageMargins left="0.70866141732283472" right="0.70866141732283472" top="0.74803149606299213" bottom="0.74803149606299213" header="0.31496062992125984" footer="0.31496062992125984"/>
  <pageSetup paperSize="9" scale="82"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Лист19"/>
  <dimension ref="A1:E17"/>
  <sheetViews>
    <sheetView showGridLines="0" view="pageBreakPreview" zoomScale="115" zoomScaleSheetLayoutView="115" workbookViewId="0">
      <selection activeCell="A9" sqref="A9:E9"/>
    </sheetView>
  </sheetViews>
  <sheetFormatPr defaultColWidth="9.140625" defaultRowHeight="15.75"/>
  <cols>
    <col min="1" max="1" width="59" style="281" customWidth="1"/>
    <col min="2" max="3" width="0" style="281" hidden="1" customWidth="1"/>
    <col min="4" max="4" width="14.85546875" style="281" customWidth="1"/>
    <col min="5" max="5" width="14.42578125" style="281" customWidth="1"/>
    <col min="6" max="7" width="9.140625" style="281"/>
    <col min="8" max="8" width="43.42578125" style="281" customWidth="1"/>
    <col min="9" max="16384" width="9.140625" style="281"/>
  </cols>
  <sheetData>
    <row r="1" spans="1:5">
      <c r="A1" s="839" t="s">
        <v>2045</v>
      </c>
      <c r="B1" s="839"/>
      <c r="C1" s="839"/>
      <c r="D1" s="839"/>
      <c r="E1" s="757"/>
    </row>
    <row r="2" spans="1:5">
      <c r="A2" s="839" t="s">
        <v>1058</v>
      </c>
      <c r="B2" s="839"/>
      <c r="C2" s="839"/>
      <c r="D2" s="839"/>
      <c r="E2" s="757"/>
    </row>
    <row r="3" spans="1:5">
      <c r="A3" s="839" t="s">
        <v>716</v>
      </c>
      <c r="B3" s="839"/>
      <c r="C3" s="839"/>
      <c r="D3" s="839"/>
      <c r="E3" s="757"/>
    </row>
    <row r="4" spans="1:5">
      <c r="A4" s="839" t="s">
        <v>2456</v>
      </c>
      <c r="B4" s="839"/>
      <c r="C4" s="839"/>
      <c r="D4" s="839"/>
      <c r="E4" s="757"/>
    </row>
    <row r="5" spans="1:5">
      <c r="A5" s="265"/>
      <c r="B5" s="265"/>
      <c r="C5" s="265"/>
      <c r="D5" s="248"/>
      <c r="E5" s="262"/>
    </row>
    <row r="6" spans="1:5">
      <c r="A6" s="248"/>
      <c r="B6" s="248"/>
      <c r="C6" s="248"/>
      <c r="D6" s="248"/>
      <c r="E6" s="262"/>
    </row>
    <row r="7" spans="1:5" ht="42" customHeight="1">
      <c r="A7" s="836" t="s">
        <v>2379</v>
      </c>
      <c r="B7" s="836"/>
      <c r="C7" s="836"/>
      <c r="D7" s="836"/>
      <c r="E7" s="761"/>
    </row>
    <row r="8" spans="1:5">
      <c r="A8" s="266"/>
      <c r="B8" s="266"/>
      <c r="C8" s="266"/>
      <c r="D8" s="248"/>
      <c r="E8" s="262"/>
    </row>
    <row r="9" spans="1:5" ht="32.25" customHeight="1">
      <c r="A9" s="836" t="s">
        <v>735</v>
      </c>
      <c r="B9" s="836"/>
      <c r="C9" s="836"/>
      <c r="D9" s="836"/>
      <c r="E9" s="869"/>
    </row>
    <row r="10" spans="1:5" ht="16.5" thickBot="1">
      <c r="A10" s="282"/>
      <c r="B10" s="282"/>
      <c r="C10" s="282"/>
      <c r="D10" s="248"/>
      <c r="E10" s="262"/>
    </row>
    <row r="11" spans="1:5" ht="16.5" hidden="1" thickBot="1">
      <c r="A11" s="282"/>
      <c r="B11" s="282"/>
      <c r="C11" s="282"/>
      <c r="D11" s="248"/>
      <c r="E11" s="262"/>
    </row>
    <row r="12" spans="1:5" ht="47.25">
      <c r="A12" s="277" t="s">
        <v>1633</v>
      </c>
      <c r="B12" s="278" t="s">
        <v>1579</v>
      </c>
      <c r="C12" s="278" t="s">
        <v>632</v>
      </c>
      <c r="D12" s="286" t="s">
        <v>2392</v>
      </c>
      <c r="E12" s="286" t="s">
        <v>2393</v>
      </c>
    </row>
    <row r="13" spans="1:5">
      <c r="A13" s="279" t="s">
        <v>1383</v>
      </c>
      <c r="B13" s="106"/>
      <c r="C13" s="106"/>
      <c r="D13" s="283">
        <v>60000</v>
      </c>
      <c r="E13" s="283">
        <v>60000</v>
      </c>
    </row>
    <row r="14" spans="1:5">
      <c r="A14" s="279" t="s">
        <v>650</v>
      </c>
      <c r="B14" s="106"/>
      <c r="C14" s="106"/>
      <c r="D14" s="283">
        <v>60000</v>
      </c>
      <c r="E14" s="283">
        <v>60000</v>
      </c>
    </row>
    <row r="15" spans="1:5">
      <c r="A15" s="279" t="s">
        <v>8</v>
      </c>
      <c r="B15" s="106"/>
      <c r="C15" s="106"/>
      <c r="D15" s="283">
        <v>388000</v>
      </c>
      <c r="E15" s="283">
        <v>388000</v>
      </c>
    </row>
    <row r="16" spans="1:5">
      <c r="A16" s="279" t="s">
        <v>651</v>
      </c>
      <c r="B16" s="106"/>
      <c r="C16" s="106"/>
      <c r="D16" s="283">
        <v>194000</v>
      </c>
      <c r="E16" s="283">
        <v>194000</v>
      </c>
    </row>
    <row r="17" spans="1:5" ht="16.5" thickBot="1">
      <c r="A17" s="280" t="s">
        <v>1137</v>
      </c>
      <c r="B17" s="284">
        <f>SUM(B13:B16)</f>
        <v>0</v>
      </c>
      <c r="C17" s="284">
        <f>SUM(C13:C16)</f>
        <v>0</v>
      </c>
      <c r="D17" s="285">
        <f>SUM(D13:D16)</f>
        <v>702000</v>
      </c>
      <c r="E17" s="285">
        <f>SUM(E13:E16)</f>
        <v>702000</v>
      </c>
    </row>
  </sheetData>
  <mergeCells count="6">
    <mergeCell ref="A7:E7"/>
    <mergeCell ref="A9:E9"/>
    <mergeCell ref="A1:E1"/>
    <mergeCell ref="A2:E2"/>
    <mergeCell ref="A3:E3"/>
    <mergeCell ref="A4:E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Лист20"/>
  <dimension ref="A1:E24"/>
  <sheetViews>
    <sheetView view="pageBreakPreview" zoomScaleSheetLayoutView="100" workbookViewId="0">
      <selection activeCell="A4" sqref="A4:E4"/>
    </sheetView>
  </sheetViews>
  <sheetFormatPr defaultColWidth="9.140625" defaultRowHeight="12.75" outlineLevelCol="1"/>
  <cols>
    <col min="1" max="1" width="4.42578125" style="147" customWidth="1"/>
    <col min="2" max="2" width="43.28515625" style="147" customWidth="1"/>
    <col min="3" max="3" width="11.7109375" style="147" hidden="1" customWidth="1" outlineLevel="1"/>
    <col min="4" max="4" width="12.7109375" style="147" hidden="1" customWidth="1" outlineLevel="1"/>
    <col min="5" max="5" width="17.5703125" style="147" customWidth="1" collapsed="1"/>
    <col min="6" max="16384" width="9.140625" style="147"/>
  </cols>
  <sheetData>
    <row r="1" spans="1:5" ht="18.75">
      <c r="A1" s="872" t="s">
        <v>2188</v>
      </c>
      <c r="B1" s="873"/>
      <c r="C1" s="873"/>
      <c r="D1" s="874"/>
      <c r="E1" s="874"/>
    </row>
    <row r="2" spans="1:5" ht="18.75">
      <c r="A2" s="872" t="s">
        <v>1058</v>
      </c>
      <c r="B2" s="873"/>
      <c r="C2" s="873"/>
      <c r="D2" s="874"/>
      <c r="E2" s="874"/>
    </row>
    <row r="3" spans="1:5" ht="18.75">
      <c r="A3" s="872" t="s">
        <v>716</v>
      </c>
      <c r="B3" s="873"/>
      <c r="C3" s="873"/>
      <c r="D3" s="874"/>
      <c r="E3" s="874"/>
    </row>
    <row r="4" spans="1:5" ht="18.75">
      <c r="A4" s="872" t="s">
        <v>2200</v>
      </c>
      <c r="B4" s="873"/>
      <c r="C4" s="873"/>
      <c r="D4" s="874"/>
      <c r="E4" s="874"/>
    </row>
    <row r="5" spans="1:5" ht="18.75">
      <c r="A5" s="150"/>
      <c r="B5"/>
      <c r="C5"/>
      <c r="D5" s="101"/>
      <c r="E5" s="101"/>
    </row>
    <row r="6" spans="1:5" ht="59.25" customHeight="1">
      <c r="A6" s="875" t="s">
        <v>2103</v>
      </c>
      <c r="B6" s="876"/>
      <c r="C6" s="876"/>
      <c r="D6" s="877"/>
      <c r="E6" s="877"/>
    </row>
    <row r="7" spans="1:5" ht="19.5" thickBot="1">
      <c r="A7" s="150"/>
      <c r="B7"/>
      <c r="C7"/>
      <c r="D7" s="101"/>
      <c r="E7" s="101"/>
    </row>
    <row r="8" spans="1:5" ht="12.75" customHeight="1">
      <c r="A8" s="878" t="s">
        <v>2049</v>
      </c>
      <c r="B8" s="880" t="s">
        <v>2050</v>
      </c>
      <c r="C8" s="870" t="s">
        <v>2051</v>
      </c>
      <c r="D8" s="870" t="s">
        <v>1129</v>
      </c>
      <c r="E8" s="870" t="s">
        <v>1092</v>
      </c>
    </row>
    <row r="9" spans="1:5" ht="13.5" customHeight="1" thickBot="1">
      <c r="A9" s="879"/>
      <c r="B9" s="881"/>
      <c r="C9" s="871"/>
      <c r="D9" s="871"/>
      <c r="E9" s="871"/>
    </row>
    <row r="10" spans="1:5" ht="47.25" customHeight="1">
      <c r="A10" s="188">
        <v>1</v>
      </c>
      <c r="B10" s="191" t="s">
        <v>2159</v>
      </c>
      <c r="C10" s="194">
        <f>605000+337500+45000+120400</f>
        <v>1107900</v>
      </c>
      <c r="D10" s="228"/>
      <c r="E10" s="194">
        <f>SUM(C10:D10)</f>
        <v>1107900</v>
      </c>
    </row>
    <row r="11" spans="1:5" ht="51.75" customHeight="1">
      <c r="A11" s="188">
        <v>2</v>
      </c>
      <c r="B11" s="191" t="s">
        <v>2176</v>
      </c>
      <c r="C11" s="194">
        <v>1386000</v>
      </c>
      <c r="D11" s="228"/>
      <c r="E11" s="194">
        <f t="shared" ref="E11:E23" si="0">SUM(C11:D11)</f>
        <v>1386000</v>
      </c>
    </row>
    <row r="12" spans="1:5" ht="49.5" customHeight="1">
      <c r="A12" s="188">
        <v>3</v>
      </c>
      <c r="B12" s="192" t="s">
        <v>2162</v>
      </c>
      <c r="C12" s="189">
        <f>8300+56000+24000</f>
        <v>88300</v>
      </c>
      <c r="D12" s="229"/>
      <c r="E12" s="194">
        <f t="shared" si="0"/>
        <v>88300</v>
      </c>
    </row>
    <row r="13" spans="1:5" ht="61.5" customHeight="1">
      <c r="A13" s="181">
        <v>4</v>
      </c>
      <c r="B13" s="45" t="s">
        <v>2144</v>
      </c>
      <c r="C13" s="195">
        <v>600000</v>
      </c>
      <c r="D13" s="229">
        <v>1200000</v>
      </c>
      <c r="E13" s="194">
        <f t="shared" si="0"/>
        <v>1800000</v>
      </c>
    </row>
    <row r="14" spans="1:5" ht="33" customHeight="1">
      <c r="A14" s="180">
        <v>5</v>
      </c>
      <c r="B14" s="45" t="s">
        <v>2145</v>
      </c>
      <c r="C14" s="189">
        <v>40503750</v>
      </c>
      <c r="D14" s="229">
        <v>1054000</v>
      </c>
      <c r="E14" s="194">
        <f t="shared" si="0"/>
        <v>41557750</v>
      </c>
    </row>
    <row r="15" spans="1:5" ht="48" customHeight="1">
      <c r="A15" s="180">
        <v>6</v>
      </c>
      <c r="B15" s="45" t="s">
        <v>2173</v>
      </c>
      <c r="C15" s="189">
        <v>300000</v>
      </c>
      <c r="D15" s="229"/>
      <c r="E15" s="194">
        <f t="shared" si="0"/>
        <v>300000</v>
      </c>
    </row>
    <row r="16" spans="1:5" ht="63.75" customHeight="1">
      <c r="A16" s="180">
        <v>7</v>
      </c>
      <c r="B16" s="45" t="s">
        <v>2156</v>
      </c>
      <c r="C16" s="189">
        <v>350000</v>
      </c>
      <c r="D16" s="229"/>
      <c r="E16" s="194">
        <f t="shared" si="0"/>
        <v>350000</v>
      </c>
    </row>
    <row r="17" spans="1:5" ht="36" customHeight="1">
      <c r="A17" s="180">
        <v>8</v>
      </c>
      <c r="B17" s="192" t="s">
        <v>2157</v>
      </c>
      <c r="C17" s="189">
        <f>723000+464500+2201390</f>
        <v>3388890</v>
      </c>
      <c r="D17" s="229"/>
      <c r="E17" s="194">
        <f t="shared" si="0"/>
        <v>3388890</v>
      </c>
    </row>
    <row r="18" spans="1:5" ht="53.25" customHeight="1">
      <c r="A18" s="180">
        <v>9</v>
      </c>
      <c r="B18" s="45" t="s">
        <v>2160</v>
      </c>
      <c r="C18" s="189">
        <v>700000</v>
      </c>
      <c r="D18" s="229"/>
      <c r="E18" s="194">
        <f t="shared" si="0"/>
        <v>700000</v>
      </c>
    </row>
    <row r="19" spans="1:5" ht="47.25">
      <c r="A19" s="180">
        <v>10</v>
      </c>
      <c r="B19" s="45" t="s">
        <v>2163</v>
      </c>
      <c r="C19" s="189">
        <v>400000</v>
      </c>
      <c r="D19" s="229"/>
      <c r="E19" s="194">
        <f t="shared" si="0"/>
        <v>400000</v>
      </c>
    </row>
    <row r="20" spans="1:5" ht="62.25" customHeight="1">
      <c r="A20" s="182">
        <v>11</v>
      </c>
      <c r="B20" s="192" t="s">
        <v>2164</v>
      </c>
      <c r="C20" s="189">
        <v>450000</v>
      </c>
      <c r="D20" s="229"/>
      <c r="E20" s="194">
        <f t="shared" si="0"/>
        <v>450000</v>
      </c>
    </row>
    <row r="21" spans="1:5" ht="33" customHeight="1">
      <c r="A21" s="180">
        <v>12</v>
      </c>
      <c r="B21" s="45" t="s">
        <v>2196</v>
      </c>
      <c r="C21" s="189">
        <v>11111</v>
      </c>
      <c r="D21" s="229"/>
      <c r="E21" s="194">
        <f t="shared" si="0"/>
        <v>11111</v>
      </c>
    </row>
    <row r="22" spans="1:5" ht="64.5" customHeight="1">
      <c r="A22" s="180">
        <v>13</v>
      </c>
      <c r="B22" s="192" t="s">
        <v>2195</v>
      </c>
      <c r="C22" s="189"/>
      <c r="D22" s="229">
        <v>1000000</v>
      </c>
      <c r="E22" s="194">
        <f t="shared" si="0"/>
        <v>1000000</v>
      </c>
    </row>
    <row r="23" spans="1:5" ht="0.75" customHeight="1" thickBot="1">
      <c r="A23" s="183"/>
      <c r="B23" s="184"/>
      <c r="C23" s="193"/>
      <c r="D23" s="230"/>
      <c r="E23" s="194">
        <f t="shared" si="0"/>
        <v>0</v>
      </c>
    </row>
    <row r="24" spans="1:5" ht="16.5" thickBot="1">
      <c r="A24" s="185"/>
      <c r="B24" s="186" t="s">
        <v>1137</v>
      </c>
      <c r="C24" s="187">
        <f>SUM(C10:C23)</f>
        <v>49285951</v>
      </c>
      <c r="D24" s="187">
        <f>SUM(D10:D23)</f>
        <v>3254000</v>
      </c>
      <c r="E24" s="187">
        <f>SUM(E10:E23)</f>
        <v>52539951</v>
      </c>
    </row>
  </sheetData>
  <mergeCells count="10">
    <mergeCell ref="D8:D9"/>
    <mergeCell ref="E8:E9"/>
    <mergeCell ref="A1:E1"/>
    <mergeCell ref="A2:E2"/>
    <mergeCell ref="A3:E3"/>
    <mergeCell ref="A4:E4"/>
    <mergeCell ref="A6:E6"/>
    <mergeCell ref="A8:A9"/>
    <mergeCell ref="B8:B9"/>
    <mergeCell ref="C8:C9"/>
  </mergeCells>
  <pageMargins left="0.70866141732283472" right="0.39370078740157483" top="0.74803149606299213" bottom="0.74803149606299213" header="0.31496062992125984" footer="0.31496062992125984"/>
  <pageSetup paperSize="9" orientation="portrait"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codeName="Лист21"/>
  <dimension ref="A1:D19"/>
  <sheetViews>
    <sheetView view="pageBreakPreview" zoomScale="115" zoomScaleSheetLayoutView="115" workbookViewId="0">
      <selection activeCell="A4" sqref="A4:D4"/>
    </sheetView>
  </sheetViews>
  <sheetFormatPr defaultColWidth="9.140625" defaultRowHeight="12.75"/>
  <cols>
    <col min="1" max="1" width="4.42578125" style="147" customWidth="1"/>
    <col min="2" max="2" width="49.5703125" style="147" customWidth="1"/>
    <col min="3" max="4" width="15" style="147" customWidth="1"/>
    <col min="5" max="16384" width="9.140625" style="147"/>
  </cols>
  <sheetData>
    <row r="1" spans="1:4" ht="18.75">
      <c r="A1" s="872" t="s">
        <v>2189</v>
      </c>
      <c r="B1" s="873"/>
      <c r="C1" s="873"/>
      <c r="D1" s="874"/>
    </row>
    <row r="2" spans="1:4" ht="18.75">
      <c r="A2" s="872" t="s">
        <v>1058</v>
      </c>
      <c r="B2" s="873"/>
      <c r="C2" s="873"/>
      <c r="D2" s="874"/>
    </row>
    <row r="3" spans="1:4" ht="18.75">
      <c r="A3" s="872" t="s">
        <v>716</v>
      </c>
      <c r="B3" s="873"/>
      <c r="C3" s="873"/>
      <c r="D3" s="874"/>
    </row>
    <row r="4" spans="1:4" ht="18.75">
      <c r="A4" s="872" t="s">
        <v>2201</v>
      </c>
      <c r="B4" s="873"/>
      <c r="C4" s="873"/>
      <c r="D4" s="874"/>
    </row>
    <row r="5" spans="1:4" ht="18.75">
      <c r="A5" s="150"/>
      <c r="B5"/>
      <c r="C5"/>
      <c r="D5"/>
    </row>
    <row r="6" spans="1:4" ht="40.5" customHeight="1">
      <c r="A6" s="875" t="s">
        <v>2100</v>
      </c>
      <c r="B6" s="876"/>
      <c r="C6" s="876"/>
      <c r="D6" s="877"/>
    </row>
    <row r="7" spans="1:4" ht="19.5" thickBot="1">
      <c r="A7" s="150"/>
      <c r="B7"/>
      <c r="C7"/>
      <c r="D7"/>
    </row>
    <row r="8" spans="1:4" ht="12.75" customHeight="1">
      <c r="A8" s="882" t="s">
        <v>2049</v>
      </c>
      <c r="B8" s="882" t="s">
        <v>2050</v>
      </c>
      <c r="C8" s="882" t="s">
        <v>2101</v>
      </c>
      <c r="D8" s="882" t="s">
        <v>2102</v>
      </c>
    </row>
    <row r="9" spans="1:4" ht="13.5" customHeight="1" thickBot="1">
      <c r="A9" s="883"/>
      <c r="B9" s="883"/>
      <c r="C9" s="883"/>
      <c r="D9" s="883"/>
    </row>
    <row r="10" spans="1:4" ht="31.5" hidden="1">
      <c r="A10" s="188">
        <v>1</v>
      </c>
      <c r="B10" s="191" t="s">
        <v>2159</v>
      </c>
      <c r="C10" s="194">
        <v>0</v>
      </c>
      <c r="D10" s="194">
        <v>0</v>
      </c>
    </row>
    <row r="11" spans="1:4" ht="47.25">
      <c r="A11" s="181">
        <v>1</v>
      </c>
      <c r="B11" s="191" t="s">
        <v>2176</v>
      </c>
      <c r="C11" s="195">
        <v>1386000</v>
      </c>
      <c r="D11" s="195">
        <v>1386000</v>
      </c>
    </row>
    <row r="12" spans="1:4" ht="47.25" hidden="1">
      <c r="A12" s="180">
        <v>3</v>
      </c>
      <c r="B12" s="192" t="s">
        <v>2162</v>
      </c>
      <c r="C12" s="189">
        <v>0</v>
      </c>
      <c r="D12" s="189">
        <v>0</v>
      </c>
    </row>
    <row r="13" spans="1:4" ht="31.5">
      <c r="A13" s="180">
        <v>2</v>
      </c>
      <c r="B13" s="45" t="s">
        <v>2173</v>
      </c>
      <c r="C13" s="189">
        <v>300000</v>
      </c>
      <c r="D13" s="189">
        <v>300000</v>
      </c>
    </row>
    <row r="14" spans="1:4" ht="47.25">
      <c r="A14" s="180">
        <v>3</v>
      </c>
      <c r="B14" s="45" t="s">
        <v>2156</v>
      </c>
      <c r="C14" s="189">
        <v>350000</v>
      </c>
      <c r="D14" s="189">
        <v>0</v>
      </c>
    </row>
    <row r="15" spans="1:4" ht="16.5" thickBot="1">
      <c r="A15" s="180">
        <v>4</v>
      </c>
      <c r="B15" s="192" t="s">
        <v>2157</v>
      </c>
      <c r="C15" s="189">
        <v>1696300</v>
      </c>
      <c r="D15" s="189">
        <v>611200</v>
      </c>
    </row>
    <row r="16" spans="1:4" ht="32.25" hidden="1" thickBot="1">
      <c r="A16" s="180">
        <v>8</v>
      </c>
      <c r="B16" s="45" t="s">
        <v>2160</v>
      </c>
      <c r="C16" s="189">
        <v>0</v>
      </c>
      <c r="D16" s="189">
        <v>0</v>
      </c>
    </row>
    <row r="17" spans="1:4" ht="47.25" hidden="1">
      <c r="A17" s="180">
        <v>9</v>
      </c>
      <c r="B17" s="45" t="s">
        <v>2163</v>
      </c>
      <c r="C17" s="189"/>
      <c r="D17" s="189"/>
    </row>
    <row r="18" spans="1:4" ht="48" hidden="1" thickBot="1">
      <c r="A18" s="182">
        <v>10</v>
      </c>
      <c r="B18" s="192" t="s">
        <v>2164</v>
      </c>
      <c r="C18" s="189"/>
      <c r="D18" s="189"/>
    </row>
    <row r="19" spans="1:4" ht="16.5" thickBot="1">
      <c r="A19" s="179"/>
      <c r="B19" s="190" t="s">
        <v>1137</v>
      </c>
      <c r="C19" s="162">
        <f>SUM(C10:C18)</f>
        <v>3732300</v>
      </c>
      <c r="D19" s="162">
        <f>SUM(D10:D18)</f>
        <v>2297200</v>
      </c>
    </row>
  </sheetData>
  <mergeCells count="9">
    <mergeCell ref="D8:D9"/>
    <mergeCell ref="A1:D1"/>
    <mergeCell ref="A2:D2"/>
    <mergeCell ref="A3:D3"/>
    <mergeCell ref="A4:D4"/>
    <mergeCell ref="A6:D6"/>
    <mergeCell ref="A8:A9"/>
    <mergeCell ref="B8:B9"/>
    <mergeCell ref="C8:C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Лист22"/>
  <dimension ref="A1:C16"/>
  <sheetViews>
    <sheetView view="pageBreakPreview" zoomScaleSheetLayoutView="100" workbookViewId="0">
      <selection activeCell="C14" sqref="C14"/>
    </sheetView>
  </sheetViews>
  <sheetFormatPr defaultColWidth="9.140625" defaultRowHeight="12.75"/>
  <cols>
    <col min="1" max="1" width="17" style="152" bestFit="1" customWidth="1"/>
    <col min="2" max="2" width="45.7109375" style="152" customWidth="1"/>
    <col min="3" max="3" width="24" style="152" customWidth="1"/>
    <col min="4" max="16384" width="9.140625" style="152"/>
  </cols>
  <sheetData>
    <row r="1" spans="1:3" ht="18.75">
      <c r="A1" s="872" t="s">
        <v>2048</v>
      </c>
      <c r="B1" s="873"/>
      <c r="C1" s="873"/>
    </row>
    <row r="2" spans="1:3" ht="18.75">
      <c r="A2" s="872" t="s">
        <v>1058</v>
      </c>
      <c r="B2" s="873"/>
      <c r="C2" s="873"/>
    </row>
    <row r="3" spans="1:3" ht="18.75">
      <c r="A3" s="872" t="s">
        <v>716</v>
      </c>
      <c r="B3" s="873"/>
      <c r="C3" s="873"/>
    </row>
    <row r="4" spans="1:3" ht="18.75">
      <c r="A4" s="872" t="s">
        <v>2201</v>
      </c>
      <c r="B4" s="873"/>
      <c r="C4" s="873"/>
    </row>
    <row r="5" spans="1:3" ht="18.75">
      <c r="A5" s="150"/>
      <c r="B5"/>
      <c r="C5"/>
    </row>
    <row r="6" spans="1:3" ht="22.5" customHeight="1">
      <c r="A6" s="875" t="s">
        <v>2054</v>
      </c>
      <c r="B6" s="875"/>
      <c r="C6" s="875"/>
    </row>
    <row r="7" spans="1:3" ht="19.5" thickBot="1">
      <c r="A7" s="153"/>
      <c r="B7" s="154"/>
      <c r="C7" s="153"/>
    </row>
    <row r="8" spans="1:3" ht="45.75" customHeight="1" thickBot="1">
      <c r="A8" s="198" t="s">
        <v>2052</v>
      </c>
      <c r="B8" s="198" t="s">
        <v>964</v>
      </c>
      <c r="C8" s="198" t="s">
        <v>2183</v>
      </c>
    </row>
    <row r="9" spans="1:3" ht="32.25" thickBot="1">
      <c r="A9" s="198">
        <v>953</v>
      </c>
      <c r="B9" s="157" t="s">
        <v>1029</v>
      </c>
      <c r="C9" s="158">
        <f>C10</f>
        <v>758141021</v>
      </c>
    </row>
    <row r="10" spans="1:3" ht="65.25" customHeight="1" thickBot="1">
      <c r="A10" s="159"/>
      <c r="B10" s="199" t="s">
        <v>2180</v>
      </c>
      <c r="C10" s="160">
        <v>758141021</v>
      </c>
    </row>
    <row r="11" spans="1:3" ht="32.25" thickBot="1">
      <c r="A11" s="197">
        <v>954</v>
      </c>
      <c r="B11" s="161" t="s">
        <v>1197</v>
      </c>
      <c r="C11" s="162">
        <f>C12</f>
        <v>250641233</v>
      </c>
    </row>
    <row r="12" spans="1:3" ht="63.75" thickBot="1">
      <c r="A12" s="163"/>
      <c r="B12" s="164" t="s">
        <v>2181</v>
      </c>
      <c r="C12" s="165">
        <v>250641233</v>
      </c>
    </row>
    <row r="13" spans="1:3" ht="48" thickBot="1">
      <c r="A13" s="166">
        <v>956</v>
      </c>
      <c r="B13" s="167" t="s">
        <v>1245</v>
      </c>
      <c r="C13" s="151">
        <f>C14+C15</f>
        <v>115474108</v>
      </c>
    </row>
    <row r="14" spans="1:3" ht="63.75" thickBot="1">
      <c r="A14" s="163"/>
      <c r="B14" s="164" t="s">
        <v>2182</v>
      </c>
      <c r="C14" s="165">
        <f>-C15+115474108</f>
        <v>101822800</v>
      </c>
    </row>
    <row r="15" spans="1:3" ht="32.25" thickBot="1">
      <c r="A15" s="166"/>
      <c r="B15" s="164" t="s">
        <v>2179</v>
      </c>
      <c r="C15" s="165">
        <v>13651308</v>
      </c>
    </row>
    <row r="16" spans="1:3" s="200" customFormat="1" ht="16.5" thickBot="1">
      <c r="A16" s="884" t="s">
        <v>1137</v>
      </c>
      <c r="B16" s="885"/>
      <c r="C16" s="151">
        <f>C13+C11+C9</f>
        <v>1124256362</v>
      </c>
    </row>
  </sheetData>
  <mergeCells count="6">
    <mergeCell ref="A16:B16"/>
    <mergeCell ref="A6:C6"/>
    <mergeCell ref="A1:C1"/>
    <mergeCell ref="A2:C2"/>
    <mergeCell ref="A3:C3"/>
    <mergeCell ref="A4:C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codeName="Лист23"/>
  <dimension ref="A1:D17"/>
  <sheetViews>
    <sheetView view="pageBreakPreview" topLeftCell="A10" zoomScaleSheetLayoutView="100" workbookViewId="0">
      <selection activeCell="C11" sqref="C11"/>
    </sheetView>
  </sheetViews>
  <sheetFormatPr defaultColWidth="9.140625" defaultRowHeight="12.75"/>
  <cols>
    <col min="1" max="1" width="18.28515625" style="147" customWidth="1"/>
    <col min="2" max="2" width="30.7109375" style="147" customWidth="1"/>
    <col min="3" max="3" width="20.28515625" style="147" customWidth="1"/>
    <col min="4" max="4" width="19.5703125" style="147" customWidth="1"/>
    <col min="5" max="16384" width="9.140625" style="147"/>
  </cols>
  <sheetData>
    <row r="1" spans="1:4" ht="18.75">
      <c r="A1" s="872" t="s">
        <v>2190</v>
      </c>
      <c r="B1" s="873"/>
      <c r="C1" s="873"/>
      <c r="D1" s="874"/>
    </row>
    <row r="2" spans="1:4" ht="18.75">
      <c r="A2" s="872" t="s">
        <v>1058</v>
      </c>
      <c r="B2" s="873"/>
      <c r="C2" s="873"/>
      <c r="D2" s="873"/>
    </row>
    <row r="3" spans="1:4" ht="18.75">
      <c r="A3" s="872" t="s">
        <v>716</v>
      </c>
      <c r="B3" s="873"/>
      <c r="C3" s="873"/>
      <c r="D3" s="874"/>
    </row>
    <row r="4" spans="1:4" ht="18.75">
      <c r="A4" s="872" t="s">
        <v>2202</v>
      </c>
      <c r="B4" s="873"/>
      <c r="C4" s="873"/>
      <c r="D4" s="874"/>
    </row>
    <row r="5" spans="1:4" ht="18.75">
      <c r="A5" s="150"/>
      <c r="B5"/>
      <c r="C5"/>
      <c r="D5"/>
    </row>
    <row r="6" spans="1:4" ht="36.75" customHeight="1">
      <c r="A6" s="875" t="s">
        <v>2055</v>
      </c>
      <c r="B6" s="875"/>
      <c r="C6" s="875"/>
      <c r="D6" s="874"/>
    </row>
    <row r="7" spans="1:4" ht="19.5" thickBot="1">
      <c r="A7" s="153"/>
      <c r="B7" s="154"/>
      <c r="C7" s="153"/>
      <c r="D7" s="153"/>
    </row>
    <row r="8" spans="1:4" ht="15.75">
      <c r="A8" s="886" t="s">
        <v>2052</v>
      </c>
      <c r="B8" s="886" t="s">
        <v>964</v>
      </c>
      <c r="C8" s="155" t="s">
        <v>47</v>
      </c>
      <c r="D8" s="155" t="s">
        <v>2056</v>
      </c>
    </row>
    <row r="9" spans="1:4" ht="30" customHeight="1" thickBot="1">
      <c r="A9" s="887"/>
      <c r="B9" s="887"/>
      <c r="C9" s="156" t="s">
        <v>2053</v>
      </c>
      <c r="D9" s="156" t="s">
        <v>2053</v>
      </c>
    </row>
    <row r="10" spans="1:4" ht="32.25" thickBot="1">
      <c r="A10" s="203">
        <v>953</v>
      </c>
      <c r="B10" s="157" t="s">
        <v>1029</v>
      </c>
      <c r="C10" s="158">
        <f>C11</f>
        <v>792137427</v>
      </c>
      <c r="D10" s="158">
        <f>D11</f>
        <v>854898899</v>
      </c>
    </row>
    <row r="11" spans="1:4" ht="79.5" thickBot="1">
      <c r="A11" s="159"/>
      <c r="B11" s="199" t="s">
        <v>2180</v>
      </c>
      <c r="C11" s="160">
        <v>792137427</v>
      </c>
      <c r="D11" s="160">
        <v>854898899</v>
      </c>
    </row>
    <row r="12" spans="1:4" ht="48" thickBot="1">
      <c r="A12" s="201">
        <v>954</v>
      </c>
      <c r="B12" s="161" t="s">
        <v>1197</v>
      </c>
      <c r="C12" s="162">
        <f>C13</f>
        <v>269632006</v>
      </c>
      <c r="D12" s="162">
        <f>D13</f>
        <v>289328704</v>
      </c>
    </row>
    <row r="13" spans="1:4" ht="79.5" thickBot="1">
      <c r="A13" s="163"/>
      <c r="B13" s="164" t="s">
        <v>2181</v>
      </c>
      <c r="C13" s="165">
        <v>269632006</v>
      </c>
      <c r="D13" s="165">
        <v>289328704</v>
      </c>
    </row>
    <row r="14" spans="1:4" ht="63.75" thickBot="1">
      <c r="A14" s="166">
        <v>956</v>
      </c>
      <c r="B14" s="167" t="s">
        <v>1245</v>
      </c>
      <c r="C14" s="151">
        <f>C15+C16</f>
        <v>116923463</v>
      </c>
      <c r="D14" s="151">
        <f>D15+D16</f>
        <v>108467532</v>
      </c>
    </row>
    <row r="15" spans="1:4" ht="79.5" thickBot="1">
      <c r="A15" s="163"/>
      <c r="B15" s="164" t="s">
        <v>2182</v>
      </c>
      <c r="C15" s="165">
        <v>103088178</v>
      </c>
      <c r="D15" s="165">
        <v>94368983</v>
      </c>
    </row>
    <row r="16" spans="1:4" ht="48" thickBot="1">
      <c r="A16" s="166"/>
      <c r="B16" s="164" t="s">
        <v>2179</v>
      </c>
      <c r="C16" s="165">
        <v>13835285</v>
      </c>
      <c r="D16" s="165">
        <v>14098549</v>
      </c>
    </row>
    <row r="17" spans="1:4" ht="16.5" thickBot="1">
      <c r="A17" s="884" t="s">
        <v>1137</v>
      </c>
      <c r="B17" s="885"/>
      <c r="C17" s="151">
        <f>C14+C12+C10</f>
        <v>1178692896</v>
      </c>
      <c r="D17" s="151">
        <f>D14+D12+D10</f>
        <v>1252695135</v>
      </c>
    </row>
  </sheetData>
  <mergeCells count="8">
    <mergeCell ref="A1:D1"/>
    <mergeCell ref="A2:D2"/>
    <mergeCell ref="A3:D3"/>
    <mergeCell ref="A17:B17"/>
    <mergeCell ref="A4:D4"/>
    <mergeCell ref="A6:D6"/>
    <mergeCell ref="A8:A9"/>
    <mergeCell ref="B8:B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codeName="Лист24">
    <pageSetUpPr fitToPage="1"/>
  </sheetPr>
  <dimension ref="A1:K148"/>
  <sheetViews>
    <sheetView view="pageBreakPreview" zoomScaleSheetLayoutView="100" workbookViewId="0">
      <selection activeCell="A10" sqref="A10:J10"/>
    </sheetView>
  </sheetViews>
  <sheetFormatPr defaultRowHeight="12.75"/>
  <cols>
    <col min="7" max="7" width="24.140625" customWidth="1"/>
    <col min="9" max="9" width="14.7109375" customWidth="1"/>
    <col min="10" max="10" width="9.140625" hidden="1" customWidth="1"/>
  </cols>
  <sheetData>
    <row r="1" spans="1:10" ht="15.75">
      <c r="A1" s="35"/>
      <c r="B1" s="35"/>
      <c r="C1" s="35"/>
      <c r="D1" s="35"/>
      <c r="E1" s="35"/>
      <c r="F1" s="35"/>
      <c r="G1" s="757" t="s">
        <v>1578</v>
      </c>
      <c r="H1" s="757"/>
      <c r="I1" s="757"/>
      <c r="J1" s="757"/>
    </row>
    <row r="2" spans="1:10" ht="15.75">
      <c r="A2" s="35"/>
      <c r="B2" s="35"/>
      <c r="C2" s="35"/>
      <c r="D2" s="35"/>
      <c r="E2" s="35"/>
      <c r="F2" s="35"/>
      <c r="G2" s="757" t="s">
        <v>194</v>
      </c>
      <c r="H2" s="757"/>
      <c r="I2" s="757"/>
      <c r="J2" s="757"/>
    </row>
    <row r="3" spans="1:10" ht="15.75">
      <c r="A3" s="35"/>
      <c r="B3" s="35"/>
      <c r="C3" s="35"/>
      <c r="D3" s="35"/>
      <c r="E3" s="35"/>
      <c r="F3" s="35"/>
      <c r="G3" s="757" t="s">
        <v>716</v>
      </c>
      <c r="H3" s="757"/>
      <c r="I3" s="757"/>
      <c r="J3" s="757"/>
    </row>
    <row r="4" spans="1:10" ht="15.75">
      <c r="A4" s="35"/>
      <c r="B4" s="35"/>
      <c r="C4" s="35"/>
      <c r="D4" s="35"/>
      <c r="E4" s="35"/>
      <c r="F4" s="35"/>
      <c r="G4" s="757" t="s">
        <v>1264</v>
      </c>
      <c r="H4" s="757"/>
      <c r="I4" s="757"/>
      <c r="J4" s="757"/>
    </row>
    <row r="5" spans="1:10" ht="15.75">
      <c r="A5" s="35"/>
      <c r="B5" s="35"/>
      <c r="C5" s="35"/>
      <c r="D5" s="35"/>
      <c r="E5" s="35"/>
      <c r="F5" s="35"/>
      <c r="G5" s="35"/>
      <c r="H5" s="35"/>
      <c r="I5" s="35"/>
      <c r="J5" s="107"/>
    </row>
    <row r="6" spans="1:10" ht="42" customHeight="1">
      <c r="A6" s="792" t="s">
        <v>21</v>
      </c>
      <c r="B6" s="792"/>
      <c r="C6" s="792"/>
      <c r="D6" s="792"/>
      <c r="E6" s="792"/>
      <c r="F6" s="792"/>
      <c r="G6" s="792"/>
      <c r="H6" s="792"/>
      <c r="I6" s="792"/>
      <c r="J6" s="792"/>
    </row>
    <row r="7" spans="1:10" ht="15.75">
      <c r="A7" s="108"/>
      <c r="B7" s="35"/>
      <c r="C7" s="35"/>
      <c r="D7" s="35"/>
      <c r="E7" s="35"/>
      <c r="F7" s="35"/>
      <c r="G7" s="35"/>
      <c r="H7" s="35"/>
      <c r="I7" s="35"/>
      <c r="J7" s="35"/>
    </row>
    <row r="8" spans="1:10" ht="45" customHeight="1">
      <c r="A8" s="889" t="s">
        <v>121</v>
      </c>
      <c r="B8" s="889"/>
      <c r="C8" s="889"/>
      <c r="D8" s="889"/>
      <c r="E8" s="889"/>
      <c r="F8" s="889"/>
      <c r="G8" s="889"/>
      <c r="H8" s="889"/>
      <c r="I8" s="889"/>
      <c r="J8" s="889"/>
    </row>
    <row r="9" spans="1:10" ht="45" customHeight="1">
      <c r="A9" s="890" t="s">
        <v>498</v>
      </c>
      <c r="B9" s="890"/>
      <c r="C9" s="890"/>
      <c r="D9" s="890"/>
      <c r="E9" s="890"/>
      <c r="F9" s="890"/>
      <c r="G9" s="890"/>
      <c r="H9" s="890"/>
      <c r="I9" s="890"/>
      <c r="J9" s="890"/>
    </row>
    <row r="10" spans="1:10" ht="71.25" customHeight="1">
      <c r="A10" s="889"/>
      <c r="B10" s="889"/>
      <c r="C10" s="889"/>
      <c r="D10" s="889"/>
      <c r="E10" s="889"/>
      <c r="F10" s="889"/>
      <c r="G10" s="889"/>
      <c r="H10" s="889"/>
      <c r="I10" s="889"/>
      <c r="J10" s="889"/>
    </row>
    <row r="11" spans="1:10" ht="46.5" hidden="1" customHeight="1">
      <c r="A11" s="890"/>
      <c r="B11" s="890"/>
      <c r="C11" s="890"/>
      <c r="D11" s="890"/>
      <c r="E11" s="890"/>
      <c r="F11" s="890"/>
      <c r="G11" s="890"/>
      <c r="H11" s="890"/>
      <c r="I11" s="890"/>
      <c r="J11" s="890"/>
    </row>
    <row r="12" spans="1:10" ht="41.25" hidden="1" customHeight="1">
      <c r="A12" s="889"/>
      <c r="B12" s="889"/>
      <c r="C12" s="889"/>
      <c r="D12" s="889"/>
      <c r="E12" s="889"/>
      <c r="F12" s="889"/>
      <c r="G12" s="889"/>
      <c r="H12" s="889"/>
      <c r="I12" s="889"/>
      <c r="J12" s="889"/>
    </row>
    <row r="13" spans="1:10" ht="18" hidden="1" customHeight="1">
      <c r="C13" s="35"/>
    </row>
    <row r="14" spans="1:10" ht="78.75" hidden="1" customHeight="1">
      <c r="A14" s="889"/>
      <c r="B14" s="889"/>
      <c r="C14" s="889"/>
      <c r="D14" s="889"/>
      <c r="E14" s="889"/>
      <c r="F14" s="889"/>
      <c r="G14" s="889"/>
      <c r="H14" s="889"/>
      <c r="I14" s="889"/>
      <c r="J14" s="889"/>
    </row>
    <row r="15" spans="1:10" ht="25.5" hidden="1" customHeight="1">
      <c r="C15" s="35"/>
    </row>
    <row r="16" spans="1:10" hidden="1"/>
    <row r="17" spans="1:11" ht="57.75" hidden="1" customHeight="1">
      <c r="A17" s="889"/>
      <c r="B17" s="889"/>
      <c r="C17" s="889"/>
      <c r="D17" s="889"/>
      <c r="E17" s="889"/>
      <c r="F17" s="889"/>
      <c r="G17" s="889"/>
      <c r="H17" s="889"/>
      <c r="I17" s="889"/>
      <c r="J17" s="889"/>
    </row>
    <row r="18" spans="1:11" hidden="1">
      <c r="C18" s="35"/>
    </row>
    <row r="19" spans="1:11" hidden="1"/>
    <row r="20" spans="1:11" ht="58.5" hidden="1" customHeight="1">
      <c r="A20" s="889"/>
      <c r="B20" s="889"/>
      <c r="C20" s="889"/>
      <c r="D20" s="889"/>
      <c r="E20" s="889"/>
      <c r="F20" s="889"/>
      <c r="G20" s="889"/>
      <c r="H20" s="889"/>
      <c r="I20" s="889"/>
      <c r="J20" s="889"/>
    </row>
    <row r="21" spans="1:11" hidden="1">
      <c r="C21" s="35"/>
    </row>
    <row r="22" spans="1:11" hidden="1"/>
    <row r="23" spans="1:11" hidden="1"/>
    <row r="24" spans="1:11" hidden="1"/>
    <row r="25" spans="1:11" hidden="1"/>
    <row r="26" spans="1:11" hidden="1"/>
    <row r="27" spans="1:11" hidden="1"/>
    <row r="28" spans="1:11" hidden="1"/>
    <row r="29" spans="1:11" hidden="1"/>
    <row r="30" spans="1:11" hidden="1">
      <c r="I30" s="92"/>
      <c r="K30" s="92"/>
    </row>
    <row r="31" spans="1:11" hidden="1">
      <c r="A31" s="132"/>
      <c r="B31" s="132"/>
      <c r="C31" s="132"/>
      <c r="D31" s="132"/>
      <c r="I31" s="92"/>
      <c r="J31" s="92"/>
      <c r="K31" s="92"/>
    </row>
    <row r="32" spans="1:11" hidden="1">
      <c r="A32" s="132"/>
      <c r="B32" s="132"/>
      <c r="C32" s="132"/>
      <c r="D32" s="132"/>
      <c r="I32" s="92"/>
      <c r="J32" s="92"/>
      <c r="K32" s="92"/>
    </row>
    <row r="33" spans="1:11" hidden="1">
      <c r="A33" s="132"/>
      <c r="B33" s="132"/>
      <c r="C33" s="132"/>
      <c r="D33" s="132"/>
    </row>
    <row r="34" spans="1:11" ht="15.75" hidden="1">
      <c r="A34" s="132"/>
      <c r="B34" s="135"/>
      <c r="C34" s="136"/>
      <c r="D34" s="136"/>
      <c r="K34" s="115"/>
    </row>
    <row r="35" spans="1:11" ht="15.75" hidden="1">
      <c r="A35" s="888"/>
      <c r="B35" s="888"/>
      <c r="C35" s="137"/>
      <c r="D35" s="137"/>
      <c r="K35" s="115"/>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35:B35"/>
    <mergeCell ref="A6:J6"/>
    <mergeCell ref="A8:J8"/>
    <mergeCell ref="A20:J20"/>
    <mergeCell ref="A9:J9"/>
    <mergeCell ref="A10:J10"/>
    <mergeCell ref="A14:J14"/>
    <mergeCell ref="A17:J17"/>
    <mergeCell ref="A11:J11"/>
    <mergeCell ref="A12:J12"/>
  </mergeCells>
  <phoneticPr fontId="34" type="noConversion"/>
  <pageMargins left="0.78740157480314965" right="0.39370078740157483" top="0.39370078740157483" bottom="0.39370078740157483" header="0.19685039370078741" footer="0.19685039370078741"/>
  <pageSetup paperSize="9" scale="89" fitToHeight="0"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Лист25"/>
  <dimension ref="A1:B1167"/>
  <sheetViews>
    <sheetView view="pageBreakPreview" topLeftCell="A1156" workbookViewId="0">
      <selection activeCell="B1161" sqref="B1161"/>
    </sheetView>
  </sheetViews>
  <sheetFormatPr defaultRowHeight="12.75"/>
  <cols>
    <col min="1" max="1" width="6.5703125" style="38" customWidth="1"/>
    <col min="2" max="2" width="85.7109375" style="35" customWidth="1"/>
  </cols>
  <sheetData>
    <row r="1" spans="1:2" hidden="1">
      <c r="A1" s="38" t="s">
        <v>1134</v>
      </c>
      <c r="B1" s="35" t="s">
        <v>1135</v>
      </c>
    </row>
    <row r="2" spans="1:2" hidden="1">
      <c r="A2" s="39" t="s">
        <v>818</v>
      </c>
      <c r="B2" s="37" t="s">
        <v>252</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0">
        <v>0</v>
      </c>
      <c r="B1000" s="36" t="s">
        <v>284</v>
      </c>
    </row>
    <row r="1001" spans="1:2">
      <c r="A1001" s="40">
        <v>4</v>
      </c>
      <c r="B1001" s="36" t="s">
        <v>1131</v>
      </c>
    </row>
    <row r="1002" spans="1:2">
      <c r="A1002" s="40">
        <v>20</v>
      </c>
      <c r="B1002" s="36" t="s">
        <v>1597</v>
      </c>
    </row>
    <row r="1003" spans="1:2">
      <c r="A1003" s="40">
        <v>22</v>
      </c>
      <c r="B1003" s="36" t="s">
        <v>1598</v>
      </c>
    </row>
    <row r="1004" spans="1:2">
      <c r="A1004" s="40">
        <v>29</v>
      </c>
      <c r="B1004" s="36" t="s">
        <v>1599</v>
      </c>
    </row>
    <row r="1005" spans="1:2">
      <c r="A1005" s="40">
        <v>48</v>
      </c>
      <c r="B1005" s="36" t="s">
        <v>1132</v>
      </c>
    </row>
    <row r="1006" spans="1:2">
      <c r="A1006" s="40">
        <v>50</v>
      </c>
      <c r="B1006" s="36" t="s">
        <v>1238</v>
      </c>
    </row>
    <row r="1007" spans="1:2">
      <c r="A1007" s="40">
        <v>53</v>
      </c>
      <c r="B1007" s="36" t="s">
        <v>1133</v>
      </c>
    </row>
    <row r="1008" spans="1:2">
      <c r="A1008" s="40">
        <v>54</v>
      </c>
      <c r="B1008" s="36" t="s">
        <v>1239</v>
      </c>
    </row>
    <row r="1009" spans="1:2">
      <c r="A1009" s="40">
        <v>56</v>
      </c>
      <c r="B1009" s="36" t="s">
        <v>1240</v>
      </c>
    </row>
    <row r="1010" spans="1:2">
      <c r="A1010" s="40">
        <v>58</v>
      </c>
      <c r="B1010" s="36" t="s">
        <v>1605</v>
      </c>
    </row>
    <row r="1011" spans="1:2">
      <c r="A1011" s="40">
        <v>70</v>
      </c>
      <c r="B1011" s="36" t="s">
        <v>1606</v>
      </c>
    </row>
    <row r="1012" spans="1:2">
      <c r="A1012" s="40">
        <v>71</v>
      </c>
      <c r="B1012" s="36" t="s">
        <v>1042</v>
      </c>
    </row>
    <row r="1013" spans="1:2">
      <c r="A1013" s="40">
        <v>72</v>
      </c>
      <c r="B1013" s="36" t="s">
        <v>1892</v>
      </c>
    </row>
    <row r="1014" spans="1:2">
      <c r="A1014" s="40">
        <v>75</v>
      </c>
      <c r="B1014" s="36" t="s">
        <v>72</v>
      </c>
    </row>
    <row r="1015" spans="1:2">
      <c r="A1015" s="40">
        <v>76</v>
      </c>
      <c r="B1015" s="36" t="s">
        <v>1944</v>
      </c>
    </row>
    <row r="1016" spans="1:2">
      <c r="A1016" s="40">
        <v>78</v>
      </c>
      <c r="B1016" s="36" t="s">
        <v>1945</v>
      </c>
    </row>
    <row r="1017" spans="1:2">
      <c r="A1017" s="40">
        <v>81</v>
      </c>
      <c r="B1017" s="36" t="s">
        <v>1893</v>
      </c>
    </row>
    <row r="1018" spans="1:2">
      <c r="A1018" s="40">
        <v>82</v>
      </c>
      <c r="B1018" s="36" t="s">
        <v>283</v>
      </c>
    </row>
    <row r="1019" spans="1:2">
      <c r="A1019" s="40">
        <v>83</v>
      </c>
      <c r="B1019" s="36" t="s">
        <v>535</v>
      </c>
    </row>
    <row r="1020" spans="1:2">
      <c r="A1020" s="40">
        <v>85</v>
      </c>
      <c r="B1020" s="36" t="s">
        <v>654</v>
      </c>
    </row>
    <row r="1021" spans="1:2">
      <c r="A1021" s="40">
        <v>89</v>
      </c>
      <c r="B1021" s="36" t="s">
        <v>231</v>
      </c>
    </row>
    <row r="1022" spans="1:2">
      <c r="A1022" s="40">
        <v>92</v>
      </c>
      <c r="B1022" s="36" t="s">
        <v>73</v>
      </c>
    </row>
    <row r="1023" spans="1:2">
      <c r="A1023" s="40">
        <v>99</v>
      </c>
      <c r="B1023" s="36" t="s">
        <v>1316</v>
      </c>
    </row>
    <row r="1024" spans="1:2">
      <c r="A1024" s="40">
        <v>104</v>
      </c>
      <c r="B1024" s="36" t="s">
        <v>149</v>
      </c>
    </row>
    <row r="1025" spans="1:2">
      <c r="A1025" s="40">
        <v>125</v>
      </c>
      <c r="B1025" s="36" t="s">
        <v>493</v>
      </c>
    </row>
    <row r="1026" spans="1:2">
      <c r="A1026" s="40">
        <v>126</v>
      </c>
      <c r="B1026" s="36" t="s">
        <v>815</v>
      </c>
    </row>
    <row r="1027" spans="1:2">
      <c r="A1027" s="40">
        <v>128</v>
      </c>
      <c r="B1027" s="36" t="s">
        <v>816</v>
      </c>
    </row>
    <row r="1028" spans="1:2">
      <c r="A1028" s="40">
        <v>129</v>
      </c>
      <c r="B1028" s="36" t="s">
        <v>932</v>
      </c>
    </row>
    <row r="1029" spans="1:2" ht="25.5">
      <c r="A1029" s="40">
        <v>133</v>
      </c>
      <c r="B1029" s="36" t="s">
        <v>389</v>
      </c>
    </row>
    <row r="1030" spans="1:2" ht="25.5">
      <c r="A1030" s="40">
        <v>134</v>
      </c>
      <c r="B1030" s="36" t="s">
        <v>781</v>
      </c>
    </row>
    <row r="1031" spans="1:2">
      <c r="A1031" s="40">
        <v>136</v>
      </c>
      <c r="B1031" s="36" t="s">
        <v>655</v>
      </c>
    </row>
    <row r="1032" spans="1:2">
      <c r="A1032" s="40">
        <v>139</v>
      </c>
      <c r="B1032" s="36" t="s">
        <v>656</v>
      </c>
    </row>
    <row r="1033" spans="1:2">
      <c r="A1033" s="40">
        <v>140</v>
      </c>
      <c r="B1033" s="36" t="s">
        <v>242</v>
      </c>
    </row>
    <row r="1034" spans="1:2">
      <c r="A1034" s="40">
        <v>141</v>
      </c>
      <c r="B1034" s="36" t="s">
        <v>243</v>
      </c>
    </row>
    <row r="1035" spans="1:2">
      <c r="A1035" s="40">
        <v>142</v>
      </c>
      <c r="B1035" s="36" t="s">
        <v>842</v>
      </c>
    </row>
    <row r="1036" spans="1:2">
      <c r="A1036" s="40">
        <v>148</v>
      </c>
      <c r="B1036" s="36" t="s">
        <v>451</v>
      </c>
    </row>
    <row r="1037" spans="1:2">
      <c r="A1037" s="40">
        <v>149</v>
      </c>
      <c r="B1037" s="36" t="s">
        <v>452</v>
      </c>
    </row>
    <row r="1038" spans="1:2">
      <c r="A1038" s="40">
        <v>152</v>
      </c>
      <c r="B1038" s="36" t="s">
        <v>1253</v>
      </c>
    </row>
    <row r="1039" spans="1:2">
      <c r="A1039" s="40">
        <v>153</v>
      </c>
      <c r="B1039" s="36" t="s">
        <v>455</v>
      </c>
    </row>
    <row r="1040" spans="1:2">
      <c r="A1040" s="40">
        <v>154</v>
      </c>
      <c r="B1040" s="36" t="s">
        <v>1617</v>
      </c>
    </row>
    <row r="1041" spans="1:2">
      <c r="A1041" s="40">
        <v>156</v>
      </c>
      <c r="B1041" s="36" t="s">
        <v>1673</v>
      </c>
    </row>
    <row r="1042" spans="1:2">
      <c r="A1042" s="40">
        <v>157</v>
      </c>
      <c r="B1042" s="36" t="s">
        <v>1127</v>
      </c>
    </row>
    <row r="1043" spans="1:2">
      <c r="A1043" s="40">
        <v>158</v>
      </c>
      <c r="B1043" s="36" t="s">
        <v>538</v>
      </c>
    </row>
    <row r="1044" spans="1:2">
      <c r="A1044" s="40">
        <v>159</v>
      </c>
      <c r="B1044" s="36" t="s">
        <v>160</v>
      </c>
    </row>
    <row r="1045" spans="1:2">
      <c r="A1045" s="40">
        <v>160</v>
      </c>
      <c r="B1045" s="36" t="s">
        <v>1186</v>
      </c>
    </row>
    <row r="1046" spans="1:2">
      <c r="A1046" s="40">
        <v>162</v>
      </c>
      <c r="B1046" s="36" t="s">
        <v>1188</v>
      </c>
    </row>
    <row r="1047" spans="1:2">
      <c r="A1047" s="40">
        <v>163</v>
      </c>
      <c r="B1047" s="36" t="s">
        <v>1528</v>
      </c>
    </row>
    <row r="1048" spans="1:2">
      <c r="A1048" s="40">
        <v>164</v>
      </c>
      <c r="B1048" s="36" t="s">
        <v>791</v>
      </c>
    </row>
    <row r="1049" spans="1:2">
      <c r="A1049" s="40">
        <v>165</v>
      </c>
      <c r="B1049" s="36" t="s">
        <v>336</v>
      </c>
    </row>
    <row r="1050" spans="1:2" ht="25.5">
      <c r="A1050" s="40">
        <v>166</v>
      </c>
      <c r="B1050" s="36" t="s">
        <v>110</v>
      </c>
    </row>
    <row r="1051" spans="1:2" ht="25.5">
      <c r="A1051" s="40">
        <v>177</v>
      </c>
      <c r="B1051" s="36" t="s">
        <v>635</v>
      </c>
    </row>
    <row r="1052" spans="1:2">
      <c r="A1052" s="40">
        <v>181</v>
      </c>
      <c r="B1052" s="36" t="s">
        <v>636</v>
      </c>
    </row>
    <row r="1053" spans="1:2">
      <c r="A1053" s="40">
        <v>182</v>
      </c>
      <c r="B1053" s="36" t="s">
        <v>637</v>
      </c>
    </row>
    <row r="1054" spans="1:2">
      <c r="A1054" s="40">
        <v>184</v>
      </c>
      <c r="B1054" s="36" t="s">
        <v>1191</v>
      </c>
    </row>
    <row r="1055" spans="1:2">
      <c r="A1055" s="40">
        <v>186</v>
      </c>
      <c r="B1055" s="36" t="s">
        <v>1672</v>
      </c>
    </row>
    <row r="1056" spans="1:2">
      <c r="A1056" s="40">
        <v>187</v>
      </c>
      <c r="B1056" s="36" t="s">
        <v>832</v>
      </c>
    </row>
    <row r="1057" spans="1:2">
      <c r="A1057" s="40">
        <v>188</v>
      </c>
      <c r="B1057" s="36" t="s">
        <v>1049</v>
      </c>
    </row>
    <row r="1058" spans="1:2">
      <c r="A1058" s="40">
        <v>189</v>
      </c>
      <c r="B1058" s="36" t="s">
        <v>1050</v>
      </c>
    </row>
    <row r="1059" spans="1:2">
      <c r="A1059" s="40">
        <v>190</v>
      </c>
      <c r="B1059" s="36" t="s">
        <v>114</v>
      </c>
    </row>
    <row r="1060" spans="1:2">
      <c r="A1060" s="40">
        <v>192</v>
      </c>
      <c r="B1060" s="36" t="s">
        <v>115</v>
      </c>
    </row>
    <row r="1061" spans="1:2">
      <c r="A1061" s="40">
        <v>197</v>
      </c>
      <c r="B1061" s="36" t="s">
        <v>1607</v>
      </c>
    </row>
    <row r="1062" spans="1:2">
      <c r="A1062" s="40">
        <v>202</v>
      </c>
      <c r="B1062" s="36" t="s">
        <v>1608</v>
      </c>
    </row>
    <row r="1063" spans="1:2" ht="25.5">
      <c r="A1063" s="40">
        <v>206</v>
      </c>
      <c r="B1063" s="36" t="s">
        <v>1609</v>
      </c>
    </row>
    <row r="1064" spans="1:2">
      <c r="A1064" s="40">
        <v>207</v>
      </c>
      <c r="B1064" s="36" t="s">
        <v>582</v>
      </c>
    </row>
    <row r="1065" spans="1:2">
      <c r="A1065" s="40">
        <v>226</v>
      </c>
      <c r="B1065" s="36" t="s">
        <v>1258</v>
      </c>
    </row>
    <row r="1066" spans="1:2">
      <c r="A1066" s="40">
        <v>258</v>
      </c>
      <c r="B1066" s="36" t="s">
        <v>299</v>
      </c>
    </row>
    <row r="1067" spans="1:2">
      <c r="A1067" s="40">
        <v>262</v>
      </c>
      <c r="B1067" s="36" t="s">
        <v>416</v>
      </c>
    </row>
    <row r="1068" spans="1:2">
      <c r="A1068" s="40">
        <v>263</v>
      </c>
      <c r="B1068" s="36" t="s">
        <v>453</v>
      </c>
    </row>
    <row r="1069" spans="1:2">
      <c r="A1069" s="40">
        <v>279</v>
      </c>
      <c r="B1069" s="36" t="s">
        <v>1102</v>
      </c>
    </row>
    <row r="1070" spans="1:2">
      <c r="A1070" s="40">
        <v>302</v>
      </c>
      <c r="B1070" s="36" t="s">
        <v>1103</v>
      </c>
    </row>
    <row r="1071" spans="1:2">
      <c r="A1071" s="40">
        <v>303</v>
      </c>
      <c r="B1071" s="36" t="s">
        <v>379</v>
      </c>
    </row>
    <row r="1072" spans="1:2">
      <c r="A1072" s="40">
        <v>304</v>
      </c>
      <c r="B1072" s="36" t="s">
        <v>586</v>
      </c>
    </row>
    <row r="1073" spans="1:2">
      <c r="A1073" s="40">
        <v>305</v>
      </c>
      <c r="B1073" s="36" t="s">
        <v>824</v>
      </c>
    </row>
    <row r="1074" spans="1:2">
      <c r="A1074" s="40">
        <v>306</v>
      </c>
      <c r="B1074" s="36" t="s">
        <v>202</v>
      </c>
    </row>
    <row r="1075" spans="1:2">
      <c r="A1075" s="40">
        <v>308</v>
      </c>
      <c r="B1075" s="36" t="s">
        <v>203</v>
      </c>
    </row>
    <row r="1076" spans="1:2">
      <c r="A1076" s="40">
        <v>310</v>
      </c>
      <c r="B1076" s="36" t="s">
        <v>529</v>
      </c>
    </row>
    <row r="1077" spans="1:2">
      <c r="A1077" s="40">
        <v>316</v>
      </c>
      <c r="B1077" s="36" t="s">
        <v>1669</v>
      </c>
    </row>
    <row r="1078" spans="1:2">
      <c r="A1078" s="40">
        <v>318</v>
      </c>
      <c r="B1078" s="36" t="s">
        <v>940</v>
      </c>
    </row>
    <row r="1079" spans="1:2">
      <c r="A1079" s="40">
        <v>319</v>
      </c>
      <c r="B1079" s="36" t="s">
        <v>179</v>
      </c>
    </row>
    <row r="1080" spans="1:2">
      <c r="A1080" s="40">
        <v>320</v>
      </c>
      <c r="B1080" s="36" t="s">
        <v>180</v>
      </c>
    </row>
    <row r="1081" spans="1:2">
      <c r="A1081" s="40">
        <v>321</v>
      </c>
      <c r="B1081" s="36" t="s">
        <v>464</v>
      </c>
    </row>
    <row r="1082" spans="1:2">
      <c r="A1082" s="40">
        <v>322</v>
      </c>
      <c r="B1082" s="36" t="s">
        <v>1614</v>
      </c>
    </row>
    <row r="1083" spans="1:2">
      <c r="A1083" s="40">
        <v>330</v>
      </c>
      <c r="B1083" s="36" t="s">
        <v>645</v>
      </c>
    </row>
    <row r="1084" spans="1:2">
      <c r="A1084" s="40">
        <v>333</v>
      </c>
      <c r="B1084" s="36" t="s">
        <v>977</v>
      </c>
    </row>
    <row r="1085" spans="1:2">
      <c r="A1085" s="40">
        <v>352</v>
      </c>
      <c r="B1085" s="36" t="s">
        <v>978</v>
      </c>
    </row>
    <row r="1086" spans="1:2">
      <c r="A1086" s="40">
        <v>386</v>
      </c>
      <c r="B1086" s="36" t="s">
        <v>979</v>
      </c>
    </row>
    <row r="1087" spans="1:2" ht="25.5">
      <c r="A1087" s="40">
        <v>387</v>
      </c>
      <c r="B1087" s="36" t="s">
        <v>596</v>
      </c>
    </row>
    <row r="1088" spans="1:2">
      <c r="A1088" s="40">
        <v>392</v>
      </c>
      <c r="B1088" s="36" t="s">
        <v>597</v>
      </c>
    </row>
    <row r="1089" spans="1:2">
      <c r="A1089" s="40">
        <v>393</v>
      </c>
      <c r="B1089" s="36" t="s">
        <v>1821</v>
      </c>
    </row>
    <row r="1090" spans="1:2">
      <c r="A1090" s="40">
        <v>397</v>
      </c>
      <c r="B1090" s="36" t="s">
        <v>470</v>
      </c>
    </row>
    <row r="1091" spans="1:2">
      <c r="A1091" s="40">
        <v>401</v>
      </c>
      <c r="B1091" s="36" t="s">
        <v>472</v>
      </c>
    </row>
    <row r="1092" spans="1:2">
      <c r="A1092" s="40">
        <v>409</v>
      </c>
      <c r="B1092" s="36" t="s">
        <v>157</v>
      </c>
    </row>
    <row r="1093" spans="1:2">
      <c r="A1093" s="40">
        <v>415</v>
      </c>
      <c r="B1093" s="36" t="s">
        <v>158</v>
      </c>
    </row>
    <row r="1094" spans="1:2">
      <c r="A1094" s="40">
        <v>423</v>
      </c>
      <c r="B1094" s="36" t="s">
        <v>1106</v>
      </c>
    </row>
    <row r="1095" spans="1:2">
      <c r="A1095" s="40">
        <v>424</v>
      </c>
      <c r="B1095" s="36" t="s">
        <v>225</v>
      </c>
    </row>
    <row r="1096" spans="1:2">
      <c r="A1096" s="40">
        <v>425</v>
      </c>
      <c r="B1096" s="36" t="s">
        <v>1415</v>
      </c>
    </row>
    <row r="1097" spans="1:2">
      <c r="A1097" s="40">
        <v>434</v>
      </c>
      <c r="B1097" s="36" t="s">
        <v>457</v>
      </c>
    </row>
    <row r="1098" spans="1:2">
      <c r="A1098" s="40">
        <v>436</v>
      </c>
      <c r="B1098" s="36" t="s">
        <v>458</v>
      </c>
    </row>
    <row r="1099" spans="1:2">
      <c r="A1099" s="40">
        <v>437</v>
      </c>
      <c r="B1099" s="36" t="s">
        <v>1618</v>
      </c>
    </row>
    <row r="1100" spans="1:2">
      <c r="A1100" s="40">
        <v>438</v>
      </c>
      <c r="B1100" s="36" t="s">
        <v>1802</v>
      </c>
    </row>
    <row r="1101" spans="1:2">
      <c r="A1101" s="40">
        <v>464</v>
      </c>
      <c r="B1101" s="36" t="s">
        <v>1517</v>
      </c>
    </row>
    <row r="1102" spans="1:2">
      <c r="A1102" s="40">
        <v>486</v>
      </c>
      <c r="B1102" s="36" t="s">
        <v>1619</v>
      </c>
    </row>
    <row r="1103" spans="1:2">
      <c r="A1103" s="40">
        <v>494</v>
      </c>
      <c r="B1103" s="36" t="s">
        <v>843</v>
      </c>
    </row>
    <row r="1104" spans="1:2">
      <c r="A1104" s="40">
        <v>497</v>
      </c>
      <c r="B1104" s="36" t="s">
        <v>576</v>
      </c>
    </row>
    <row r="1105" spans="1:2">
      <c r="A1105" s="40">
        <v>498</v>
      </c>
      <c r="B1105" s="36" t="s">
        <v>577</v>
      </c>
    </row>
    <row r="1106" spans="1:2">
      <c r="A1106" s="40">
        <v>520</v>
      </c>
      <c r="B1106" s="36" t="s">
        <v>1234</v>
      </c>
    </row>
    <row r="1107" spans="1:2">
      <c r="A1107" s="40">
        <v>573</v>
      </c>
      <c r="B1107" s="36" t="s">
        <v>572</v>
      </c>
    </row>
    <row r="1108" spans="1:2">
      <c r="A1108" s="40">
        <v>588</v>
      </c>
      <c r="B1108" s="36" t="s">
        <v>1311</v>
      </c>
    </row>
    <row r="1109" spans="1:2">
      <c r="A1109" s="40">
        <v>589</v>
      </c>
      <c r="B1109" s="36" t="s">
        <v>1589</v>
      </c>
    </row>
    <row r="1110" spans="1:2">
      <c r="A1110" s="40">
        <v>591</v>
      </c>
      <c r="B1110" s="36" t="s">
        <v>1590</v>
      </c>
    </row>
    <row r="1111" spans="1:2">
      <c r="A1111" s="40">
        <v>597</v>
      </c>
      <c r="B1111" s="36" t="s">
        <v>727</v>
      </c>
    </row>
    <row r="1112" spans="1:2">
      <c r="A1112" s="40">
        <v>653</v>
      </c>
      <c r="B1112" s="36" t="s">
        <v>728</v>
      </c>
    </row>
    <row r="1113" spans="1:2">
      <c r="A1113" s="40">
        <v>665</v>
      </c>
      <c r="B1113" s="36" t="s">
        <v>729</v>
      </c>
    </row>
    <row r="1114" spans="1:2">
      <c r="A1114" s="40">
        <v>677</v>
      </c>
      <c r="B1114" s="36" t="s">
        <v>568</v>
      </c>
    </row>
    <row r="1115" spans="1:2">
      <c r="A1115" s="40">
        <v>693</v>
      </c>
      <c r="B1115" s="36" t="s">
        <v>569</v>
      </c>
    </row>
    <row r="1116" spans="1:2">
      <c r="A1116" s="40">
        <v>720</v>
      </c>
      <c r="B1116" s="36" t="s">
        <v>357</v>
      </c>
    </row>
    <row r="1117" spans="1:2">
      <c r="A1117" s="40">
        <v>721</v>
      </c>
      <c r="B1117" s="36" t="s">
        <v>1412</v>
      </c>
    </row>
    <row r="1118" spans="1:2" ht="25.5">
      <c r="A1118" s="40">
        <v>722</v>
      </c>
      <c r="B1118" s="36" t="s">
        <v>1413</v>
      </c>
    </row>
    <row r="1119" spans="1:2">
      <c r="A1119" s="40">
        <v>801</v>
      </c>
      <c r="B1119" s="36" t="s">
        <v>741</v>
      </c>
    </row>
    <row r="1120" spans="1:2">
      <c r="A1120" s="40">
        <v>804</v>
      </c>
      <c r="B1120" s="36" t="s">
        <v>742</v>
      </c>
    </row>
    <row r="1121" spans="1:2" ht="25.5">
      <c r="A1121" s="40">
        <v>807</v>
      </c>
      <c r="B1121" s="36" t="s">
        <v>11</v>
      </c>
    </row>
    <row r="1122" spans="1:2">
      <c r="A1122" s="40">
        <v>812</v>
      </c>
      <c r="B1122" s="36" t="s">
        <v>415</v>
      </c>
    </row>
    <row r="1123" spans="1:2">
      <c r="A1123" s="40">
        <v>905</v>
      </c>
      <c r="B1123" s="36" t="s">
        <v>212</v>
      </c>
    </row>
    <row r="1124" spans="1:2">
      <c r="A1124" s="40">
        <v>906</v>
      </c>
      <c r="B1124" s="36" t="s">
        <v>218</v>
      </c>
    </row>
    <row r="1125" spans="1:2">
      <c r="A1125" s="40">
        <v>914</v>
      </c>
      <c r="B1125" s="36" t="s">
        <v>219</v>
      </c>
    </row>
    <row r="1126" spans="1:2">
      <c r="A1126" s="40">
        <v>932</v>
      </c>
      <c r="B1126" s="36" t="s">
        <v>220</v>
      </c>
    </row>
    <row r="1127" spans="1:2">
      <c r="A1127" s="40">
        <v>950</v>
      </c>
      <c r="B1127" s="36" t="s">
        <v>803</v>
      </c>
    </row>
    <row r="1128" spans="1:2">
      <c r="A1128" s="40">
        <v>951</v>
      </c>
      <c r="B1128" s="36" t="s">
        <v>492</v>
      </c>
    </row>
    <row r="1129" spans="1:2">
      <c r="A1129" s="40">
        <v>952</v>
      </c>
      <c r="B1129" s="36" t="s">
        <v>1028</v>
      </c>
    </row>
    <row r="1130" spans="1:2">
      <c r="A1130" s="40">
        <v>953</v>
      </c>
      <c r="B1130" s="36" t="s">
        <v>1029</v>
      </c>
    </row>
    <row r="1131" spans="1:2">
      <c r="A1131" s="40">
        <v>954</v>
      </c>
      <c r="B1131" s="36" t="s">
        <v>808</v>
      </c>
    </row>
    <row r="1132" spans="1:2">
      <c r="A1132" s="40">
        <v>955</v>
      </c>
      <c r="B1132" s="36" t="s">
        <v>1689</v>
      </c>
    </row>
    <row r="1133" spans="1:2">
      <c r="A1133" s="40">
        <v>956</v>
      </c>
      <c r="B1133" s="36" t="s">
        <v>809</v>
      </c>
    </row>
    <row r="1134" spans="1:2">
      <c r="A1134" s="40">
        <v>957</v>
      </c>
      <c r="B1134" s="36" t="s">
        <v>810</v>
      </c>
    </row>
    <row r="1135" spans="1:2">
      <c r="A1135" s="40">
        <v>958</v>
      </c>
      <c r="B1135" s="36" t="s">
        <v>811</v>
      </c>
    </row>
    <row r="1136" spans="1:2">
      <c r="A1136" s="40">
        <v>959</v>
      </c>
      <c r="B1136" s="36" t="s">
        <v>1394</v>
      </c>
    </row>
    <row r="1137" spans="1:2">
      <c r="A1137" s="40">
        <v>960</v>
      </c>
      <c r="B1137" s="36" t="s">
        <v>456</v>
      </c>
    </row>
    <row r="1138" spans="1:2">
      <c r="A1138" s="40">
        <v>961</v>
      </c>
      <c r="B1138" s="36" t="s">
        <v>590</v>
      </c>
    </row>
    <row r="1139" spans="1:2">
      <c r="A1139" s="40">
        <v>962</v>
      </c>
      <c r="B1139" s="36" t="s">
        <v>1405</v>
      </c>
    </row>
    <row r="1140" spans="1:2">
      <c r="A1140" s="40">
        <v>963</v>
      </c>
      <c r="B1140" s="36" t="s">
        <v>417</v>
      </c>
    </row>
    <row r="1141" spans="1:2">
      <c r="A1141" s="40">
        <v>964</v>
      </c>
      <c r="B1141" s="36" t="s">
        <v>1671</v>
      </c>
    </row>
    <row r="1142" spans="1:2">
      <c r="A1142" s="40">
        <v>965</v>
      </c>
      <c r="B1142" s="36" t="s">
        <v>435</v>
      </c>
    </row>
    <row r="1143" spans="1:2">
      <c r="A1143" s="40">
        <v>966</v>
      </c>
      <c r="B1143" s="36" t="s">
        <v>537</v>
      </c>
    </row>
    <row r="1144" spans="1:2">
      <c r="A1144" s="40">
        <v>967</v>
      </c>
      <c r="B1144" s="36" t="s">
        <v>331</v>
      </c>
    </row>
    <row r="1145" spans="1:2">
      <c r="A1145" s="40">
        <v>968</v>
      </c>
      <c r="B1145" s="36" t="s">
        <v>522</v>
      </c>
    </row>
    <row r="1146" spans="1:2">
      <c r="A1146" s="40">
        <v>969</v>
      </c>
      <c r="B1146" s="36" t="s">
        <v>319</v>
      </c>
    </row>
    <row r="1147" spans="1:2">
      <c r="A1147" s="40">
        <v>970</v>
      </c>
      <c r="B1147" s="36" t="s">
        <v>309</v>
      </c>
    </row>
    <row r="1148" spans="1:2">
      <c r="A1148" s="40">
        <v>971</v>
      </c>
      <c r="B1148" s="36" t="s">
        <v>1827</v>
      </c>
    </row>
    <row r="1149" spans="1:2">
      <c r="A1149" s="40">
        <v>972</v>
      </c>
      <c r="B1149" s="36" t="s">
        <v>253</v>
      </c>
    </row>
    <row r="1150" spans="1:2">
      <c r="A1150" s="40">
        <v>973</v>
      </c>
      <c r="B1150" s="36" t="s">
        <v>1699</v>
      </c>
    </row>
    <row r="1151" spans="1:2">
      <c r="A1151" s="40">
        <v>974</v>
      </c>
      <c r="B1151" s="36" t="s">
        <v>1588</v>
      </c>
    </row>
    <row r="1152" spans="1:2">
      <c r="A1152" s="40">
        <v>975</v>
      </c>
      <c r="B1152" s="36" t="s">
        <v>429</v>
      </c>
    </row>
    <row r="1153" spans="1:2">
      <c r="A1153" s="40">
        <v>976</v>
      </c>
      <c r="B1153" s="36" t="s">
        <v>570</v>
      </c>
    </row>
    <row r="1154" spans="1:2">
      <c r="A1154" s="40">
        <v>977</v>
      </c>
      <c r="B1154" s="36" t="s">
        <v>1544</v>
      </c>
    </row>
    <row r="1155" spans="1:2">
      <c r="A1155" s="40">
        <v>978</v>
      </c>
      <c r="B1155" s="36" t="s">
        <v>1520</v>
      </c>
    </row>
    <row r="1156" spans="1:2">
      <c r="A1156" s="40">
        <v>979</v>
      </c>
      <c r="B1156" s="36" t="s">
        <v>1700</v>
      </c>
    </row>
    <row r="1157" spans="1:2">
      <c r="A1157" s="40">
        <v>980</v>
      </c>
      <c r="B1157" s="36" t="s">
        <v>1250</v>
      </c>
    </row>
    <row r="1158" spans="1:2">
      <c r="A1158" s="40">
        <v>981</v>
      </c>
      <c r="B1158" s="36" t="s">
        <v>1701</v>
      </c>
    </row>
    <row r="1159" spans="1:2">
      <c r="A1159" s="40">
        <v>982</v>
      </c>
      <c r="B1159" s="36" t="s">
        <v>1521</v>
      </c>
    </row>
    <row r="1160" spans="1:2">
      <c r="A1160" s="40">
        <v>983</v>
      </c>
      <c r="B1160" s="36" t="s">
        <v>333</v>
      </c>
    </row>
    <row r="1161" spans="1:2">
      <c r="A1161" s="40">
        <v>984</v>
      </c>
      <c r="B1161" s="36" t="s">
        <v>463</v>
      </c>
    </row>
    <row r="1162" spans="1:2">
      <c r="A1162" s="40">
        <v>985</v>
      </c>
      <c r="B1162" s="36" t="s">
        <v>432</v>
      </c>
    </row>
    <row r="1163" spans="1:2">
      <c r="A1163" s="40">
        <v>986</v>
      </c>
      <c r="B1163" s="36" t="s">
        <v>332</v>
      </c>
    </row>
    <row r="1164" spans="1:2">
      <c r="A1164" s="40">
        <v>987</v>
      </c>
      <c r="B1164" s="36" t="s">
        <v>1600</v>
      </c>
    </row>
    <row r="1165" spans="1:2">
      <c r="A1165" s="40">
        <v>988</v>
      </c>
      <c r="B1165" s="36" t="s">
        <v>1678</v>
      </c>
    </row>
    <row r="1166" spans="1:2">
      <c r="A1166" s="40">
        <v>989</v>
      </c>
      <c r="B1166" s="36" t="s">
        <v>1829</v>
      </c>
    </row>
    <row r="1167" spans="1:2">
      <c r="A1167" s="38">
        <v>995</v>
      </c>
      <c r="B1167" s="35" t="s">
        <v>332</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28.xml><?xml version="1.0" encoding="utf-8"?>
<worksheet xmlns="http://schemas.openxmlformats.org/spreadsheetml/2006/main" xmlns:r="http://schemas.openxmlformats.org/officeDocument/2006/relationships">
  <sheetPr codeName="Лист28"/>
  <dimension ref="A1:B1930"/>
  <sheetViews>
    <sheetView showGridLines="0" topLeftCell="A1820" zoomScaleSheetLayoutView="120" workbookViewId="0">
      <selection activeCell="B1835" sqref="B1835"/>
    </sheetView>
  </sheetViews>
  <sheetFormatPr defaultColWidth="9.140625" defaultRowHeight="12.75"/>
  <cols>
    <col min="1" max="1" width="7.140625" style="66" customWidth="1"/>
    <col min="2" max="2" width="128" style="111" customWidth="1"/>
    <col min="3" max="16384" width="9.140625" style="50"/>
  </cols>
  <sheetData>
    <row r="1" spans="2:2" hidden="1">
      <c r="B1" s="110"/>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09">
        <v>100</v>
      </c>
      <c r="B1820" s="112" t="s">
        <v>1145</v>
      </c>
    </row>
    <row r="1821" spans="1:2">
      <c r="A1821" s="109">
        <v>110</v>
      </c>
      <c r="B1821" s="112" t="s">
        <v>1146</v>
      </c>
    </row>
    <row r="1822" spans="1:2">
      <c r="A1822" s="109">
        <v>111</v>
      </c>
      <c r="B1822" s="112" t="s">
        <v>1147</v>
      </c>
    </row>
    <row r="1823" spans="1:2">
      <c r="A1823" s="109">
        <v>112</v>
      </c>
      <c r="B1823" s="112" t="s">
        <v>1148</v>
      </c>
    </row>
    <row r="1824" spans="1:2">
      <c r="A1824" s="109">
        <v>120</v>
      </c>
      <c r="B1824" s="112" t="s">
        <v>1149</v>
      </c>
    </row>
    <row r="1825" spans="1:2">
      <c r="A1825" s="109">
        <v>121</v>
      </c>
      <c r="B1825" s="112" t="s">
        <v>1147</v>
      </c>
    </row>
    <row r="1826" spans="1:2">
      <c r="A1826" s="109">
        <v>122</v>
      </c>
      <c r="B1826" s="112" t="s">
        <v>1148</v>
      </c>
    </row>
    <row r="1827" spans="1:2">
      <c r="A1827" s="109">
        <v>130</v>
      </c>
      <c r="B1827" s="112" t="s">
        <v>549</v>
      </c>
    </row>
    <row r="1828" spans="1:2">
      <c r="A1828" s="109">
        <v>131</v>
      </c>
      <c r="B1828" s="112" t="s">
        <v>550</v>
      </c>
    </row>
    <row r="1829" spans="1:2">
      <c r="A1829" s="109">
        <v>132</v>
      </c>
      <c r="B1829" s="112" t="s">
        <v>551</v>
      </c>
    </row>
    <row r="1830" spans="1:2">
      <c r="A1830" s="109">
        <v>133</v>
      </c>
      <c r="B1830" s="112" t="s">
        <v>552</v>
      </c>
    </row>
    <row r="1831" spans="1:2">
      <c r="A1831" s="109">
        <v>134</v>
      </c>
      <c r="B1831" s="112" t="s">
        <v>553</v>
      </c>
    </row>
    <row r="1832" spans="1:2">
      <c r="A1832" s="109">
        <v>140</v>
      </c>
      <c r="B1832" s="112" t="s">
        <v>554</v>
      </c>
    </row>
    <row r="1833" spans="1:2">
      <c r="A1833" s="109">
        <v>141</v>
      </c>
      <c r="B1833" s="112" t="s">
        <v>1147</v>
      </c>
    </row>
    <row r="1834" spans="1:2" ht="25.5">
      <c r="A1834" s="109">
        <v>142</v>
      </c>
      <c r="B1834" s="112" t="s">
        <v>555</v>
      </c>
    </row>
    <row r="1835" spans="1:2">
      <c r="A1835" s="109">
        <v>200</v>
      </c>
      <c r="B1835" s="112" t="s">
        <v>556</v>
      </c>
    </row>
    <row r="1836" spans="1:2">
      <c r="A1836" s="109">
        <v>210</v>
      </c>
      <c r="B1836" s="112" t="s">
        <v>557</v>
      </c>
    </row>
    <row r="1837" spans="1:2" ht="25.5">
      <c r="A1837" s="109">
        <v>211</v>
      </c>
      <c r="B1837" s="112" t="s">
        <v>558</v>
      </c>
    </row>
    <row r="1838" spans="1:2" ht="25.5">
      <c r="A1838" s="109">
        <v>212</v>
      </c>
      <c r="B1838" s="112" t="s">
        <v>559</v>
      </c>
    </row>
    <row r="1839" spans="1:2" ht="25.5">
      <c r="A1839" s="109">
        <v>213</v>
      </c>
      <c r="B1839" s="112" t="s">
        <v>560</v>
      </c>
    </row>
    <row r="1840" spans="1:2" ht="25.5">
      <c r="A1840" s="109">
        <v>214</v>
      </c>
      <c r="B1840" s="112" t="s">
        <v>561</v>
      </c>
    </row>
    <row r="1841" spans="1:2" ht="25.5">
      <c r="A1841" s="109">
        <v>215</v>
      </c>
      <c r="B1841" s="112" t="s">
        <v>562</v>
      </c>
    </row>
    <row r="1842" spans="1:2" ht="25.5">
      <c r="A1842" s="109">
        <v>216</v>
      </c>
      <c r="B1842" s="112" t="s">
        <v>1156</v>
      </c>
    </row>
    <row r="1843" spans="1:2" ht="25.5">
      <c r="A1843" s="109">
        <v>217</v>
      </c>
      <c r="B1843" s="112" t="s">
        <v>1157</v>
      </c>
    </row>
    <row r="1844" spans="1:2" ht="25.5">
      <c r="A1844" s="109">
        <v>218</v>
      </c>
      <c r="B1844" s="112" t="s">
        <v>1155</v>
      </c>
    </row>
    <row r="1845" spans="1:2">
      <c r="A1845" s="109">
        <v>219</v>
      </c>
      <c r="B1845" s="112" t="s">
        <v>1726</v>
      </c>
    </row>
    <row r="1846" spans="1:2" ht="25.5">
      <c r="A1846" s="109">
        <v>220</v>
      </c>
      <c r="B1846" s="112" t="s">
        <v>1727</v>
      </c>
    </row>
    <row r="1847" spans="1:2">
      <c r="A1847" s="109">
        <v>221</v>
      </c>
      <c r="B1847" s="112" t="s">
        <v>1728</v>
      </c>
    </row>
    <row r="1848" spans="1:2">
      <c r="A1848" s="109">
        <v>222</v>
      </c>
      <c r="B1848" s="112" t="s">
        <v>1729</v>
      </c>
    </row>
    <row r="1849" spans="1:2">
      <c r="A1849" s="109">
        <v>223</v>
      </c>
      <c r="B1849" s="112" t="s">
        <v>311</v>
      </c>
    </row>
    <row r="1850" spans="1:2">
      <c r="A1850" s="109">
        <v>224</v>
      </c>
      <c r="B1850" s="112" t="s">
        <v>196</v>
      </c>
    </row>
    <row r="1851" spans="1:2">
      <c r="A1851" s="109">
        <v>225</v>
      </c>
      <c r="B1851" s="112" t="s">
        <v>647</v>
      </c>
    </row>
    <row r="1852" spans="1:2">
      <c r="A1852" s="109">
        <v>226</v>
      </c>
      <c r="B1852" s="112" t="s">
        <v>648</v>
      </c>
    </row>
    <row r="1853" spans="1:2">
      <c r="A1853" s="109">
        <v>230</v>
      </c>
      <c r="B1853" s="112" t="s">
        <v>1730</v>
      </c>
    </row>
    <row r="1854" spans="1:2">
      <c r="A1854" s="109">
        <v>240</v>
      </c>
      <c r="B1854" s="112" t="s">
        <v>1731</v>
      </c>
    </row>
    <row r="1855" spans="1:2">
      <c r="A1855" s="109">
        <v>241</v>
      </c>
      <c r="B1855" s="112" t="s">
        <v>240</v>
      </c>
    </row>
    <row r="1856" spans="1:2">
      <c r="A1856" s="109">
        <v>242</v>
      </c>
      <c r="B1856" s="112" t="s">
        <v>1732</v>
      </c>
    </row>
    <row r="1857" spans="1:2">
      <c r="A1857" s="109">
        <v>243</v>
      </c>
      <c r="B1857" s="112" t="s">
        <v>1733</v>
      </c>
    </row>
    <row r="1858" spans="1:2">
      <c r="A1858" s="109">
        <v>244</v>
      </c>
      <c r="B1858" s="112" t="s">
        <v>1734</v>
      </c>
    </row>
    <row r="1859" spans="1:2">
      <c r="A1859" s="109">
        <v>300</v>
      </c>
      <c r="B1859" s="112" t="s">
        <v>1735</v>
      </c>
    </row>
    <row r="1860" spans="1:2">
      <c r="A1860" s="109">
        <v>310</v>
      </c>
      <c r="B1860" s="112" t="s">
        <v>1736</v>
      </c>
    </row>
    <row r="1861" spans="1:2">
      <c r="A1861" s="109">
        <v>311</v>
      </c>
      <c r="B1861" s="112" t="s">
        <v>1737</v>
      </c>
    </row>
    <row r="1862" spans="1:2">
      <c r="A1862" s="109">
        <v>312</v>
      </c>
      <c r="B1862" s="112" t="s">
        <v>1738</v>
      </c>
    </row>
    <row r="1863" spans="1:2">
      <c r="A1863" s="109">
        <v>313</v>
      </c>
      <c r="B1863" s="112" t="s">
        <v>1739</v>
      </c>
    </row>
    <row r="1864" spans="1:2">
      <c r="A1864" s="109">
        <v>314</v>
      </c>
      <c r="B1864" s="112" t="s">
        <v>1740</v>
      </c>
    </row>
    <row r="1865" spans="1:2">
      <c r="A1865" s="109">
        <v>320</v>
      </c>
      <c r="B1865" s="112" t="s">
        <v>1741</v>
      </c>
    </row>
    <row r="1866" spans="1:2">
      <c r="A1866" s="109">
        <v>321</v>
      </c>
      <c r="B1866" s="112" t="s">
        <v>1742</v>
      </c>
    </row>
    <row r="1867" spans="1:2">
      <c r="A1867" s="109">
        <v>322</v>
      </c>
      <c r="B1867" s="112" t="s">
        <v>1743</v>
      </c>
    </row>
    <row r="1868" spans="1:2">
      <c r="A1868" s="109">
        <v>323</v>
      </c>
      <c r="B1868" s="112" t="s">
        <v>1744</v>
      </c>
    </row>
    <row r="1869" spans="1:2">
      <c r="A1869" s="109">
        <v>330</v>
      </c>
      <c r="B1869" s="112" t="s">
        <v>1745</v>
      </c>
    </row>
    <row r="1870" spans="1:2">
      <c r="A1870" s="109">
        <v>340</v>
      </c>
      <c r="B1870" s="112" t="s">
        <v>1746</v>
      </c>
    </row>
    <row r="1871" spans="1:2">
      <c r="A1871" s="109">
        <v>350</v>
      </c>
      <c r="B1871" s="112" t="s">
        <v>1747</v>
      </c>
    </row>
    <row r="1872" spans="1:2">
      <c r="A1872" s="109">
        <v>360</v>
      </c>
      <c r="B1872" s="112" t="s">
        <v>1748</v>
      </c>
    </row>
    <row r="1873" spans="1:2" ht="12.75" customHeight="1">
      <c r="A1873" s="109">
        <v>400</v>
      </c>
      <c r="B1873" s="112" t="s">
        <v>1315</v>
      </c>
    </row>
    <row r="1874" spans="1:2">
      <c r="A1874" s="109">
        <v>410</v>
      </c>
      <c r="B1874" s="112" t="s">
        <v>1749</v>
      </c>
    </row>
    <row r="1875" spans="1:2">
      <c r="A1875" s="109">
        <v>411</v>
      </c>
      <c r="B1875" s="112" t="s">
        <v>1750</v>
      </c>
    </row>
    <row r="1876" spans="1:2">
      <c r="A1876" s="109">
        <v>412</v>
      </c>
      <c r="B1876" s="112" t="s">
        <v>1751</v>
      </c>
    </row>
    <row r="1877" spans="1:2">
      <c r="A1877" s="109">
        <v>413</v>
      </c>
      <c r="B1877" s="112" t="s">
        <v>161</v>
      </c>
    </row>
    <row r="1878" spans="1:2">
      <c r="A1878" s="109">
        <v>414</v>
      </c>
      <c r="B1878" s="112" t="s">
        <v>162</v>
      </c>
    </row>
    <row r="1879" spans="1:2">
      <c r="A1879" s="109">
        <v>415</v>
      </c>
      <c r="B1879" s="112" t="s">
        <v>163</v>
      </c>
    </row>
    <row r="1880" spans="1:2">
      <c r="A1880" s="109">
        <v>420</v>
      </c>
      <c r="B1880" s="112" t="s">
        <v>164</v>
      </c>
    </row>
    <row r="1881" spans="1:2" ht="25.5">
      <c r="A1881" s="109">
        <v>421</v>
      </c>
      <c r="B1881" s="112" t="s">
        <v>165</v>
      </c>
    </row>
    <row r="1882" spans="1:2" ht="25.5">
      <c r="A1882" s="109">
        <v>422</v>
      </c>
      <c r="B1882" s="112" t="s">
        <v>166</v>
      </c>
    </row>
    <row r="1883" spans="1:2">
      <c r="A1883" s="109">
        <v>430</v>
      </c>
      <c r="B1883" s="112" t="s">
        <v>167</v>
      </c>
    </row>
    <row r="1884" spans="1:2">
      <c r="A1884" s="109">
        <v>440</v>
      </c>
      <c r="B1884" s="176" t="s">
        <v>2377</v>
      </c>
    </row>
    <row r="1885" spans="1:2">
      <c r="A1885" s="109">
        <v>500</v>
      </c>
      <c r="B1885" s="112" t="s">
        <v>2376</v>
      </c>
    </row>
    <row r="1886" spans="1:2">
      <c r="A1886" s="109">
        <v>510</v>
      </c>
      <c r="B1886" s="112" t="s">
        <v>662</v>
      </c>
    </row>
    <row r="1887" spans="1:2">
      <c r="A1887" s="109">
        <v>511</v>
      </c>
      <c r="B1887" s="112" t="s">
        <v>168</v>
      </c>
    </row>
    <row r="1888" spans="1:2">
      <c r="A1888" s="109">
        <v>512</v>
      </c>
      <c r="B1888" s="112" t="s">
        <v>169</v>
      </c>
    </row>
    <row r="1889" spans="1:2" ht="25.5">
      <c r="A1889" s="109">
        <v>513</v>
      </c>
      <c r="B1889" s="112" t="s">
        <v>170</v>
      </c>
    </row>
    <row r="1890" spans="1:2">
      <c r="A1890" s="109">
        <v>514</v>
      </c>
      <c r="B1890" s="112" t="s">
        <v>171</v>
      </c>
    </row>
    <row r="1891" spans="1:2">
      <c r="A1891" s="109">
        <v>515</v>
      </c>
      <c r="B1891" s="176" t="s">
        <v>890</v>
      </c>
    </row>
    <row r="1892" spans="1:2">
      <c r="A1892" s="109">
        <v>520</v>
      </c>
      <c r="B1892" s="112" t="s">
        <v>1120</v>
      </c>
    </row>
    <row r="1893" spans="1:2" ht="25.5">
      <c r="A1893" s="109">
        <v>521</v>
      </c>
      <c r="B1893" s="112" t="s">
        <v>172</v>
      </c>
    </row>
    <row r="1894" spans="1:2">
      <c r="A1894" s="109">
        <v>522</v>
      </c>
      <c r="B1894" s="112" t="s">
        <v>173</v>
      </c>
    </row>
    <row r="1895" spans="1:2">
      <c r="A1895" s="109">
        <v>530</v>
      </c>
      <c r="B1895" s="112" t="s">
        <v>174</v>
      </c>
    </row>
    <row r="1896" spans="1:2">
      <c r="A1896" s="109">
        <v>540</v>
      </c>
      <c r="B1896" s="176" t="s">
        <v>2105</v>
      </c>
    </row>
    <row r="1897" spans="1:2">
      <c r="A1897" s="109">
        <v>560</v>
      </c>
      <c r="B1897" s="112" t="s">
        <v>175</v>
      </c>
    </row>
    <row r="1898" spans="1:2">
      <c r="A1898" s="109">
        <v>570</v>
      </c>
      <c r="B1898" s="112" t="s">
        <v>176</v>
      </c>
    </row>
    <row r="1899" spans="1:2">
      <c r="A1899" s="109">
        <v>580</v>
      </c>
      <c r="B1899" s="112" t="s">
        <v>177</v>
      </c>
    </row>
    <row r="1900" spans="1:2">
      <c r="A1900" s="109">
        <v>600</v>
      </c>
      <c r="B1900" s="176" t="s">
        <v>2388</v>
      </c>
    </row>
    <row r="1901" spans="1:2">
      <c r="A1901" s="109">
        <v>610</v>
      </c>
      <c r="B1901" s="112" t="s">
        <v>1158</v>
      </c>
    </row>
    <row r="1902" spans="1:2">
      <c r="A1902" s="109">
        <v>611</v>
      </c>
      <c r="B1902" s="112" t="s">
        <v>1159</v>
      </c>
    </row>
    <row r="1903" spans="1:2">
      <c r="A1903" s="109">
        <v>612</v>
      </c>
      <c r="B1903" s="112" t="s">
        <v>1160</v>
      </c>
    </row>
    <row r="1904" spans="1:2">
      <c r="A1904" s="109">
        <v>620</v>
      </c>
      <c r="B1904" s="112" t="s">
        <v>1161</v>
      </c>
    </row>
    <row r="1905" spans="1:2">
      <c r="A1905" s="109">
        <v>621</v>
      </c>
      <c r="B1905" s="112" t="s">
        <v>1162</v>
      </c>
    </row>
    <row r="1906" spans="1:2">
      <c r="A1906" s="109">
        <v>622</v>
      </c>
      <c r="B1906" s="176" t="s">
        <v>1163</v>
      </c>
    </row>
    <row r="1907" spans="1:2">
      <c r="A1907" s="109">
        <v>630</v>
      </c>
      <c r="B1907" s="176" t="s">
        <v>2177</v>
      </c>
    </row>
    <row r="1908" spans="1:2">
      <c r="A1908" s="109">
        <v>700</v>
      </c>
      <c r="B1908" s="112" t="s">
        <v>1164</v>
      </c>
    </row>
    <row r="1909" spans="1:2">
      <c r="A1909" s="109">
        <v>710</v>
      </c>
      <c r="B1909" s="112" t="s">
        <v>1164</v>
      </c>
    </row>
    <row r="1910" spans="1:2">
      <c r="A1910" s="109">
        <v>800</v>
      </c>
      <c r="B1910" s="112" t="s">
        <v>1165</v>
      </c>
    </row>
    <row r="1911" spans="1:2">
      <c r="A1911" s="109">
        <v>810</v>
      </c>
      <c r="B1911" s="112" t="s">
        <v>1166</v>
      </c>
    </row>
    <row r="1912" spans="1:2">
      <c r="A1912" s="109">
        <v>820</v>
      </c>
      <c r="B1912" s="112" t="s">
        <v>1167</v>
      </c>
    </row>
    <row r="1913" spans="1:2">
      <c r="A1913" s="109">
        <v>821</v>
      </c>
      <c r="B1913" s="112" t="s">
        <v>1168</v>
      </c>
    </row>
    <row r="1914" spans="1:2">
      <c r="A1914" s="109">
        <v>822</v>
      </c>
      <c r="B1914" s="112" t="s">
        <v>1169</v>
      </c>
    </row>
    <row r="1915" spans="1:2">
      <c r="A1915" s="109">
        <v>823</v>
      </c>
      <c r="B1915" s="112" t="s">
        <v>1170</v>
      </c>
    </row>
    <row r="1916" spans="1:2">
      <c r="A1916" s="109">
        <v>830</v>
      </c>
      <c r="B1916" s="112" t="s">
        <v>1221</v>
      </c>
    </row>
    <row r="1917" spans="1:2" ht="38.25">
      <c r="A1917" s="109">
        <v>831</v>
      </c>
      <c r="B1917" s="113" t="s">
        <v>1222</v>
      </c>
    </row>
    <row r="1918" spans="1:2" ht="51">
      <c r="A1918" s="109">
        <v>832</v>
      </c>
      <c r="B1918" s="113" t="s">
        <v>1223</v>
      </c>
    </row>
    <row r="1919" spans="1:2">
      <c r="A1919" s="109">
        <v>833</v>
      </c>
      <c r="B1919" s="112" t="s">
        <v>1224</v>
      </c>
    </row>
    <row r="1920" spans="1:2" ht="25.5">
      <c r="A1920" s="109">
        <v>840</v>
      </c>
      <c r="B1920" s="112" t="s">
        <v>1225</v>
      </c>
    </row>
    <row r="1921" spans="1:2">
      <c r="A1921" s="109">
        <v>841</v>
      </c>
      <c r="B1921" s="112" t="s">
        <v>1226</v>
      </c>
    </row>
    <row r="1922" spans="1:2">
      <c r="A1922" s="109">
        <v>850</v>
      </c>
      <c r="B1922" s="112" t="s">
        <v>1227</v>
      </c>
    </row>
    <row r="1923" spans="1:2">
      <c r="A1923" s="109">
        <v>851</v>
      </c>
      <c r="B1923" s="112" t="s">
        <v>1228</v>
      </c>
    </row>
    <row r="1924" spans="1:2" ht="12.75" customHeight="1">
      <c r="A1924" s="109">
        <v>852</v>
      </c>
      <c r="B1924" s="112" t="s">
        <v>1229</v>
      </c>
    </row>
    <row r="1925" spans="1:2">
      <c r="A1925" s="109">
        <v>860</v>
      </c>
      <c r="B1925" s="112" t="s">
        <v>1793</v>
      </c>
    </row>
    <row r="1926" spans="1:2">
      <c r="A1926" s="109">
        <v>861</v>
      </c>
      <c r="B1926" s="112" t="s">
        <v>1794</v>
      </c>
    </row>
    <row r="1927" spans="1:2">
      <c r="A1927" s="109">
        <v>862</v>
      </c>
      <c r="B1927" s="112" t="s">
        <v>1795</v>
      </c>
    </row>
    <row r="1928" spans="1:2">
      <c r="A1928" s="109">
        <v>863</v>
      </c>
      <c r="B1928" s="112" t="s">
        <v>1796</v>
      </c>
    </row>
    <row r="1929" spans="1:2">
      <c r="A1929" s="109">
        <v>870</v>
      </c>
      <c r="B1929" s="112" t="s">
        <v>1797</v>
      </c>
    </row>
    <row r="1930" spans="1:2">
      <c r="A1930" s="109">
        <v>880</v>
      </c>
      <c r="B1930" s="112" t="s">
        <v>1798</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Лист29"/>
  <dimension ref="A1:E14"/>
  <sheetViews>
    <sheetView showGridLines="0" view="pageBreakPreview" zoomScaleSheetLayoutView="100" workbookViewId="0">
      <selection activeCell="A9" sqref="A9:E9"/>
    </sheetView>
  </sheetViews>
  <sheetFormatPr defaultColWidth="9.140625" defaultRowHeight="12.75"/>
  <cols>
    <col min="1" max="1" width="5.85546875" style="147" customWidth="1"/>
    <col min="2" max="2" width="54.42578125" style="147" customWidth="1"/>
    <col min="3" max="4" width="0" style="147" hidden="1" customWidth="1"/>
    <col min="5" max="5" width="13.5703125" style="147" customWidth="1"/>
    <col min="6" max="16384" width="9.140625" style="147"/>
  </cols>
  <sheetData>
    <row r="1" spans="1:5" ht="15.75">
      <c r="A1" s="737" t="s">
        <v>2045</v>
      </c>
      <c r="B1" s="873"/>
      <c r="C1" s="873"/>
      <c r="D1" s="873"/>
      <c r="E1" s="873"/>
    </row>
    <row r="2" spans="1:5" ht="15.75">
      <c r="A2"/>
      <c r="B2" s="737" t="s">
        <v>1058</v>
      </c>
      <c r="C2" s="737"/>
      <c r="D2" s="737"/>
      <c r="E2" s="737"/>
    </row>
    <row r="3" spans="1:5" ht="15.75">
      <c r="A3"/>
      <c r="B3" s="737" t="s">
        <v>716</v>
      </c>
      <c r="C3" s="737"/>
      <c r="D3" s="737"/>
      <c r="E3" s="737"/>
    </row>
    <row r="4" spans="1:5" ht="15.75">
      <c r="A4"/>
      <c r="B4" s="737" t="s">
        <v>1264</v>
      </c>
      <c r="C4" s="737"/>
      <c r="D4" s="737"/>
      <c r="E4" s="737"/>
    </row>
    <row r="5" spans="1:5">
      <c r="A5"/>
      <c r="B5" s="105"/>
      <c r="C5" s="105"/>
      <c r="D5" s="105"/>
      <c r="E5"/>
    </row>
    <row r="6" spans="1:5">
      <c r="A6"/>
      <c r="B6"/>
      <c r="C6"/>
      <c r="D6"/>
      <c r="E6"/>
    </row>
    <row r="7" spans="1:5" ht="63.75" customHeight="1">
      <c r="A7" s="897" t="s">
        <v>2046</v>
      </c>
      <c r="B7" s="897"/>
      <c r="C7" s="897"/>
      <c r="D7" s="897"/>
      <c r="E7" s="897"/>
    </row>
    <row r="8" spans="1:5" ht="18.75">
      <c r="A8" s="5"/>
      <c r="B8" s="5"/>
      <c r="C8" s="5"/>
      <c r="D8" s="5"/>
      <c r="E8" s="5"/>
    </row>
    <row r="9" spans="1:5" ht="53.25" customHeight="1">
      <c r="A9" s="896" t="s">
        <v>2095</v>
      </c>
      <c r="B9" s="896"/>
      <c r="C9" s="896"/>
      <c r="D9" s="896"/>
      <c r="E9" s="896"/>
    </row>
    <row r="10" spans="1:5" ht="47.25">
      <c r="A10" s="895" t="s">
        <v>7</v>
      </c>
      <c r="B10" s="895"/>
      <c r="C10" s="99" t="s">
        <v>2044</v>
      </c>
      <c r="D10" s="94" t="s">
        <v>632</v>
      </c>
      <c r="E10" s="100" t="s">
        <v>1092</v>
      </c>
    </row>
    <row r="11" spans="1:5" ht="15.75">
      <c r="A11" s="891" t="s">
        <v>1383</v>
      </c>
      <c r="B11" s="892"/>
      <c r="C11" s="133">
        <v>989000</v>
      </c>
      <c r="D11" s="133">
        <v>0</v>
      </c>
      <c r="E11" s="133"/>
    </row>
    <row r="12" spans="1:5" ht="15.75">
      <c r="A12" s="891" t="s">
        <v>650</v>
      </c>
      <c r="B12" s="892"/>
      <c r="C12" s="133">
        <v>892000</v>
      </c>
      <c r="D12" s="133">
        <v>0</v>
      </c>
      <c r="E12" s="133"/>
    </row>
    <row r="13" spans="1:5" ht="15.75">
      <c r="A13" s="891" t="s">
        <v>651</v>
      </c>
      <c r="B13" s="892"/>
      <c r="C13" s="133">
        <v>684000</v>
      </c>
      <c r="D13" s="133">
        <v>0</v>
      </c>
      <c r="E13" s="133"/>
    </row>
    <row r="14" spans="1:5" ht="15.75" customHeight="1">
      <c r="A14" s="893" t="s">
        <v>1137</v>
      </c>
      <c r="B14" s="894"/>
      <c r="C14" s="133"/>
      <c r="D14" s="133"/>
      <c r="E14" s="133"/>
    </row>
  </sheetData>
  <mergeCells count="11">
    <mergeCell ref="A9:E9"/>
    <mergeCell ref="A1:E1"/>
    <mergeCell ref="B2:E2"/>
    <mergeCell ref="B3:E3"/>
    <mergeCell ref="B4:E4"/>
    <mergeCell ref="A7:E7"/>
    <mergeCell ref="A11:B11"/>
    <mergeCell ref="A12:B12"/>
    <mergeCell ref="A13:B13"/>
    <mergeCell ref="A14:B14"/>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5">
    <pageSetUpPr fitToPage="1"/>
  </sheetPr>
  <dimension ref="A1:F26"/>
  <sheetViews>
    <sheetView showGridLines="0" view="pageBreakPreview" topLeftCell="A18" zoomScaleSheetLayoutView="100" workbookViewId="0">
      <selection activeCell="F22" sqref="F22"/>
    </sheetView>
  </sheetViews>
  <sheetFormatPr defaultRowHeight="12.75"/>
  <cols>
    <col min="1" max="1" width="28.5703125" customWidth="1"/>
    <col min="2" max="2" width="41.140625" customWidth="1"/>
    <col min="3" max="3" width="16.5703125" hidden="1" customWidth="1"/>
    <col min="4" max="4" width="15.7109375" hidden="1" customWidth="1"/>
    <col min="5" max="5" width="15.140625" hidden="1" customWidth="1"/>
    <col min="6" max="6" width="19.42578125" customWidth="1"/>
  </cols>
  <sheetData>
    <row r="1" spans="1:6" ht="15.75">
      <c r="A1" s="737" t="s">
        <v>3208</v>
      </c>
      <c r="B1" s="737"/>
      <c r="C1" s="737"/>
      <c r="D1" s="737"/>
      <c r="E1" s="737"/>
      <c r="F1" s="737"/>
    </row>
    <row r="2" spans="1:6" ht="15.75">
      <c r="A2" s="737" t="s">
        <v>1058</v>
      </c>
      <c r="B2" s="737"/>
      <c r="C2" s="737"/>
      <c r="D2" s="737"/>
      <c r="E2" s="737"/>
      <c r="F2" s="737"/>
    </row>
    <row r="3" spans="1:6" ht="15.75">
      <c r="A3" s="737" t="s">
        <v>716</v>
      </c>
      <c r="B3" s="737"/>
      <c r="C3" s="737"/>
      <c r="D3" s="737"/>
      <c r="E3" s="737"/>
      <c r="F3" s="737"/>
    </row>
    <row r="4" spans="1:6" ht="15.75">
      <c r="A4" s="737" t="s">
        <v>3095</v>
      </c>
      <c r="B4" s="737"/>
      <c r="C4" s="737"/>
      <c r="D4" s="737"/>
      <c r="E4" s="737"/>
      <c r="F4" s="737"/>
    </row>
    <row r="6" spans="1:6" ht="15.75">
      <c r="A6" s="34"/>
      <c r="B6" s="1"/>
    </row>
    <row r="7" spans="1:6" ht="33" customHeight="1">
      <c r="A7" s="738" t="s">
        <v>3246</v>
      </c>
      <c r="B7" s="738"/>
      <c r="C7" s="738"/>
      <c r="D7" s="738"/>
      <c r="E7" s="738"/>
      <c r="F7" s="738"/>
    </row>
    <row r="8" spans="1:6" ht="19.5" thickBot="1">
      <c r="A8" s="5"/>
      <c r="B8" s="1"/>
    </row>
    <row r="9" spans="1:6" ht="16.5" thickBot="1">
      <c r="A9" s="310" t="s">
        <v>963</v>
      </c>
      <c r="B9" s="310" t="s">
        <v>262</v>
      </c>
      <c r="C9" s="310" t="s">
        <v>3220</v>
      </c>
      <c r="D9" s="310" t="s">
        <v>1129</v>
      </c>
      <c r="E9" s="310" t="s">
        <v>1092</v>
      </c>
      <c r="F9" s="690" t="s">
        <v>3247</v>
      </c>
    </row>
    <row r="10" spans="1:6" ht="32.25" thickBot="1">
      <c r="A10" s="311" t="s">
        <v>2261</v>
      </c>
      <c r="B10" s="312" t="s">
        <v>67</v>
      </c>
      <c r="C10" s="313">
        <v>13556598</v>
      </c>
      <c r="D10" s="313">
        <f t="shared" ref="D10" si="0">D11+D13</f>
        <v>0</v>
      </c>
      <c r="E10" s="313">
        <f>SUM(C10:D10)</f>
        <v>13556598</v>
      </c>
      <c r="F10" s="313">
        <f>F11</f>
        <v>0</v>
      </c>
    </row>
    <row r="11" spans="1:6" s="510" customFormat="1" ht="48" thickBot="1">
      <c r="A11" s="314" t="s">
        <v>68</v>
      </c>
      <c r="B11" s="315" t="s">
        <v>1392</v>
      </c>
      <c r="C11" s="316">
        <v>13556598</v>
      </c>
      <c r="D11" s="316">
        <f t="shared" ref="D11:F11" si="1">D12</f>
        <v>0</v>
      </c>
      <c r="E11" s="318">
        <f t="shared" ref="E11:E25" si="2">SUM(C11:D11)</f>
        <v>13556598</v>
      </c>
      <c r="F11" s="316">
        <f t="shared" si="1"/>
        <v>0</v>
      </c>
    </row>
    <row r="12" spans="1:6" s="510" customFormat="1" ht="63.75" thickBot="1">
      <c r="A12" s="314" t="s">
        <v>1393</v>
      </c>
      <c r="B12" s="315" t="s">
        <v>2253</v>
      </c>
      <c r="C12" s="316">
        <v>13556598</v>
      </c>
      <c r="D12" s="316"/>
      <c r="E12" s="318">
        <f t="shared" si="2"/>
        <v>13556598</v>
      </c>
      <c r="F12" s="316">
        <v>0</v>
      </c>
    </row>
    <row r="13" spans="1:6" ht="48" hidden="1" thickBot="1">
      <c r="A13" s="314" t="s">
        <v>1320</v>
      </c>
      <c r="B13" s="315" t="s">
        <v>1319</v>
      </c>
      <c r="C13" s="316">
        <v>0</v>
      </c>
      <c r="D13" s="316">
        <f t="shared" ref="D13:F13" si="3">D14</f>
        <v>0</v>
      </c>
      <c r="E13" s="313">
        <f t="shared" si="2"/>
        <v>0</v>
      </c>
      <c r="F13" s="316">
        <f t="shared" si="3"/>
        <v>0</v>
      </c>
    </row>
    <row r="14" spans="1:6" ht="63.75" hidden="1" thickBot="1">
      <c r="A14" s="314" t="s">
        <v>790</v>
      </c>
      <c r="B14" s="315" t="s">
        <v>2254</v>
      </c>
      <c r="C14" s="316">
        <v>0</v>
      </c>
      <c r="D14" s="316"/>
      <c r="E14" s="313">
        <f t="shared" si="2"/>
        <v>0</v>
      </c>
      <c r="F14" s="316"/>
    </row>
    <row r="15" spans="1:6" ht="48" thickBot="1">
      <c r="A15" s="311" t="s">
        <v>2260</v>
      </c>
      <c r="B15" s="312" t="s">
        <v>1799</v>
      </c>
      <c r="C15" s="313">
        <v>-5155566</v>
      </c>
      <c r="D15" s="313">
        <f t="shared" ref="D15" si="4">D18+D16</f>
        <v>0</v>
      </c>
      <c r="E15" s="313">
        <f t="shared" si="2"/>
        <v>-5155566</v>
      </c>
      <c r="F15" s="313">
        <f>F18+F16</f>
        <v>-5155566</v>
      </c>
    </row>
    <row r="16" spans="1:6" ht="79.5" thickBot="1">
      <c r="A16" s="363" t="s">
        <v>2481</v>
      </c>
      <c r="B16" s="364" t="s">
        <v>2482</v>
      </c>
      <c r="C16" s="318">
        <v>5000000</v>
      </c>
      <c r="D16" s="318">
        <f t="shared" ref="D16:F16" si="5">D17</f>
        <v>0</v>
      </c>
      <c r="E16" s="318">
        <f t="shared" si="2"/>
        <v>5000000</v>
      </c>
      <c r="F16" s="318">
        <f t="shared" si="5"/>
        <v>5000000</v>
      </c>
    </row>
    <row r="17" spans="1:6" ht="79.5" thickBot="1">
      <c r="A17" s="363" t="s">
        <v>2483</v>
      </c>
      <c r="B17" s="364" t="s">
        <v>2484</v>
      </c>
      <c r="C17" s="318">
        <v>5000000</v>
      </c>
      <c r="D17" s="318"/>
      <c r="E17" s="318">
        <f t="shared" si="2"/>
        <v>5000000</v>
      </c>
      <c r="F17" s="318">
        <v>5000000</v>
      </c>
    </row>
    <row r="18" spans="1:6" s="510" customFormat="1" ht="79.5" thickBot="1">
      <c r="A18" s="314" t="s">
        <v>2213</v>
      </c>
      <c r="B18" s="315" t="s">
        <v>595</v>
      </c>
      <c r="C18" s="316">
        <v>-10155566</v>
      </c>
      <c r="D18" s="316">
        <f t="shared" ref="D18:F18" si="6">D19</f>
        <v>0</v>
      </c>
      <c r="E18" s="318">
        <f t="shared" si="2"/>
        <v>-10155566</v>
      </c>
      <c r="F18" s="316">
        <f t="shared" si="6"/>
        <v>-10155566</v>
      </c>
    </row>
    <row r="19" spans="1:6" s="510" customFormat="1" ht="79.5" thickBot="1">
      <c r="A19" s="314" t="s">
        <v>2214</v>
      </c>
      <c r="B19" s="315" t="s">
        <v>2255</v>
      </c>
      <c r="C19" s="316">
        <v>-10155566</v>
      </c>
      <c r="D19" s="316"/>
      <c r="E19" s="318">
        <f t="shared" si="2"/>
        <v>-10155566</v>
      </c>
      <c r="F19" s="316">
        <v>-10155566</v>
      </c>
    </row>
    <row r="20" spans="1:6" ht="32.25" thickBot="1">
      <c r="A20" s="311" t="s">
        <v>2259</v>
      </c>
      <c r="B20" s="312" t="s">
        <v>749</v>
      </c>
      <c r="C20" s="313">
        <f>C22+C21</f>
        <v>7505389.7799999714</v>
      </c>
      <c r="D20" s="313">
        <f t="shared" ref="D20:E20" si="7">D22+D21</f>
        <v>-887000.04999999702</v>
      </c>
      <c r="E20" s="313">
        <f t="shared" si="7"/>
        <v>6618389.7300000191</v>
      </c>
      <c r="F20" s="313">
        <f t="shared" ref="F20" si="8">F22+F21</f>
        <v>-6483370</v>
      </c>
    </row>
    <row r="21" spans="1:6" s="510" customFormat="1" ht="48" thickBot="1">
      <c r="A21" s="314" t="s">
        <v>750</v>
      </c>
      <c r="B21" s="315" t="s">
        <v>2256</v>
      </c>
      <c r="C21" s="316">
        <v>-2029162628</v>
      </c>
      <c r="D21" s="316">
        <f>-Пр.1!K171-D12-D16</f>
        <v>-77819930.950000003</v>
      </c>
      <c r="E21" s="318">
        <f t="shared" si="2"/>
        <v>-2106982558.95</v>
      </c>
      <c r="F21" s="316">
        <v>-1929918302</v>
      </c>
    </row>
    <row r="22" spans="1:6" s="510" customFormat="1" ht="48" thickBot="1">
      <c r="A22" s="314" t="s">
        <v>736</v>
      </c>
      <c r="B22" s="315" t="s">
        <v>2257</v>
      </c>
      <c r="C22" s="316">
        <v>2036668017.78</v>
      </c>
      <c r="D22" s="316">
        <f>Пр.2!D121-D19</f>
        <v>76932930.900000006</v>
      </c>
      <c r="E22" s="318">
        <f>SUM(C22:D22)</f>
        <v>2113600948.6800001</v>
      </c>
      <c r="F22" s="316">
        <v>1923434932</v>
      </c>
    </row>
    <row r="23" spans="1:6" ht="48" thickBot="1">
      <c r="A23" s="311" t="s">
        <v>2258</v>
      </c>
      <c r="B23" s="312" t="s">
        <v>502</v>
      </c>
      <c r="C23" s="313">
        <v>12566</v>
      </c>
      <c r="D23" s="313">
        <f t="shared" ref="D23:F24" si="9">D24</f>
        <v>0</v>
      </c>
      <c r="E23" s="313">
        <f t="shared" si="2"/>
        <v>12566</v>
      </c>
      <c r="F23" s="313">
        <f t="shared" si="9"/>
        <v>0</v>
      </c>
    </row>
    <row r="24" spans="1:6" s="510" customFormat="1" ht="48" thickBot="1">
      <c r="A24" s="314" t="s">
        <v>581</v>
      </c>
      <c r="B24" s="315" t="s">
        <v>571</v>
      </c>
      <c r="C24" s="316">
        <v>12566</v>
      </c>
      <c r="D24" s="316">
        <f t="shared" si="9"/>
        <v>0</v>
      </c>
      <c r="E24" s="318">
        <f t="shared" si="2"/>
        <v>12566</v>
      </c>
      <c r="F24" s="316">
        <f t="shared" si="9"/>
        <v>0</v>
      </c>
    </row>
    <row r="25" spans="1:6" s="510" customFormat="1" ht="63.75" thickBot="1">
      <c r="A25" s="314" t="s">
        <v>1125</v>
      </c>
      <c r="B25" s="315" t="s">
        <v>1532</v>
      </c>
      <c r="C25" s="316">
        <v>12566</v>
      </c>
      <c r="D25" s="316"/>
      <c r="E25" s="318">
        <f t="shared" si="2"/>
        <v>12566</v>
      </c>
      <c r="F25" s="316"/>
    </row>
    <row r="26" spans="1:6" ht="16.5" thickBot="1">
      <c r="A26" s="742" t="s">
        <v>523</v>
      </c>
      <c r="B26" s="742"/>
      <c r="C26" s="317">
        <f t="shared" ref="C26:E26" si="10">C20+C10+C23+C15</f>
        <v>15918987.779999971</v>
      </c>
      <c r="D26" s="317">
        <f t="shared" si="10"/>
        <v>-887000.04999999702</v>
      </c>
      <c r="E26" s="317">
        <f t="shared" si="10"/>
        <v>15031987.730000019</v>
      </c>
      <c r="F26" s="317">
        <f t="shared" ref="F26" si="11">F20+F10+F23+F15</f>
        <v>-11638936</v>
      </c>
    </row>
  </sheetData>
  <sheetProtection selectLockedCells="1" selectUnlockedCells="1"/>
  <customSheetViews>
    <customSheetView guid="{91923F83-3A6B-4204-9891-178562AB34F1}"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1"/>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F3607253-7816-4CF7-9CFD-2ADFFAD916F8}" hiddenRows="1" hiddenColumns="1" showRuler="0">
      <selection sqref="A1:IV65536"/>
      <pageMargins left="0.75" right="0.75" top="1" bottom="1" header="0.5" footer="0.5"/>
      <pageSetup paperSize="9" scale="88" orientation="portrait" r:id="rId2"/>
      <headerFooter alignWithMargins="0"/>
    </customSheetView>
    <customSheetView guid="{B3311466-F005-49F1-A579-3E6CECE305A8}" hiddenRows="1" hiddenColumns="1" showRuler="0">
      <selection sqref="A1:IV65536"/>
      <pageMargins left="0.75" right="0.75" top="1" bottom="1" header="0.5" footer="0.5"/>
      <pageSetup paperSize="9" scale="88" orientation="portrait" r:id="rId3"/>
      <headerFooter alignWithMargins="0"/>
    </customSheetView>
    <customSheetView guid="{E5662E33-D4B0-43EA-9B06-C8DA9DFDBEF6}" printArea="1" hiddenRows="1" hiddenColumns="1" showRuler="0">
      <selection activeCell="B9" sqref="B9"/>
      <pageMargins left="0.75" right="0.75" top="1" bottom="1" header="0.5" footer="0.5"/>
      <pageSetup paperSize="9" scale="88" orientation="portrait" r:id="rId4"/>
      <headerFooter alignWithMargins="0"/>
    </customSheetView>
  </customSheetViews>
  <mergeCells count="6">
    <mergeCell ref="A26:B26"/>
    <mergeCell ref="A1:F1"/>
    <mergeCell ref="A2:F2"/>
    <mergeCell ref="A3:F3"/>
    <mergeCell ref="A4:F4"/>
    <mergeCell ref="A7:F7"/>
  </mergeCells>
  <phoneticPr fontId="0" type="noConversion"/>
  <pageMargins left="0.70866141732283472" right="0.70866141732283472" top="0.74803149606299213" bottom="0.74803149606299213" header="0.31496062992125984" footer="0.31496062992125984"/>
  <pageSetup paperSize="9" fitToHeight="0" orientation="portrait" r:id="rId5"/>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codeName="Лист30"/>
  <dimension ref="A1:F14"/>
  <sheetViews>
    <sheetView showGridLines="0" workbookViewId="0">
      <selection activeCell="A7" sqref="A7:F7"/>
    </sheetView>
  </sheetViews>
  <sheetFormatPr defaultColWidth="9.140625" defaultRowHeight="12.75"/>
  <cols>
    <col min="1" max="1" width="5.85546875" style="147" customWidth="1"/>
    <col min="2" max="2" width="54.42578125" style="147" customWidth="1"/>
    <col min="3" max="4" width="0" style="147" hidden="1" customWidth="1"/>
    <col min="5" max="5" width="13.5703125" style="147" customWidth="1"/>
    <col min="6" max="6" width="12.85546875" style="147" customWidth="1"/>
    <col min="7" max="16384" width="9.140625" style="147"/>
  </cols>
  <sheetData>
    <row r="1" spans="1:6" ht="15.75">
      <c r="A1" s="737" t="s">
        <v>2047</v>
      </c>
      <c r="B1" s="873"/>
      <c r="C1" s="873"/>
      <c r="D1" s="873"/>
      <c r="E1" s="873"/>
      <c r="F1" s="873"/>
    </row>
    <row r="2" spans="1:6" ht="15.75">
      <c r="A2"/>
      <c r="B2" s="737" t="s">
        <v>1058</v>
      </c>
      <c r="C2" s="737"/>
      <c r="D2" s="737"/>
      <c r="E2" s="737"/>
      <c r="F2" s="874"/>
    </row>
    <row r="3" spans="1:6" ht="15.75">
      <c r="A3"/>
      <c r="B3" s="737" t="s">
        <v>716</v>
      </c>
      <c r="C3" s="737"/>
      <c r="D3" s="737"/>
      <c r="E3" s="737"/>
      <c r="F3" s="874"/>
    </row>
    <row r="4" spans="1:6" ht="15.75">
      <c r="A4"/>
      <c r="B4" s="737" t="s">
        <v>1264</v>
      </c>
      <c r="C4" s="737"/>
      <c r="D4" s="737"/>
      <c r="E4" s="737"/>
      <c r="F4" s="874"/>
    </row>
    <row r="5" spans="1:6">
      <c r="A5"/>
      <c r="B5" s="105"/>
      <c r="C5" s="105"/>
      <c r="D5" s="105"/>
      <c r="E5"/>
      <c r="F5" s="148"/>
    </row>
    <row r="6" spans="1:6">
      <c r="A6"/>
      <c r="B6"/>
      <c r="C6"/>
      <c r="D6"/>
      <c r="E6"/>
      <c r="F6" s="148"/>
    </row>
    <row r="7" spans="1:6" ht="57" customHeight="1">
      <c r="A7" s="897" t="s">
        <v>2097</v>
      </c>
      <c r="B7" s="897"/>
      <c r="C7" s="897"/>
      <c r="D7" s="897"/>
      <c r="E7" s="897"/>
      <c r="F7" s="874"/>
    </row>
    <row r="8" spans="1:6" ht="18.75">
      <c r="A8" s="5"/>
      <c r="B8" s="5"/>
      <c r="C8" s="5"/>
      <c r="D8" s="5"/>
      <c r="E8" s="5"/>
      <c r="F8" s="148"/>
    </row>
    <row r="9" spans="1:6" ht="48.75" customHeight="1">
      <c r="A9" s="896" t="s">
        <v>2095</v>
      </c>
      <c r="B9" s="896"/>
      <c r="C9" s="896"/>
      <c r="D9" s="896"/>
      <c r="E9" s="896"/>
      <c r="F9" s="898"/>
    </row>
    <row r="10" spans="1:6" ht="47.25">
      <c r="A10" s="895" t="s">
        <v>7</v>
      </c>
      <c r="B10" s="895"/>
      <c r="C10" s="99" t="s">
        <v>2044</v>
      </c>
      <c r="D10" s="94" t="s">
        <v>632</v>
      </c>
      <c r="E10" s="173" t="s">
        <v>2094</v>
      </c>
      <c r="F10" s="173" t="s">
        <v>2096</v>
      </c>
    </row>
    <row r="11" spans="1:6" ht="15.75">
      <c r="A11" s="891" t="s">
        <v>1383</v>
      </c>
      <c r="B11" s="892"/>
      <c r="C11" s="133">
        <v>989000</v>
      </c>
      <c r="D11" s="133">
        <v>0</v>
      </c>
      <c r="E11" s="133"/>
      <c r="F11" s="133"/>
    </row>
    <row r="12" spans="1:6" ht="15.75">
      <c r="A12" s="891" t="s">
        <v>650</v>
      </c>
      <c r="B12" s="892"/>
      <c r="C12" s="133">
        <v>892000</v>
      </c>
      <c r="D12" s="133">
        <v>0</v>
      </c>
      <c r="E12" s="133"/>
      <c r="F12" s="133"/>
    </row>
    <row r="13" spans="1:6" ht="15.75">
      <c r="A13" s="891" t="s">
        <v>651</v>
      </c>
      <c r="B13" s="892"/>
      <c r="C13" s="133">
        <v>684000</v>
      </c>
      <c r="D13" s="133">
        <v>0</v>
      </c>
      <c r="E13" s="133"/>
      <c r="F13" s="133"/>
    </row>
    <row r="14" spans="1:6" ht="15.75">
      <c r="A14" s="893" t="s">
        <v>1137</v>
      </c>
      <c r="B14" s="893"/>
      <c r="C14" s="175"/>
      <c r="D14" s="133"/>
      <c r="E14" s="133"/>
      <c r="F14" s="133"/>
    </row>
  </sheetData>
  <mergeCells count="11">
    <mergeCell ref="A9:F9"/>
    <mergeCell ref="A1:F1"/>
    <mergeCell ref="B2:F2"/>
    <mergeCell ref="B3:F3"/>
    <mergeCell ref="B4:F4"/>
    <mergeCell ref="A7:F7"/>
    <mergeCell ref="A11:B11"/>
    <mergeCell ref="A12:B12"/>
    <mergeCell ref="A13:B13"/>
    <mergeCell ref="A14:B14"/>
    <mergeCell ref="A10:B10"/>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Лист31"/>
  <dimension ref="A1:E10"/>
  <sheetViews>
    <sheetView showGridLines="0" workbookViewId="0">
      <selection activeCell="H34" sqref="H34"/>
    </sheetView>
  </sheetViews>
  <sheetFormatPr defaultColWidth="9.140625" defaultRowHeight="12.75"/>
  <cols>
    <col min="1" max="1" width="5.85546875" style="147" customWidth="1"/>
    <col min="2" max="2" width="54.42578125" style="147" customWidth="1"/>
    <col min="3" max="4" width="0" style="147" hidden="1" customWidth="1"/>
    <col min="5" max="5" width="13.5703125" style="147" customWidth="1"/>
    <col min="6" max="16384" width="9.140625" style="147"/>
  </cols>
  <sheetData>
    <row r="1" spans="1:5" ht="15.75">
      <c r="A1" s="737" t="s">
        <v>2048</v>
      </c>
      <c r="B1" s="873"/>
      <c r="C1" s="873"/>
      <c r="D1" s="873"/>
      <c r="E1" s="873"/>
    </row>
    <row r="2" spans="1:5" ht="15.75">
      <c r="A2"/>
      <c r="B2" s="737" t="s">
        <v>1058</v>
      </c>
      <c r="C2" s="737"/>
      <c r="D2" s="737"/>
      <c r="E2" s="737"/>
    </row>
    <row r="3" spans="1:5" ht="15.75">
      <c r="A3"/>
      <c r="B3" s="737" t="s">
        <v>716</v>
      </c>
      <c r="C3" s="737"/>
      <c r="D3" s="737"/>
      <c r="E3" s="737"/>
    </row>
    <row r="4" spans="1:5" ht="15.75">
      <c r="A4"/>
      <c r="B4" s="737" t="s">
        <v>1264</v>
      </c>
      <c r="C4" s="737"/>
      <c r="D4" s="737"/>
      <c r="E4" s="737"/>
    </row>
    <row r="5" spans="1:5">
      <c r="A5"/>
      <c r="B5" s="105"/>
      <c r="C5" s="105"/>
      <c r="D5" s="105"/>
      <c r="E5"/>
    </row>
    <row r="6" spans="1:5">
      <c r="A6"/>
      <c r="B6"/>
      <c r="C6"/>
      <c r="D6"/>
      <c r="E6"/>
    </row>
    <row r="7" spans="1:5" ht="66" customHeight="1">
      <c r="A7" s="897" t="s">
        <v>2098</v>
      </c>
      <c r="B7" s="897"/>
      <c r="C7" s="897"/>
      <c r="D7" s="897"/>
      <c r="E7" s="897"/>
    </row>
    <row r="8" spans="1:5" ht="18.75" hidden="1">
      <c r="A8" s="174"/>
      <c r="B8" s="174"/>
      <c r="C8" s="174"/>
      <c r="D8" s="174"/>
      <c r="E8" s="174"/>
    </row>
    <row r="9" spans="1:5" ht="67.5" customHeight="1">
      <c r="A9" s="896" t="s">
        <v>2099</v>
      </c>
      <c r="B9" s="896"/>
      <c r="C9" s="896"/>
      <c r="D9" s="896"/>
      <c r="E9" s="896"/>
    </row>
    <row r="10" spans="1:5" ht="55.5" customHeight="1">
      <c r="A10" s="132"/>
      <c r="B10" s="135"/>
      <c r="C10" s="149"/>
      <c r="D10" s="149"/>
      <c r="E10" s="149"/>
    </row>
  </sheetData>
  <mergeCells count="6">
    <mergeCell ref="A9:E9"/>
    <mergeCell ref="A1:E1"/>
    <mergeCell ref="B2:E2"/>
    <mergeCell ref="B3:E3"/>
    <mergeCell ref="B4:E4"/>
    <mergeCell ref="A7:E7"/>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Лист32"/>
  <dimension ref="A1"/>
  <sheetViews>
    <sheetView workbookViewId="0">
      <selection activeCell="G29" sqref="G29"/>
    </sheetView>
  </sheetViews>
  <sheetFormatPr defaultRowHeight="12.75"/>
  <sheetData/>
  <pageMargins left="0.7" right="0.7" top="0.75" bottom="0.75" header="0.3" footer="0.3"/>
</worksheet>
</file>

<file path=xl/worksheets/sheet33.xml><?xml version="1.0" encoding="utf-8"?>
<worksheet xmlns="http://schemas.openxmlformats.org/spreadsheetml/2006/main" xmlns:r="http://schemas.openxmlformats.org/officeDocument/2006/relationships">
  <sheetPr codeName="Лист33"/>
  <dimension ref="A1"/>
  <sheetViews>
    <sheetView workbookViewId="0"/>
  </sheetViews>
  <sheetFormatPr defaultRowHeight="12.75"/>
  <sheetData/>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Лист39"/>
  <dimension ref="A1:D17"/>
  <sheetViews>
    <sheetView showGridLines="0" workbookViewId="0">
      <selection activeCell="G16" sqref="G16"/>
    </sheetView>
  </sheetViews>
  <sheetFormatPr defaultColWidth="9.140625" defaultRowHeight="12.75"/>
  <cols>
    <col min="1" max="1" width="64" style="147" customWidth="1"/>
    <col min="2" max="3" width="9.140625" style="147" customWidth="1"/>
    <col min="4" max="4" width="18" style="147" customWidth="1"/>
    <col min="5" max="7" width="9.140625" style="147"/>
    <col min="8" max="8" width="43.42578125" style="147" customWidth="1"/>
    <col min="9" max="16384" width="9.140625" style="147"/>
  </cols>
  <sheetData>
    <row r="1" spans="1:4" ht="15.75">
      <c r="A1" s="737" t="s">
        <v>2468</v>
      </c>
      <c r="B1" s="737"/>
      <c r="C1" s="737"/>
      <c r="D1" s="737"/>
    </row>
    <row r="2" spans="1:4" ht="15.75">
      <c r="A2" s="737" t="s">
        <v>1058</v>
      </c>
      <c r="B2" s="737"/>
      <c r="C2" s="737"/>
      <c r="D2" s="737"/>
    </row>
    <row r="3" spans="1:4" ht="15.75">
      <c r="A3" s="737" t="s">
        <v>716</v>
      </c>
      <c r="B3" s="737"/>
      <c r="C3" s="737"/>
      <c r="D3" s="737"/>
    </row>
    <row r="4" spans="1:4" ht="15.75">
      <c r="A4" s="737" t="s">
        <v>2456</v>
      </c>
      <c r="B4" s="737"/>
      <c r="C4" s="737"/>
      <c r="D4" s="737"/>
    </row>
    <row r="5" spans="1:4">
      <c r="A5" s="349"/>
      <c r="B5" s="349"/>
      <c r="C5" s="349"/>
      <c r="D5"/>
    </row>
    <row r="6" spans="1:4">
      <c r="A6"/>
      <c r="B6"/>
      <c r="C6"/>
      <c r="D6"/>
    </row>
    <row r="7" spans="1:4" ht="15.75">
      <c r="A7" s="738" t="s">
        <v>2380</v>
      </c>
      <c r="B7" s="738"/>
      <c r="C7" s="738"/>
      <c r="D7" s="738"/>
    </row>
    <row r="8" spans="1:4" ht="18.75">
      <c r="A8" s="348"/>
      <c r="B8" s="348"/>
      <c r="C8" s="348"/>
      <c r="D8"/>
    </row>
    <row r="9" spans="1:4" ht="15.75">
      <c r="A9" s="738" t="s">
        <v>735</v>
      </c>
      <c r="B9" s="738"/>
      <c r="C9" s="738"/>
      <c r="D9" s="738"/>
    </row>
    <row r="10" spans="1:4" ht="18.75">
      <c r="A10" s="22"/>
      <c r="B10" s="22"/>
      <c r="C10" s="22"/>
      <c r="D10"/>
    </row>
    <row r="11" spans="1:4" ht="19.5" thickBot="1">
      <c r="A11" s="22"/>
      <c r="B11" s="22"/>
      <c r="C11" s="22"/>
      <c r="D11"/>
    </row>
    <row r="12" spans="1:4" ht="47.25">
      <c r="A12" s="138" t="s">
        <v>1633</v>
      </c>
      <c r="B12" s="139" t="s">
        <v>2469</v>
      </c>
      <c r="C12" s="139" t="s">
        <v>632</v>
      </c>
      <c r="D12" s="347" t="s">
        <v>2391</v>
      </c>
    </row>
    <row r="13" spans="1:4" ht="15.75">
      <c r="A13" s="140" t="s">
        <v>1383</v>
      </c>
      <c r="B13" s="225">
        <v>58000</v>
      </c>
      <c r="C13" s="227"/>
      <c r="D13" s="225">
        <f>SUM(B13:C13)</f>
        <v>58000</v>
      </c>
    </row>
    <row r="14" spans="1:4" ht="15.75">
      <c r="A14" s="140" t="s">
        <v>650</v>
      </c>
      <c r="B14" s="225">
        <v>58000</v>
      </c>
      <c r="C14" s="227"/>
      <c r="D14" s="225">
        <f t="shared" ref="D14:D16" si="0">SUM(B14:C14)</f>
        <v>58000</v>
      </c>
    </row>
    <row r="15" spans="1:4" ht="15.75">
      <c r="A15" s="140" t="s">
        <v>8</v>
      </c>
      <c r="B15" s="225">
        <v>384000</v>
      </c>
      <c r="C15" s="227"/>
      <c r="D15" s="225">
        <f t="shared" si="0"/>
        <v>384000</v>
      </c>
    </row>
    <row r="16" spans="1:4" ht="15.75">
      <c r="A16" s="140" t="s">
        <v>651</v>
      </c>
      <c r="B16" s="225">
        <v>384000</v>
      </c>
      <c r="C16" s="227"/>
      <c r="D16" s="225">
        <f t="shared" si="0"/>
        <v>384000</v>
      </c>
    </row>
    <row r="17" spans="1:4" ht="16.5" thickBot="1">
      <c r="A17" s="141" t="s">
        <v>1137</v>
      </c>
      <c r="B17" s="352">
        <v>884000</v>
      </c>
      <c r="C17" s="226">
        <f>SUM(C13:C16)</f>
        <v>0</v>
      </c>
      <c r="D17" s="352">
        <f>SUM(D13:D16)</f>
        <v>884000</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sheetPr codeName="Лист40"/>
  <dimension ref="A1:G17"/>
  <sheetViews>
    <sheetView workbookViewId="0">
      <selection activeCell="J13" sqref="J13"/>
    </sheetView>
  </sheetViews>
  <sheetFormatPr defaultColWidth="9.140625" defaultRowHeight="15.75"/>
  <cols>
    <col min="1" max="1" width="59" style="281" customWidth="1"/>
    <col min="2" max="2" width="9.140625" style="281" customWidth="1"/>
    <col min="3" max="3" width="10.140625" style="281" customWidth="1"/>
    <col min="4" max="6" width="14.85546875" style="281" customWidth="1"/>
    <col min="7" max="7" width="14.42578125" style="281" customWidth="1"/>
    <col min="8" max="9" width="9.140625" style="281"/>
    <col min="10" max="10" width="43.42578125" style="281" customWidth="1"/>
    <col min="11" max="16384" width="9.140625" style="281"/>
  </cols>
  <sheetData>
    <row r="1" spans="1:7">
      <c r="A1" s="839" t="s">
        <v>2460</v>
      </c>
      <c r="B1" s="839"/>
      <c r="C1" s="839"/>
      <c r="D1" s="839"/>
      <c r="E1" s="839"/>
      <c r="F1" s="839"/>
      <c r="G1" s="757"/>
    </row>
    <row r="2" spans="1:7">
      <c r="A2" s="839" t="s">
        <v>1058</v>
      </c>
      <c r="B2" s="839"/>
      <c r="C2" s="839"/>
      <c r="D2" s="839"/>
      <c r="E2" s="839"/>
      <c r="F2" s="839"/>
      <c r="G2" s="757"/>
    </row>
    <row r="3" spans="1:7">
      <c r="A3" s="839" t="s">
        <v>716</v>
      </c>
      <c r="B3" s="839"/>
      <c r="C3" s="839"/>
      <c r="D3" s="839"/>
      <c r="E3" s="839"/>
      <c r="F3" s="839"/>
      <c r="G3" s="757"/>
    </row>
    <row r="4" spans="1:7">
      <c r="A4" s="839" t="s">
        <v>2456</v>
      </c>
      <c r="B4" s="839"/>
      <c r="C4" s="839"/>
      <c r="D4" s="839"/>
      <c r="E4" s="839"/>
      <c r="F4" s="839"/>
      <c r="G4" s="757"/>
    </row>
    <row r="5" spans="1:7">
      <c r="A5" s="350"/>
      <c r="B5" s="350"/>
      <c r="C5" s="350"/>
      <c r="D5" s="248"/>
      <c r="E5" s="248"/>
      <c r="F5" s="248"/>
      <c r="G5" s="262"/>
    </row>
    <row r="6" spans="1:7">
      <c r="A6" s="248"/>
      <c r="B6" s="248"/>
      <c r="C6" s="248"/>
      <c r="D6" s="248"/>
      <c r="E6" s="248"/>
      <c r="F6" s="248"/>
      <c r="G6" s="262"/>
    </row>
    <row r="7" spans="1:7" ht="42" customHeight="1">
      <c r="A7" s="836" t="s">
        <v>2379</v>
      </c>
      <c r="B7" s="836"/>
      <c r="C7" s="836"/>
      <c r="D7" s="836"/>
      <c r="E7" s="836"/>
      <c r="F7" s="836"/>
      <c r="G7" s="761"/>
    </row>
    <row r="8" spans="1:7">
      <c r="A8" s="351"/>
      <c r="B8" s="351"/>
      <c r="C8" s="351"/>
      <c r="D8" s="248"/>
      <c r="E8" s="248"/>
      <c r="F8" s="248"/>
      <c r="G8" s="262"/>
    </row>
    <row r="9" spans="1:7" ht="32.25" customHeight="1">
      <c r="A9" s="836" t="s">
        <v>735</v>
      </c>
      <c r="B9" s="836"/>
      <c r="C9" s="836"/>
      <c r="D9" s="836"/>
      <c r="E9" s="836"/>
      <c r="F9" s="836"/>
      <c r="G9" s="869"/>
    </row>
    <row r="10" spans="1:7" ht="16.5" thickBot="1">
      <c r="A10" s="282"/>
      <c r="B10" s="282"/>
      <c r="C10" s="282"/>
      <c r="D10" s="248"/>
      <c r="E10" s="248"/>
      <c r="F10" s="248"/>
      <c r="G10" s="262"/>
    </row>
    <row r="11" spans="1:7" ht="16.5" hidden="1" thickBot="1">
      <c r="A11" s="282"/>
      <c r="B11" s="282"/>
      <c r="C11" s="282"/>
      <c r="D11" s="248"/>
      <c r="E11" s="248"/>
      <c r="F11" s="248"/>
      <c r="G11" s="262"/>
    </row>
    <row r="12" spans="1:7" ht="47.25">
      <c r="A12" s="277" t="s">
        <v>1633</v>
      </c>
      <c r="B12" s="278" t="s">
        <v>2469</v>
      </c>
      <c r="C12" s="278" t="s">
        <v>632</v>
      </c>
      <c r="D12" s="347" t="s">
        <v>2392</v>
      </c>
      <c r="E12" s="278" t="s">
        <v>2469</v>
      </c>
      <c r="F12" s="278" t="s">
        <v>632</v>
      </c>
      <c r="G12" s="347" t="s">
        <v>2393</v>
      </c>
    </row>
    <row r="13" spans="1:7">
      <c r="A13" s="279" t="s">
        <v>1383</v>
      </c>
      <c r="B13" s="283">
        <v>59000</v>
      </c>
      <c r="C13" s="106"/>
      <c r="D13" s="283">
        <f>SUM(B13:C13)</f>
        <v>59000</v>
      </c>
      <c r="E13" s="283">
        <v>59000</v>
      </c>
      <c r="F13" s="106"/>
      <c r="G13" s="283">
        <f>SUM(E13:F13)</f>
        <v>59000</v>
      </c>
    </row>
    <row r="14" spans="1:7">
      <c r="A14" s="279" t="s">
        <v>650</v>
      </c>
      <c r="B14" s="283">
        <v>59000</v>
      </c>
      <c r="C14" s="106"/>
      <c r="D14" s="283">
        <f t="shared" ref="D14:D17" si="0">SUM(B14:C14)</f>
        <v>59000</v>
      </c>
      <c r="E14" s="283">
        <v>59000</v>
      </c>
      <c r="F14" s="106"/>
      <c r="G14" s="283">
        <f t="shared" ref="G14:G17" si="1">SUM(E14:F14)</f>
        <v>59000</v>
      </c>
    </row>
    <row r="15" spans="1:7">
      <c r="A15" s="279" t="s">
        <v>8</v>
      </c>
      <c r="B15" s="283">
        <v>384000</v>
      </c>
      <c r="C15" s="106"/>
      <c r="D15" s="283">
        <f t="shared" si="0"/>
        <v>384000</v>
      </c>
      <c r="E15" s="283">
        <v>384000</v>
      </c>
      <c r="F15" s="106"/>
      <c r="G15" s="283">
        <f t="shared" si="1"/>
        <v>384000</v>
      </c>
    </row>
    <row r="16" spans="1:7">
      <c r="A16" s="279" t="s">
        <v>651</v>
      </c>
      <c r="B16" s="283">
        <v>384000</v>
      </c>
      <c r="C16" s="106"/>
      <c r="D16" s="283">
        <f t="shared" si="0"/>
        <v>384000</v>
      </c>
      <c r="E16" s="283">
        <v>384000</v>
      </c>
      <c r="F16" s="106"/>
      <c r="G16" s="283">
        <f t="shared" si="1"/>
        <v>384000</v>
      </c>
    </row>
    <row r="17" spans="1:7" ht="16.5" thickBot="1">
      <c r="A17" s="280" t="s">
        <v>1137</v>
      </c>
      <c r="B17" s="285">
        <v>886000</v>
      </c>
      <c r="C17" s="284">
        <f>SUM(C13:C16)</f>
        <v>0</v>
      </c>
      <c r="D17" s="283">
        <f t="shared" si="0"/>
        <v>886000</v>
      </c>
      <c r="E17" s="285">
        <v>886000</v>
      </c>
      <c r="F17" s="284">
        <f>SUM(F13:F16)</f>
        <v>0</v>
      </c>
      <c r="G17" s="283">
        <f t="shared" si="1"/>
        <v>886000</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sheetPr codeName="Лист42"/>
  <dimension ref="A1"/>
  <sheetViews>
    <sheetView workbookViewId="0"/>
  </sheetViews>
  <sheetFormatPr defaultRowHeight="12.75"/>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Лист43"/>
  <dimension ref="A1"/>
  <sheetViews>
    <sheetView workbookViewId="0"/>
  </sheetViews>
  <sheetFormatPr defaultRowHeight="12.75"/>
  <sheetData/>
  <pageMargins left="0.7" right="0.7" top="0.75" bottom="0.75" header="0.3" footer="0.3"/>
</worksheet>
</file>

<file path=xl/worksheets/sheet38.xml><?xml version="1.0" encoding="utf-8"?>
<worksheet xmlns="http://schemas.openxmlformats.org/spreadsheetml/2006/main" xmlns:r="http://schemas.openxmlformats.org/officeDocument/2006/relationships">
  <sheetPr codeName="Лист44"/>
  <dimension ref="A1"/>
  <sheetViews>
    <sheetView workbookViewId="0"/>
  </sheetViews>
  <sheetFormatPr defaultRowHeight="12.75"/>
  <sheetData/>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Лист45"/>
  <dimension ref="A2:F8"/>
  <sheetViews>
    <sheetView workbookViewId="0">
      <selection activeCell="E8" sqref="E8"/>
    </sheetView>
  </sheetViews>
  <sheetFormatPr defaultRowHeight="12.75"/>
  <cols>
    <col min="3" max="3" width="18.140625" bestFit="1" customWidth="1"/>
    <col min="5" max="5" width="33" customWidth="1"/>
  </cols>
  <sheetData>
    <row r="2" spans="1:6">
      <c r="E2" s="365"/>
      <c r="F2" s="365"/>
    </row>
    <row r="3" spans="1:6">
      <c r="E3" s="365"/>
      <c r="F3" s="365"/>
    </row>
    <row r="4" spans="1:6">
      <c r="B4">
        <v>1</v>
      </c>
      <c r="E4" s="365"/>
      <c r="F4" s="365"/>
    </row>
    <row r="5" spans="1:6">
      <c r="E5" s="365"/>
      <c r="F5" s="365"/>
    </row>
    <row r="6" spans="1:6">
      <c r="E6" s="365"/>
      <c r="F6" s="365"/>
    </row>
    <row r="7" spans="1:6">
      <c r="E7" s="365"/>
      <c r="F7" s="365"/>
    </row>
    <row r="8" spans="1:6">
      <c r="A8" t="s">
        <v>2485</v>
      </c>
      <c r="B8" t="s">
        <v>2486</v>
      </c>
      <c r="C8" t="s">
        <v>2487</v>
      </c>
      <c r="D8" t="s">
        <v>2488</v>
      </c>
      <c r="E8" s="365" t="s">
        <v>97</v>
      </c>
      <c r="F8" s="365" t="s">
        <v>2489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Лист7">
    <pageSetUpPr fitToPage="1"/>
  </sheetPr>
  <dimension ref="A1:E48"/>
  <sheetViews>
    <sheetView showGridLines="0" view="pageBreakPreview" topLeftCell="A10" zoomScaleSheetLayoutView="100" workbookViewId="0">
      <selection activeCell="B28" sqref="B28:E28"/>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c r="A1" s="737" t="s">
        <v>3083</v>
      </c>
      <c r="B1" s="737"/>
      <c r="C1" s="737"/>
      <c r="D1" s="737"/>
      <c r="E1" s="737"/>
    </row>
    <row r="2" spans="1:5" ht="16.5" customHeight="1">
      <c r="A2" s="737" t="s">
        <v>1058</v>
      </c>
      <c r="B2" s="737"/>
      <c r="C2" s="737"/>
      <c r="D2" s="737"/>
      <c r="E2" s="737"/>
    </row>
    <row r="3" spans="1:5" ht="16.5" customHeight="1">
      <c r="A3" s="737" t="s">
        <v>716</v>
      </c>
      <c r="B3" s="737"/>
      <c r="C3" s="737"/>
      <c r="D3" s="737"/>
      <c r="E3" s="737"/>
    </row>
    <row r="4" spans="1:5" ht="16.5" customHeight="1">
      <c r="A4" s="737" t="s">
        <v>3095</v>
      </c>
      <c r="B4" s="737"/>
      <c r="C4" s="737"/>
      <c r="D4" s="737"/>
      <c r="E4" s="737"/>
    </row>
    <row r="5" spans="1:5" ht="16.5" customHeight="1">
      <c r="A5" s="757"/>
      <c r="B5" s="758"/>
      <c r="C5" s="758"/>
      <c r="D5" s="758"/>
      <c r="E5" s="758"/>
    </row>
    <row r="6" spans="1:5" ht="15.75">
      <c r="A6" s="785"/>
      <c r="B6" s="762"/>
      <c r="C6" s="762"/>
      <c r="D6" s="762"/>
      <c r="E6" s="762"/>
    </row>
    <row r="7" spans="1:5" ht="30" customHeight="1">
      <c r="A7" s="786" t="s">
        <v>2592</v>
      </c>
      <c r="B7" s="787"/>
      <c r="C7" s="787"/>
      <c r="D7" s="787"/>
      <c r="E7" s="787"/>
    </row>
    <row r="8" spans="1:5" ht="15.75">
      <c r="A8" s="128"/>
      <c r="B8" s="1"/>
      <c r="C8" s="1"/>
      <c r="D8" s="1"/>
      <c r="E8" s="1"/>
    </row>
    <row r="9" spans="1:5" ht="15.75" hidden="1">
      <c r="A9" s="761"/>
      <c r="B9" s="762"/>
      <c r="C9" s="762"/>
      <c r="D9" s="762"/>
      <c r="E9" s="762"/>
    </row>
    <row r="10" spans="1:5" ht="33.75" customHeight="1">
      <c r="A10" s="788" t="s">
        <v>2593</v>
      </c>
      <c r="B10" s="787"/>
      <c r="C10" s="787"/>
      <c r="D10" s="787"/>
      <c r="E10" s="787"/>
    </row>
    <row r="11" spans="1:5" ht="16.5" thickBot="1">
      <c r="A11" s="783" t="s">
        <v>23</v>
      </c>
      <c r="B11" s="784"/>
      <c r="C11" s="784"/>
      <c r="D11" s="784"/>
      <c r="E11" s="784"/>
    </row>
    <row r="12" spans="1:5" ht="33" customHeight="1" thickBot="1">
      <c r="A12" s="204" t="s">
        <v>24</v>
      </c>
      <c r="B12" s="766" t="s">
        <v>2393</v>
      </c>
      <c r="C12" s="772"/>
      <c r="D12" s="772"/>
      <c r="E12" s="773"/>
    </row>
    <row r="13" spans="1:5" ht="16.5" thickBot="1">
      <c r="A13" s="205">
        <v>1</v>
      </c>
      <c r="B13" s="766">
        <v>2</v>
      </c>
      <c r="C13" s="764"/>
      <c r="D13" s="764"/>
      <c r="E13" s="765"/>
    </row>
    <row r="14" spans="1:5" ht="32.25" thickBot="1">
      <c r="A14" s="206" t="s">
        <v>2185</v>
      </c>
      <c r="B14" s="748">
        <f>B15-B16</f>
        <v>13556598</v>
      </c>
      <c r="C14" s="749"/>
      <c r="D14" s="749"/>
      <c r="E14" s="750"/>
    </row>
    <row r="15" spans="1:5" ht="20.25" customHeight="1" thickBot="1">
      <c r="A15" s="207" t="s">
        <v>25</v>
      </c>
      <c r="B15" s="753">
        <f>Пр.3!C12+Пр.3!D12</f>
        <v>13556598</v>
      </c>
      <c r="C15" s="749"/>
      <c r="D15" s="749"/>
      <c r="E15" s="750"/>
    </row>
    <row r="16" spans="1:5" ht="18.75" customHeight="1" thickBot="1">
      <c r="A16" s="208" t="s">
        <v>26</v>
      </c>
      <c r="B16" s="752"/>
      <c r="C16" s="749"/>
      <c r="D16" s="749"/>
      <c r="E16" s="750"/>
    </row>
    <row r="17" spans="1:5" ht="16.5" thickBot="1">
      <c r="A17" s="206" t="s">
        <v>27</v>
      </c>
      <c r="B17" s="751">
        <f>B18-B19</f>
        <v>-5155566</v>
      </c>
      <c r="C17" s="749"/>
      <c r="D17" s="749"/>
      <c r="E17" s="750"/>
    </row>
    <row r="18" spans="1:5" ht="18" customHeight="1" thickBot="1">
      <c r="A18" s="209" t="s">
        <v>49</v>
      </c>
      <c r="B18" s="752">
        <v>5000000</v>
      </c>
      <c r="C18" s="749"/>
      <c r="D18" s="749"/>
      <c r="E18" s="750"/>
    </row>
    <row r="19" spans="1:5" ht="16.5" thickBot="1">
      <c r="A19" s="209" t="s">
        <v>26</v>
      </c>
      <c r="B19" s="752">
        <f>-Пр.3!E19</f>
        <v>10155566</v>
      </c>
      <c r="C19" s="749"/>
      <c r="D19" s="749"/>
      <c r="E19" s="750"/>
    </row>
    <row r="20" spans="1:5" ht="16.5" thickBot="1">
      <c r="A20" s="210" t="s">
        <v>28</v>
      </c>
      <c r="B20" s="751">
        <f>B21-B22</f>
        <v>8401032</v>
      </c>
      <c r="C20" s="749"/>
      <c r="D20" s="749"/>
      <c r="E20" s="750"/>
    </row>
    <row r="21" spans="1:5" ht="16.5" thickBot="1">
      <c r="A21" s="211" t="s">
        <v>2186</v>
      </c>
      <c r="B21" s="753">
        <f>B15+B18</f>
        <v>18556598</v>
      </c>
      <c r="C21" s="749"/>
      <c r="D21" s="749"/>
      <c r="E21" s="750"/>
    </row>
    <row r="22" spans="1:5" ht="16.5" thickBot="1">
      <c r="A22" s="211" t="s">
        <v>29</v>
      </c>
      <c r="B22" s="752">
        <f>B16+B19</f>
        <v>10155566</v>
      </c>
      <c r="C22" s="749"/>
      <c r="D22" s="749"/>
      <c r="E22" s="750"/>
    </row>
    <row r="23" spans="1:5" ht="63.75" thickBot="1">
      <c r="A23" s="212" t="s">
        <v>30</v>
      </c>
      <c r="B23" s="751">
        <f>B20</f>
        <v>8401032</v>
      </c>
      <c r="C23" s="749"/>
      <c r="D23" s="749"/>
      <c r="E23" s="750"/>
    </row>
    <row r="24" spans="1:5" ht="29.25" customHeight="1">
      <c r="A24" s="761" t="s">
        <v>2594</v>
      </c>
      <c r="B24" s="762"/>
      <c r="C24" s="762"/>
      <c r="D24" s="762"/>
      <c r="E24" s="762"/>
    </row>
    <row r="25" spans="1:5" ht="16.5" thickBot="1">
      <c r="A25" s="757" t="s">
        <v>31</v>
      </c>
      <c r="B25" s="758"/>
      <c r="C25" s="758"/>
      <c r="D25" s="758"/>
      <c r="E25" s="758"/>
    </row>
    <row r="26" spans="1:5" ht="16.5" thickBot="1">
      <c r="A26" s="202" t="s">
        <v>32</v>
      </c>
      <c r="B26" s="763" t="s">
        <v>2210</v>
      </c>
      <c r="C26" s="764"/>
      <c r="D26" s="764"/>
      <c r="E26" s="765"/>
    </row>
    <row r="27" spans="1:5" ht="16.5" thickBot="1">
      <c r="A27" s="144">
        <v>1</v>
      </c>
      <c r="B27" s="766">
        <v>2</v>
      </c>
      <c r="C27" s="767"/>
      <c r="D27" s="767"/>
      <c r="E27" s="768"/>
    </row>
    <row r="28" spans="1:5" ht="32.25" thickBot="1">
      <c r="A28" s="146" t="s">
        <v>33</v>
      </c>
      <c r="B28" s="777">
        <f>B43+B21-B22</f>
        <v>52285773</v>
      </c>
      <c r="C28" s="778"/>
      <c r="D28" s="778"/>
      <c r="E28" s="779"/>
    </row>
    <row r="29" spans="1:5" ht="51.75" customHeight="1">
      <c r="A29" s="221" t="s">
        <v>34</v>
      </c>
      <c r="B29" s="780">
        <v>0</v>
      </c>
      <c r="C29" s="781"/>
      <c r="D29" s="781"/>
      <c r="E29" s="782"/>
    </row>
    <row r="30" spans="1:5" ht="18.75" customHeight="1" thickBot="1">
      <c r="A30" s="319"/>
      <c r="B30" s="754" t="s">
        <v>2595</v>
      </c>
      <c r="C30" s="755"/>
      <c r="D30" s="755"/>
      <c r="E30" s="756"/>
    </row>
    <row r="31" spans="1:5" ht="32.25" thickBot="1">
      <c r="A31" s="320" t="s">
        <v>35</v>
      </c>
      <c r="B31" s="745">
        <v>73900000</v>
      </c>
      <c r="C31" s="746"/>
      <c r="D31" s="746"/>
      <c r="E31" s="746"/>
    </row>
    <row r="32" spans="1:5" ht="48" thickBot="1">
      <c r="A32" s="320" t="s">
        <v>2440</v>
      </c>
      <c r="B32" s="745">
        <v>1800000</v>
      </c>
      <c r="C32" s="746"/>
      <c r="D32" s="746"/>
      <c r="E32" s="746"/>
    </row>
    <row r="33" spans="1:5" ht="48" thickBot="1">
      <c r="A33" s="320" t="s">
        <v>36</v>
      </c>
      <c r="B33" s="745">
        <f>B21</f>
        <v>18556598</v>
      </c>
      <c r="C33" s="746"/>
      <c r="D33" s="746"/>
      <c r="E33" s="746"/>
    </row>
    <row r="34" spans="1:5" ht="59.25" customHeight="1" thickBot="1">
      <c r="A34" s="146" t="s">
        <v>50</v>
      </c>
      <c r="B34" s="777">
        <v>0</v>
      </c>
      <c r="C34" s="778"/>
      <c r="D34" s="778"/>
      <c r="E34" s="779"/>
    </row>
    <row r="35" spans="1:5" ht="69" customHeight="1">
      <c r="A35" s="776" t="s">
        <v>2596</v>
      </c>
      <c r="B35" s="776"/>
      <c r="C35" s="776"/>
      <c r="D35" s="776"/>
      <c r="E35" s="776"/>
    </row>
    <row r="36" spans="1:5" ht="42.75" customHeight="1" thickBot="1">
      <c r="A36" s="747" t="s">
        <v>2187</v>
      </c>
      <c r="B36" s="747"/>
      <c r="C36" s="747"/>
      <c r="D36" s="747"/>
      <c r="E36" s="747"/>
    </row>
    <row r="37" spans="1:5" ht="16.5" thickBot="1">
      <c r="A37" s="769" t="s">
        <v>38</v>
      </c>
      <c r="B37" s="766" t="s">
        <v>39</v>
      </c>
      <c r="C37" s="772"/>
      <c r="D37" s="772"/>
      <c r="E37" s="773"/>
    </row>
    <row r="38" spans="1:5" ht="12.75" customHeight="1">
      <c r="A38" s="770"/>
      <c r="B38" s="774" t="s">
        <v>3019</v>
      </c>
      <c r="C38" s="775"/>
      <c r="D38" s="774" t="s">
        <v>2210</v>
      </c>
      <c r="E38" s="775"/>
    </row>
    <row r="39" spans="1:5" ht="16.5" thickBot="1">
      <c r="A39" s="770"/>
      <c r="B39" s="743"/>
      <c r="C39" s="744"/>
      <c r="D39" s="743" t="s">
        <v>40</v>
      </c>
      <c r="E39" s="744"/>
    </row>
    <row r="40" spans="1:5" ht="16.5" thickBot="1">
      <c r="A40" s="771"/>
      <c r="B40" s="213" t="s">
        <v>41</v>
      </c>
      <c r="C40" s="214" t="s">
        <v>42</v>
      </c>
      <c r="D40" s="213" t="s">
        <v>41</v>
      </c>
      <c r="E40" s="213" t="s">
        <v>42</v>
      </c>
    </row>
    <row r="41" spans="1:5" ht="16.5" thickBot="1">
      <c r="A41" s="215">
        <v>1</v>
      </c>
      <c r="B41" s="213">
        <v>2</v>
      </c>
      <c r="C41" s="213">
        <v>3</v>
      </c>
      <c r="D41" s="213">
        <v>4</v>
      </c>
      <c r="E41" s="213">
        <v>5</v>
      </c>
    </row>
    <row r="42" spans="1:5" ht="32.25" thickBot="1">
      <c r="A42" s="216" t="s">
        <v>43</v>
      </c>
      <c r="B42" s="222"/>
      <c r="C42" s="219">
        <f>B42/B$45</f>
        <v>0</v>
      </c>
      <c r="D42" s="224">
        <f>B14</f>
        <v>13556598</v>
      </c>
      <c r="E42" s="219">
        <f>D42/D$45</f>
        <v>0.25927890556385197</v>
      </c>
    </row>
    <row r="43" spans="1:5" ht="16.5" thickBot="1">
      <c r="A43" s="217" t="s">
        <v>44</v>
      </c>
      <c r="B43" s="223">
        <v>43884741</v>
      </c>
      <c r="C43" s="219">
        <f>B43/B$45</f>
        <v>1</v>
      </c>
      <c r="D43" s="223">
        <f>B43-B19+B18</f>
        <v>38729175</v>
      </c>
      <c r="E43" s="219">
        <f>D43/D$45</f>
        <v>0.74072109443614809</v>
      </c>
    </row>
    <row r="44" spans="1:5" ht="32.25" thickBot="1">
      <c r="A44" s="217" t="s">
        <v>45</v>
      </c>
      <c r="B44" s="223">
        <v>0</v>
      </c>
      <c r="C44" s="219">
        <f>B44/B$45</f>
        <v>0</v>
      </c>
      <c r="D44" s="223">
        <v>0</v>
      </c>
      <c r="E44" s="219">
        <f>D44/D$45</f>
        <v>0</v>
      </c>
    </row>
    <row r="45" spans="1:5" ht="32.25" thickBot="1">
      <c r="A45" s="216" t="s">
        <v>46</v>
      </c>
      <c r="B45" s="224">
        <f>B42+B43+B44</f>
        <v>43884741</v>
      </c>
      <c r="C45" s="219">
        <f>B45/B$45</f>
        <v>1</v>
      </c>
      <c r="D45" s="224">
        <f>D42+D43+D44</f>
        <v>52285773</v>
      </c>
      <c r="E45" s="219">
        <f>D45/D$45</f>
        <v>1</v>
      </c>
    </row>
    <row r="46" spans="1:5" ht="30" customHeight="1">
      <c r="A46" s="759"/>
      <c r="B46" s="760"/>
      <c r="C46" s="760"/>
      <c r="D46" s="760"/>
      <c r="E46" s="760"/>
    </row>
    <row r="47" spans="1:5">
      <c r="A47" s="142"/>
    </row>
    <row r="48" spans="1:5" ht="15.75">
      <c r="A48" s="128"/>
    </row>
  </sheetData>
  <mergeCells count="41">
    <mergeCell ref="A1:E1"/>
    <mergeCell ref="B20:E20"/>
    <mergeCell ref="B21:E21"/>
    <mergeCell ref="A2:E2"/>
    <mergeCell ref="B13:E13"/>
    <mergeCell ref="A11:E11"/>
    <mergeCell ref="B16:E16"/>
    <mergeCell ref="B17:E17"/>
    <mergeCell ref="B18:E18"/>
    <mergeCell ref="B12:E12"/>
    <mergeCell ref="A6:E6"/>
    <mergeCell ref="A4:E4"/>
    <mergeCell ref="A3:E3"/>
    <mergeCell ref="A7:E7"/>
    <mergeCell ref="A10:E10"/>
    <mergeCell ref="A9:E9"/>
    <mergeCell ref="A5:E5"/>
    <mergeCell ref="A46:E46"/>
    <mergeCell ref="A24:E24"/>
    <mergeCell ref="A25:E25"/>
    <mergeCell ref="B26:E26"/>
    <mergeCell ref="B27:E27"/>
    <mergeCell ref="A37:A40"/>
    <mergeCell ref="B37:E37"/>
    <mergeCell ref="D38:E38"/>
    <mergeCell ref="A35:E35"/>
    <mergeCell ref="B38:C39"/>
    <mergeCell ref="B31:E31"/>
    <mergeCell ref="B32:E32"/>
    <mergeCell ref="B34:E34"/>
    <mergeCell ref="B28:E28"/>
    <mergeCell ref="B29:E29"/>
    <mergeCell ref="D39:E39"/>
    <mergeCell ref="B33:E33"/>
    <mergeCell ref="A36:E36"/>
    <mergeCell ref="B14:E14"/>
    <mergeCell ref="B23:E23"/>
    <mergeCell ref="B19:E19"/>
    <mergeCell ref="B15:E15"/>
    <mergeCell ref="B22:E22"/>
    <mergeCell ref="B30:E30"/>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dimension ref="A1:D16"/>
  <sheetViews>
    <sheetView showGridLines="0" view="pageBreakPreview" zoomScale="115" zoomScaleSheetLayoutView="115" workbookViewId="0">
      <selection activeCell="B6" sqref="B6"/>
    </sheetView>
  </sheetViews>
  <sheetFormatPr defaultColWidth="9.140625" defaultRowHeight="12.75"/>
  <cols>
    <col min="1" max="1" width="50.42578125" style="376" customWidth="1"/>
    <col min="2" max="2" width="18" style="376" customWidth="1"/>
    <col min="3" max="3" width="14.85546875" style="376" customWidth="1"/>
    <col min="4" max="4" width="0.28515625" style="376" customWidth="1"/>
    <col min="5" max="16384" width="9.140625" style="376"/>
  </cols>
  <sheetData>
    <row r="1" spans="1:4" ht="15.75">
      <c r="A1" s="839" t="s">
        <v>2267</v>
      </c>
      <c r="B1" s="839"/>
      <c r="C1" s="839"/>
      <c r="D1" s="839"/>
    </row>
    <row r="2" spans="1:4" ht="15.75">
      <c r="A2" s="839" t="s">
        <v>1058</v>
      </c>
      <c r="B2" s="839"/>
      <c r="C2" s="839"/>
      <c r="D2" s="839"/>
    </row>
    <row r="3" spans="1:4" ht="15.75">
      <c r="A3" s="839" t="s">
        <v>716</v>
      </c>
      <c r="B3" s="839"/>
      <c r="C3" s="839"/>
      <c r="D3" s="839"/>
    </row>
    <row r="4" spans="1:4" ht="15.75">
      <c r="A4" s="839" t="s">
        <v>3013</v>
      </c>
      <c r="B4" s="839"/>
      <c r="C4" s="839"/>
      <c r="D4" s="839"/>
    </row>
    <row r="5" spans="1:4" ht="15.75">
      <c r="A5" s="373"/>
      <c r="B5" s="373"/>
      <c r="C5" s="373"/>
      <c r="D5" s="248"/>
    </row>
    <row r="6" spans="1:4" ht="15.75">
      <c r="A6" s="248"/>
      <c r="B6" s="248"/>
      <c r="C6" s="248"/>
      <c r="D6" s="248"/>
    </row>
    <row r="7" spans="1:4" ht="36.75" customHeight="1">
      <c r="A7" s="836" t="s">
        <v>2597</v>
      </c>
      <c r="B7" s="836"/>
      <c r="C7" s="836"/>
      <c r="D7" s="836"/>
    </row>
    <row r="8" spans="1:4" ht="15.75">
      <c r="A8" s="374"/>
      <c r="B8" s="374"/>
      <c r="C8" s="374"/>
      <c r="D8" s="374"/>
    </row>
    <row r="9" spans="1:4" ht="41.25" customHeight="1">
      <c r="A9" s="837" t="s">
        <v>1632</v>
      </c>
      <c r="B9" s="837"/>
      <c r="C9" s="837"/>
      <c r="D9" s="838"/>
    </row>
    <row r="10" spans="1:4" ht="94.5">
      <c r="A10" s="369" t="s">
        <v>1633</v>
      </c>
      <c r="B10" s="369" t="s">
        <v>2092</v>
      </c>
      <c r="C10" s="369" t="s">
        <v>2093</v>
      </c>
      <c r="D10" s="375"/>
    </row>
    <row r="11" spans="1:4" ht="15.75">
      <c r="A11" s="378" t="s">
        <v>9</v>
      </c>
      <c r="B11" s="381">
        <v>8987000</v>
      </c>
      <c r="C11" s="380">
        <v>0</v>
      </c>
      <c r="D11" s="379"/>
    </row>
    <row r="12" spans="1:4" ht="15.75">
      <c r="A12" s="250" t="s">
        <v>1383</v>
      </c>
      <c r="B12" s="251">
        <f>3129000+C12</f>
        <v>3189000</v>
      </c>
      <c r="C12" s="247">
        <v>60000</v>
      </c>
      <c r="D12" s="252"/>
    </row>
    <row r="13" spans="1:4" ht="15.75">
      <c r="A13" s="250" t="s">
        <v>8</v>
      </c>
      <c r="B13" s="251">
        <f>3027000+C13</f>
        <v>3212000</v>
      </c>
      <c r="C13" s="247">
        <v>185000</v>
      </c>
      <c r="D13" s="252"/>
    </row>
    <row r="14" spans="1:4" ht="15.75">
      <c r="A14" s="250" t="s">
        <v>651</v>
      </c>
      <c r="B14" s="251">
        <f>5205000+C14</f>
        <v>5360000</v>
      </c>
      <c r="C14" s="247">
        <v>155000</v>
      </c>
      <c r="D14" s="252"/>
    </row>
    <row r="15" spans="1:4" ht="15.75">
      <c r="A15" s="253" t="s">
        <v>1137</v>
      </c>
      <c r="B15" s="254">
        <f>SUM(B11:B14)</f>
        <v>20748000</v>
      </c>
      <c r="C15" s="254">
        <f>SUM(C11:C14)</f>
        <v>400000</v>
      </c>
      <c r="D15" s="255"/>
    </row>
    <row r="16" spans="1:4" ht="15.75">
      <c r="A16" s="248"/>
      <c r="B16" s="248"/>
      <c r="C16" s="248"/>
      <c r="D16" s="248"/>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dimension ref="A1:E15"/>
  <sheetViews>
    <sheetView showGridLines="0" view="pageBreakPreview" zoomScale="115" zoomScaleSheetLayoutView="115" workbookViewId="0">
      <selection activeCell="A4" sqref="A4:E4"/>
    </sheetView>
  </sheetViews>
  <sheetFormatPr defaultColWidth="9.140625" defaultRowHeight="12.75"/>
  <cols>
    <col min="1" max="1" width="34.7109375" style="376" customWidth="1"/>
    <col min="2" max="2" width="11.42578125" style="376" customWidth="1"/>
    <col min="3" max="3" width="13" style="376" customWidth="1"/>
    <col min="4" max="4" width="12.140625" style="376" customWidth="1"/>
    <col min="5" max="5" width="12.85546875" style="376" customWidth="1"/>
    <col min="6" max="16384" width="9.140625" style="376"/>
  </cols>
  <sheetData>
    <row r="1" spans="1:5" ht="15.75">
      <c r="A1" s="737" t="s">
        <v>2500</v>
      </c>
      <c r="B1" s="737"/>
      <c r="C1" s="737"/>
      <c r="D1" s="737"/>
      <c r="E1" s="840"/>
    </row>
    <row r="2" spans="1:5" ht="15.75">
      <c r="A2" s="737" t="s">
        <v>1058</v>
      </c>
      <c r="B2" s="737"/>
      <c r="C2" s="737"/>
      <c r="D2" s="737"/>
      <c r="E2" s="758"/>
    </row>
    <row r="3" spans="1:5" ht="15.75">
      <c r="A3" s="737" t="s">
        <v>716</v>
      </c>
      <c r="B3" s="737"/>
      <c r="C3" s="737"/>
      <c r="D3" s="737"/>
      <c r="E3" s="758"/>
    </row>
    <row r="4" spans="1:5" ht="15.75">
      <c r="A4" s="737" t="s">
        <v>3013</v>
      </c>
      <c r="B4" s="737"/>
      <c r="C4" s="737"/>
      <c r="D4" s="737"/>
      <c r="E4" s="758"/>
    </row>
    <row r="5" spans="1:5" ht="15">
      <c r="A5" s="371"/>
      <c r="B5" s="371"/>
      <c r="C5" s="371"/>
      <c r="D5" s="1"/>
      <c r="E5" s="259"/>
    </row>
    <row r="6" spans="1:5" ht="15">
      <c r="A6" s="1"/>
      <c r="B6" s="1"/>
      <c r="C6" s="1"/>
      <c r="D6" s="1"/>
      <c r="E6" s="259"/>
    </row>
    <row r="7" spans="1:5" ht="36.75" customHeight="1">
      <c r="A7" s="836" t="s">
        <v>2590</v>
      </c>
      <c r="B7" s="836"/>
      <c r="C7" s="836"/>
      <c r="D7" s="836"/>
      <c r="E7" s="761"/>
    </row>
    <row r="8" spans="1:5" ht="15.75">
      <c r="A8" s="374"/>
      <c r="B8" s="374"/>
      <c r="C8" s="374"/>
      <c r="D8" s="374"/>
      <c r="E8" s="260"/>
    </row>
    <row r="9" spans="1:5" ht="65.25" customHeight="1">
      <c r="A9" s="837" t="s">
        <v>1632</v>
      </c>
      <c r="B9" s="837"/>
      <c r="C9" s="837"/>
      <c r="D9" s="837"/>
      <c r="E9" s="837"/>
    </row>
    <row r="10" spans="1:5" ht="15.75">
      <c r="A10" s="841" t="s">
        <v>1633</v>
      </c>
      <c r="B10" s="843" t="s">
        <v>2496</v>
      </c>
      <c r="C10" s="844"/>
      <c r="D10" s="843" t="s">
        <v>2584</v>
      </c>
      <c r="E10" s="844"/>
    </row>
    <row r="11" spans="1:5" ht="110.25">
      <c r="A11" s="842"/>
      <c r="B11" s="369" t="s">
        <v>2092</v>
      </c>
      <c r="C11" s="369" t="s">
        <v>2093</v>
      </c>
      <c r="D11" s="369" t="s">
        <v>2092</v>
      </c>
      <c r="E11" s="369" t="s">
        <v>2093</v>
      </c>
    </row>
    <row r="12" spans="1:5" ht="15.75">
      <c r="A12" s="486" t="s">
        <v>9</v>
      </c>
      <c r="B12" s="273">
        <v>10560000</v>
      </c>
      <c r="C12" s="273">
        <v>0</v>
      </c>
      <c r="D12" s="273">
        <v>9781000</v>
      </c>
      <c r="E12" s="273">
        <v>0</v>
      </c>
    </row>
    <row r="13" spans="1:5" ht="31.5">
      <c r="A13" s="250" t="s">
        <v>1383</v>
      </c>
      <c r="B13" s="251">
        <f>236000+C13</f>
        <v>306000</v>
      </c>
      <c r="C13" s="247">
        <v>70000</v>
      </c>
      <c r="D13" s="251">
        <f>249000+E13</f>
        <v>299000</v>
      </c>
      <c r="E13" s="251">
        <v>50000</v>
      </c>
    </row>
    <row r="14" spans="1:5" ht="15.75">
      <c r="A14" s="253" t="s">
        <v>1137</v>
      </c>
      <c r="B14" s="261">
        <f>B13+B12</f>
        <v>10866000</v>
      </c>
      <c r="C14" s="261">
        <f t="shared" ref="C14:E14" si="0">C13+C12</f>
        <v>70000</v>
      </c>
      <c r="D14" s="261">
        <f t="shared" si="0"/>
        <v>10080000</v>
      </c>
      <c r="E14" s="261">
        <f t="shared" si="0"/>
        <v>50000</v>
      </c>
    </row>
    <row r="15" spans="1:5" ht="15.75">
      <c r="A15" s="262"/>
      <c r="B15" s="262"/>
      <c r="C15" s="262"/>
      <c r="D15" s="262"/>
      <c r="E15" s="262"/>
    </row>
  </sheetData>
  <mergeCells count="9">
    <mergeCell ref="A10:A11"/>
    <mergeCell ref="B10:C10"/>
    <mergeCell ref="D10:E10"/>
    <mergeCell ref="A1:E1"/>
    <mergeCell ref="A2:E2"/>
    <mergeCell ref="A3:E3"/>
    <mergeCell ref="A4:E4"/>
    <mergeCell ref="A7:E7"/>
    <mergeCell ref="A9:E9"/>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sheetPr codeName="Лист16">
    <pageSetUpPr fitToPage="1"/>
  </sheetPr>
  <dimension ref="A1:I20"/>
  <sheetViews>
    <sheetView showGridLines="0" view="pageBreakPreview" topLeftCell="A7" zoomScale="115" zoomScaleSheetLayoutView="115" workbookViewId="0">
      <selection activeCell="D16" sqref="D16"/>
    </sheetView>
  </sheetViews>
  <sheetFormatPr defaultColWidth="9.140625" defaultRowHeight="15.75"/>
  <cols>
    <col min="1" max="1" width="4.140625" style="248" customWidth="1"/>
    <col min="2" max="2" width="56.28515625" style="248" customWidth="1"/>
    <col min="3" max="3" width="15.42578125" style="248" customWidth="1"/>
    <col min="4" max="4" width="12.85546875" style="248" customWidth="1"/>
    <col min="5" max="5" width="11.28515625" style="248" bestFit="1" customWidth="1"/>
    <col min="6" max="6" width="43.42578125" style="248" customWidth="1"/>
    <col min="7" max="16384" width="9.140625" style="248"/>
  </cols>
  <sheetData>
    <row r="1" spans="1:9">
      <c r="B1" s="839" t="s">
        <v>2043</v>
      </c>
      <c r="C1" s="839"/>
      <c r="D1" s="839"/>
      <c r="E1" s="839"/>
    </row>
    <row r="2" spans="1:9">
      <c r="B2" s="839" t="s">
        <v>1058</v>
      </c>
      <c r="C2" s="839"/>
      <c r="D2" s="839"/>
      <c r="E2" s="839"/>
    </row>
    <row r="3" spans="1:9">
      <c r="B3" s="839" t="s">
        <v>716</v>
      </c>
      <c r="C3" s="839"/>
      <c r="D3" s="839"/>
      <c r="E3" s="839"/>
    </row>
    <row r="4" spans="1:9" ht="14.25" customHeight="1">
      <c r="B4" s="839" t="s">
        <v>3015</v>
      </c>
      <c r="C4" s="839"/>
      <c r="D4" s="839"/>
      <c r="E4" s="839"/>
    </row>
    <row r="5" spans="1:9" ht="9.75" customHeight="1">
      <c r="B5" s="265"/>
      <c r="C5" s="265"/>
    </row>
    <row r="6" spans="1:9" ht="0.75" customHeight="1"/>
    <row r="7" spans="1:9" ht="34.5" customHeight="1">
      <c r="A7" s="836" t="s">
        <v>2598</v>
      </c>
      <c r="B7" s="836"/>
      <c r="C7" s="836"/>
      <c r="D7" s="836"/>
      <c r="E7" s="836"/>
    </row>
    <row r="8" spans="1:9" ht="18.75" customHeight="1" thickBot="1">
      <c r="A8" s="899" t="s">
        <v>2573</v>
      </c>
      <c r="B8" s="899"/>
      <c r="C8" s="899"/>
      <c r="D8" s="899"/>
      <c r="E8" s="899"/>
    </row>
    <row r="9" spans="1:9" ht="31.5">
      <c r="A9" s="900" t="s">
        <v>1633</v>
      </c>
      <c r="B9" s="901"/>
      <c r="C9" s="509" t="s">
        <v>2436</v>
      </c>
      <c r="D9" s="509" t="s">
        <v>1129</v>
      </c>
      <c r="E9" s="509" t="s">
        <v>1092</v>
      </c>
      <c r="I9" s="276"/>
    </row>
    <row r="10" spans="1:9" ht="17.25" customHeight="1">
      <c r="A10" s="902" t="s">
        <v>9</v>
      </c>
      <c r="B10" s="903"/>
      <c r="C10" s="251">
        <v>20283000</v>
      </c>
      <c r="D10" s="251"/>
      <c r="E10" s="251">
        <f>SUM(C10:D10)</f>
        <v>20283000</v>
      </c>
      <c r="I10" s="276"/>
    </row>
    <row r="11" spans="1:9" ht="28.5" customHeight="1" thickBot="1">
      <c r="A11" s="904" t="s">
        <v>1137</v>
      </c>
      <c r="B11" s="905"/>
      <c r="C11" s="362">
        <v>20283000</v>
      </c>
      <c r="D11" s="362">
        <f t="shared" ref="D11" si="0">SUM(D10:D10)</f>
        <v>0</v>
      </c>
      <c r="E11" s="272">
        <f>SUM(C11:D11)</f>
        <v>20283000</v>
      </c>
    </row>
    <row r="12" spans="1:9" ht="61.5" customHeight="1" thickBot="1">
      <c r="A12" s="907" t="s">
        <v>2958</v>
      </c>
      <c r="B12" s="907"/>
      <c r="C12" s="907"/>
      <c r="D12" s="907"/>
      <c r="E12" s="907"/>
    </row>
    <row r="13" spans="1:9" ht="31.5">
      <c r="A13" s="900" t="s">
        <v>1633</v>
      </c>
      <c r="B13" s="901"/>
      <c r="C13" s="509" t="s">
        <v>2436</v>
      </c>
      <c r="D13" s="509" t="s">
        <v>1129</v>
      </c>
      <c r="E13" s="509" t="s">
        <v>1092</v>
      </c>
    </row>
    <row r="14" spans="1:9">
      <c r="A14" s="906" t="s">
        <v>9</v>
      </c>
      <c r="B14" s="864"/>
      <c r="C14" s="251">
        <v>20247000</v>
      </c>
      <c r="D14" s="251"/>
      <c r="E14" s="251">
        <f>SUM(C14:D14)</f>
        <v>20247000</v>
      </c>
    </row>
    <row r="15" spans="1:9">
      <c r="A15" s="863" t="s">
        <v>1383</v>
      </c>
      <c r="B15" s="864"/>
      <c r="C15" s="497">
        <v>500000</v>
      </c>
      <c r="D15" s="497"/>
      <c r="E15" s="251">
        <f t="shared" ref="E15:E19" si="1">SUM(C15:D15)</f>
        <v>500000</v>
      </c>
    </row>
    <row r="16" spans="1:9" ht="15.75" customHeight="1">
      <c r="A16" s="863" t="s">
        <v>2171</v>
      </c>
      <c r="B16" s="864"/>
      <c r="C16" s="497">
        <v>0</v>
      </c>
      <c r="D16" s="497"/>
      <c r="E16" s="251">
        <f t="shared" si="1"/>
        <v>0</v>
      </c>
    </row>
    <row r="17" spans="1:5">
      <c r="A17" s="863" t="s">
        <v>8</v>
      </c>
      <c r="B17" s="864"/>
      <c r="C17" s="497">
        <v>1500000</v>
      </c>
      <c r="D17" s="497"/>
      <c r="E17" s="251">
        <f t="shared" si="1"/>
        <v>1500000</v>
      </c>
    </row>
    <row r="18" spans="1:5" ht="22.5" customHeight="1" thickBot="1">
      <c r="A18" s="909" t="s">
        <v>1137</v>
      </c>
      <c r="B18" s="910"/>
      <c r="C18" s="362">
        <v>22247000</v>
      </c>
      <c r="D18" s="362">
        <f t="shared" ref="D18" si="2">D14+D15+D16+D17</f>
        <v>0</v>
      </c>
      <c r="E18" s="272">
        <f t="shared" si="1"/>
        <v>22247000</v>
      </c>
    </row>
    <row r="19" spans="1:5" ht="9" hidden="1" customHeight="1">
      <c r="E19" s="272">
        <f t="shared" si="1"/>
        <v>0</v>
      </c>
    </row>
    <row r="20" spans="1:5" ht="17.25" customHeight="1">
      <c r="A20" s="908" t="s">
        <v>2435</v>
      </c>
      <c r="B20" s="908"/>
      <c r="C20" s="275"/>
      <c r="D20" s="275"/>
      <c r="E20" s="272">
        <f>E11+E18</f>
        <v>42530000</v>
      </c>
    </row>
  </sheetData>
  <mergeCells count="17">
    <mergeCell ref="A20:B20"/>
    <mergeCell ref="A18:B18"/>
    <mergeCell ref="A15:B15"/>
    <mergeCell ref="A16:B16"/>
    <mergeCell ref="A17:B17"/>
    <mergeCell ref="A9:B9"/>
    <mergeCell ref="A10:B10"/>
    <mergeCell ref="A11:B11"/>
    <mergeCell ref="A13:B13"/>
    <mergeCell ref="A14:B14"/>
    <mergeCell ref="A12:E12"/>
    <mergeCell ref="A7:E7"/>
    <mergeCell ref="A8:E8"/>
    <mergeCell ref="B1:E1"/>
    <mergeCell ref="B2:E2"/>
    <mergeCell ref="B3:E3"/>
    <mergeCell ref="B4:E4"/>
  </mergeCells>
  <phoneticPr fontId="34" type="noConversion"/>
  <pageMargins left="0.70866141732283472" right="0.70866141732283472" top="0.74803149606299213" bottom="0.74803149606299213" header="0.31496062992125984" footer="0.31496062992125984"/>
  <pageSetup paperSize="9" scale="89" fitToHeight="100" orientation="portrait" r:id="rId1"/>
  <headerFooter alignWithMargins="0">
    <oddFooter>&amp;C&amp;P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B5" sqref="B1:H1048576"/>
    </sheetView>
  </sheetViews>
  <sheetFormatPr defaultColWidth="9.140625" defaultRowHeight="12.75"/>
  <cols>
    <col min="1" max="1" width="4.140625" style="376" customWidth="1"/>
    <col min="2" max="2" width="55.140625" style="376" customWidth="1"/>
    <col min="3" max="4" width="13.5703125" style="376" customWidth="1"/>
    <col min="5" max="5" width="11.28515625" style="376" bestFit="1" customWidth="1"/>
    <col min="6" max="7" width="11.28515625" style="376" customWidth="1"/>
    <col min="8" max="8" width="11.28515625" style="376" bestFit="1" customWidth="1"/>
    <col min="9" max="16384" width="9.140625" style="376"/>
  </cols>
  <sheetData>
    <row r="1" spans="1:8" ht="15.75">
      <c r="A1" s="248"/>
      <c r="B1" s="839" t="s">
        <v>2042</v>
      </c>
      <c r="C1" s="839"/>
      <c r="D1" s="839"/>
      <c r="E1" s="839"/>
      <c r="F1" s="839"/>
      <c r="G1" s="839"/>
      <c r="H1" s="839"/>
    </row>
    <row r="2" spans="1:8" ht="15.75">
      <c r="A2" s="248"/>
      <c r="B2" s="839" t="s">
        <v>1058</v>
      </c>
      <c r="C2" s="839"/>
      <c r="D2" s="839"/>
      <c r="E2" s="839"/>
      <c r="F2" s="839"/>
      <c r="G2" s="839"/>
      <c r="H2" s="839"/>
    </row>
    <row r="3" spans="1:8" ht="15.75">
      <c r="A3" s="248"/>
      <c r="B3" s="839" t="s">
        <v>716</v>
      </c>
      <c r="C3" s="839"/>
      <c r="D3" s="839"/>
      <c r="E3" s="839"/>
      <c r="F3" s="839"/>
      <c r="G3" s="839"/>
      <c r="H3" s="839"/>
    </row>
    <row r="4" spans="1:8" ht="15.75">
      <c r="A4" s="248"/>
      <c r="B4" s="839" t="s">
        <v>3013</v>
      </c>
      <c r="C4" s="839"/>
      <c r="D4" s="839"/>
      <c r="E4" s="839"/>
      <c r="F4" s="839"/>
      <c r="G4" s="839"/>
      <c r="H4" s="839"/>
    </row>
    <row r="5" spans="1:8" ht="15.75">
      <c r="A5" s="248"/>
      <c r="B5" s="373"/>
      <c r="C5" s="248"/>
      <c r="D5" s="248"/>
      <c r="E5" s="248"/>
      <c r="F5" s="248"/>
      <c r="G5" s="248"/>
      <c r="H5" s="248"/>
    </row>
    <row r="6" spans="1:8" ht="15.75">
      <c r="A6" s="248"/>
      <c r="B6" s="248"/>
      <c r="C6" s="248"/>
      <c r="D6" s="248"/>
      <c r="E6" s="248"/>
      <c r="F6" s="248"/>
      <c r="G6" s="248"/>
      <c r="H6" s="248"/>
    </row>
    <row r="7" spans="1:8" ht="35.25" customHeight="1">
      <c r="A7" s="836" t="s">
        <v>2591</v>
      </c>
      <c r="B7" s="836"/>
      <c r="C7" s="836"/>
      <c r="D7" s="836"/>
      <c r="E7" s="836"/>
      <c r="F7" s="836"/>
      <c r="G7" s="836"/>
      <c r="H7" s="836"/>
    </row>
    <row r="8" spans="1:8" ht="12.75" customHeight="1">
      <c r="A8" s="838" t="s">
        <v>2573</v>
      </c>
      <c r="B8" s="838"/>
      <c r="C8" s="838"/>
      <c r="D8" s="838"/>
      <c r="E8" s="838"/>
      <c r="F8" s="838"/>
      <c r="G8" s="838"/>
      <c r="H8" s="838"/>
    </row>
    <row r="9" spans="1:8" ht="12.75" customHeight="1">
      <c r="A9" s="837"/>
      <c r="B9" s="837"/>
      <c r="C9" s="837"/>
      <c r="D9" s="837"/>
      <c r="E9" s="837"/>
      <c r="F9" s="837"/>
      <c r="G9" s="837"/>
      <c r="H9" s="837"/>
    </row>
    <row r="10" spans="1:8" ht="63">
      <c r="A10" s="736" t="s">
        <v>1633</v>
      </c>
      <c r="B10" s="736"/>
      <c r="C10" s="507" t="s">
        <v>2977</v>
      </c>
      <c r="D10" s="507" t="s">
        <v>1129</v>
      </c>
      <c r="E10" s="507" t="s">
        <v>2496</v>
      </c>
      <c r="F10" s="507" t="s">
        <v>2978</v>
      </c>
      <c r="G10" s="507" t="s">
        <v>1129</v>
      </c>
      <c r="H10" s="507" t="s">
        <v>2584</v>
      </c>
    </row>
    <row r="11" spans="1:8" ht="15.75" customHeight="1">
      <c r="A11" s="863" t="s">
        <v>2171</v>
      </c>
      <c r="B11" s="864"/>
      <c r="C11" s="273">
        <v>500000</v>
      </c>
      <c r="D11" s="273"/>
      <c r="E11" s="273">
        <f>SUM(C11:D11)</f>
        <v>500000</v>
      </c>
      <c r="F11" s="273">
        <v>500000</v>
      </c>
      <c r="G11" s="273"/>
      <c r="H11" s="273">
        <f>SUM(F11:G11)</f>
        <v>500000</v>
      </c>
    </row>
    <row r="12" spans="1:8" ht="15.75" customHeight="1">
      <c r="A12" s="863" t="s">
        <v>8</v>
      </c>
      <c r="B12" s="864"/>
      <c r="C12" s="273">
        <v>1500000</v>
      </c>
      <c r="D12" s="273"/>
      <c r="E12" s="273">
        <f t="shared" ref="E12:E16" si="0">SUM(C12:D12)</f>
        <v>1500000</v>
      </c>
      <c r="F12" s="273">
        <v>1500000</v>
      </c>
      <c r="G12" s="273"/>
      <c r="H12" s="273">
        <f t="shared" ref="H12:H16" si="1">SUM(F12:G12)</f>
        <v>1500000</v>
      </c>
    </row>
    <row r="13" spans="1:8" ht="15.75" customHeight="1">
      <c r="A13" s="863" t="s">
        <v>2172</v>
      </c>
      <c r="B13" s="864"/>
      <c r="C13" s="251">
        <v>1000000</v>
      </c>
      <c r="D13" s="251"/>
      <c r="E13" s="273">
        <f t="shared" si="0"/>
        <v>1000000</v>
      </c>
      <c r="F13" s="251">
        <v>1000000</v>
      </c>
      <c r="G13" s="251"/>
      <c r="H13" s="273">
        <f t="shared" si="1"/>
        <v>1000000</v>
      </c>
    </row>
    <row r="14" spans="1:8" ht="15.75">
      <c r="A14" s="863" t="s">
        <v>1383</v>
      </c>
      <c r="B14" s="864"/>
      <c r="C14" s="251">
        <v>500000</v>
      </c>
      <c r="D14" s="251"/>
      <c r="E14" s="273">
        <f t="shared" si="0"/>
        <v>500000</v>
      </c>
      <c r="F14" s="251">
        <v>500000</v>
      </c>
      <c r="G14" s="251"/>
      <c r="H14" s="273">
        <f t="shared" si="1"/>
        <v>500000</v>
      </c>
    </row>
    <row r="15" spans="1:8" ht="15.75">
      <c r="A15" s="863" t="s">
        <v>9</v>
      </c>
      <c r="B15" s="864"/>
      <c r="C15" s="251">
        <v>4500000</v>
      </c>
      <c r="D15" s="251"/>
      <c r="E15" s="273">
        <f t="shared" si="0"/>
        <v>4500000</v>
      </c>
      <c r="F15" s="251">
        <v>6783000</v>
      </c>
      <c r="G15" s="251"/>
      <c r="H15" s="273">
        <f t="shared" si="1"/>
        <v>6783000</v>
      </c>
    </row>
    <row r="16" spans="1:8" ht="15.75">
      <c r="A16" s="862" t="s">
        <v>1137</v>
      </c>
      <c r="B16" s="862"/>
      <c r="C16" s="73">
        <f>SUM(C11:C15)</f>
        <v>8000000</v>
      </c>
      <c r="D16" s="73">
        <f t="shared" ref="D16" si="2">SUM(D11:D15)</f>
        <v>0</v>
      </c>
      <c r="E16" s="511">
        <f t="shared" si="0"/>
        <v>8000000</v>
      </c>
      <c r="F16" s="73">
        <f>SUM(F11:F15)</f>
        <v>10283000</v>
      </c>
      <c r="G16" s="73">
        <f t="shared" ref="G16" si="3">SUM(G11:G15)</f>
        <v>0</v>
      </c>
      <c r="H16" s="511">
        <f t="shared" si="1"/>
        <v>10283000</v>
      </c>
    </row>
    <row r="17" spans="1:8" ht="15.75">
      <c r="A17" s="911"/>
      <c r="B17" s="911"/>
      <c r="C17" s="911"/>
      <c r="D17" s="912"/>
      <c r="E17" s="911"/>
      <c r="F17" s="911"/>
      <c r="G17" s="911"/>
      <c r="H17" s="912"/>
    </row>
  </sheetData>
  <mergeCells count="15">
    <mergeCell ref="B2:H2"/>
    <mergeCell ref="B1:H1"/>
    <mergeCell ref="A10:B10"/>
    <mergeCell ref="A17:D17"/>
    <mergeCell ref="A14:B14"/>
    <mergeCell ref="A11:B11"/>
    <mergeCell ref="A12:B12"/>
    <mergeCell ref="A13:B13"/>
    <mergeCell ref="A15:B15"/>
    <mergeCell ref="A16:B16"/>
    <mergeCell ref="E17:H17"/>
    <mergeCell ref="A8:H9"/>
    <mergeCell ref="A7:H7"/>
    <mergeCell ref="B4:H4"/>
    <mergeCell ref="B3:H3"/>
  </mergeCells>
  <pageMargins left="0.70866141732283472" right="0.70866141732283472" top="0.74803149606299213" bottom="0.74803149606299213" header="0.31496062992125984" footer="0.31496062992125984"/>
  <pageSetup paperSize="9" scale="67" fitToHeight="100"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
  <sheetViews>
    <sheetView showGridLines="0" view="pageBreakPreview" zoomScaleSheetLayoutView="100" workbookViewId="0">
      <selection activeCell="E32" sqref="E32"/>
    </sheetView>
  </sheetViews>
  <sheetFormatPr defaultColWidth="9.140625" defaultRowHeight="12.75"/>
  <cols>
    <col min="1" max="1" width="59" style="376" customWidth="1"/>
    <col min="2" max="3" width="0" style="376" hidden="1" customWidth="1"/>
    <col min="4" max="4" width="14.85546875" style="376" customWidth="1"/>
    <col min="5" max="5" width="14.42578125" style="376" customWidth="1"/>
    <col min="6" max="16384" width="9.140625" style="376"/>
  </cols>
  <sheetData/>
  <pageMargins left="0.70866141732283472" right="0.70866141732283472" top="0.74803149606299213" bottom="0.74803149606299213" header="0.31496062992125984" footer="0.31496062992125984"/>
  <pageSetup paperSize="9" fitToHeight="100" orientation="portrait" r:id="rId1"/>
</worksheet>
</file>

<file path=xl/worksheets/sheet45.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00" zoomScaleSheetLayoutView="100" workbookViewId="0">
      <selection activeCell="B1405" sqref="B1405"/>
    </sheetView>
  </sheetViews>
  <sheetFormatPr defaultColWidth="31.85546875" defaultRowHeight="12.75"/>
  <cols>
    <col min="1" max="1" width="7" style="52" bestFit="1" customWidth="1"/>
    <col min="2" max="2" width="106.140625" style="51" customWidth="1"/>
    <col min="3" max="16384" width="31.85546875" style="50"/>
  </cols>
  <sheetData>
    <row r="1" spans="1:2" s="54" customFormat="1" hidden="1">
      <c r="A1" s="52"/>
      <c r="B1" s="53"/>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50"/>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55">
        <v>100</v>
      </c>
      <c r="B1400" s="56" t="s">
        <v>447</v>
      </c>
      <c r="C1400" s="51"/>
    </row>
    <row r="1401" spans="1:3">
      <c r="A1401" s="57">
        <v>101</v>
      </c>
      <c r="B1401" s="58" t="s">
        <v>778</v>
      </c>
      <c r="C1401" s="51"/>
    </row>
    <row r="1402" spans="1:3">
      <c r="A1402" s="57">
        <v>102</v>
      </c>
      <c r="B1402" s="59" t="s">
        <v>748</v>
      </c>
      <c r="C1402" s="51"/>
    </row>
    <row r="1403" spans="1:3" ht="25.5">
      <c r="A1403" s="57">
        <v>103</v>
      </c>
      <c r="B1403" s="59" t="s">
        <v>663</v>
      </c>
      <c r="C1403" s="51"/>
    </row>
    <row r="1404" spans="1:3" ht="25.5">
      <c r="A1404" s="57">
        <v>104</v>
      </c>
      <c r="B1404" s="59" t="s">
        <v>354</v>
      </c>
      <c r="C1404" s="51"/>
    </row>
    <row r="1405" spans="1:3">
      <c r="A1405" s="57">
        <v>105</v>
      </c>
      <c r="B1405" s="59" t="s">
        <v>1185</v>
      </c>
      <c r="C1405" s="51"/>
    </row>
    <row r="1406" spans="1:3" ht="25.5">
      <c r="A1406" s="57">
        <v>106</v>
      </c>
      <c r="B1406" s="59" t="s">
        <v>69</v>
      </c>
      <c r="C1406" s="51"/>
    </row>
    <row r="1407" spans="1:3">
      <c r="A1407" s="57">
        <v>107</v>
      </c>
      <c r="B1407" s="59" t="s">
        <v>79</v>
      </c>
      <c r="C1407" s="51"/>
    </row>
    <row r="1408" spans="1:3">
      <c r="A1408" s="57">
        <v>108</v>
      </c>
      <c r="B1408" s="59" t="s">
        <v>1529</v>
      </c>
      <c r="C1408" s="51"/>
    </row>
    <row r="1409" spans="1:3">
      <c r="A1409" s="57">
        <v>109</v>
      </c>
      <c r="B1409" s="59" t="s">
        <v>838</v>
      </c>
      <c r="C1409" s="51"/>
    </row>
    <row r="1410" spans="1:3">
      <c r="A1410" s="57">
        <v>110</v>
      </c>
      <c r="B1410" s="59" t="s">
        <v>839</v>
      </c>
      <c r="C1410" s="51"/>
    </row>
    <row r="1411" spans="1:3">
      <c r="A1411" s="57">
        <v>111</v>
      </c>
      <c r="B1411" s="59" t="s">
        <v>834</v>
      </c>
      <c r="C1411" s="51"/>
    </row>
    <row r="1412" spans="1:3">
      <c r="A1412" s="57">
        <v>112</v>
      </c>
      <c r="B1412" s="59" t="s">
        <v>1519</v>
      </c>
      <c r="C1412" s="51"/>
    </row>
    <row r="1413" spans="1:3">
      <c r="A1413" s="57">
        <v>113</v>
      </c>
      <c r="B1413" s="59" t="s">
        <v>835</v>
      </c>
      <c r="C1413" s="51"/>
    </row>
    <row r="1414" spans="1:3">
      <c r="A1414" s="55">
        <v>200</v>
      </c>
      <c r="B1414" s="60" t="s">
        <v>70</v>
      </c>
      <c r="C1414" s="51"/>
    </row>
    <row r="1415" spans="1:3">
      <c r="A1415" s="57">
        <v>201</v>
      </c>
      <c r="B1415" s="59" t="s">
        <v>1110</v>
      </c>
      <c r="C1415" s="51"/>
    </row>
    <row r="1416" spans="1:3">
      <c r="A1416" s="57">
        <v>202</v>
      </c>
      <c r="B1416" s="59" t="s">
        <v>714</v>
      </c>
      <c r="C1416" s="51"/>
    </row>
    <row r="1417" spans="1:3">
      <c r="A1417" s="57">
        <v>203</v>
      </c>
      <c r="B1417" s="59" t="s">
        <v>155</v>
      </c>
      <c r="C1417" s="51"/>
    </row>
    <row r="1418" spans="1:3">
      <c r="A1418" s="57">
        <v>204</v>
      </c>
      <c r="B1418" s="59" t="s">
        <v>257</v>
      </c>
      <c r="C1418" s="51"/>
    </row>
    <row r="1419" spans="1:3">
      <c r="A1419" s="57">
        <v>205</v>
      </c>
      <c r="B1419" s="59" t="s">
        <v>797</v>
      </c>
      <c r="C1419" s="51"/>
    </row>
    <row r="1420" spans="1:3">
      <c r="A1420" s="57">
        <v>206</v>
      </c>
      <c r="B1420" s="59" t="s">
        <v>1414</v>
      </c>
      <c r="C1420" s="51"/>
    </row>
    <row r="1421" spans="1:3">
      <c r="A1421" s="57">
        <v>207</v>
      </c>
      <c r="B1421" s="59" t="s">
        <v>924</v>
      </c>
      <c r="C1421" s="51"/>
    </row>
    <row r="1422" spans="1:3">
      <c r="A1422" s="57">
        <v>208</v>
      </c>
      <c r="B1422" s="59" t="s">
        <v>346</v>
      </c>
      <c r="C1422" s="51"/>
    </row>
    <row r="1423" spans="1:3">
      <c r="A1423" s="57">
        <v>209</v>
      </c>
      <c r="B1423" s="59" t="s">
        <v>347</v>
      </c>
      <c r="C1423" s="51"/>
    </row>
    <row r="1424" spans="1:3">
      <c r="A1424" s="55">
        <v>300</v>
      </c>
      <c r="B1424" s="60" t="s">
        <v>1</v>
      </c>
      <c r="C1424" s="51"/>
    </row>
    <row r="1425" spans="1:3">
      <c r="A1425" s="57">
        <v>301</v>
      </c>
      <c r="B1425" s="59" t="s">
        <v>348</v>
      </c>
      <c r="C1425" s="51"/>
    </row>
    <row r="1426" spans="1:3">
      <c r="A1426" s="57">
        <v>302</v>
      </c>
      <c r="B1426" s="59" t="s">
        <v>1136</v>
      </c>
      <c r="C1426" s="51"/>
    </row>
    <row r="1427" spans="1:3">
      <c r="A1427" s="57">
        <v>303</v>
      </c>
      <c r="B1427" s="59" t="s">
        <v>349</v>
      </c>
      <c r="C1427" s="51"/>
    </row>
    <row r="1428" spans="1:3">
      <c r="A1428" s="57">
        <v>304</v>
      </c>
      <c r="B1428" s="59" t="s">
        <v>159</v>
      </c>
      <c r="C1428" s="51"/>
    </row>
    <row r="1429" spans="1:3">
      <c r="A1429" s="57">
        <v>305</v>
      </c>
      <c r="B1429" s="59" t="s">
        <v>1542</v>
      </c>
      <c r="C1429" s="51"/>
    </row>
    <row r="1430" spans="1:3">
      <c r="A1430" s="57">
        <v>306</v>
      </c>
      <c r="B1430" s="59" t="s">
        <v>1620</v>
      </c>
      <c r="C1430" s="51"/>
    </row>
    <row r="1431" spans="1:3">
      <c r="A1431" s="57">
        <v>307</v>
      </c>
      <c r="B1431" s="59" t="s">
        <v>1621</v>
      </c>
      <c r="C1431" s="51"/>
    </row>
    <row r="1432" spans="1:3">
      <c r="A1432" s="57">
        <v>308</v>
      </c>
      <c r="B1432" s="59" t="s">
        <v>1516</v>
      </c>
      <c r="C1432" s="51"/>
    </row>
    <row r="1433" spans="1:3" ht="25.5">
      <c r="A1433" s="57">
        <v>309</v>
      </c>
      <c r="B1433" s="59" t="s">
        <v>394</v>
      </c>
      <c r="C1433" s="51"/>
    </row>
    <row r="1434" spans="1:3">
      <c r="A1434" s="57">
        <v>310</v>
      </c>
      <c r="B1434" s="59" t="s">
        <v>395</v>
      </c>
      <c r="C1434" s="51"/>
    </row>
    <row r="1435" spans="1:3">
      <c r="A1435" s="57">
        <v>311</v>
      </c>
      <c r="B1435" s="59" t="s">
        <v>792</v>
      </c>
      <c r="C1435" s="51"/>
    </row>
    <row r="1436" spans="1:3">
      <c r="A1436" s="57">
        <v>312</v>
      </c>
      <c r="B1436" s="59" t="s">
        <v>396</v>
      </c>
      <c r="C1436" s="51"/>
    </row>
    <row r="1437" spans="1:3">
      <c r="A1437" s="57">
        <v>313</v>
      </c>
      <c r="B1437" s="59" t="s">
        <v>793</v>
      </c>
      <c r="C1437" s="51"/>
    </row>
    <row r="1438" spans="1:3">
      <c r="A1438" s="57">
        <v>314</v>
      </c>
      <c r="B1438" s="59" t="s">
        <v>873</v>
      </c>
      <c r="C1438" s="51"/>
    </row>
    <row r="1439" spans="1:3">
      <c r="A1439" s="55">
        <v>400</v>
      </c>
      <c r="B1439" s="60" t="s">
        <v>397</v>
      </c>
      <c r="C1439" s="51"/>
    </row>
    <row r="1440" spans="1:3">
      <c r="A1440" s="57">
        <v>401</v>
      </c>
      <c r="B1440" s="61" t="s">
        <v>1670</v>
      </c>
      <c r="C1440" s="51"/>
    </row>
    <row r="1441" spans="1:3">
      <c r="A1441" s="57">
        <v>402</v>
      </c>
      <c r="B1441" s="58" t="s">
        <v>246</v>
      </c>
      <c r="C1441" s="51"/>
    </row>
    <row r="1442" spans="1:3">
      <c r="A1442" s="57">
        <v>403</v>
      </c>
      <c r="B1442" s="59" t="s">
        <v>1406</v>
      </c>
      <c r="C1442" s="51"/>
    </row>
    <row r="1443" spans="1:3">
      <c r="A1443" s="57">
        <v>404</v>
      </c>
      <c r="B1443" s="59" t="s">
        <v>1407</v>
      </c>
      <c r="C1443" s="51"/>
    </row>
    <row r="1444" spans="1:3">
      <c r="A1444" s="57">
        <v>405</v>
      </c>
      <c r="B1444" s="59" t="s">
        <v>1888</v>
      </c>
      <c r="C1444" s="51"/>
    </row>
    <row r="1445" spans="1:3">
      <c r="A1445" s="57">
        <v>406</v>
      </c>
      <c r="B1445" s="59" t="s">
        <v>1408</v>
      </c>
      <c r="C1445" s="51"/>
    </row>
    <row r="1446" spans="1:3">
      <c r="A1446" s="57">
        <v>407</v>
      </c>
      <c r="B1446" s="59" t="s">
        <v>1409</v>
      </c>
      <c r="C1446" s="51"/>
    </row>
    <row r="1447" spans="1:3">
      <c r="A1447" s="57">
        <v>408</v>
      </c>
      <c r="B1447" s="59" t="s">
        <v>1889</v>
      </c>
      <c r="C1447" s="51"/>
    </row>
    <row r="1448" spans="1:3">
      <c r="A1448" s="57">
        <v>409</v>
      </c>
      <c r="B1448" s="59" t="s">
        <v>385</v>
      </c>
      <c r="C1448" s="51"/>
    </row>
    <row r="1449" spans="1:3">
      <c r="A1449" s="57">
        <v>410</v>
      </c>
      <c r="B1449" s="59" t="s">
        <v>461</v>
      </c>
      <c r="C1449" s="51"/>
    </row>
    <row r="1450" spans="1:3">
      <c r="A1450" s="57">
        <v>411</v>
      </c>
      <c r="B1450" s="59" t="s">
        <v>1410</v>
      </c>
      <c r="C1450" s="51"/>
    </row>
    <row r="1451" spans="1:3">
      <c r="A1451" s="57">
        <v>412</v>
      </c>
      <c r="B1451" s="59" t="s">
        <v>875</v>
      </c>
      <c r="C1451" s="51"/>
    </row>
    <row r="1452" spans="1:3">
      <c r="A1452" s="55">
        <v>500</v>
      </c>
      <c r="B1452" s="60" t="s">
        <v>841</v>
      </c>
      <c r="C1452" s="51"/>
    </row>
    <row r="1453" spans="1:3">
      <c r="A1453" s="57">
        <v>501</v>
      </c>
      <c r="B1453" s="59" t="s">
        <v>574</v>
      </c>
      <c r="C1453" s="51"/>
    </row>
    <row r="1454" spans="1:3">
      <c r="A1454" s="57">
        <v>502</v>
      </c>
      <c r="B1454" s="59" t="s">
        <v>575</v>
      </c>
      <c r="C1454" s="51"/>
    </row>
    <row r="1455" spans="1:3">
      <c r="A1455" s="57">
        <v>503</v>
      </c>
      <c r="B1455" s="58" t="s">
        <v>350</v>
      </c>
      <c r="C1455" s="51"/>
    </row>
    <row r="1456" spans="1:3">
      <c r="A1456" s="57">
        <v>504</v>
      </c>
      <c r="B1456" s="59" t="s">
        <v>718</v>
      </c>
      <c r="C1456" s="51"/>
    </row>
    <row r="1457" spans="1:3">
      <c r="A1457" s="57">
        <v>505</v>
      </c>
      <c r="B1457" s="59" t="s">
        <v>780</v>
      </c>
      <c r="C1457" s="51"/>
    </row>
    <row r="1458" spans="1:3">
      <c r="A1458" s="55">
        <v>600</v>
      </c>
      <c r="B1458" s="62" t="s">
        <v>584</v>
      </c>
      <c r="C1458" s="51"/>
    </row>
    <row r="1459" spans="1:3">
      <c r="A1459" s="57">
        <v>601</v>
      </c>
      <c r="B1459" s="58" t="s">
        <v>585</v>
      </c>
      <c r="C1459" s="51"/>
    </row>
    <row r="1460" spans="1:3">
      <c r="A1460" s="57">
        <v>602</v>
      </c>
      <c r="B1460" s="59" t="s">
        <v>1686</v>
      </c>
      <c r="C1460" s="51"/>
    </row>
    <row r="1461" spans="1:3">
      <c r="A1461" s="57">
        <v>603</v>
      </c>
      <c r="B1461" s="59" t="s">
        <v>1687</v>
      </c>
      <c r="C1461" s="51"/>
    </row>
    <row r="1462" spans="1:3">
      <c r="A1462" s="57">
        <v>604</v>
      </c>
      <c r="B1462" s="59" t="s">
        <v>1894</v>
      </c>
      <c r="C1462" s="51"/>
    </row>
    <row r="1463" spans="1:3">
      <c r="A1463" s="57">
        <v>605</v>
      </c>
      <c r="B1463" s="59" t="s">
        <v>527</v>
      </c>
      <c r="C1463" s="51"/>
    </row>
    <row r="1464" spans="1:3">
      <c r="A1464" s="55">
        <v>700</v>
      </c>
      <c r="B1464" s="62" t="s">
        <v>1688</v>
      </c>
      <c r="C1464" s="51"/>
    </row>
    <row r="1465" spans="1:3">
      <c r="A1465" s="57">
        <v>701</v>
      </c>
      <c r="B1465" s="59" t="s">
        <v>62</v>
      </c>
      <c r="C1465" s="51"/>
    </row>
    <row r="1466" spans="1:3">
      <c r="A1466" s="57">
        <v>702</v>
      </c>
      <c r="B1466" s="59" t="s">
        <v>108</v>
      </c>
      <c r="C1466" s="51"/>
    </row>
    <row r="1467" spans="1:3">
      <c r="A1467" s="57">
        <v>703</v>
      </c>
      <c r="B1467" s="59" t="s">
        <v>1895</v>
      </c>
      <c r="C1467" s="51"/>
    </row>
    <row r="1468" spans="1:3">
      <c r="A1468" s="57">
        <v>704</v>
      </c>
      <c r="B1468" s="59" t="s">
        <v>392</v>
      </c>
      <c r="C1468" s="51"/>
    </row>
    <row r="1469" spans="1:3">
      <c r="A1469" s="57">
        <v>705</v>
      </c>
      <c r="B1469" s="59" t="s">
        <v>1055</v>
      </c>
      <c r="C1469" s="51"/>
    </row>
    <row r="1470" spans="1:3">
      <c r="A1470" s="63">
        <v>706</v>
      </c>
      <c r="B1470" s="64" t="s">
        <v>1056</v>
      </c>
      <c r="C1470" s="51"/>
    </row>
    <row r="1471" spans="1:3">
      <c r="A1471" s="57">
        <v>707</v>
      </c>
      <c r="B1471" s="59" t="s">
        <v>823</v>
      </c>
      <c r="C1471" s="51"/>
    </row>
    <row r="1472" spans="1:3">
      <c r="A1472" s="57">
        <v>708</v>
      </c>
      <c r="B1472" s="59" t="s">
        <v>589</v>
      </c>
      <c r="C1472" s="51"/>
    </row>
    <row r="1473" spans="1:3">
      <c r="A1473" s="57">
        <v>709</v>
      </c>
      <c r="B1473" s="59" t="s">
        <v>82</v>
      </c>
      <c r="C1473" s="51"/>
    </row>
    <row r="1474" spans="1:3">
      <c r="A1474" s="55">
        <v>800</v>
      </c>
      <c r="B1474" s="62" t="s">
        <v>1306</v>
      </c>
      <c r="C1474" s="51"/>
    </row>
    <row r="1475" spans="1:3">
      <c r="A1475" s="57">
        <v>801</v>
      </c>
      <c r="B1475" s="59" t="s">
        <v>408</v>
      </c>
      <c r="C1475" s="51"/>
    </row>
    <row r="1476" spans="1:3">
      <c r="A1476" s="57">
        <v>802</v>
      </c>
      <c r="B1476" s="59" t="s">
        <v>355</v>
      </c>
      <c r="C1476" s="51"/>
    </row>
    <row r="1477" spans="1:3">
      <c r="A1477" s="57">
        <v>803</v>
      </c>
      <c r="B1477" s="59" t="s">
        <v>1307</v>
      </c>
      <c r="C1477" s="51"/>
    </row>
    <row r="1478" spans="1:3">
      <c r="A1478" s="57">
        <v>804</v>
      </c>
      <c r="B1478" s="59" t="s">
        <v>1325</v>
      </c>
      <c r="C1478" s="51"/>
    </row>
    <row r="1479" spans="1:3">
      <c r="A1479" s="55">
        <v>900</v>
      </c>
      <c r="B1479" s="62" t="s">
        <v>1326</v>
      </c>
      <c r="C1479" s="51"/>
    </row>
    <row r="1480" spans="1:3">
      <c r="A1480" s="57">
        <v>901</v>
      </c>
      <c r="B1480" s="59" t="s">
        <v>267</v>
      </c>
      <c r="C1480" s="51"/>
    </row>
    <row r="1481" spans="1:3">
      <c r="A1481" s="57">
        <v>902</v>
      </c>
      <c r="B1481" s="59" t="s">
        <v>268</v>
      </c>
      <c r="C1481" s="51"/>
    </row>
    <row r="1482" spans="1:3">
      <c r="A1482" s="57">
        <v>903</v>
      </c>
      <c r="B1482" s="59" t="s">
        <v>221</v>
      </c>
      <c r="C1482" s="51"/>
    </row>
    <row r="1483" spans="1:3">
      <c r="A1483" s="57">
        <v>904</v>
      </c>
      <c r="B1483" s="59" t="s">
        <v>258</v>
      </c>
      <c r="C1483" s="51"/>
    </row>
    <row r="1484" spans="1:3">
      <c r="A1484" s="57">
        <v>905</v>
      </c>
      <c r="B1484" s="65" t="s">
        <v>87</v>
      </c>
      <c r="C1484" s="51"/>
    </row>
    <row r="1485" spans="1:3">
      <c r="A1485" s="57">
        <v>906</v>
      </c>
      <c r="B1485" s="65" t="s">
        <v>926</v>
      </c>
      <c r="C1485" s="51"/>
    </row>
    <row r="1486" spans="1:3">
      <c r="A1486" s="57">
        <v>907</v>
      </c>
      <c r="B1486" s="59" t="s">
        <v>927</v>
      </c>
      <c r="C1486" s="51"/>
    </row>
    <row r="1487" spans="1:3">
      <c r="A1487" s="57">
        <v>908</v>
      </c>
      <c r="B1487" s="58" t="s">
        <v>1327</v>
      </c>
      <c r="C1487" s="51"/>
    </row>
    <row r="1488" spans="1:3">
      <c r="A1488" s="57">
        <v>909</v>
      </c>
      <c r="B1488" s="59" t="s">
        <v>1328</v>
      </c>
      <c r="C1488" s="51"/>
    </row>
    <row r="1489" spans="1:3">
      <c r="A1489" s="55">
        <v>1000</v>
      </c>
      <c r="B1489" s="62" t="s">
        <v>1039</v>
      </c>
      <c r="C1489" s="51"/>
    </row>
    <row r="1490" spans="1:3">
      <c r="A1490" s="57">
        <v>1001</v>
      </c>
      <c r="B1490" s="59" t="s">
        <v>445</v>
      </c>
      <c r="C1490" s="51"/>
    </row>
    <row r="1491" spans="1:3">
      <c r="A1491" s="57">
        <v>1002</v>
      </c>
      <c r="B1491" s="59" t="s">
        <v>104</v>
      </c>
      <c r="C1491" s="51"/>
    </row>
    <row r="1492" spans="1:3">
      <c r="A1492" s="57">
        <v>1003</v>
      </c>
      <c r="B1492" s="59" t="s">
        <v>372</v>
      </c>
      <c r="C1492" s="51"/>
    </row>
    <row r="1493" spans="1:3">
      <c r="A1493" s="57">
        <v>1004</v>
      </c>
      <c r="B1493" s="58" t="s">
        <v>1040</v>
      </c>
      <c r="C1493" s="51"/>
    </row>
    <row r="1494" spans="1:3">
      <c r="A1494" s="57">
        <v>1005</v>
      </c>
      <c r="B1494" s="59" t="s">
        <v>1043</v>
      </c>
      <c r="C1494" s="51"/>
    </row>
    <row r="1495" spans="1:3">
      <c r="A1495" s="57">
        <v>1006</v>
      </c>
      <c r="B1495" s="59" t="s">
        <v>105</v>
      </c>
      <c r="C1495" s="51"/>
    </row>
    <row r="1496" spans="1:3">
      <c r="A1496" s="55">
        <v>1100</v>
      </c>
      <c r="B1496" s="62" t="s">
        <v>1329</v>
      </c>
      <c r="C1496" s="51"/>
    </row>
    <row r="1497" spans="1:3">
      <c r="A1497" s="57">
        <v>1101</v>
      </c>
      <c r="B1497" s="59" t="s">
        <v>1330</v>
      </c>
      <c r="C1497" s="51"/>
    </row>
    <row r="1498" spans="1:3">
      <c r="A1498" s="57">
        <v>1102</v>
      </c>
      <c r="B1498" s="65" t="s">
        <v>1331</v>
      </c>
      <c r="C1498" s="51"/>
    </row>
    <row r="1499" spans="1:3">
      <c r="A1499" s="57">
        <v>1103</v>
      </c>
      <c r="B1499" s="59" t="s">
        <v>1332</v>
      </c>
      <c r="C1499" s="51"/>
    </row>
    <row r="1500" spans="1:3">
      <c r="A1500" s="57">
        <v>1104</v>
      </c>
      <c r="B1500" s="59" t="s">
        <v>1333</v>
      </c>
      <c r="C1500" s="51"/>
    </row>
    <row r="1501" spans="1:3">
      <c r="A1501" s="57">
        <v>1105</v>
      </c>
      <c r="B1501" s="59" t="s">
        <v>1334</v>
      </c>
      <c r="C1501" s="51"/>
    </row>
    <row r="1502" spans="1:3">
      <c r="A1502" s="55">
        <v>1200</v>
      </c>
      <c r="B1502" s="62" t="s">
        <v>1335</v>
      </c>
    </row>
    <row r="1503" spans="1:3">
      <c r="A1503" s="57">
        <v>1201</v>
      </c>
      <c r="B1503" s="59" t="s">
        <v>356</v>
      </c>
    </row>
    <row r="1504" spans="1:3">
      <c r="A1504" s="57">
        <v>1202</v>
      </c>
      <c r="B1504" s="59" t="s">
        <v>214</v>
      </c>
    </row>
    <row r="1505" spans="1:2">
      <c r="A1505" s="57">
        <v>1203</v>
      </c>
      <c r="B1505" s="59" t="s">
        <v>1336</v>
      </c>
    </row>
    <row r="1506" spans="1:2">
      <c r="A1506" s="57">
        <v>1204</v>
      </c>
      <c r="B1506" s="59" t="s">
        <v>1337</v>
      </c>
    </row>
    <row r="1507" spans="1:2">
      <c r="A1507" s="55">
        <v>1300</v>
      </c>
      <c r="B1507" s="62" t="s">
        <v>1338</v>
      </c>
    </row>
    <row r="1508" spans="1:2">
      <c r="A1508" s="57">
        <v>1301</v>
      </c>
      <c r="B1508" s="59" t="s">
        <v>528</v>
      </c>
    </row>
    <row r="1509" spans="1:2">
      <c r="A1509" s="57">
        <v>1302</v>
      </c>
      <c r="B1509" s="59" t="s">
        <v>874</v>
      </c>
    </row>
    <row r="1510" spans="1:2" ht="25.5">
      <c r="A1510" s="55">
        <v>1400</v>
      </c>
      <c r="B1510" s="62" t="s">
        <v>888</v>
      </c>
    </row>
    <row r="1511" spans="1:2">
      <c r="A1511" s="57">
        <v>1401</v>
      </c>
      <c r="B1511" s="59" t="s">
        <v>889</v>
      </c>
    </row>
    <row r="1512" spans="1:2">
      <c r="A1512" s="57">
        <v>1402</v>
      </c>
      <c r="B1512" s="59" t="s">
        <v>890</v>
      </c>
    </row>
    <row r="1513" spans="1:2" ht="25.5">
      <c r="A1513" s="57">
        <v>1403</v>
      </c>
      <c r="B1513" s="59" t="s">
        <v>891</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46.xml><?xml version="1.0" encoding="utf-8"?>
<worksheet xmlns="http://schemas.openxmlformats.org/spreadsheetml/2006/main" xmlns:r="http://schemas.openxmlformats.org/officeDocument/2006/relationships">
  <sheetPr codeName="Лист27"/>
  <dimension ref="A1:C3991"/>
  <sheetViews>
    <sheetView showGridLines="0" topLeftCell="A3950" zoomScaleSheetLayoutView="100" workbookViewId="0">
      <selection activeCell="B3999" sqref="B3999"/>
    </sheetView>
  </sheetViews>
  <sheetFormatPr defaultColWidth="9.140625" defaultRowHeight="12.75"/>
  <cols>
    <col min="1" max="1" width="11.85546875" style="67" customWidth="1"/>
    <col min="2" max="2" width="110.5703125" style="68" customWidth="1"/>
    <col min="3" max="16384" width="9.140625" style="92"/>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18">
        <v>10000</v>
      </c>
      <c r="B2036" s="116" t="s">
        <v>1402</v>
      </c>
    </row>
    <row r="2037" spans="1:2">
      <c r="A2037" s="118">
        <v>10100</v>
      </c>
      <c r="B2037" s="116" t="s">
        <v>440</v>
      </c>
    </row>
    <row r="2038" spans="1:2">
      <c r="A2038" s="118">
        <v>10200</v>
      </c>
      <c r="B2038" s="116" t="s">
        <v>1117</v>
      </c>
    </row>
    <row r="2039" spans="1:2">
      <c r="A2039" s="118">
        <v>10300</v>
      </c>
      <c r="B2039" s="116" t="s">
        <v>1100</v>
      </c>
    </row>
    <row r="2040" spans="1:2">
      <c r="A2040" s="118">
        <v>10400</v>
      </c>
      <c r="B2040" s="116" t="s">
        <v>1101</v>
      </c>
    </row>
    <row r="2041" spans="1:2" ht="25.5">
      <c r="A2041" s="118">
        <v>10500</v>
      </c>
      <c r="B2041" s="116" t="s">
        <v>1994</v>
      </c>
    </row>
    <row r="2042" spans="1:2">
      <c r="A2042" s="118">
        <v>10600</v>
      </c>
      <c r="B2042" s="116" t="s">
        <v>1682</v>
      </c>
    </row>
    <row r="2043" spans="1:2">
      <c r="A2043" s="118">
        <v>10700</v>
      </c>
      <c r="B2043" s="116" t="s">
        <v>1683</v>
      </c>
    </row>
    <row r="2044" spans="1:2">
      <c r="A2044" s="118">
        <v>10800</v>
      </c>
      <c r="B2044" s="116" t="s">
        <v>1891</v>
      </c>
    </row>
    <row r="2045" spans="1:2">
      <c r="A2045" s="118">
        <v>10900</v>
      </c>
      <c r="B2045" s="116" t="s">
        <v>1265</v>
      </c>
    </row>
    <row r="2046" spans="1:2">
      <c r="A2046" s="118">
        <v>11000</v>
      </c>
      <c r="B2046" s="116" t="s">
        <v>1266</v>
      </c>
    </row>
    <row r="2047" spans="1:2">
      <c r="A2047" s="118">
        <v>11100</v>
      </c>
      <c r="B2047" s="116" t="s">
        <v>1046</v>
      </c>
    </row>
    <row r="2048" spans="1:2">
      <c r="A2048" s="118">
        <v>11200</v>
      </c>
      <c r="B2048" s="116" t="s">
        <v>814</v>
      </c>
    </row>
    <row r="2049" spans="1:2">
      <c r="A2049" s="118">
        <v>11300</v>
      </c>
      <c r="B2049" s="116" t="s">
        <v>438</v>
      </c>
    </row>
    <row r="2050" spans="1:2">
      <c r="A2050" s="118">
        <v>11400</v>
      </c>
      <c r="B2050" s="116" t="s">
        <v>1181</v>
      </c>
    </row>
    <row r="2051" spans="1:2">
      <c r="A2051" s="118">
        <v>11500</v>
      </c>
      <c r="B2051" s="116" t="s">
        <v>1182</v>
      </c>
    </row>
    <row r="2052" spans="1:2">
      <c r="A2052" s="118">
        <v>11600</v>
      </c>
      <c r="B2052" s="116" t="s">
        <v>400</v>
      </c>
    </row>
    <row r="2053" spans="1:2">
      <c r="A2053" s="118">
        <v>11700</v>
      </c>
      <c r="B2053" s="116" t="s">
        <v>1235</v>
      </c>
    </row>
    <row r="2054" spans="1:2" ht="25.5">
      <c r="A2054" s="118">
        <v>11800</v>
      </c>
      <c r="B2054" s="116" t="s">
        <v>782</v>
      </c>
    </row>
    <row r="2055" spans="1:2">
      <c r="A2055" s="118">
        <v>11900</v>
      </c>
      <c r="B2055" s="116" t="s">
        <v>783</v>
      </c>
    </row>
    <row r="2056" spans="1:2" ht="76.5">
      <c r="A2056" s="118">
        <v>12000</v>
      </c>
      <c r="B2056" s="117" t="s">
        <v>1178</v>
      </c>
    </row>
    <row r="2057" spans="1:2">
      <c r="A2057" s="118">
        <v>12200</v>
      </c>
      <c r="B2057" s="116" t="s">
        <v>784</v>
      </c>
    </row>
    <row r="2058" spans="1:2">
      <c r="A2058" s="118">
        <v>12300</v>
      </c>
      <c r="B2058" s="116" t="s">
        <v>785</v>
      </c>
    </row>
    <row r="2059" spans="1:2">
      <c r="A2059" s="118">
        <v>12400</v>
      </c>
      <c r="B2059" s="116" t="s">
        <v>1591</v>
      </c>
    </row>
    <row r="2060" spans="1:2">
      <c r="A2060" s="118">
        <v>12500</v>
      </c>
      <c r="B2060" s="116" t="s">
        <v>1403</v>
      </c>
    </row>
    <row r="2061" spans="1:2">
      <c r="A2061" s="118">
        <v>12600</v>
      </c>
      <c r="B2061" s="116" t="s">
        <v>1404</v>
      </c>
    </row>
    <row r="2062" spans="1:2">
      <c r="A2062" s="118">
        <v>12700</v>
      </c>
      <c r="B2062" s="116" t="s">
        <v>547</v>
      </c>
    </row>
    <row r="2063" spans="1:2">
      <c r="A2063" s="118">
        <v>12900</v>
      </c>
      <c r="B2063" s="116" t="s">
        <v>1179</v>
      </c>
    </row>
    <row r="2064" spans="1:2">
      <c r="A2064" s="118">
        <v>13000</v>
      </c>
      <c r="B2064" s="116" t="s">
        <v>273</v>
      </c>
    </row>
    <row r="2065" spans="1:2">
      <c r="A2065" s="118">
        <v>13100</v>
      </c>
      <c r="B2065" s="116" t="s">
        <v>274</v>
      </c>
    </row>
    <row r="2066" spans="1:2">
      <c r="A2066" s="118">
        <v>13200</v>
      </c>
      <c r="B2066" s="116" t="s">
        <v>275</v>
      </c>
    </row>
    <row r="2067" spans="1:2">
      <c r="A2067" s="118">
        <v>13300</v>
      </c>
      <c r="B2067" s="116" t="s">
        <v>381</v>
      </c>
    </row>
    <row r="2068" spans="1:2">
      <c r="A2068" s="118">
        <v>13400</v>
      </c>
      <c r="B2068" s="116" t="s">
        <v>382</v>
      </c>
    </row>
    <row r="2069" spans="1:2" ht="25.5">
      <c r="A2069" s="118">
        <v>13500</v>
      </c>
      <c r="B2069" s="116" t="s">
        <v>1685</v>
      </c>
    </row>
    <row r="2070" spans="1:2">
      <c r="A2070" s="118">
        <v>13600</v>
      </c>
      <c r="B2070" s="116" t="s">
        <v>1261</v>
      </c>
    </row>
    <row r="2071" spans="1:2" ht="51">
      <c r="A2071" s="118">
        <v>13700</v>
      </c>
      <c r="B2071" s="117" t="s">
        <v>505</v>
      </c>
    </row>
    <row r="2072" spans="1:2">
      <c r="A2072" s="118">
        <v>13800</v>
      </c>
      <c r="B2072" s="116" t="s">
        <v>86</v>
      </c>
    </row>
    <row r="2073" spans="1:2">
      <c r="A2073" s="118">
        <v>13801</v>
      </c>
      <c r="B2073" s="116" t="s">
        <v>86</v>
      </c>
    </row>
    <row r="2074" spans="1:2" ht="25.5">
      <c r="A2074" s="118">
        <v>14000</v>
      </c>
      <c r="B2074" s="116" t="s">
        <v>1457</v>
      </c>
    </row>
    <row r="2075" spans="1:2">
      <c r="A2075" s="118">
        <v>14100</v>
      </c>
      <c r="B2075" s="116" t="s">
        <v>224</v>
      </c>
    </row>
    <row r="2076" spans="1:2" ht="25.5">
      <c r="A2076" s="118">
        <v>14200</v>
      </c>
      <c r="B2076" s="116" t="s">
        <v>1946</v>
      </c>
    </row>
    <row r="2077" spans="1:2">
      <c r="A2077" s="118">
        <v>14300</v>
      </c>
      <c r="B2077" s="116" t="s">
        <v>602</v>
      </c>
    </row>
    <row r="2078" spans="1:2" ht="25.5">
      <c r="A2078" s="118">
        <v>14400</v>
      </c>
      <c r="B2078" s="116" t="s">
        <v>1416</v>
      </c>
    </row>
    <row r="2079" spans="1:2" ht="25.5">
      <c r="A2079" s="118">
        <v>14500</v>
      </c>
      <c r="B2079" s="116" t="s">
        <v>244</v>
      </c>
    </row>
    <row r="2080" spans="1:2">
      <c r="A2080" s="118">
        <v>14600</v>
      </c>
      <c r="B2080" s="116" t="s">
        <v>245</v>
      </c>
    </row>
    <row r="2081" spans="1:2">
      <c r="A2081" s="118">
        <v>14700</v>
      </c>
      <c r="B2081" s="116" t="s">
        <v>119</v>
      </c>
    </row>
    <row r="2082" spans="1:2">
      <c r="A2082" s="118">
        <v>14900</v>
      </c>
      <c r="B2082" s="116" t="s">
        <v>1180</v>
      </c>
    </row>
    <row r="2083" spans="1:2" ht="25.5">
      <c r="A2083" s="118">
        <v>15100</v>
      </c>
      <c r="B2083" s="116" t="s">
        <v>611</v>
      </c>
    </row>
    <row r="2084" spans="1:2" ht="38.25">
      <c r="A2084" s="118">
        <v>15200</v>
      </c>
      <c r="B2084" s="116" t="s">
        <v>612</v>
      </c>
    </row>
    <row r="2085" spans="1:2" ht="25.5">
      <c r="A2085" s="118">
        <v>15300</v>
      </c>
      <c r="B2085" s="116" t="s">
        <v>613</v>
      </c>
    </row>
    <row r="2086" spans="1:2">
      <c r="A2086" s="118">
        <v>15500</v>
      </c>
      <c r="B2086" s="116" t="s">
        <v>593</v>
      </c>
    </row>
    <row r="2087" spans="1:2">
      <c r="A2087" s="118">
        <v>15800</v>
      </c>
      <c r="B2087" s="116" t="s">
        <v>594</v>
      </c>
    </row>
    <row r="2088" spans="1:2">
      <c r="A2088" s="118">
        <v>16700</v>
      </c>
      <c r="B2088" s="116" t="s">
        <v>77</v>
      </c>
    </row>
    <row r="2089" spans="1:2">
      <c r="A2089" s="118">
        <v>16800</v>
      </c>
      <c r="B2089" s="116" t="s">
        <v>633</v>
      </c>
    </row>
    <row r="2090" spans="1:2">
      <c r="A2090" s="118">
        <v>16801</v>
      </c>
      <c r="B2090" s="116" t="s">
        <v>404</v>
      </c>
    </row>
    <row r="2091" spans="1:2" ht="25.5">
      <c r="A2091" s="118">
        <v>16802</v>
      </c>
      <c r="B2091" s="116" t="s">
        <v>188</v>
      </c>
    </row>
    <row r="2092" spans="1:2">
      <c r="A2092" s="118">
        <v>17000</v>
      </c>
      <c r="B2092" s="116" t="s">
        <v>904</v>
      </c>
    </row>
    <row r="2093" spans="1:2">
      <c r="A2093" s="118">
        <v>17100</v>
      </c>
      <c r="B2093" s="116" t="s">
        <v>905</v>
      </c>
    </row>
    <row r="2094" spans="1:2">
      <c r="A2094" s="118">
        <v>17101</v>
      </c>
      <c r="B2094" s="116" t="s">
        <v>311</v>
      </c>
    </row>
    <row r="2095" spans="1:2">
      <c r="A2095" s="118">
        <v>17102</v>
      </c>
      <c r="B2095" s="116" t="s">
        <v>196</v>
      </c>
    </row>
    <row r="2096" spans="1:2">
      <c r="A2096" s="118">
        <v>17103</v>
      </c>
      <c r="B2096" s="116" t="s">
        <v>197</v>
      </c>
    </row>
    <row r="2097" spans="1:2">
      <c r="A2097" s="118">
        <v>17200</v>
      </c>
      <c r="B2097" s="116" t="s">
        <v>259</v>
      </c>
    </row>
    <row r="2098" spans="1:2">
      <c r="A2098" s="118">
        <v>17201</v>
      </c>
      <c r="B2098" s="116" t="s">
        <v>647</v>
      </c>
    </row>
    <row r="2099" spans="1:2">
      <c r="A2099" s="118">
        <v>17202</v>
      </c>
      <c r="B2099" s="116" t="s">
        <v>648</v>
      </c>
    </row>
    <row r="2100" spans="1:2">
      <c r="A2100" s="118">
        <v>17203</v>
      </c>
      <c r="B2100" s="116" t="s">
        <v>591</v>
      </c>
    </row>
    <row r="2101" spans="1:2">
      <c r="A2101" s="118">
        <v>17500</v>
      </c>
      <c r="B2101" s="116" t="s">
        <v>1233</v>
      </c>
    </row>
    <row r="2102" spans="1:2">
      <c r="A2102" s="118">
        <v>17600</v>
      </c>
      <c r="B2102" s="116" t="s">
        <v>1119</v>
      </c>
    </row>
    <row r="2103" spans="1:2">
      <c r="A2103" s="118">
        <v>17900</v>
      </c>
      <c r="B2103" s="116" t="s">
        <v>1120</v>
      </c>
    </row>
    <row r="2104" spans="1:2">
      <c r="A2104" s="118">
        <v>18200</v>
      </c>
      <c r="B2104" s="116" t="s">
        <v>1121</v>
      </c>
    </row>
    <row r="2105" spans="1:2">
      <c r="A2105" s="118">
        <v>19900</v>
      </c>
      <c r="B2105" s="116" t="s">
        <v>81</v>
      </c>
    </row>
    <row r="2106" spans="1:2" ht="25.5">
      <c r="A2106" s="118">
        <v>20000</v>
      </c>
      <c r="B2106" s="116" t="s">
        <v>1602</v>
      </c>
    </row>
    <row r="2107" spans="1:2">
      <c r="A2107" s="118">
        <v>20300</v>
      </c>
      <c r="B2107" s="116" t="s">
        <v>936</v>
      </c>
    </row>
    <row r="2108" spans="1:2">
      <c r="A2108" s="118">
        <v>20400</v>
      </c>
      <c r="B2108" s="116" t="s">
        <v>1101</v>
      </c>
    </row>
    <row r="2109" spans="1:2">
      <c r="A2109" s="118">
        <v>21100</v>
      </c>
      <c r="B2109" s="116" t="s">
        <v>1037</v>
      </c>
    </row>
    <row r="2110" spans="1:2">
      <c r="A2110" s="118">
        <v>21200</v>
      </c>
      <c r="B2110" s="116" t="s">
        <v>548</v>
      </c>
    </row>
    <row r="2111" spans="1:2">
      <c r="A2111" s="118">
        <v>22500</v>
      </c>
      <c r="B2111" s="116" t="s">
        <v>935</v>
      </c>
    </row>
    <row r="2112" spans="1:2">
      <c r="A2112" s="118">
        <v>100000</v>
      </c>
      <c r="B2112" s="116" t="s">
        <v>1128</v>
      </c>
    </row>
    <row r="2113" spans="1:2">
      <c r="A2113" s="118">
        <v>100100</v>
      </c>
      <c r="B2113" s="116" t="s">
        <v>1052</v>
      </c>
    </row>
    <row r="2114" spans="1:2">
      <c r="A2114" s="118">
        <v>100200</v>
      </c>
      <c r="B2114" s="116" t="s">
        <v>467</v>
      </c>
    </row>
    <row r="2115" spans="1:2">
      <c r="A2115" s="118">
        <v>200000</v>
      </c>
      <c r="B2115" s="116" t="s">
        <v>1246</v>
      </c>
    </row>
    <row r="2116" spans="1:2">
      <c r="A2116" s="118">
        <v>200002</v>
      </c>
      <c r="B2116" s="116" t="s">
        <v>1823</v>
      </c>
    </row>
    <row r="2117" spans="1:2">
      <c r="A2117" s="118">
        <v>200003</v>
      </c>
      <c r="B2117" s="116" t="s">
        <v>796</v>
      </c>
    </row>
    <row r="2118" spans="1:2">
      <c r="A2118" s="118">
        <v>200100</v>
      </c>
      <c r="B2118" s="116" t="s">
        <v>1594</v>
      </c>
    </row>
    <row r="2119" spans="1:2">
      <c r="A2119" s="118">
        <v>200200</v>
      </c>
      <c r="B2119" s="116" t="s">
        <v>1111</v>
      </c>
    </row>
    <row r="2120" spans="1:2">
      <c r="A2120" s="118">
        <v>200300</v>
      </c>
      <c r="B2120" s="116" t="s">
        <v>1112</v>
      </c>
    </row>
    <row r="2121" spans="1:2" ht="25.5">
      <c r="A2121" s="118">
        <v>200400</v>
      </c>
      <c r="B2121" s="116" t="s">
        <v>1260</v>
      </c>
    </row>
    <row r="2122" spans="1:2">
      <c r="A2122" s="118">
        <v>210000</v>
      </c>
      <c r="B2122" s="116" t="s">
        <v>101</v>
      </c>
    </row>
    <row r="2123" spans="1:2">
      <c r="A2123" s="118">
        <v>219900</v>
      </c>
      <c r="B2123" s="116" t="s">
        <v>81</v>
      </c>
    </row>
    <row r="2124" spans="1:2">
      <c r="A2124" s="118">
        <v>300000</v>
      </c>
      <c r="B2124" s="116" t="s">
        <v>1057</v>
      </c>
    </row>
    <row r="2125" spans="1:2">
      <c r="A2125" s="118">
        <v>300100</v>
      </c>
      <c r="B2125" s="116" t="s">
        <v>1027</v>
      </c>
    </row>
    <row r="2126" spans="1:2">
      <c r="A2126" s="118">
        <v>300300</v>
      </c>
      <c r="B2126" s="116" t="s">
        <v>614</v>
      </c>
    </row>
    <row r="2127" spans="1:2">
      <c r="A2127" s="118">
        <v>300301</v>
      </c>
      <c r="B2127" s="116" t="s">
        <v>798</v>
      </c>
    </row>
    <row r="2128" spans="1:2">
      <c r="A2128" s="118">
        <v>300302</v>
      </c>
      <c r="B2128" s="116" t="s">
        <v>799</v>
      </c>
    </row>
    <row r="2129" spans="1:2">
      <c r="A2129" s="118">
        <v>300400</v>
      </c>
      <c r="B2129" s="116" t="s">
        <v>439</v>
      </c>
    </row>
    <row r="2130" spans="1:2">
      <c r="A2130" s="118">
        <v>300500</v>
      </c>
      <c r="B2130" s="116" t="s">
        <v>1321</v>
      </c>
    </row>
    <row r="2131" spans="1:2">
      <c r="A2131" s="118">
        <v>300600</v>
      </c>
      <c r="B2131" s="116" t="s">
        <v>1322</v>
      </c>
    </row>
    <row r="2132" spans="1:2">
      <c r="A2132" s="118">
        <v>300700</v>
      </c>
      <c r="B2132" s="116" t="s">
        <v>684</v>
      </c>
    </row>
    <row r="2133" spans="1:2">
      <c r="A2133" s="118">
        <v>300800</v>
      </c>
      <c r="B2133" s="116" t="s">
        <v>685</v>
      </c>
    </row>
    <row r="2134" spans="1:2" ht="25.5">
      <c r="A2134" s="118">
        <v>300900</v>
      </c>
      <c r="B2134" s="116" t="s">
        <v>615</v>
      </c>
    </row>
    <row r="2135" spans="1:2">
      <c r="A2135" s="118">
        <v>301000</v>
      </c>
      <c r="B2135" s="116" t="s">
        <v>616</v>
      </c>
    </row>
    <row r="2136" spans="1:2">
      <c r="A2136" s="118">
        <v>301100</v>
      </c>
      <c r="B2136" s="116" t="s">
        <v>617</v>
      </c>
    </row>
    <row r="2137" spans="1:2">
      <c r="A2137" s="118">
        <v>301200</v>
      </c>
      <c r="B2137" s="116" t="s">
        <v>618</v>
      </c>
    </row>
    <row r="2138" spans="1:2">
      <c r="A2138" s="118">
        <v>301300</v>
      </c>
      <c r="B2138" s="116" t="s">
        <v>619</v>
      </c>
    </row>
    <row r="2139" spans="1:2">
      <c r="A2139" s="118">
        <v>301400</v>
      </c>
      <c r="B2139" s="116" t="s">
        <v>620</v>
      </c>
    </row>
    <row r="2140" spans="1:2">
      <c r="A2140" s="118">
        <v>309600</v>
      </c>
      <c r="B2140" s="116" t="s">
        <v>686</v>
      </c>
    </row>
    <row r="2141" spans="1:2">
      <c r="A2141" s="118">
        <v>309700</v>
      </c>
      <c r="B2141" s="116" t="s">
        <v>1141</v>
      </c>
    </row>
    <row r="2142" spans="1:2">
      <c r="A2142" s="118">
        <v>309800</v>
      </c>
      <c r="B2142" s="116" t="s">
        <v>1142</v>
      </c>
    </row>
    <row r="2143" spans="1:2">
      <c r="A2143" s="118">
        <v>310000</v>
      </c>
      <c r="B2143" s="116" t="s">
        <v>413</v>
      </c>
    </row>
    <row r="2144" spans="1:2">
      <c r="A2144" s="118">
        <v>310100</v>
      </c>
      <c r="B2144" s="116" t="s">
        <v>1302</v>
      </c>
    </row>
    <row r="2145" spans="1:2">
      <c r="A2145" s="118">
        <v>310200</v>
      </c>
      <c r="B2145" s="116" t="s">
        <v>929</v>
      </c>
    </row>
    <row r="2146" spans="1:2">
      <c r="A2146" s="118">
        <v>310300</v>
      </c>
      <c r="B2146" s="116" t="s">
        <v>930</v>
      </c>
    </row>
    <row r="2147" spans="1:2">
      <c r="A2147" s="118">
        <v>320000</v>
      </c>
      <c r="B2147" s="116" t="s">
        <v>403</v>
      </c>
    </row>
    <row r="2148" spans="1:2">
      <c r="A2148" s="118">
        <v>326900</v>
      </c>
      <c r="B2148" s="116" t="s">
        <v>366</v>
      </c>
    </row>
    <row r="2149" spans="1:2">
      <c r="A2149" s="118">
        <v>329600</v>
      </c>
      <c r="B2149" s="116" t="s">
        <v>686</v>
      </c>
    </row>
    <row r="2150" spans="1:2">
      <c r="A2150" s="118">
        <v>329800</v>
      </c>
      <c r="B2150" s="116" t="s">
        <v>1142</v>
      </c>
    </row>
    <row r="2151" spans="1:2">
      <c r="A2151" s="118">
        <v>340000</v>
      </c>
      <c r="B2151" s="116" t="s">
        <v>449</v>
      </c>
    </row>
    <row r="2152" spans="1:2">
      <c r="A2152" s="118">
        <v>340100</v>
      </c>
      <c r="B2152" s="116" t="s">
        <v>102</v>
      </c>
    </row>
    <row r="2153" spans="1:2">
      <c r="A2153" s="118">
        <v>400000</v>
      </c>
      <c r="B2153" s="116" t="s">
        <v>1595</v>
      </c>
    </row>
    <row r="2154" spans="1:2">
      <c r="A2154" s="118">
        <v>400100</v>
      </c>
      <c r="B2154" s="116" t="s">
        <v>215</v>
      </c>
    </row>
    <row r="2155" spans="1:2">
      <c r="A2155" s="118">
        <v>400200</v>
      </c>
      <c r="B2155" s="116" t="s">
        <v>433</v>
      </c>
    </row>
    <row r="2156" spans="1:2">
      <c r="A2156" s="118">
        <v>500000</v>
      </c>
      <c r="B2156" s="116" t="s">
        <v>1694</v>
      </c>
    </row>
    <row r="2157" spans="1:2">
      <c r="A2157" s="118">
        <v>500100</v>
      </c>
      <c r="B2157" s="116" t="s">
        <v>1255</v>
      </c>
    </row>
    <row r="2158" spans="1:2">
      <c r="A2158" s="118">
        <v>509900</v>
      </c>
      <c r="B2158" s="116" t="s">
        <v>81</v>
      </c>
    </row>
    <row r="2159" spans="1:2">
      <c r="A2159" s="118">
        <v>600000</v>
      </c>
      <c r="B2159" s="116" t="s">
        <v>795</v>
      </c>
    </row>
    <row r="2160" spans="1:2">
      <c r="A2160" s="118">
        <v>600400</v>
      </c>
      <c r="B2160" s="116" t="s">
        <v>1101</v>
      </c>
    </row>
    <row r="2161" spans="1:2">
      <c r="A2161" s="118">
        <v>607900</v>
      </c>
      <c r="B2161" s="116" t="s">
        <v>1120</v>
      </c>
    </row>
    <row r="2162" spans="1:2">
      <c r="A2162" s="118">
        <v>609200</v>
      </c>
      <c r="B2162" s="116" t="s">
        <v>1625</v>
      </c>
    </row>
    <row r="2163" spans="1:2" ht="25.5">
      <c r="A2163" s="118">
        <v>609300</v>
      </c>
      <c r="B2163" s="116" t="s">
        <v>673</v>
      </c>
    </row>
    <row r="2164" spans="1:2">
      <c r="A2164" s="118">
        <v>609400</v>
      </c>
      <c r="B2164" s="116" t="s">
        <v>638</v>
      </c>
    </row>
    <row r="2165" spans="1:2">
      <c r="A2165" s="118">
        <v>609900</v>
      </c>
      <c r="B2165" s="116" t="s">
        <v>81</v>
      </c>
    </row>
    <row r="2166" spans="1:2">
      <c r="A2166" s="118">
        <v>610000</v>
      </c>
      <c r="B2166" s="116" t="s">
        <v>192</v>
      </c>
    </row>
    <row r="2167" spans="1:2" ht="25.5">
      <c r="A2167" s="118">
        <v>615600</v>
      </c>
      <c r="B2167" s="116" t="s">
        <v>340</v>
      </c>
    </row>
    <row r="2168" spans="1:2">
      <c r="A2168" s="118">
        <v>619000</v>
      </c>
      <c r="B2168" s="116" t="s">
        <v>954</v>
      </c>
    </row>
    <row r="2169" spans="1:2">
      <c r="A2169" s="118">
        <v>619100</v>
      </c>
      <c r="B2169" s="116" t="s">
        <v>20</v>
      </c>
    </row>
    <row r="2170" spans="1:2">
      <c r="A2170" s="118">
        <v>619200</v>
      </c>
      <c r="B2170" s="116" t="s">
        <v>1625</v>
      </c>
    </row>
    <row r="2171" spans="1:2">
      <c r="A2171" s="118">
        <v>619900</v>
      </c>
      <c r="B2171" s="116" t="s">
        <v>81</v>
      </c>
    </row>
    <row r="2172" spans="1:2">
      <c r="A2172" s="118">
        <v>650000</v>
      </c>
      <c r="B2172" s="116" t="s">
        <v>1820</v>
      </c>
    </row>
    <row r="2173" spans="1:2">
      <c r="A2173" s="118">
        <v>650100</v>
      </c>
      <c r="B2173" s="116" t="s">
        <v>881</v>
      </c>
    </row>
    <row r="2174" spans="1:2">
      <c r="A2174" s="118">
        <v>650300</v>
      </c>
      <c r="B2174" s="116" t="s">
        <v>738</v>
      </c>
    </row>
    <row r="2175" spans="1:2">
      <c r="A2175" s="118">
        <v>700000</v>
      </c>
      <c r="B2175" s="116" t="s">
        <v>834</v>
      </c>
    </row>
    <row r="2176" spans="1:2">
      <c r="A2176" s="118">
        <v>700100</v>
      </c>
      <c r="B2176" s="116" t="s">
        <v>657</v>
      </c>
    </row>
    <row r="2177" spans="1:2">
      <c r="A2177" s="118">
        <v>700200</v>
      </c>
      <c r="B2177" s="116" t="s">
        <v>639</v>
      </c>
    </row>
    <row r="2178" spans="1:2" ht="25.5">
      <c r="A2178" s="118">
        <v>700300</v>
      </c>
      <c r="B2178" s="116" t="s">
        <v>542</v>
      </c>
    </row>
    <row r="2179" spans="1:2">
      <c r="A2179" s="118">
        <v>700400</v>
      </c>
      <c r="B2179" s="116" t="s">
        <v>621</v>
      </c>
    </row>
    <row r="2180" spans="1:2">
      <c r="A2180" s="118">
        <v>700500</v>
      </c>
      <c r="B2180" s="116" t="s">
        <v>2107</v>
      </c>
    </row>
    <row r="2181" spans="1:2">
      <c r="A2181" s="118">
        <v>750000</v>
      </c>
      <c r="B2181" s="116" t="s">
        <v>877</v>
      </c>
    </row>
    <row r="2182" spans="1:2">
      <c r="A2182" s="118">
        <v>750100</v>
      </c>
      <c r="B2182" s="116" t="s">
        <v>877</v>
      </c>
    </row>
    <row r="2183" spans="1:2">
      <c r="A2183" s="118">
        <v>800000</v>
      </c>
      <c r="B2183" s="116" t="s">
        <v>683</v>
      </c>
    </row>
    <row r="2184" spans="1:2">
      <c r="A2184" s="118">
        <v>800100</v>
      </c>
      <c r="B2184" s="116" t="s">
        <v>878</v>
      </c>
    </row>
    <row r="2185" spans="1:2">
      <c r="A2185" s="118">
        <v>800200</v>
      </c>
      <c r="B2185" s="116" t="s">
        <v>879</v>
      </c>
    </row>
    <row r="2186" spans="1:2" ht="25.5">
      <c r="A2186" s="118">
        <v>809300</v>
      </c>
      <c r="B2186" s="116" t="s">
        <v>673</v>
      </c>
    </row>
    <row r="2187" spans="1:2">
      <c r="A2187" s="118">
        <v>810000</v>
      </c>
      <c r="B2187" s="116" t="s">
        <v>944</v>
      </c>
    </row>
    <row r="2188" spans="1:2" ht="25.5">
      <c r="A2188" s="118">
        <v>810100</v>
      </c>
      <c r="B2188" s="116" t="s">
        <v>1543</v>
      </c>
    </row>
    <row r="2189" spans="1:2">
      <c r="A2189" s="118">
        <v>810200</v>
      </c>
      <c r="B2189" s="116" t="s">
        <v>269</v>
      </c>
    </row>
    <row r="2190" spans="1:2" ht="25.5">
      <c r="A2190" s="118">
        <v>810300</v>
      </c>
      <c r="B2190" s="116" t="s">
        <v>508</v>
      </c>
    </row>
    <row r="2191" spans="1:2" ht="25.5">
      <c r="A2191" s="118">
        <v>810400</v>
      </c>
      <c r="B2191" s="116" t="s">
        <v>622</v>
      </c>
    </row>
    <row r="2192" spans="1:2">
      <c r="A2192" s="118">
        <v>815013</v>
      </c>
      <c r="B2192" s="116" t="s">
        <v>2475</v>
      </c>
    </row>
    <row r="2193" spans="1:2">
      <c r="A2193" s="118">
        <v>815800</v>
      </c>
      <c r="B2193" s="116" t="s">
        <v>594</v>
      </c>
    </row>
    <row r="2194" spans="1:2">
      <c r="A2194" s="118">
        <v>816800</v>
      </c>
      <c r="B2194" s="116" t="s">
        <v>78</v>
      </c>
    </row>
    <row r="2195" spans="1:2">
      <c r="A2195" s="118">
        <v>816801</v>
      </c>
      <c r="B2195" s="116" t="s">
        <v>404</v>
      </c>
    </row>
    <row r="2196" spans="1:2" ht="25.5">
      <c r="A2196" s="118">
        <v>816802</v>
      </c>
      <c r="B2196" s="116" t="s">
        <v>188</v>
      </c>
    </row>
    <row r="2197" spans="1:2">
      <c r="A2197" s="118">
        <v>816900</v>
      </c>
      <c r="B2197" s="116" t="s">
        <v>366</v>
      </c>
    </row>
    <row r="2198" spans="1:2">
      <c r="A2198" s="118">
        <v>817100</v>
      </c>
      <c r="B2198" s="116" t="s">
        <v>905</v>
      </c>
    </row>
    <row r="2199" spans="1:2">
      <c r="A2199" s="118">
        <v>817101</v>
      </c>
      <c r="B2199" s="116" t="s">
        <v>311</v>
      </c>
    </row>
    <row r="2200" spans="1:2">
      <c r="A2200" s="118">
        <v>817102</v>
      </c>
      <c r="B2200" s="116" t="s">
        <v>196</v>
      </c>
    </row>
    <row r="2201" spans="1:2">
      <c r="A2201" s="118">
        <v>817103</v>
      </c>
      <c r="B2201" s="116" t="s">
        <v>197</v>
      </c>
    </row>
    <row r="2202" spans="1:2">
      <c r="A2202" s="118">
        <v>817200</v>
      </c>
      <c r="B2202" s="116" t="s">
        <v>259</v>
      </c>
    </row>
    <row r="2203" spans="1:2">
      <c r="A2203" s="118">
        <v>817201</v>
      </c>
      <c r="B2203" s="116" t="s">
        <v>647</v>
      </c>
    </row>
    <row r="2204" spans="1:2">
      <c r="A2204" s="118">
        <v>817202</v>
      </c>
      <c r="B2204" s="116" t="s">
        <v>648</v>
      </c>
    </row>
    <row r="2205" spans="1:2">
      <c r="A2205" s="118">
        <v>817203</v>
      </c>
      <c r="B2205" s="116" t="s">
        <v>591</v>
      </c>
    </row>
    <row r="2206" spans="1:2">
      <c r="A2206" s="118">
        <v>817294</v>
      </c>
      <c r="B2206" s="116" t="s">
        <v>2459</v>
      </c>
    </row>
    <row r="2207" spans="1:2">
      <c r="A2207" s="118">
        <v>817600</v>
      </c>
      <c r="B2207" s="116" t="s">
        <v>1119</v>
      </c>
    </row>
    <row r="2208" spans="1:2">
      <c r="A2208" s="118">
        <v>818700</v>
      </c>
      <c r="B2208" s="116" t="s">
        <v>509</v>
      </c>
    </row>
    <row r="2209" spans="1:2">
      <c r="A2209" s="118">
        <v>818800</v>
      </c>
      <c r="B2209" s="116" t="s">
        <v>623</v>
      </c>
    </row>
    <row r="2210" spans="1:2">
      <c r="A2210" s="118">
        <v>819200</v>
      </c>
      <c r="B2210" s="116" t="s">
        <v>1625</v>
      </c>
    </row>
    <row r="2211" spans="1:2" ht="25.5">
      <c r="A2211" s="118">
        <v>819300</v>
      </c>
      <c r="B2211" s="116" t="s">
        <v>673</v>
      </c>
    </row>
    <row r="2212" spans="1:2">
      <c r="A2212" s="118">
        <v>819900</v>
      </c>
      <c r="B2212" s="116" t="s">
        <v>81</v>
      </c>
    </row>
    <row r="2213" spans="1:2" ht="25.5">
      <c r="A2213" s="118">
        <v>900000</v>
      </c>
      <c r="B2213" s="116" t="s">
        <v>510</v>
      </c>
    </row>
    <row r="2214" spans="1:2">
      <c r="A2214" s="118">
        <v>900100</v>
      </c>
      <c r="B2214" s="116" t="s">
        <v>511</v>
      </c>
    </row>
    <row r="2215" spans="1:2">
      <c r="A2215" s="118">
        <v>900200</v>
      </c>
      <c r="B2215" s="116" t="s">
        <v>624</v>
      </c>
    </row>
    <row r="2216" spans="1:2">
      <c r="A2216" s="118">
        <v>909900</v>
      </c>
      <c r="B2216" s="116" t="s">
        <v>81</v>
      </c>
    </row>
    <row r="2217" spans="1:2">
      <c r="A2217" s="118">
        <v>910000</v>
      </c>
      <c r="B2217" s="116" t="s">
        <v>278</v>
      </c>
    </row>
    <row r="2218" spans="1:2">
      <c r="A2218" s="118">
        <v>910100</v>
      </c>
      <c r="B2218" s="116" t="s">
        <v>226</v>
      </c>
    </row>
    <row r="2219" spans="1:2">
      <c r="A2219" s="118">
        <v>910101</v>
      </c>
      <c r="B2219" s="116" t="s">
        <v>506</v>
      </c>
    </row>
    <row r="2220" spans="1:2">
      <c r="A2220" s="118">
        <v>910200</v>
      </c>
      <c r="B2220" s="116" t="s">
        <v>507</v>
      </c>
    </row>
    <row r="2221" spans="1:2">
      <c r="A2221" s="118">
        <v>910300</v>
      </c>
      <c r="B2221" s="116" t="s">
        <v>625</v>
      </c>
    </row>
    <row r="2222" spans="1:2">
      <c r="A2222" s="118">
        <v>920000</v>
      </c>
      <c r="B2222" s="116" t="s">
        <v>724</v>
      </c>
    </row>
    <row r="2223" spans="1:2">
      <c r="A2223" s="118">
        <v>920100</v>
      </c>
      <c r="B2223" s="116" t="s">
        <v>626</v>
      </c>
    </row>
    <row r="2224" spans="1:2" ht="25.5">
      <c r="A2224" s="118">
        <v>920200</v>
      </c>
      <c r="B2224" s="116" t="s">
        <v>343</v>
      </c>
    </row>
    <row r="2225" spans="1:2">
      <c r="A2225" s="118">
        <v>920300</v>
      </c>
      <c r="B2225" s="116" t="s">
        <v>1322</v>
      </c>
    </row>
    <row r="2226" spans="1:2">
      <c r="A2226" s="118">
        <v>920301</v>
      </c>
      <c r="B2226" s="116" t="s">
        <v>733</v>
      </c>
    </row>
    <row r="2227" spans="1:2">
      <c r="A2227" s="118">
        <v>920303</v>
      </c>
      <c r="B2227" s="116" t="s">
        <v>734</v>
      </c>
    </row>
    <row r="2228" spans="1:2">
      <c r="A2228" s="118">
        <v>920305</v>
      </c>
      <c r="B2228" s="116" t="s">
        <v>722</v>
      </c>
    </row>
    <row r="2229" spans="1:2">
      <c r="A2229" s="118">
        <v>920400</v>
      </c>
      <c r="B2229" s="116" t="s">
        <v>233</v>
      </c>
    </row>
    <row r="2230" spans="1:2" ht="25.5">
      <c r="A2230" s="118">
        <v>920500</v>
      </c>
      <c r="B2230" s="116" t="s">
        <v>1941</v>
      </c>
    </row>
    <row r="2231" spans="1:2">
      <c r="A2231" s="118">
        <v>920600</v>
      </c>
      <c r="B2231" s="116" t="s">
        <v>1942</v>
      </c>
    </row>
    <row r="2232" spans="1:2">
      <c r="A2232" s="118">
        <v>920700</v>
      </c>
      <c r="B2232" s="116" t="s">
        <v>899</v>
      </c>
    </row>
    <row r="2233" spans="1:2" ht="25.5">
      <c r="A2233" s="118">
        <v>920800</v>
      </c>
      <c r="B2233" s="116" t="s">
        <v>391</v>
      </c>
    </row>
    <row r="2234" spans="1:2">
      <c r="A2234" s="118">
        <v>920900</v>
      </c>
      <c r="B2234" s="116" t="s">
        <v>266</v>
      </c>
    </row>
    <row r="2235" spans="1:2" ht="25.5">
      <c r="A2235" s="118">
        <v>921200</v>
      </c>
      <c r="B2235" s="116" t="s">
        <v>627</v>
      </c>
    </row>
    <row r="2236" spans="1:2" ht="25.5">
      <c r="A2236" s="118">
        <v>921300</v>
      </c>
      <c r="B2236" s="116" t="s">
        <v>628</v>
      </c>
    </row>
    <row r="2237" spans="1:2" ht="25.5">
      <c r="A2237" s="118">
        <v>921400</v>
      </c>
      <c r="B2237" s="116" t="s">
        <v>629</v>
      </c>
    </row>
    <row r="2238" spans="1:2" ht="51">
      <c r="A2238" s="118">
        <v>921500</v>
      </c>
      <c r="B2238" s="117" t="s">
        <v>1231</v>
      </c>
    </row>
    <row r="2239" spans="1:2">
      <c r="A2239" s="118">
        <v>921600</v>
      </c>
      <c r="B2239" s="116" t="s">
        <v>1232</v>
      </c>
    </row>
    <row r="2240" spans="1:2">
      <c r="A2240" s="118">
        <v>921700</v>
      </c>
      <c r="B2240" s="116" t="s">
        <v>1956</v>
      </c>
    </row>
    <row r="2241" spans="1:3" ht="25.5">
      <c r="A2241" s="118">
        <v>921800</v>
      </c>
      <c r="B2241" s="116" t="s">
        <v>1230</v>
      </c>
    </row>
    <row r="2242" spans="1:3" ht="25.5">
      <c r="A2242" s="118">
        <v>921900</v>
      </c>
      <c r="B2242" s="116" t="s">
        <v>1803</v>
      </c>
    </row>
    <row r="2243" spans="1:3" ht="25.5">
      <c r="A2243" s="118">
        <v>922000</v>
      </c>
      <c r="B2243" s="116" t="s">
        <v>1804</v>
      </c>
    </row>
    <row r="2244" spans="1:3" ht="25.5">
      <c r="A2244" s="118">
        <v>922100</v>
      </c>
      <c r="B2244" s="116" t="s">
        <v>1805</v>
      </c>
    </row>
    <row r="2245" spans="1:3" ht="38.25">
      <c r="A2245" s="118">
        <v>922400</v>
      </c>
      <c r="B2245" s="117" t="s">
        <v>1806</v>
      </c>
    </row>
    <row r="2246" spans="1:3" ht="25.5">
      <c r="A2246" s="118">
        <v>922500</v>
      </c>
      <c r="B2246" s="116" t="s">
        <v>1807</v>
      </c>
    </row>
    <row r="2247" spans="1:3" ht="76.5">
      <c r="A2247" s="118">
        <v>922600</v>
      </c>
      <c r="B2247" s="117" t="s">
        <v>1808</v>
      </c>
    </row>
    <row r="2248" spans="1:3">
      <c r="A2248" s="118">
        <v>922700</v>
      </c>
      <c r="B2248" s="116" t="s">
        <v>1809</v>
      </c>
    </row>
    <row r="2249" spans="1:3">
      <c r="A2249" s="118">
        <v>922800</v>
      </c>
      <c r="B2249" s="116" t="s">
        <v>1810</v>
      </c>
      <c r="C2249" s="92" t="s">
        <v>95</v>
      </c>
    </row>
    <row r="2250" spans="1:3">
      <c r="A2250" s="118">
        <v>922900</v>
      </c>
      <c r="B2250" s="116" t="s">
        <v>1811</v>
      </c>
    </row>
    <row r="2251" spans="1:3" ht="25.5">
      <c r="A2251" s="118">
        <v>923000</v>
      </c>
      <c r="B2251" s="116" t="s">
        <v>1812</v>
      </c>
    </row>
    <row r="2252" spans="1:3" ht="25.5">
      <c r="A2252" s="118">
        <v>923001</v>
      </c>
      <c r="B2252" s="116" t="s">
        <v>1813</v>
      </c>
    </row>
    <row r="2253" spans="1:3">
      <c r="A2253" s="118">
        <v>923100</v>
      </c>
      <c r="B2253" s="116" t="s">
        <v>1814</v>
      </c>
    </row>
    <row r="2254" spans="1:3">
      <c r="A2254" s="118">
        <v>923101</v>
      </c>
      <c r="B2254" s="116" t="s">
        <v>1815</v>
      </c>
    </row>
    <row r="2255" spans="1:3" ht="25.5">
      <c r="A2255" s="118">
        <v>923102</v>
      </c>
      <c r="B2255" s="116" t="s">
        <v>1816</v>
      </c>
    </row>
    <row r="2256" spans="1:3" ht="25.5">
      <c r="A2256" s="118">
        <v>923200</v>
      </c>
      <c r="B2256" s="116" t="s">
        <v>1817</v>
      </c>
    </row>
    <row r="2257" spans="1:2">
      <c r="A2257" s="118">
        <v>923400</v>
      </c>
      <c r="B2257" s="116" t="s">
        <v>1818</v>
      </c>
    </row>
    <row r="2258" spans="1:2" ht="38.25">
      <c r="A2258" s="118">
        <v>923403</v>
      </c>
      <c r="B2258" s="116" t="s">
        <v>2108</v>
      </c>
    </row>
    <row r="2259" spans="1:2">
      <c r="A2259" s="118">
        <v>923500</v>
      </c>
      <c r="B2259" s="116" t="s">
        <v>1819</v>
      </c>
    </row>
    <row r="2260" spans="1:2" ht="25.5">
      <c r="A2260" s="118">
        <v>923700</v>
      </c>
      <c r="B2260" s="116" t="s">
        <v>53</v>
      </c>
    </row>
    <row r="2261" spans="1:2" ht="25.5">
      <c r="A2261" s="118">
        <v>923800</v>
      </c>
      <c r="B2261" s="116" t="s">
        <v>54</v>
      </c>
    </row>
    <row r="2262" spans="1:2">
      <c r="A2262" s="118">
        <v>924000</v>
      </c>
      <c r="B2262" s="116" t="s">
        <v>55</v>
      </c>
    </row>
    <row r="2263" spans="1:2" ht="25.5">
      <c r="A2263" s="118">
        <v>924100</v>
      </c>
      <c r="B2263" s="116" t="s">
        <v>710</v>
      </c>
    </row>
    <row r="2264" spans="1:2" ht="25.5">
      <c r="A2264" s="118">
        <v>924200</v>
      </c>
      <c r="B2264" s="116" t="s">
        <v>711</v>
      </c>
    </row>
    <row r="2265" spans="1:2">
      <c r="A2265" s="118">
        <v>926600</v>
      </c>
      <c r="B2265" s="116" t="s">
        <v>441</v>
      </c>
    </row>
    <row r="2266" spans="1:2" ht="25.5">
      <c r="A2266" s="118">
        <v>928000</v>
      </c>
      <c r="B2266" s="116" t="s">
        <v>1171</v>
      </c>
    </row>
    <row r="2267" spans="1:2">
      <c r="A2267" s="118">
        <v>928400</v>
      </c>
      <c r="B2267" s="116" t="s">
        <v>1172</v>
      </c>
    </row>
    <row r="2268" spans="1:2">
      <c r="A2268" s="118">
        <v>928500</v>
      </c>
      <c r="B2268" s="116" t="s">
        <v>1177</v>
      </c>
    </row>
    <row r="2269" spans="1:2">
      <c r="A2269" s="118">
        <v>929900</v>
      </c>
      <c r="B2269" s="116" t="s">
        <v>81</v>
      </c>
    </row>
    <row r="2270" spans="1:2">
      <c r="A2270" s="118">
        <v>930000</v>
      </c>
      <c r="B2270" s="116" t="s">
        <v>643</v>
      </c>
    </row>
    <row r="2271" spans="1:2" ht="25.5">
      <c r="A2271" s="118">
        <v>930100</v>
      </c>
      <c r="B2271" s="116" t="s">
        <v>712</v>
      </c>
    </row>
    <row r="2272" spans="1:2">
      <c r="A2272" s="118">
        <v>936600</v>
      </c>
      <c r="B2272" s="116" t="s">
        <v>441</v>
      </c>
    </row>
    <row r="2273" spans="1:2">
      <c r="A2273" s="118">
        <v>939900</v>
      </c>
      <c r="B2273" s="116" t="s">
        <v>81</v>
      </c>
    </row>
    <row r="2274" spans="1:2">
      <c r="A2274" s="118">
        <v>940000</v>
      </c>
      <c r="B2274" s="116" t="s">
        <v>443</v>
      </c>
    </row>
    <row r="2275" spans="1:2">
      <c r="A2275" s="118">
        <v>948400</v>
      </c>
      <c r="B2275" s="116" t="s">
        <v>1663</v>
      </c>
    </row>
    <row r="2276" spans="1:2">
      <c r="A2276" s="118">
        <v>950000</v>
      </c>
      <c r="B2276" s="116" t="s">
        <v>713</v>
      </c>
    </row>
    <row r="2277" spans="1:2" ht="25.5">
      <c r="A2277" s="118">
        <v>960000</v>
      </c>
      <c r="B2277" s="116" t="s">
        <v>1296</v>
      </c>
    </row>
    <row r="2278" spans="1:2" ht="25.5">
      <c r="A2278" s="118">
        <v>960100</v>
      </c>
      <c r="B2278" s="116" t="s">
        <v>1297</v>
      </c>
    </row>
    <row r="2279" spans="1:2" ht="38.25">
      <c r="A2279" s="118">
        <v>960200</v>
      </c>
      <c r="B2279" s="116" t="s">
        <v>1292</v>
      </c>
    </row>
    <row r="2280" spans="1:2" ht="25.5">
      <c r="A2280" s="118">
        <v>960300</v>
      </c>
      <c r="B2280" s="116" t="s">
        <v>1293</v>
      </c>
    </row>
    <row r="2281" spans="1:2">
      <c r="A2281" s="118">
        <v>970000</v>
      </c>
      <c r="B2281" s="116" t="s">
        <v>1294</v>
      </c>
    </row>
    <row r="2282" spans="1:2">
      <c r="A2282" s="118">
        <v>970100</v>
      </c>
      <c r="B2282" s="116" t="s">
        <v>1295</v>
      </c>
    </row>
    <row r="2283" spans="1:2" ht="25.5">
      <c r="A2283" s="118">
        <v>980000</v>
      </c>
      <c r="B2283" s="116" t="s">
        <v>1868</v>
      </c>
    </row>
    <row r="2284" spans="1:2" ht="38.25">
      <c r="A2284" s="118">
        <v>980100</v>
      </c>
      <c r="B2284" s="116" t="s">
        <v>1384</v>
      </c>
    </row>
    <row r="2285" spans="1:2" ht="25.5">
      <c r="A2285" s="118">
        <v>980101</v>
      </c>
      <c r="B2285" s="116" t="s">
        <v>1109</v>
      </c>
    </row>
    <row r="2286" spans="1:2" ht="25.5">
      <c r="A2286" s="118">
        <v>980102</v>
      </c>
      <c r="B2286" s="116" t="s">
        <v>2109</v>
      </c>
    </row>
    <row r="2287" spans="1:2" ht="38.25">
      <c r="A2287" s="118">
        <v>980104</v>
      </c>
      <c r="B2287" s="116" t="s">
        <v>2110</v>
      </c>
    </row>
    <row r="2288" spans="1:2" ht="25.5">
      <c r="A2288" s="118">
        <v>980200</v>
      </c>
      <c r="B2288" s="116" t="s">
        <v>2111</v>
      </c>
    </row>
    <row r="2289" spans="1:2" ht="25.5">
      <c r="A2289" s="118">
        <v>980201</v>
      </c>
      <c r="B2289" s="116" t="s">
        <v>2112</v>
      </c>
    </row>
    <row r="2290" spans="1:2">
      <c r="A2290" s="118">
        <v>980202</v>
      </c>
      <c r="B2290" s="116" t="s">
        <v>2113</v>
      </c>
    </row>
    <row r="2291" spans="1:2" ht="25.5">
      <c r="A2291" s="118">
        <v>980204</v>
      </c>
      <c r="B2291" s="116" t="s">
        <v>1680</v>
      </c>
    </row>
    <row r="2292" spans="1:2" ht="25.5">
      <c r="A2292" s="118">
        <v>980300</v>
      </c>
      <c r="B2292" s="116" t="s">
        <v>1869</v>
      </c>
    </row>
    <row r="2293" spans="1:2">
      <c r="A2293" s="118">
        <v>990000</v>
      </c>
      <c r="B2293" s="116" t="s">
        <v>1870</v>
      </c>
    </row>
    <row r="2294" spans="1:2">
      <c r="A2294" s="118">
        <v>990100</v>
      </c>
      <c r="B2294" s="116" t="s">
        <v>1871</v>
      </c>
    </row>
    <row r="2295" spans="1:2">
      <c r="A2295" s="118" t="s">
        <v>1872</v>
      </c>
      <c r="B2295" s="116"/>
    </row>
    <row r="2296" spans="1:2" ht="25.5">
      <c r="A2296" s="118">
        <v>990102</v>
      </c>
      <c r="B2296" s="116" t="s">
        <v>1873</v>
      </c>
    </row>
    <row r="2297" spans="1:2">
      <c r="A2297" s="118">
        <v>990104</v>
      </c>
      <c r="B2297" s="116" t="s">
        <v>1874</v>
      </c>
    </row>
    <row r="2298" spans="1:2" ht="25.5">
      <c r="A2298" s="118">
        <v>990105</v>
      </c>
      <c r="B2298" s="116" t="s">
        <v>1875</v>
      </c>
    </row>
    <row r="2299" spans="1:2">
      <c r="A2299" s="118">
        <v>990106</v>
      </c>
      <c r="B2299" s="116" t="s">
        <v>1876</v>
      </c>
    </row>
    <row r="2300" spans="1:2">
      <c r="A2300" s="118">
        <v>990107</v>
      </c>
      <c r="B2300" s="116" t="s">
        <v>668</v>
      </c>
    </row>
    <row r="2301" spans="1:2" ht="25.5">
      <c r="A2301" s="118">
        <v>990108</v>
      </c>
      <c r="B2301" s="116" t="s">
        <v>669</v>
      </c>
    </row>
    <row r="2302" spans="1:2" ht="25.5">
      <c r="A2302" s="118">
        <v>990109</v>
      </c>
      <c r="B2302" s="116" t="s">
        <v>670</v>
      </c>
    </row>
    <row r="2303" spans="1:2" ht="25.5">
      <c r="A2303" s="118">
        <v>990110</v>
      </c>
      <c r="B2303" s="116" t="s">
        <v>671</v>
      </c>
    </row>
    <row r="2304" spans="1:2" ht="25.5">
      <c r="A2304" s="118">
        <v>990200</v>
      </c>
      <c r="B2304" s="116" t="s">
        <v>672</v>
      </c>
    </row>
    <row r="2305" spans="1:2" ht="25.5">
      <c r="A2305" s="118">
        <v>990201</v>
      </c>
      <c r="B2305" s="116" t="s">
        <v>665</v>
      </c>
    </row>
    <row r="2306" spans="1:2">
      <c r="A2306" s="118">
        <v>990300</v>
      </c>
      <c r="B2306" s="116" t="s">
        <v>1882</v>
      </c>
    </row>
    <row r="2307" spans="1:2" ht="25.5">
      <c r="A2307" s="118">
        <v>990302</v>
      </c>
      <c r="B2307" s="116" t="s">
        <v>1883</v>
      </c>
    </row>
    <row r="2308" spans="1:2" ht="25.5">
      <c r="A2308" s="118">
        <v>990400</v>
      </c>
      <c r="B2308" s="116" t="s">
        <v>1884</v>
      </c>
    </row>
    <row r="2309" spans="1:2" ht="51">
      <c r="A2309" s="118">
        <v>990401</v>
      </c>
      <c r="B2309" s="117" t="s">
        <v>1885</v>
      </c>
    </row>
    <row r="2310" spans="1:2" ht="38.25">
      <c r="A2310" s="118">
        <v>990402</v>
      </c>
      <c r="B2310" s="117" t="s">
        <v>1886</v>
      </c>
    </row>
    <row r="2311" spans="1:2" ht="63.75">
      <c r="A2311" s="118">
        <v>990403</v>
      </c>
      <c r="B2311" s="117" t="s">
        <v>751</v>
      </c>
    </row>
    <row r="2312" spans="1:2" ht="38.25">
      <c r="A2312" s="118">
        <v>990404</v>
      </c>
      <c r="B2312" s="116" t="s">
        <v>752</v>
      </c>
    </row>
    <row r="2313" spans="1:2" ht="38.25">
      <c r="A2313" s="118">
        <v>990405</v>
      </c>
      <c r="B2313" s="116" t="s">
        <v>122</v>
      </c>
    </row>
    <row r="2314" spans="1:2" ht="25.5">
      <c r="A2314" s="118">
        <v>990407</v>
      </c>
      <c r="B2314" s="116" t="s">
        <v>123</v>
      </c>
    </row>
    <row r="2315" spans="1:2">
      <c r="A2315" s="118" t="s">
        <v>124</v>
      </c>
      <c r="B2315" s="116"/>
    </row>
    <row r="2316" spans="1:2">
      <c r="A2316" s="118">
        <v>990600</v>
      </c>
      <c r="B2316" s="116" t="s">
        <v>125</v>
      </c>
    </row>
    <row r="2317" spans="1:2" ht="38.25">
      <c r="A2317" s="118">
        <v>990601</v>
      </c>
      <c r="B2317" s="116" t="s">
        <v>126</v>
      </c>
    </row>
    <row r="2318" spans="1:2">
      <c r="A2318" s="118">
        <v>990700</v>
      </c>
      <c r="B2318" s="116" t="s">
        <v>127</v>
      </c>
    </row>
    <row r="2319" spans="1:2">
      <c r="A2319" s="118" t="s">
        <v>128</v>
      </c>
      <c r="B2319" s="116"/>
    </row>
    <row r="2320" spans="1:2">
      <c r="A2320" s="118">
        <v>990701</v>
      </c>
      <c r="B2320" s="116" t="s">
        <v>129</v>
      </c>
    </row>
    <row r="2321" spans="1:2">
      <c r="A2321" s="118" t="s">
        <v>130</v>
      </c>
      <c r="B2321" s="116"/>
    </row>
    <row r="2322" spans="1:2" ht="25.5">
      <c r="A2322" s="118">
        <v>990702</v>
      </c>
      <c r="B2322" s="116" t="s">
        <v>131</v>
      </c>
    </row>
    <row r="2323" spans="1:2">
      <c r="A2323" s="118">
        <v>990800</v>
      </c>
      <c r="B2323" s="116" t="s">
        <v>132</v>
      </c>
    </row>
    <row r="2324" spans="1:2">
      <c r="A2324" s="118">
        <v>990801</v>
      </c>
      <c r="B2324" s="116" t="s">
        <v>133</v>
      </c>
    </row>
    <row r="2325" spans="1:2">
      <c r="A2325" s="118">
        <v>1000000</v>
      </c>
      <c r="B2325" s="116" t="s">
        <v>800</v>
      </c>
    </row>
    <row r="2326" spans="1:2">
      <c r="A2326" s="118">
        <v>1000100</v>
      </c>
      <c r="B2326" s="116" t="s">
        <v>401</v>
      </c>
    </row>
    <row r="2327" spans="1:2">
      <c r="A2327" s="118">
        <v>1000101</v>
      </c>
      <c r="B2327" s="116" t="s">
        <v>402</v>
      </c>
    </row>
    <row r="2328" spans="1:2">
      <c r="A2328" s="118">
        <v>1000102</v>
      </c>
      <c r="B2328" s="116" t="s">
        <v>206</v>
      </c>
    </row>
    <row r="2329" spans="1:2">
      <c r="A2329" s="118">
        <v>1000103</v>
      </c>
      <c r="B2329" s="116" t="s">
        <v>892</v>
      </c>
    </row>
    <row r="2330" spans="1:2">
      <c r="A2330" s="118">
        <v>1000104</v>
      </c>
      <c r="B2330" s="116" t="s">
        <v>134</v>
      </c>
    </row>
    <row r="2331" spans="1:2">
      <c r="A2331" s="118">
        <v>1000105</v>
      </c>
      <c r="B2331" s="116" t="s">
        <v>893</v>
      </c>
    </row>
    <row r="2332" spans="1:2">
      <c r="A2332" s="118">
        <v>1000106</v>
      </c>
      <c r="B2332" s="116" t="s">
        <v>135</v>
      </c>
    </row>
    <row r="2333" spans="1:2">
      <c r="A2333" s="118">
        <v>1000107</v>
      </c>
      <c r="B2333" s="116" t="s">
        <v>894</v>
      </c>
    </row>
    <row r="2334" spans="1:2">
      <c r="A2334" s="118">
        <v>1000108</v>
      </c>
      <c r="B2334" s="116" t="s">
        <v>136</v>
      </c>
    </row>
    <row r="2335" spans="1:2">
      <c r="A2335" s="118">
        <v>1000109</v>
      </c>
      <c r="B2335" s="116" t="s">
        <v>137</v>
      </c>
    </row>
    <row r="2336" spans="1:2">
      <c r="A2336" s="118">
        <v>1000110</v>
      </c>
      <c r="B2336" s="116" t="s">
        <v>138</v>
      </c>
    </row>
    <row r="2337" spans="1:2" ht="25.5">
      <c r="A2337" s="118">
        <v>1000112</v>
      </c>
      <c r="B2337" s="116" t="s">
        <v>1123</v>
      </c>
    </row>
    <row r="2338" spans="1:2">
      <c r="A2338" s="118">
        <v>1000113</v>
      </c>
      <c r="B2338" s="116" t="s">
        <v>514</v>
      </c>
    </row>
    <row r="2339" spans="1:2">
      <c r="A2339" s="118">
        <v>1000200</v>
      </c>
      <c r="B2339" s="116" t="s">
        <v>139</v>
      </c>
    </row>
    <row r="2340" spans="1:2">
      <c r="A2340" s="118">
        <v>1000201</v>
      </c>
      <c r="B2340" s="116" t="s">
        <v>140</v>
      </c>
    </row>
    <row r="2341" spans="1:2">
      <c r="A2341" s="118">
        <v>1000202</v>
      </c>
      <c r="B2341" s="116" t="s">
        <v>141</v>
      </c>
    </row>
    <row r="2342" spans="1:2" ht="25.5">
      <c r="A2342" s="118">
        <v>1000203</v>
      </c>
      <c r="B2342" s="116" t="s">
        <v>2114</v>
      </c>
    </row>
    <row r="2343" spans="1:2">
      <c r="A2343" s="118">
        <v>1000204</v>
      </c>
      <c r="B2343" s="116" t="s">
        <v>142</v>
      </c>
    </row>
    <row r="2344" spans="1:2">
      <c r="A2344" s="118">
        <v>1000300</v>
      </c>
      <c r="B2344" s="116" t="s">
        <v>143</v>
      </c>
    </row>
    <row r="2345" spans="1:2" ht="25.5">
      <c r="A2345" s="118">
        <v>1000400</v>
      </c>
      <c r="B2345" s="116" t="s">
        <v>144</v>
      </c>
    </row>
    <row r="2346" spans="1:2">
      <c r="A2346" s="118">
        <v>1000500</v>
      </c>
      <c r="B2346" s="116" t="s">
        <v>411</v>
      </c>
    </row>
    <row r="2347" spans="1:2">
      <c r="A2347" s="118">
        <v>1000502</v>
      </c>
      <c r="B2347" s="116" t="s">
        <v>840</v>
      </c>
    </row>
    <row r="2348" spans="1:2">
      <c r="A2348" s="118">
        <v>1000503</v>
      </c>
      <c r="B2348" s="116" t="s">
        <v>321</v>
      </c>
    </row>
    <row r="2349" spans="1:2">
      <c r="A2349" s="118">
        <v>1000505</v>
      </c>
      <c r="B2349" s="116" t="s">
        <v>145</v>
      </c>
    </row>
    <row r="2350" spans="1:2">
      <c r="A2350" s="118">
        <v>1000506</v>
      </c>
      <c r="B2350" s="116" t="s">
        <v>146</v>
      </c>
    </row>
    <row r="2351" spans="1:2">
      <c r="A2351" s="118">
        <v>1000507</v>
      </c>
      <c r="B2351" s="116" t="s">
        <v>322</v>
      </c>
    </row>
    <row r="2352" spans="1:2">
      <c r="A2352" s="118">
        <v>1000509</v>
      </c>
      <c r="B2352" s="116" t="s">
        <v>323</v>
      </c>
    </row>
    <row r="2353" spans="1:2">
      <c r="A2353" s="118">
        <v>1000510</v>
      </c>
      <c r="B2353" s="116" t="s">
        <v>147</v>
      </c>
    </row>
    <row r="2354" spans="1:2">
      <c r="A2354" s="118">
        <v>1000512</v>
      </c>
      <c r="B2354" s="116" t="s">
        <v>148</v>
      </c>
    </row>
    <row r="2355" spans="1:2">
      <c r="A2355" s="118">
        <v>1000600</v>
      </c>
      <c r="B2355" s="116" t="s">
        <v>771</v>
      </c>
    </row>
    <row r="2356" spans="1:2">
      <c r="A2356" s="118">
        <v>1000700</v>
      </c>
      <c r="B2356" s="116" t="s">
        <v>971</v>
      </c>
    </row>
    <row r="2357" spans="1:2">
      <c r="A2357" s="118">
        <v>1000701</v>
      </c>
      <c r="B2357" s="116" t="s">
        <v>520</v>
      </c>
    </row>
    <row r="2358" spans="1:2" ht="25.5">
      <c r="A2358" s="118">
        <v>1000702</v>
      </c>
      <c r="B2358" s="116" t="s">
        <v>772</v>
      </c>
    </row>
    <row r="2359" spans="1:2" ht="25.5">
      <c r="A2359" s="118">
        <v>1000900</v>
      </c>
      <c r="B2359" s="116" t="s">
        <v>1509</v>
      </c>
    </row>
    <row r="2360" spans="1:2">
      <c r="A2360" s="118">
        <v>1001000</v>
      </c>
      <c r="B2360" s="116" t="s">
        <v>773</v>
      </c>
    </row>
    <row r="2361" spans="1:2" ht="25.5">
      <c r="A2361" s="118">
        <v>1001100</v>
      </c>
      <c r="B2361" s="116" t="s">
        <v>2191</v>
      </c>
    </row>
    <row r="2362" spans="1:2" ht="25.5">
      <c r="A2362" s="118">
        <v>1001102</v>
      </c>
      <c r="B2362" s="116" t="s">
        <v>2192</v>
      </c>
    </row>
    <row r="2363" spans="1:2" ht="25.5">
      <c r="A2363" s="118">
        <v>1001122</v>
      </c>
      <c r="B2363" s="116" t="s">
        <v>1378</v>
      </c>
    </row>
    <row r="2364" spans="1:2">
      <c r="A2364" s="118">
        <v>1001200</v>
      </c>
      <c r="B2364" s="116" t="s">
        <v>2115</v>
      </c>
    </row>
    <row r="2365" spans="1:2">
      <c r="A2365" s="118">
        <v>1001202</v>
      </c>
      <c r="B2365" s="116" t="s">
        <v>2116</v>
      </c>
    </row>
    <row r="2366" spans="1:2">
      <c r="A2366" s="118">
        <v>1001300</v>
      </c>
      <c r="B2366" s="116" t="s">
        <v>677</v>
      </c>
    </row>
    <row r="2367" spans="1:2">
      <c r="A2367" s="118">
        <v>1001301</v>
      </c>
      <c r="B2367" s="116" t="s">
        <v>678</v>
      </c>
    </row>
    <row r="2368" spans="1:2">
      <c r="A2368" s="118">
        <v>1001302</v>
      </c>
      <c r="B2368" s="116" t="s">
        <v>679</v>
      </c>
    </row>
    <row r="2369" spans="1:2">
      <c r="A2369" s="118">
        <v>1001303</v>
      </c>
      <c r="B2369" s="116" t="s">
        <v>1541</v>
      </c>
    </row>
    <row r="2370" spans="1:2">
      <c r="A2370" s="118">
        <v>1001400</v>
      </c>
      <c r="B2370" s="116" t="s">
        <v>1379</v>
      </c>
    </row>
    <row r="2371" spans="1:2" ht="25.5">
      <c r="A2371" s="118">
        <v>1001401</v>
      </c>
      <c r="B2371" s="116" t="s">
        <v>1375</v>
      </c>
    </row>
    <row r="2372" spans="1:2">
      <c r="A2372" s="118">
        <v>1001402</v>
      </c>
      <c r="B2372" s="116" t="s">
        <v>1376</v>
      </c>
    </row>
    <row r="2373" spans="1:2">
      <c r="A2373" s="118">
        <v>1001500</v>
      </c>
      <c r="B2373" s="116" t="s">
        <v>1377</v>
      </c>
    </row>
    <row r="2374" spans="1:2">
      <c r="A2374" s="118">
        <v>1001600</v>
      </c>
      <c r="B2374" s="116" t="s">
        <v>980</v>
      </c>
    </row>
    <row r="2375" spans="1:2">
      <c r="A2375" s="118">
        <v>1001700</v>
      </c>
      <c r="B2375" s="116" t="s">
        <v>1913</v>
      </c>
    </row>
    <row r="2376" spans="1:2" ht="25.5">
      <c r="A2376" s="118">
        <v>1001800</v>
      </c>
      <c r="B2376" s="116" t="s">
        <v>315</v>
      </c>
    </row>
    <row r="2377" spans="1:2">
      <c r="A2377" s="118">
        <v>1001900</v>
      </c>
      <c r="B2377" s="116" t="s">
        <v>1914</v>
      </c>
    </row>
    <row r="2378" spans="1:2" ht="25.5">
      <c r="A2378" s="118">
        <v>1001901</v>
      </c>
      <c r="B2378" s="116" t="s">
        <v>1915</v>
      </c>
    </row>
    <row r="2379" spans="1:2" ht="25.5">
      <c r="A2379" s="118">
        <v>1001902</v>
      </c>
      <c r="B2379" s="116" t="s">
        <v>1635</v>
      </c>
    </row>
    <row r="2380" spans="1:2">
      <c r="A2380" s="118">
        <v>1002000</v>
      </c>
      <c r="B2380" s="116" t="s">
        <v>1636</v>
      </c>
    </row>
    <row r="2381" spans="1:2" ht="25.5">
      <c r="A2381" s="118">
        <v>1002100</v>
      </c>
      <c r="B2381" s="116" t="s">
        <v>497</v>
      </c>
    </row>
    <row r="2382" spans="1:2">
      <c r="A2382" s="118">
        <v>1002200</v>
      </c>
      <c r="B2382" s="116" t="s">
        <v>1637</v>
      </c>
    </row>
    <row r="2383" spans="1:2">
      <c r="A2383" s="118">
        <v>1002201</v>
      </c>
      <c r="B2383" s="116" t="s">
        <v>1638</v>
      </c>
    </row>
    <row r="2384" spans="1:2">
      <c r="A2384" s="118">
        <v>1002203</v>
      </c>
      <c r="B2384" s="116" t="s">
        <v>1639</v>
      </c>
    </row>
    <row r="2385" spans="1:2">
      <c r="A2385" s="118">
        <v>1002204</v>
      </c>
      <c r="B2385" s="116" t="s">
        <v>1640</v>
      </c>
    </row>
    <row r="2386" spans="1:2">
      <c r="A2386" s="118">
        <v>1002208</v>
      </c>
      <c r="B2386" s="116" t="s">
        <v>1641</v>
      </c>
    </row>
    <row r="2387" spans="1:2">
      <c r="A2387" s="118">
        <v>1002209</v>
      </c>
      <c r="B2387" s="116" t="s">
        <v>1642</v>
      </c>
    </row>
    <row r="2388" spans="1:2" ht="25.5">
      <c r="A2388" s="118">
        <v>1002211</v>
      </c>
      <c r="B2388" s="116" t="s">
        <v>1643</v>
      </c>
    </row>
    <row r="2389" spans="1:2" ht="25.5">
      <c r="A2389" s="118">
        <v>1002300</v>
      </c>
      <c r="B2389" s="116" t="s">
        <v>1644</v>
      </c>
    </row>
    <row r="2390" spans="1:2">
      <c r="A2390" s="118">
        <v>1002301</v>
      </c>
      <c r="B2390" s="116" t="s">
        <v>1317</v>
      </c>
    </row>
    <row r="2391" spans="1:2">
      <c r="A2391" s="118">
        <v>1002302</v>
      </c>
      <c r="B2391" s="116" t="s">
        <v>1318</v>
      </c>
    </row>
    <row r="2392" spans="1:2">
      <c r="A2392" s="118">
        <v>1002303</v>
      </c>
      <c r="B2392" s="116" t="s">
        <v>310</v>
      </c>
    </row>
    <row r="2393" spans="1:2">
      <c r="A2393" s="118">
        <v>1002304</v>
      </c>
      <c r="B2393" s="116" t="s">
        <v>1664</v>
      </c>
    </row>
    <row r="2394" spans="1:2">
      <c r="A2394" s="118">
        <v>1002305</v>
      </c>
      <c r="B2394" s="116" t="s">
        <v>897</v>
      </c>
    </row>
    <row r="2395" spans="1:2">
      <c r="A2395" s="118">
        <v>1002306</v>
      </c>
      <c r="B2395" s="116" t="s">
        <v>898</v>
      </c>
    </row>
    <row r="2396" spans="1:2">
      <c r="A2396" s="118">
        <v>1002307</v>
      </c>
      <c r="B2396" s="116" t="s">
        <v>250</v>
      </c>
    </row>
    <row r="2397" spans="1:2">
      <c r="A2397" s="118">
        <v>1002308</v>
      </c>
      <c r="B2397" s="116" t="s">
        <v>731</v>
      </c>
    </row>
    <row r="2398" spans="1:2">
      <c r="A2398" s="118">
        <v>1002309</v>
      </c>
      <c r="B2398" s="116" t="s">
        <v>1943</v>
      </c>
    </row>
    <row r="2399" spans="1:2" ht="25.5">
      <c r="A2399" s="118">
        <v>1002500</v>
      </c>
      <c r="B2399" s="116" t="s">
        <v>1691</v>
      </c>
    </row>
    <row r="2400" spans="1:2" ht="25.5">
      <c r="A2400" s="118">
        <v>1002601</v>
      </c>
      <c r="B2400" s="116" t="s">
        <v>1645</v>
      </c>
    </row>
    <row r="2401" spans="1:2">
      <c r="A2401" s="118">
        <v>1002602</v>
      </c>
      <c r="B2401" s="116" t="s">
        <v>1646</v>
      </c>
    </row>
    <row r="2402" spans="1:2">
      <c r="A2402" s="118">
        <v>1002603</v>
      </c>
      <c r="B2402" s="116" t="s">
        <v>1647</v>
      </c>
    </row>
    <row r="2403" spans="1:2" ht="25.5">
      <c r="A2403" s="118">
        <v>1002604</v>
      </c>
      <c r="B2403" s="116" t="s">
        <v>1648</v>
      </c>
    </row>
    <row r="2404" spans="1:2">
      <c r="A2404" s="118">
        <v>1002605</v>
      </c>
      <c r="B2404" s="116" t="s">
        <v>1649</v>
      </c>
    </row>
    <row r="2405" spans="1:2" ht="25.5">
      <c r="A2405" s="118">
        <v>1002606</v>
      </c>
      <c r="B2405" s="116" t="s">
        <v>1650</v>
      </c>
    </row>
    <row r="2406" spans="1:2">
      <c r="A2406" s="118">
        <v>1002607</v>
      </c>
      <c r="B2406" s="116" t="s">
        <v>1651</v>
      </c>
    </row>
    <row r="2407" spans="1:2">
      <c r="A2407" s="118">
        <v>1002608</v>
      </c>
      <c r="B2407" s="116" t="s">
        <v>1652</v>
      </c>
    </row>
    <row r="2408" spans="1:2" ht="25.5">
      <c r="A2408" s="118">
        <v>1002609</v>
      </c>
      <c r="B2408" s="116" t="s">
        <v>1653</v>
      </c>
    </row>
    <row r="2409" spans="1:2" ht="25.5">
      <c r="A2409" s="118">
        <v>1002610</v>
      </c>
      <c r="B2409" s="116" t="s">
        <v>1916</v>
      </c>
    </row>
    <row r="2410" spans="1:2" ht="25.5">
      <c r="A2410" s="118">
        <v>1002611</v>
      </c>
      <c r="B2410" s="116" t="s">
        <v>1917</v>
      </c>
    </row>
    <row r="2411" spans="1:2" ht="25.5">
      <c r="A2411" s="118">
        <v>1002612</v>
      </c>
      <c r="B2411" s="116" t="s">
        <v>1918</v>
      </c>
    </row>
    <row r="2412" spans="1:2" ht="25.5">
      <c r="A2412" s="118">
        <v>1002613</v>
      </c>
      <c r="B2412" s="116" t="s">
        <v>1919</v>
      </c>
    </row>
    <row r="2413" spans="1:2" ht="25.5">
      <c r="A2413" s="118">
        <v>1002614</v>
      </c>
      <c r="B2413" s="116" t="s">
        <v>1920</v>
      </c>
    </row>
    <row r="2414" spans="1:2" ht="25.5">
      <c r="A2414" s="118">
        <v>1002615</v>
      </c>
      <c r="B2414" s="116" t="s">
        <v>1921</v>
      </c>
    </row>
    <row r="2415" spans="1:2" ht="25.5">
      <c r="A2415" s="118">
        <v>1002616</v>
      </c>
      <c r="B2415" s="116" t="s">
        <v>1922</v>
      </c>
    </row>
    <row r="2416" spans="1:2">
      <c r="A2416" s="118">
        <v>1002617</v>
      </c>
      <c r="B2416" s="116" t="s">
        <v>1923</v>
      </c>
    </row>
    <row r="2417" spans="1:2">
      <c r="A2417" s="118">
        <v>1002618</v>
      </c>
      <c r="B2417" s="116" t="s">
        <v>1924</v>
      </c>
    </row>
    <row r="2418" spans="1:2" ht="25.5">
      <c r="A2418" s="118">
        <v>1002619</v>
      </c>
      <c r="B2418" s="116" t="s">
        <v>1925</v>
      </c>
    </row>
    <row r="2419" spans="1:2" ht="25.5">
      <c r="A2419" s="118">
        <v>1002620</v>
      </c>
      <c r="B2419" s="116" t="s">
        <v>1926</v>
      </c>
    </row>
    <row r="2420" spans="1:2">
      <c r="A2420" s="118">
        <v>1002800</v>
      </c>
      <c r="B2420" s="116" t="s">
        <v>1927</v>
      </c>
    </row>
    <row r="2421" spans="1:2">
      <c r="A2421" s="118">
        <v>1002900</v>
      </c>
      <c r="B2421" s="116" t="s">
        <v>1236</v>
      </c>
    </row>
    <row r="2422" spans="1:2" ht="25.5">
      <c r="A2422" s="118">
        <v>1003000</v>
      </c>
      <c r="B2422" s="116" t="s">
        <v>658</v>
      </c>
    </row>
    <row r="2423" spans="1:2">
      <c r="A2423" s="118">
        <v>1003200</v>
      </c>
      <c r="B2423" s="116" t="s">
        <v>352</v>
      </c>
    </row>
    <row r="2424" spans="1:2">
      <c r="A2424" s="118">
        <v>1003300</v>
      </c>
      <c r="B2424" s="116" t="s">
        <v>1928</v>
      </c>
    </row>
    <row r="2425" spans="1:2">
      <c r="A2425" s="118">
        <v>1003400</v>
      </c>
      <c r="B2425" s="116" t="s">
        <v>260</v>
      </c>
    </row>
    <row r="2426" spans="1:2" ht="25.5">
      <c r="A2426" s="118">
        <v>1003500</v>
      </c>
      <c r="B2426" s="116" t="s">
        <v>1929</v>
      </c>
    </row>
    <row r="2427" spans="1:2" ht="25.5">
      <c r="A2427" s="118">
        <v>1003501</v>
      </c>
      <c r="B2427" s="116" t="s">
        <v>360</v>
      </c>
    </row>
    <row r="2428" spans="1:2" ht="25.5">
      <c r="A2428" s="118">
        <v>1003502</v>
      </c>
      <c r="B2428" s="116" t="s">
        <v>1313</v>
      </c>
    </row>
    <row r="2429" spans="1:2">
      <c r="A2429" s="118">
        <v>1003503</v>
      </c>
      <c r="B2429" s="116" t="s">
        <v>1930</v>
      </c>
    </row>
    <row r="2430" spans="1:2" ht="25.5">
      <c r="A2430" s="118">
        <v>1003504</v>
      </c>
      <c r="B2430" s="116" t="s">
        <v>1931</v>
      </c>
    </row>
    <row r="2431" spans="1:2">
      <c r="A2431" s="118">
        <v>1003600</v>
      </c>
      <c r="B2431" s="116" t="s">
        <v>801</v>
      </c>
    </row>
    <row r="2432" spans="1:2">
      <c r="A2432" s="118">
        <v>1003601</v>
      </c>
      <c r="B2432" s="116" t="s">
        <v>836</v>
      </c>
    </row>
    <row r="2433" spans="1:2" ht="25.5">
      <c r="A2433" s="118">
        <v>1003602</v>
      </c>
      <c r="B2433" s="116" t="s">
        <v>653</v>
      </c>
    </row>
    <row r="2434" spans="1:2">
      <c r="A2434" s="118">
        <v>1003603</v>
      </c>
      <c r="B2434" s="116" t="s">
        <v>103</v>
      </c>
    </row>
    <row r="2435" spans="1:2">
      <c r="A2435" s="118">
        <v>1003604</v>
      </c>
      <c r="B2435" s="116" t="s">
        <v>282</v>
      </c>
    </row>
    <row r="2436" spans="1:2">
      <c r="A2436" s="118">
        <v>1003605</v>
      </c>
      <c r="B2436" s="116" t="s">
        <v>1666</v>
      </c>
    </row>
    <row r="2437" spans="1:2">
      <c r="A2437" s="118">
        <v>1003700</v>
      </c>
      <c r="B2437" s="116" t="s">
        <v>217</v>
      </c>
    </row>
    <row r="2438" spans="1:2">
      <c r="A2438" s="118">
        <v>1003701</v>
      </c>
      <c r="B2438" s="116" t="s">
        <v>1932</v>
      </c>
    </row>
    <row r="2439" spans="1:2" ht="25.5">
      <c r="A2439" s="118">
        <v>1003702</v>
      </c>
      <c r="B2439" s="116" t="s">
        <v>849</v>
      </c>
    </row>
    <row r="2440" spans="1:2" ht="25.5">
      <c r="A2440" s="118">
        <v>1003703</v>
      </c>
      <c r="B2440" s="116" t="s">
        <v>850</v>
      </c>
    </row>
    <row r="2441" spans="1:2">
      <c r="A2441" s="118">
        <v>1003704</v>
      </c>
      <c r="B2441" s="116" t="s">
        <v>851</v>
      </c>
    </row>
    <row r="2442" spans="1:2" ht="25.5">
      <c r="A2442" s="118">
        <v>1003800</v>
      </c>
      <c r="B2442" s="116" t="s">
        <v>573</v>
      </c>
    </row>
    <row r="2443" spans="1:2" ht="25.5">
      <c r="A2443" s="118">
        <v>1003900</v>
      </c>
      <c r="B2443" s="116" t="s">
        <v>120</v>
      </c>
    </row>
    <row r="2444" spans="1:2" ht="25.5">
      <c r="A2444" s="118">
        <v>1003901</v>
      </c>
      <c r="B2444" s="116" t="s">
        <v>1036</v>
      </c>
    </row>
    <row r="2445" spans="1:2" ht="25.5">
      <c r="A2445" s="118">
        <v>1003902</v>
      </c>
      <c r="B2445" s="116" t="s">
        <v>222</v>
      </c>
    </row>
    <row r="2446" spans="1:2" ht="25.5">
      <c r="A2446" s="118">
        <v>1004000</v>
      </c>
      <c r="B2446" s="116" t="s">
        <v>223</v>
      </c>
    </row>
    <row r="2447" spans="1:2">
      <c r="A2447" s="118">
        <v>1004100</v>
      </c>
      <c r="B2447" s="116" t="s">
        <v>852</v>
      </c>
    </row>
    <row r="2448" spans="1:2">
      <c r="A2448" s="118">
        <v>1004200</v>
      </c>
      <c r="B2448" s="116" t="s">
        <v>853</v>
      </c>
    </row>
    <row r="2449" spans="1:2">
      <c r="A2449" s="118">
        <v>1004400</v>
      </c>
      <c r="B2449" s="116" t="s">
        <v>975</v>
      </c>
    </row>
    <row r="2450" spans="1:2">
      <c r="A2450" s="118">
        <v>1004500</v>
      </c>
      <c r="B2450" s="116" t="s">
        <v>854</v>
      </c>
    </row>
    <row r="2451" spans="1:2" ht="25.5">
      <c r="A2451" s="118">
        <v>1004600</v>
      </c>
      <c r="B2451" s="116" t="s">
        <v>1801</v>
      </c>
    </row>
    <row r="2452" spans="1:2">
      <c r="A2452" s="118">
        <v>1004601</v>
      </c>
      <c r="B2452" s="116" t="s">
        <v>855</v>
      </c>
    </row>
    <row r="2453" spans="1:2">
      <c r="A2453" s="118">
        <v>1004602</v>
      </c>
      <c r="B2453" s="116" t="s">
        <v>856</v>
      </c>
    </row>
    <row r="2454" spans="1:2" ht="25.5">
      <c r="A2454" s="118">
        <v>1004700</v>
      </c>
      <c r="B2454" s="116" t="s">
        <v>325</v>
      </c>
    </row>
    <row r="2455" spans="1:2">
      <c r="A2455" s="118">
        <v>1004800</v>
      </c>
      <c r="B2455" s="116" t="s">
        <v>857</v>
      </c>
    </row>
    <row r="2456" spans="1:2">
      <c r="A2456" s="118">
        <v>1004901</v>
      </c>
      <c r="B2456" s="116" t="s">
        <v>858</v>
      </c>
    </row>
    <row r="2457" spans="1:2" ht="25.5">
      <c r="A2457" s="118">
        <v>1005000</v>
      </c>
      <c r="B2457" s="116" t="s">
        <v>414</v>
      </c>
    </row>
    <row r="2458" spans="1:2">
      <c r="A2458" s="118">
        <v>1005200</v>
      </c>
      <c r="B2458" s="116" t="s">
        <v>468</v>
      </c>
    </row>
    <row r="2459" spans="1:2" ht="25.5">
      <c r="A2459" s="118">
        <v>1005300</v>
      </c>
      <c r="B2459" s="116" t="s">
        <v>61</v>
      </c>
    </row>
    <row r="2460" spans="1:2">
      <c r="A2460" s="118">
        <v>1005400</v>
      </c>
      <c r="B2460" s="116" t="s">
        <v>1249</v>
      </c>
    </row>
    <row r="2461" spans="1:2" ht="38.25">
      <c r="A2461" s="118">
        <v>1005401</v>
      </c>
      <c r="B2461" s="116" t="s">
        <v>254</v>
      </c>
    </row>
    <row r="2462" spans="1:2">
      <c r="A2462" s="118">
        <v>1005402</v>
      </c>
      <c r="B2462" s="116" t="s">
        <v>821</v>
      </c>
    </row>
    <row r="2463" spans="1:2" ht="25.5">
      <c r="A2463" s="118">
        <v>1005403</v>
      </c>
      <c r="B2463" s="116" t="s">
        <v>370</v>
      </c>
    </row>
    <row r="2464" spans="1:2" ht="25.5">
      <c r="A2464" s="118">
        <v>1005500</v>
      </c>
      <c r="B2464" s="116" t="s">
        <v>859</v>
      </c>
    </row>
    <row r="2465" spans="1:2" ht="25.5">
      <c r="A2465" s="118">
        <v>1005600</v>
      </c>
      <c r="B2465" s="116" t="s">
        <v>860</v>
      </c>
    </row>
    <row r="2466" spans="1:2">
      <c r="A2466" s="118">
        <v>1005700</v>
      </c>
      <c r="B2466" s="116" t="s">
        <v>1692</v>
      </c>
    </row>
    <row r="2467" spans="1:2">
      <c r="A2467" s="118">
        <v>1005701</v>
      </c>
      <c r="B2467" s="116" t="s">
        <v>861</v>
      </c>
    </row>
    <row r="2468" spans="1:2">
      <c r="A2468" s="118">
        <v>1005702</v>
      </c>
      <c r="B2468" s="116" t="s">
        <v>862</v>
      </c>
    </row>
    <row r="2469" spans="1:2">
      <c r="A2469" s="118">
        <v>1005800</v>
      </c>
      <c r="B2469" s="116" t="s">
        <v>802</v>
      </c>
    </row>
    <row r="2470" spans="1:2">
      <c r="A2470" s="118">
        <v>1005801</v>
      </c>
      <c r="B2470" s="116" t="s">
        <v>863</v>
      </c>
    </row>
    <row r="2471" spans="1:2" ht="25.5">
      <c r="A2471" s="118">
        <v>1005802</v>
      </c>
      <c r="B2471" s="116" t="s">
        <v>864</v>
      </c>
    </row>
    <row r="2472" spans="1:2">
      <c r="A2472" s="118">
        <v>1005900</v>
      </c>
      <c r="B2472" s="116" t="s">
        <v>1626</v>
      </c>
    </row>
    <row r="2473" spans="1:2" ht="25.5">
      <c r="A2473" s="118">
        <v>1006000</v>
      </c>
      <c r="B2473" s="116" t="s">
        <v>1957</v>
      </c>
    </row>
    <row r="2474" spans="1:2" ht="25.5">
      <c r="A2474" s="118">
        <v>1006100</v>
      </c>
      <c r="B2474" s="116" t="s">
        <v>85</v>
      </c>
    </row>
    <row r="2475" spans="1:2">
      <c r="A2475" s="118">
        <v>1006200</v>
      </c>
      <c r="B2475" s="116" t="s">
        <v>906</v>
      </c>
    </row>
    <row r="2476" spans="1:2" ht="25.5">
      <c r="A2476" s="118">
        <v>1006300</v>
      </c>
      <c r="B2476" s="116" t="s">
        <v>865</v>
      </c>
    </row>
    <row r="2477" spans="1:2" ht="25.5">
      <c r="A2477" s="118">
        <v>1006400</v>
      </c>
      <c r="B2477" s="116" t="s">
        <v>675</v>
      </c>
    </row>
    <row r="2478" spans="1:2">
      <c r="A2478" s="118">
        <v>1006500</v>
      </c>
      <c r="B2478" s="116" t="s">
        <v>676</v>
      </c>
    </row>
    <row r="2479" spans="1:2">
      <c r="A2479" s="118">
        <v>1006600</v>
      </c>
      <c r="B2479" s="116" t="s">
        <v>866</v>
      </c>
    </row>
    <row r="2480" spans="1:2" ht="25.5">
      <c r="A2480" s="118">
        <v>1006700</v>
      </c>
      <c r="B2480" s="116" t="s">
        <v>1389</v>
      </c>
    </row>
    <row r="2481" spans="1:2">
      <c r="A2481" s="118">
        <v>1006800</v>
      </c>
      <c r="B2481" s="116" t="s">
        <v>1390</v>
      </c>
    </row>
    <row r="2482" spans="1:2" ht="25.5">
      <c r="A2482" s="118">
        <v>1006900</v>
      </c>
      <c r="B2482" s="116" t="s">
        <v>1890</v>
      </c>
    </row>
    <row r="2483" spans="1:2">
      <c r="A2483" s="118">
        <v>1007000</v>
      </c>
      <c r="B2483" s="116" t="s">
        <v>794</v>
      </c>
    </row>
    <row r="2484" spans="1:2" ht="25.5">
      <c r="A2484" s="118">
        <v>1007100</v>
      </c>
      <c r="B2484" s="116" t="s">
        <v>109</v>
      </c>
    </row>
    <row r="2485" spans="1:2">
      <c r="A2485" s="118">
        <v>1007200</v>
      </c>
      <c r="B2485" s="116" t="s">
        <v>1450</v>
      </c>
    </row>
    <row r="2486" spans="1:2">
      <c r="A2486" s="118">
        <v>1007300</v>
      </c>
      <c r="B2486" s="116" t="s">
        <v>1451</v>
      </c>
    </row>
    <row r="2487" spans="1:2">
      <c r="A2487" s="118">
        <v>1007400</v>
      </c>
      <c r="B2487" s="116" t="s">
        <v>1447</v>
      </c>
    </row>
    <row r="2488" spans="1:2" ht="25.5">
      <c r="A2488" s="118">
        <v>1007500</v>
      </c>
      <c r="B2488" s="116" t="s">
        <v>1448</v>
      </c>
    </row>
    <row r="2489" spans="1:2" ht="25.5">
      <c r="A2489" s="118">
        <v>1007600</v>
      </c>
      <c r="B2489" s="116" t="s">
        <v>1449</v>
      </c>
    </row>
    <row r="2490" spans="1:2">
      <c r="A2490" s="118">
        <v>1007700</v>
      </c>
      <c r="B2490" s="116" t="s">
        <v>1969</v>
      </c>
    </row>
    <row r="2491" spans="1:2" ht="25.5">
      <c r="A2491" s="118">
        <v>1007800</v>
      </c>
      <c r="B2491" s="116" t="s">
        <v>1970</v>
      </c>
    </row>
    <row r="2492" spans="1:2" ht="38.25">
      <c r="A2492" s="118">
        <v>1007900</v>
      </c>
      <c r="B2492" s="116" t="s">
        <v>1971</v>
      </c>
    </row>
    <row r="2493" spans="1:2" ht="63.75">
      <c r="A2493" s="118">
        <v>1008000</v>
      </c>
      <c r="B2493" s="117" t="s">
        <v>1972</v>
      </c>
    </row>
    <row r="2494" spans="1:2">
      <c r="A2494" s="118">
        <v>1008100</v>
      </c>
      <c r="B2494" s="116" t="s">
        <v>1973</v>
      </c>
    </row>
    <row r="2495" spans="1:2">
      <c r="A2495" s="118">
        <v>1008101</v>
      </c>
      <c r="B2495" s="116" t="s">
        <v>1974</v>
      </c>
    </row>
    <row r="2496" spans="1:2">
      <c r="A2496" s="118">
        <v>1008102</v>
      </c>
      <c r="B2496" s="116" t="s">
        <v>402</v>
      </c>
    </row>
    <row r="2497" spans="1:2">
      <c r="A2497" s="118">
        <v>1008103</v>
      </c>
      <c r="B2497" s="116" t="s">
        <v>206</v>
      </c>
    </row>
    <row r="2498" spans="1:2">
      <c r="A2498" s="118">
        <v>1008104</v>
      </c>
      <c r="B2498" s="116" t="s">
        <v>893</v>
      </c>
    </row>
    <row r="2499" spans="1:2">
      <c r="A2499" s="118">
        <v>1008105</v>
      </c>
      <c r="B2499" s="116" t="s">
        <v>1975</v>
      </c>
    </row>
    <row r="2500" spans="1:2">
      <c r="A2500" s="118">
        <v>1008106</v>
      </c>
      <c r="B2500" s="116" t="s">
        <v>892</v>
      </c>
    </row>
    <row r="2501" spans="1:2" ht="25.5">
      <c r="A2501" s="118">
        <v>1008107</v>
      </c>
      <c r="B2501" s="116" t="s">
        <v>1976</v>
      </c>
    </row>
    <row r="2502" spans="1:2" ht="25.5">
      <c r="A2502" s="118">
        <v>1008200</v>
      </c>
      <c r="B2502" s="116" t="s">
        <v>1977</v>
      </c>
    </row>
    <row r="2503" spans="1:2" ht="25.5">
      <c r="A2503" s="118">
        <v>1008300</v>
      </c>
      <c r="B2503" s="116" t="s">
        <v>1978</v>
      </c>
    </row>
    <row r="2504" spans="1:2">
      <c r="A2504" s="118">
        <v>1008400</v>
      </c>
      <c r="B2504" s="116" t="s">
        <v>1979</v>
      </c>
    </row>
    <row r="2505" spans="1:2">
      <c r="A2505" s="118">
        <v>1008500</v>
      </c>
      <c r="B2505" s="116" t="s">
        <v>1980</v>
      </c>
    </row>
    <row r="2506" spans="1:2">
      <c r="A2506" s="118">
        <v>1008600</v>
      </c>
      <c r="B2506" s="116" t="s">
        <v>1460</v>
      </c>
    </row>
    <row r="2507" spans="1:2" ht="25.5">
      <c r="A2507" s="118">
        <v>1008700</v>
      </c>
      <c r="B2507" s="116" t="s">
        <v>1461</v>
      </c>
    </row>
    <row r="2508" spans="1:2">
      <c r="A2508" s="118">
        <v>1008800</v>
      </c>
      <c r="B2508" s="116" t="s">
        <v>1462</v>
      </c>
    </row>
    <row r="2509" spans="1:2" ht="25.5">
      <c r="A2509" s="118">
        <v>1008810</v>
      </c>
      <c r="B2509" s="116" t="s">
        <v>1463</v>
      </c>
    </row>
    <row r="2510" spans="1:2">
      <c r="A2510" s="118">
        <v>1008811</v>
      </c>
      <c r="B2510" s="116" t="s">
        <v>545</v>
      </c>
    </row>
    <row r="2511" spans="1:2" ht="25.5">
      <c r="A2511" s="118">
        <v>1008812</v>
      </c>
      <c r="B2511" s="116" t="s">
        <v>1175</v>
      </c>
    </row>
    <row r="2512" spans="1:2">
      <c r="A2512" s="118">
        <v>1008813</v>
      </c>
      <c r="B2512" s="116" t="s">
        <v>831</v>
      </c>
    </row>
    <row r="2513" spans="1:2" ht="25.5">
      <c r="A2513" s="118">
        <v>1008814</v>
      </c>
      <c r="B2513" s="116" t="s">
        <v>1464</v>
      </c>
    </row>
    <row r="2514" spans="1:2">
      <c r="A2514" s="118">
        <v>1008815</v>
      </c>
      <c r="B2514" s="116" t="s">
        <v>1539</v>
      </c>
    </row>
    <row r="2515" spans="1:2">
      <c r="A2515" s="118">
        <v>1008816</v>
      </c>
      <c r="B2515" s="116" t="s">
        <v>1822</v>
      </c>
    </row>
    <row r="2516" spans="1:2">
      <c r="A2516" s="118">
        <v>1008821</v>
      </c>
      <c r="B2516" s="116" t="s">
        <v>2117</v>
      </c>
    </row>
    <row r="2517" spans="1:2">
      <c r="A2517" s="118">
        <v>1008822</v>
      </c>
      <c r="B2517" s="116" t="s">
        <v>241</v>
      </c>
    </row>
    <row r="2518" spans="1:2">
      <c r="A2518" s="118">
        <v>1008830</v>
      </c>
      <c r="B2518" s="116" t="s">
        <v>1465</v>
      </c>
    </row>
    <row r="2519" spans="1:2">
      <c r="A2519" s="118">
        <v>1008840</v>
      </c>
      <c r="B2519" s="116" t="s">
        <v>1825</v>
      </c>
    </row>
    <row r="2520" spans="1:2">
      <c r="A2520" s="118">
        <v>1008850</v>
      </c>
      <c r="B2520" s="116" t="s">
        <v>1173</v>
      </c>
    </row>
    <row r="2521" spans="1:2">
      <c r="A2521" s="118">
        <v>1008851</v>
      </c>
      <c r="B2521" s="116" t="s">
        <v>374</v>
      </c>
    </row>
    <row r="2522" spans="1:2">
      <c r="A2522" s="118">
        <v>1008852</v>
      </c>
      <c r="B2522" s="116" t="s">
        <v>1466</v>
      </c>
    </row>
    <row r="2523" spans="1:2" ht="25.5">
      <c r="A2523" s="118">
        <v>1008853</v>
      </c>
      <c r="B2523" s="116" t="s">
        <v>1467</v>
      </c>
    </row>
    <row r="2524" spans="1:2">
      <c r="A2524" s="118">
        <v>1008854</v>
      </c>
      <c r="B2524" s="116" t="s">
        <v>375</v>
      </c>
    </row>
    <row r="2525" spans="1:2">
      <c r="A2525" s="118">
        <v>1008855</v>
      </c>
      <c r="B2525" s="116" t="s">
        <v>1468</v>
      </c>
    </row>
    <row r="2526" spans="1:2" ht="25.5">
      <c r="A2526" s="118">
        <v>1008856</v>
      </c>
      <c r="B2526" s="116" t="s">
        <v>1469</v>
      </c>
    </row>
    <row r="2527" spans="1:2" ht="25.5">
      <c r="A2527" s="118">
        <v>1008857</v>
      </c>
      <c r="B2527" s="116" t="s">
        <v>1470</v>
      </c>
    </row>
    <row r="2528" spans="1:2" ht="25.5">
      <c r="A2528" s="118">
        <v>1008858</v>
      </c>
      <c r="B2528" s="116" t="s">
        <v>1471</v>
      </c>
    </row>
    <row r="2529" spans="1:2">
      <c r="A2529" s="118">
        <v>1008860</v>
      </c>
      <c r="B2529" s="116" t="s">
        <v>1472</v>
      </c>
    </row>
    <row r="2530" spans="1:2">
      <c r="A2530" s="118">
        <v>1008900</v>
      </c>
      <c r="B2530" s="116" t="s">
        <v>1473</v>
      </c>
    </row>
    <row r="2531" spans="1:2">
      <c r="A2531" s="118">
        <v>1009000</v>
      </c>
      <c r="B2531" s="116" t="s">
        <v>1474</v>
      </c>
    </row>
    <row r="2532" spans="1:2">
      <c r="A2532" s="118">
        <v>1009100</v>
      </c>
      <c r="B2532" s="116" t="s">
        <v>1475</v>
      </c>
    </row>
    <row r="2533" spans="1:2" ht="25.5">
      <c r="A2533" s="118">
        <v>1009200</v>
      </c>
      <c r="B2533" s="116" t="s">
        <v>1476</v>
      </c>
    </row>
    <row r="2534" spans="1:2">
      <c r="A2534" s="118">
        <v>1009300</v>
      </c>
      <c r="B2534" s="116" t="s">
        <v>1477</v>
      </c>
    </row>
    <row r="2535" spans="1:2">
      <c r="A2535" s="118">
        <v>1009301</v>
      </c>
      <c r="B2535" s="116" t="s">
        <v>2118</v>
      </c>
    </row>
    <row r="2536" spans="1:2" ht="25.5">
      <c r="A2536" s="118">
        <v>1009400</v>
      </c>
      <c r="B2536" s="116" t="s">
        <v>2119</v>
      </c>
    </row>
    <row r="2537" spans="1:2">
      <c r="A2537" s="118" t="s">
        <v>1478</v>
      </c>
      <c r="B2537" s="116"/>
    </row>
    <row r="2538" spans="1:2" ht="25.5">
      <c r="A2538" s="118">
        <v>1009500</v>
      </c>
      <c r="B2538" s="116" t="s">
        <v>1479</v>
      </c>
    </row>
    <row r="2539" spans="1:2" ht="25.5">
      <c r="A2539" s="118">
        <v>1009600</v>
      </c>
      <c r="B2539" s="116" t="s">
        <v>1480</v>
      </c>
    </row>
    <row r="2540" spans="1:2">
      <c r="A2540" s="118">
        <v>1009700</v>
      </c>
      <c r="B2540" s="116" t="s">
        <v>1481</v>
      </c>
    </row>
    <row r="2541" spans="1:2" ht="25.5">
      <c r="A2541" s="118">
        <v>1009800</v>
      </c>
      <c r="B2541" s="116" t="s">
        <v>1482</v>
      </c>
    </row>
    <row r="2542" spans="1:2" ht="25.5">
      <c r="A2542" s="118">
        <v>1009900</v>
      </c>
      <c r="B2542" s="116" t="s">
        <v>1483</v>
      </c>
    </row>
    <row r="2543" spans="1:2">
      <c r="A2543" s="118">
        <v>1009901</v>
      </c>
      <c r="B2543" s="116" t="s">
        <v>912</v>
      </c>
    </row>
    <row r="2544" spans="1:2" ht="38.25">
      <c r="A2544" s="118">
        <v>1009902</v>
      </c>
      <c r="B2544" s="116" t="s">
        <v>910</v>
      </c>
    </row>
    <row r="2545" spans="1:2">
      <c r="A2545" s="118">
        <v>1010000</v>
      </c>
      <c r="B2545" s="116" t="s">
        <v>1582</v>
      </c>
    </row>
    <row r="2546" spans="1:2">
      <c r="A2546" s="118">
        <v>1010100</v>
      </c>
      <c r="B2546" s="116" t="s">
        <v>649</v>
      </c>
    </row>
    <row r="2547" spans="1:2" ht="25.5">
      <c r="A2547" s="118">
        <v>1010200</v>
      </c>
      <c r="B2547" s="116" t="s">
        <v>76</v>
      </c>
    </row>
    <row r="2548" spans="1:2" ht="25.5">
      <c r="A2548" s="118">
        <v>1010300</v>
      </c>
      <c r="B2548" s="116" t="s">
        <v>1252</v>
      </c>
    </row>
    <row r="2549" spans="1:2">
      <c r="A2549" s="118">
        <v>1015700</v>
      </c>
      <c r="B2549" s="116" t="s">
        <v>933</v>
      </c>
    </row>
    <row r="2550" spans="1:2">
      <c r="A2550" s="118">
        <v>1016300</v>
      </c>
      <c r="B2550" s="116" t="s">
        <v>934</v>
      </c>
    </row>
    <row r="2551" spans="1:2">
      <c r="A2551" s="118">
        <v>1016700</v>
      </c>
      <c r="B2551" s="116" t="s">
        <v>77</v>
      </c>
    </row>
    <row r="2552" spans="1:2">
      <c r="A2552" s="118">
        <v>1020000</v>
      </c>
      <c r="B2552" s="116" t="s">
        <v>634</v>
      </c>
    </row>
    <row r="2553" spans="1:2" ht="25.5">
      <c r="A2553" s="118">
        <v>1020100</v>
      </c>
      <c r="B2553" s="116" t="s">
        <v>543</v>
      </c>
    </row>
    <row r="2554" spans="1:2" ht="25.5">
      <c r="A2554" s="118">
        <v>1020101</v>
      </c>
      <c r="B2554" s="116" t="s">
        <v>976</v>
      </c>
    </row>
    <row r="2555" spans="1:2">
      <c r="A2555" s="118">
        <v>1020102</v>
      </c>
      <c r="B2555" s="116" t="s">
        <v>911</v>
      </c>
    </row>
    <row r="2556" spans="1:2" ht="25.5">
      <c r="A2556" s="118">
        <v>1020103</v>
      </c>
      <c r="B2556" s="116" t="s">
        <v>1958</v>
      </c>
    </row>
    <row r="2557" spans="1:2">
      <c r="A2557" s="118">
        <v>1020107</v>
      </c>
      <c r="B2557" s="116" t="s">
        <v>285</v>
      </c>
    </row>
    <row r="2558" spans="1:2">
      <c r="A2558" s="118">
        <v>1020108</v>
      </c>
      <c r="B2558" s="116" t="s">
        <v>920</v>
      </c>
    </row>
    <row r="2559" spans="1:2">
      <c r="A2559" s="118">
        <v>1020200</v>
      </c>
      <c r="B2559" s="116" t="s">
        <v>1456</v>
      </c>
    </row>
    <row r="2560" spans="1:2" ht="25.5">
      <c r="A2560" s="118">
        <v>1020201</v>
      </c>
      <c r="B2560" s="116" t="s">
        <v>982</v>
      </c>
    </row>
    <row r="2561" spans="1:2">
      <c r="A2561" s="118">
        <v>1020202</v>
      </c>
      <c r="B2561" s="116" t="s">
        <v>182</v>
      </c>
    </row>
    <row r="2562" spans="1:2" ht="25.5">
      <c r="A2562" s="118">
        <v>1020203</v>
      </c>
      <c r="B2562" s="116" t="s">
        <v>921</v>
      </c>
    </row>
    <row r="2563" spans="1:2">
      <c r="A2563" s="118">
        <v>1020204</v>
      </c>
      <c r="B2563" s="116" t="s">
        <v>444</v>
      </c>
    </row>
    <row r="2564" spans="1:2" ht="38.25">
      <c r="A2564" s="118">
        <v>1020205</v>
      </c>
      <c r="B2564" s="116" t="s">
        <v>263</v>
      </c>
    </row>
    <row r="2565" spans="1:2" ht="38.25">
      <c r="A2565" s="118">
        <v>1020206</v>
      </c>
      <c r="B2565" s="117" t="s">
        <v>922</v>
      </c>
    </row>
    <row r="2566" spans="1:2" ht="25.5">
      <c r="A2566" s="118">
        <v>1020208</v>
      </c>
      <c r="B2566" s="116" t="s">
        <v>1494</v>
      </c>
    </row>
    <row r="2567" spans="1:2">
      <c r="A2567" s="118">
        <v>1020300</v>
      </c>
      <c r="B2567" s="116" t="s">
        <v>264</v>
      </c>
    </row>
    <row r="2568" spans="1:2">
      <c r="A2568" s="118">
        <v>1020400</v>
      </c>
      <c r="B2568" s="116" t="s">
        <v>265</v>
      </c>
    </row>
    <row r="2569" spans="1:2" ht="25.5">
      <c r="A2569" s="118">
        <v>1020401</v>
      </c>
      <c r="B2569" s="116" t="s">
        <v>868</v>
      </c>
    </row>
    <row r="2570" spans="1:2" ht="25.5">
      <c r="A2570" s="118">
        <v>1020402</v>
      </c>
      <c r="B2570" s="116" t="s">
        <v>1118</v>
      </c>
    </row>
    <row r="2571" spans="1:2" ht="25.5">
      <c r="A2571" s="118">
        <v>1020500</v>
      </c>
      <c r="B2571" s="116" t="s">
        <v>1826</v>
      </c>
    </row>
    <row r="2572" spans="1:2" ht="38.25">
      <c r="A2572" s="118">
        <v>1020501</v>
      </c>
      <c r="B2572" s="116" t="s">
        <v>430</v>
      </c>
    </row>
    <row r="2573" spans="1:2" ht="25.5">
      <c r="A2573" s="118">
        <v>1020502</v>
      </c>
      <c r="B2573" s="116" t="s">
        <v>1308</v>
      </c>
    </row>
    <row r="2574" spans="1:2">
      <c r="A2574" s="118">
        <v>1020600</v>
      </c>
      <c r="B2574" s="116" t="s">
        <v>233</v>
      </c>
    </row>
    <row r="2575" spans="1:2">
      <c r="A2575" s="118">
        <v>1040000</v>
      </c>
      <c r="B2575" s="116" t="s">
        <v>1495</v>
      </c>
    </row>
    <row r="2576" spans="1:2" ht="25.5">
      <c r="A2576" s="118">
        <v>1040100</v>
      </c>
      <c r="B2576" s="116" t="s">
        <v>1496</v>
      </c>
    </row>
    <row r="2577" spans="1:2" ht="25.5">
      <c r="A2577" s="118">
        <v>1040101</v>
      </c>
      <c r="B2577" s="116" t="s">
        <v>1175</v>
      </c>
    </row>
    <row r="2578" spans="1:2">
      <c r="A2578" s="118">
        <v>1040102</v>
      </c>
      <c r="B2578" s="116" t="s">
        <v>545</v>
      </c>
    </row>
    <row r="2579" spans="1:2">
      <c r="A2579" s="118">
        <v>1040103</v>
      </c>
      <c r="B2579" s="116" t="s">
        <v>831</v>
      </c>
    </row>
    <row r="2580" spans="1:2" ht="25.5">
      <c r="A2580" s="118">
        <v>1040104</v>
      </c>
      <c r="B2580" s="116" t="s">
        <v>1538</v>
      </c>
    </row>
    <row r="2581" spans="1:2">
      <c r="A2581" s="118">
        <v>1040105</v>
      </c>
      <c r="B2581" s="116" t="s">
        <v>1539</v>
      </c>
    </row>
    <row r="2582" spans="1:2">
      <c r="A2582" s="118">
        <v>1040106</v>
      </c>
      <c r="B2582" s="116" t="s">
        <v>1822</v>
      </c>
    </row>
    <row r="2583" spans="1:2">
      <c r="A2583" s="118">
        <v>1040200</v>
      </c>
      <c r="B2583" s="116" t="s">
        <v>241</v>
      </c>
    </row>
    <row r="2584" spans="1:2">
      <c r="A2584" s="118">
        <v>1040300</v>
      </c>
      <c r="B2584" s="116" t="s">
        <v>1825</v>
      </c>
    </row>
    <row r="2585" spans="1:2" ht="25.5">
      <c r="A2585" s="118">
        <v>1040400</v>
      </c>
      <c r="B2585" s="116" t="s">
        <v>907</v>
      </c>
    </row>
    <row r="2586" spans="1:2">
      <c r="A2586" s="118">
        <v>1040500</v>
      </c>
      <c r="B2586" s="116" t="s">
        <v>1800</v>
      </c>
    </row>
    <row r="2587" spans="1:2" ht="25.5">
      <c r="A2587" s="118">
        <v>1040600</v>
      </c>
      <c r="B2587" s="116" t="s">
        <v>1305</v>
      </c>
    </row>
    <row r="2588" spans="1:2">
      <c r="A2588" s="118">
        <v>1040700</v>
      </c>
      <c r="B2588" s="116" t="s">
        <v>1497</v>
      </c>
    </row>
    <row r="2589" spans="1:2">
      <c r="A2589" s="118">
        <v>1040800</v>
      </c>
      <c r="B2589" s="116" t="s">
        <v>1173</v>
      </c>
    </row>
    <row r="2590" spans="1:2">
      <c r="A2590" s="118">
        <v>1040801</v>
      </c>
      <c r="B2590" s="116" t="s">
        <v>374</v>
      </c>
    </row>
    <row r="2591" spans="1:2">
      <c r="A2591" s="118">
        <v>1040802</v>
      </c>
      <c r="B2591" s="116" t="s">
        <v>375</v>
      </c>
    </row>
    <row r="2592" spans="1:2">
      <c r="A2592" s="118">
        <v>1040803</v>
      </c>
      <c r="B2592" s="116" t="s">
        <v>227</v>
      </c>
    </row>
    <row r="2593" spans="1:2" ht="25.5">
      <c r="A2593" s="118">
        <v>1040804</v>
      </c>
      <c r="B2593" s="116" t="s">
        <v>1498</v>
      </c>
    </row>
    <row r="2594" spans="1:2" ht="25.5">
      <c r="A2594" s="118">
        <v>1100000</v>
      </c>
      <c r="B2594" s="116" t="s">
        <v>1499</v>
      </c>
    </row>
    <row r="2595" spans="1:2">
      <c r="A2595" s="118">
        <v>1100100</v>
      </c>
      <c r="B2595" s="116" t="s">
        <v>1500</v>
      </c>
    </row>
    <row r="2596" spans="1:2" ht="25.5">
      <c r="A2596" s="118">
        <v>1300000</v>
      </c>
      <c r="B2596" s="116" t="s">
        <v>1303</v>
      </c>
    </row>
    <row r="2597" spans="1:2">
      <c r="A2597" s="118">
        <v>1300100</v>
      </c>
      <c r="B2597" s="116" t="s">
        <v>1304</v>
      </c>
    </row>
    <row r="2598" spans="1:2" ht="25.5">
      <c r="A2598" s="118">
        <v>1305700</v>
      </c>
      <c r="B2598" s="116" t="s">
        <v>313</v>
      </c>
    </row>
    <row r="2599" spans="1:2">
      <c r="A2599" s="118">
        <v>1306700</v>
      </c>
      <c r="B2599" s="116" t="s">
        <v>77</v>
      </c>
    </row>
    <row r="2600" spans="1:2">
      <c r="A2600" s="118">
        <v>1308000</v>
      </c>
      <c r="B2600" s="116" t="s">
        <v>314</v>
      </c>
    </row>
    <row r="2601" spans="1:2">
      <c r="A2601" s="118">
        <v>1309900</v>
      </c>
      <c r="B2601" s="116" t="s">
        <v>81</v>
      </c>
    </row>
    <row r="2602" spans="1:2" ht="25.5">
      <c r="A2602" s="118">
        <v>1310000</v>
      </c>
      <c r="B2602" s="116" t="s">
        <v>1612</v>
      </c>
    </row>
    <row r="2603" spans="1:2">
      <c r="A2603" s="118">
        <v>1310100</v>
      </c>
      <c r="B2603" s="116" t="s">
        <v>1613</v>
      </c>
    </row>
    <row r="2604" spans="1:2">
      <c r="A2604" s="118">
        <v>1320000</v>
      </c>
      <c r="B2604" s="116" t="s">
        <v>1965</v>
      </c>
    </row>
    <row r="2605" spans="1:2">
      <c r="A2605" s="118">
        <v>1328000</v>
      </c>
      <c r="B2605" s="116" t="s">
        <v>314</v>
      </c>
    </row>
    <row r="2606" spans="1:2" ht="25.5">
      <c r="A2606" s="118">
        <v>1330000</v>
      </c>
      <c r="B2606" s="116" t="s">
        <v>1966</v>
      </c>
    </row>
    <row r="2607" spans="1:2" ht="25.5">
      <c r="A2607" s="118">
        <v>1330100</v>
      </c>
      <c r="B2607" s="116" t="s">
        <v>1967</v>
      </c>
    </row>
    <row r="2608" spans="1:2" ht="25.5">
      <c r="A2608" s="118">
        <v>1340000</v>
      </c>
      <c r="B2608" s="116" t="s">
        <v>1966</v>
      </c>
    </row>
    <row r="2609" spans="1:2" ht="25.5">
      <c r="A2609" s="118">
        <v>1340100</v>
      </c>
      <c r="B2609" s="116" t="s">
        <v>1968</v>
      </c>
    </row>
    <row r="2610" spans="1:2">
      <c r="A2610" s="118">
        <v>1340200</v>
      </c>
      <c r="B2610" s="116" t="s">
        <v>1759</v>
      </c>
    </row>
    <row r="2611" spans="1:2">
      <c r="A2611" s="118">
        <v>1350000</v>
      </c>
      <c r="B2611" s="116" t="s">
        <v>1760</v>
      </c>
    </row>
    <row r="2612" spans="1:2" ht="25.5">
      <c r="A2612" s="118">
        <v>1350100</v>
      </c>
      <c r="B2612" s="116" t="s">
        <v>1761</v>
      </c>
    </row>
    <row r="2613" spans="1:2">
      <c r="A2613" s="118">
        <v>1350200</v>
      </c>
      <c r="B2613" s="116" t="s">
        <v>1762</v>
      </c>
    </row>
    <row r="2614" spans="1:2">
      <c r="A2614" s="118">
        <v>1360000</v>
      </c>
      <c r="B2614" s="116" t="s">
        <v>1763</v>
      </c>
    </row>
    <row r="2615" spans="1:2">
      <c r="A2615" s="118">
        <v>1360100</v>
      </c>
      <c r="B2615" s="116" t="s">
        <v>1764</v>
      </c>
    </row>
    <row r="2616" spans="1:2">
      <c r="A2616" s="118">
        <v>1360200</v>
      </c>
      <c r="B2616" s="116" t="s">
        <v>1765</v>
      </c>
    </row>
    <row r="2617" spans="1:2" ht="38.25">
      <c r="A2617" s="118">
        <v>1417288</v>
      </c>
      <c r="B2617" s="116" t="s">
        <v>2473</v>
      </c>
    </row>
    <row r="2618" spans="1:2">
      <c r="A2618" s="118">
        <v>2000000</v>
      </c>
      <c r="B2618" s="116" t="s">
        <v>1107</v>
      </c>
    </row>
    <row r="2619" spans="1:2">
      <c r="A2619" s="118">
        <v>2006600</v>
      </c>
      <c r="B2619" s="116" t="s">
        <v>441</v>
      </c>
    </row>
    <row r="2620" spans="1:2">
      <c r="A2620" s="118">
        <v>2006700</v>
      </c>
      <c r="B2620" s="116" t="s">
        <v>77</v>
      </c>
    </row>
    <row r="2621" spans="1:2">
      <c r="A2621" s="118">
        <v>2006800</v>
      </c>
      <c r="B2621" s="116" t="s">
        <v>633</v>
      </c>
    </row>
    <row r="2622" spans="1:2">
      <c r="A2622" s="118">
        <v>2006801</v>
      </c>
      <c r="B2622" s="116" t="s">
        <v>404</v>
      </c>
    </row>
    <row r="2623" spans="1:2" ht="25.5">
      <c r="A2623" s="118">
        <v>2006802</v>
      </c>
      <c r="B2623" s="116" t="s">
        <v>188</v>
      </c>
    </row>
    <row r="2624" spans="1:2">
      <c r="A2624" s="118">
        <v>2007000</v>
      </c>
      <c r="B2624" s="116" t="s">
        <v>904</v>
      </c>
    </row>
    <row r="2625" spans="1:2">
      <c r="A2625" s="118">
        <v>2009700</v>
      </c>
      <c r="B2625" s="116" t="s">
        <v>1141</v>
      </c>
    </row>
    <row r="2626" spans="1:2">
      <c r="A2626" s="118">
        <v>2010000</v>
      </c>
      <c r="B2626" s="116" t="s">
        <v>1300</v>
      </c>
    </row>
    <row r="2627" spans="1:2">
      <c r="A2627" s="118">
        <v>2016700</v>
      </c>
      <c r="B2627" s="116" t="s">
        <v>77</v>
      </c>
    </row>
    <row r="2628" spans="1:2">
      <c r="A2628" s="118">
        <v>2016800</v>
      </c>
      <c r="B2628" s="116" t="s">
        <v>633</v>
      </c>
    </row>
    <row r="2629" spans="1:2">
      <c r="A2629" s="118">
        <v>2016801</v>
      </c>
      <c r="B2629" s="116" t="s">
        <v>404</v>
      </c>
    </row>
    <row r="2630" spans="1:2" ht="25.5">
      <c r="A2630" s="118">
        <v>2016802</v>
      </c>
      <c r="B2630" s="116" t="s">
        <v>188</v>
      </c>
    </row>
    <row r="2631" spans="1:2">
      <c r="A2631" s="118">
        <v>2017000</v>
      </c>
      <c r="B2631" s="116" t="s">
        <v>904</v>
      </c>
    </row>
    <row r="2632" spans="1:2">
      <c r="A2632" s="118">
        <v>2018200</v>
      </c>
      <c r="B2632" s="116" t="s">
        <v>1121</v>
      </c>
    </row>
    <row r="2633" spans="1:2">
      <c r="A2633" s="118">
        <v>2020000</v>
      </c>
      <c r="B2633" s="116" t="s">
        <v>601</v>
      </c>
    </row>
    <row r="2634" spans="1:2" ht="25.5">
      <c r="A2634" s="118">
        <v>2020100</v>
      </c>
      <c r="B2634" s="116" t="s">
        <v>462</v>
      </c>
    </row>
    <row r="2635" spans="1:2">
      <c r="A2635" s="118">
        <v>2020800</v>
      </c>
      <c r="B2635" s="116" t="s">
        <v>1891</v>
      </c>
    </row>
    <row r="2636" spans="1:2">
      <c r="A2636" s="118">
        <v>2020900</v>
      </c>
      <c r="B2636" s="116" t="s">
        <v>1766</v>
      </c>
    </row>
    <row r="2637" spans="1:2" ht="25.5">
      <c r="A2637" s="118">
        <v>2024200</v>
      </c>
      <c r="B2637" s="116" t="s">
        <v>1946</v>
      </c>
    </row>
    <row r="2638" spans="1:2">
      <c r="A2638" s="118">
        <v>2025800</v>
      </c>
      <c r="B2638" s="116" t="s">
        <v>594</v>
      </c>
    </row>
    <row r="2639" spans="1:2">
      <c r="A2639" s="118">
        <v>2026400</v>
      </c>
      <c r="B2639" s="116" t="s">
        <v>1047</v>
      </c>
    </row>
    <row r="2640" spans="1:2">
      <c r="A2640" s="118">
        <v>2026500</v>
      </c>
      <c r="B2640" s="116" t="s">
        <v>314</v>
      </c>
    </row>
    <row r="2641" spans="1:2">
      <c r="A2641" s="118">
        <v>2026700</v>
      </c>
      <c r="B2641" s="116" t="s">
        <v>77</v>
      </c>
    </row>
    <row r="2642" spans="1:2">
      <c r="A2642" s="118">
        <v>2027000</v>
      </c>
      <c r="B2642" s="116" t="s">
        <v>904</v>
      </c>
    </row>
    <row r="2643" spans="1:2">
      <c r="A2643" s="118">
        <v>2027100</v>
      </c>
      <c r="B2643" s="116" t="s">
        <v>905</v>
      </c>
    </row>
    <row r="2644" spans="1:2">
      <c r="A2644" s="118">
        <v>2027101</v>
      </c>
      <c r="B2644" s="116" t="s">
        <v>311</v>
      </c>
    </row>
    <row r="2645" spans="1:2">
      <c r="A2645" s="118">
        <v>2027102</v>
      </c>
      <c r="B2645" s="116" t="s">
        <v>196</v>
      </c>
    </row>
    <row r="2646" spans="1:2">
      <c r="A2646" s="118">
        <v>2027103</v>
      </c>
      <c r="B2646" s="116" t="s">
        <v>197</v>
      </c>
    </row>
    <row r="2647" spans="1:2">
      <c r="A2647" s="118">
        <v>2027200</v>
      </c>
      <c r="B2647" s="116" t="s">
        <v>259</v>
      </c>
    </row>
    <row r="2648" spans="1:2">
      <c r="A2648" s="118">
        <v>2027201</v>
      </c>
      <c r="B2648" s="116" t="s">
        <v>647</v>
      </c>
    </row>
    <row r="2649" spans="1:2">
      <c r="A2649" s="118">
        <v>2027202</v>
      </c>
      <c r="B2649" s="116" t="s">
        <v>648</v>
      </c>
    </row>
    <row r="2650" spans="1:2">
      <c r="A2650" s="118">
        <v>2027203</v>
      </c>
      <c r="B2650" s="116" t="s">
        <v>591</v>
      </c>
    </row>
    <row r="2651" spans="1:2">
      <c r="A2651" s="118">
        <v>2027600</v>
      </c>
      <c r="B2651" s="116" t="s">
        <v>1119</v>
      </c>
    </row>
    <row r="2652" spans="1:2">
      <c r="A2652" s="118">
        <v>2029900</v>
      </c>
      <c r="B2652" s="116" t="s">
        <v>81</v>
      </c>
    </row>
    <row r="2653" spans="1:2">
      <c r="A2653" s="118">
        <v>2040000</v>
      </c>
      <c r="B2653" s="116" t="s">
        <v>1767</v>
      </c>
    </row>
    <row r="2654" spans="1:2">
      <c r="A2654" s="118">
        <v>2070000</v>
      </c>
      <c r="B2654" s="116" t="s">
        <v>329</v>
      </c>
    </row>
    <row r="2655" spans="1:2" ht="25.5">
      <c r="A2655" s="118">
        <v>2070100</v>
      </c>
      <c r="B2655" s="116" t="s">
        <v>774</v>
      </c>
    </row>
    <row r="2656" spans="1:2">
      <c r="A2656" s="118">
        <v>2075800</v>
      </c>
      <c r="B2656" s="116" t="s">
        <v>594</v>
      </c>
    </row>
    <row r="2657" spans="1:2">
      <c r="A2657" s="118">
        <v>2079900</v>
      </c>
      <c r="B2657" s="116" t="s">
        <v>81</v>
      </c>
    </row>
    <row r="2658" spans="1:2">
      <c r="A2658" s="118">
        <v>2080000</v>
      </c>
      <c r="B2658" s="116" t="s">
        <v>19</v>
      </c>
    </row>
    <row r="2659" spans="1:2">
      <c r="A2659" s="118">
        <v>2080200</v>
      </c>
      <c r="B2659" s="116" t="s">
        <v>775</v>
      </c>
    </row>
    <row r="2660" spans="1:2" ht="38.25">
      <c r="A2660" s="118">
        <v>2080300</v>
      </c>
      <c r="B2660" s="116" t="s">
        <v>1768</v>
      </c>
    </row>
    <row r="2661" spans="1:2" ht="25.5">
      <c r="A2661" s="118">
        <v>2080400</v>
      </c>
      <c r="B2661" s="116" t="s">
        <v>1769</v>
      </c>
    </row>
    <row r="2662" spans="1:2">
      <c r="A2662" s="118">
        <v>2086100</v>
      </c>
      <c r="B2662" s="116" t="s">
        <v>359</v>
      </c>
    </row>
    <row r="2663" spans="1:2">
      <c r="A2663" s="118">
        <v>2086200</v>
      </c>
      <c r="B2663" s="116" t="s">
        <v>181</v>
      </c>
    </row>
    <row r="2664" spans="1:2">
      <c r="A2664" s="118">
        <v>2086300</v>
      </c>
      <c r="B2664" s="116" t="s">
        <v>934</v>
      </c>
    </row>
    <row r="2665" spans="1:2">
      <c r="A2665" s="118">
        <v>2090000</v>
      </c>
      <c r="B2665" s="116" t="s">
        <v>931</v>
      </c>
    </row>
    <row r="2666" spans="1:2">
      <c r="A2666" s="118">
        <v>2090100</v>
      </c>
      <c r="B2666" s="116" t="s">
        <v>1684</v>
      </c>
    </row>
    <row r="2667" spans="1:2">
      <c r="A2667" s="118">
        <v>2100000</v>
      </c>
      <c r="B2667" s="116" t="s">
        <v>337</v>
      </c>
    </row>
    <row r="2668" spans="1:2">
      <c r="A2668" s="118">
        <v>2105800</v>
      </c>
      <c r="B2668" s="116" t="s">
        <v>594</v>
      </c>
    </row>
    <row r="2669" spans="1:2">
      <c r="A2669" s="118">
        <v>2110000</v>
      </c>
      <c r="B2669" s="116" t="s">
        <v>338</v>
      </c>
    </row>
    <row r="2670" spans="1:2">
      <c r="A2670" s="118">
        <v>2110100</v>
      </c>
      <c r="B2670" s="116" t="s">
        <v>1667</v>
      </c>
    </row>
    <row r="2671" spans="1:2">
      <c r="A2671" s="118">
        <v>2120000</v>
      </c>
      <c r="B2671" s="116" t="s">
        <v>777</v>
      </c>
    </row>
    <row r="2672" spans="1:2">
      <c r="A2672" s="118">
        <v>2120100</v>
      </c>
      <c r="B2672" s="116" t="s">
        <v>777</v>
      </c>
    </row>
    <row r="2673" spans="1:2">
      <c r="A2673" s="118">
        <v>2130000</v>
      </c>
      <c r="B2673" s="116" t="s">
        <v>1934</v>
      </c>
    </row>
    <row r="2674" spans="1:2">
      <c r="A2674" s="118">
        <v>2130200</v>
      </c>
      <c r="B2674" s="116" t="s">
        <v>1770</v>
      </c>
    </row>
    <row r="2675" spans="1:2">
      <c r="A2675" s="118">
        <v>2140000</v>
      </c>
      <c r="B2675" s="116" t="s">
        <v>303</v>
      </c>
    </row>
    <row r="2676" spans="1:2">
      <c r="A2676" s="118">
        <v>2140100</v>
      </c>
      <c r="B2676" s="116" t="s">
        <v>359</v>
      </c>
    </row>
    <row r="2677" spans="1:2">
      <c r="A2677" s="118">
        <v>2140200</v>
      </c>
      <c r="B2677" s="116" t="s">
        <v>725</v>
      </c>
    </row>
    <row r="2678" spans="1:2">
      <c r="A2678" s="118">
        <v>2140400</v>
      </c>
      <c r="B2678" s="116" t="s">
        <v>969</v>
      </c>
    </row>
    <row r="2679" spans="1:2">
      <c r="A2679" s="118">
        <v>2140500</v>
      </c>
      <c r="B2679" s="116" t="s">
        <v>1456</v>
      </c>
    </row>
    <row r="2680" spans="1:2">
      <c r="A2680" s="118">
        <v>2140600</v>
      </c>
      <c r="B2680" s="116" t="s">
        <v>970</v>
      </c>
    </row>
    <row r="2681" spans="1:2">
      <c r="A2681" s="118">
        <v>2140700</v>
      </c>
      <c r="B2681" s="116" t="s">
        <v>1535</v>
      </c>
    </row>
    <row r="2682" spans="1:2">
      <c r="A2682" s="118">
        <v>2140800</v>
      </c>
      <c r="B2682" s="116" t="s">
        <v>1695</v>
      </c>
    </row>
    <row r="2683" spans="1:2">
      <c r="A2683" s="118">
        <v>2140900</v>
      </c>
      <c r="B2683" s="116" t="s">
        <v>1771</v>
      </c>
    </row>
    <row r="2684" spans="1:2">
      <c r="A2684" s="118">
        <v>2141000</v>
      </c>
      <c r="B2684" s="116" t="s">
        <v>947</v>
      </c>
    </row>
    <row r="2685" spans="1:2">
      <c r="A2685" s="118">
        <v>2143000</v>
      </c>
      <c r="B2685" s="116" t="s">
        <v>948</v>
      </c>
    </row>
    <row r="2686" spans="1:2">
      <c r="A2686" s="118">
        <v>2146500</v>
      </c>
      <c r="B2686" s="116" t="s">
        <v>314</v>
      </c>
    </row>
    <row r="2687" spans="1:2">
      <c r="A2687" s="118">
        <v>2147000</v>
      </c>
      <c r="B2687" s="116" t="s">
        <v>904</v>
      </c>
    </row>
    <row r="2688" spans="1:2" ht="25.5">
      <c r="A2688" s="118">
        <v>2149300</v>
      </c>
      <c r="B2688" s="116" t="s">
        <v>673</v>
      </c>
    </row>
    <row r="2689" spans="1:2">
      <c r="A2689" s="118">
        <v>2149400</v>
      </c>
      <c r="B2689" s="116" t="s">
        <v>638</v>
      </c>
    </row>
    <row r="2690" spans="1:2">
      <c r="A2690" s="118">
        <v>2150000</v>
      </c>
      <c r="B2690" s="116" t="s">
        <v>16</v>
      </c>
    </row>
    <row r="2691" spans="1:2">
      <c r="A2691" s="118">
        <v>2150100</v>
      </c>
      <c r="B2691" s="116" t="s">
        <v>949</v>
      </c>
    </row>
    <row r="2692" spans="1:2">
      <c r="A2692" s="118">
        <v>2155800</v>
      </c>
      <c r="B2692" s="116" t="s">
        <v>594</v>
      </c>
    </row>
    <row r="2693" spans="1:2">
      <c r="A2693" s="118">
        <v>2156700</v>
      </c>
      <c r="B2693" s="116" t="s">
        <v>77</v>
      </c>
    </row>
    <row r="2694" spans="1:2">
      <c r="A2694" s="118">
        <v>2156800</v>
      </c>
      <c r="B2694" s="116" t="s">
        <v>633</v>
      </c>
    </row>
    <row r="2695" spans="1:2">
      <c r="A2695" s="118">
        <v>2156801</v>
      </c>
      <c r="B2695" s="116" t="s">
        <v>404</v>
      </c>
    </row>
    <row r="2696" spans="1:2" ht="25.5">
      <c r="A2696" s="118">
        <v>2156802</v>
      </c>
      <c r="B2696" s="116" t="s">
        <v>188</v>
      </c>
    </row>
    <row r="2697" spans="1:2">
      <c r="A2697" s="118">
        <v>2157100</v>
      </c>
      <c r="B2697" s="116" t="s">
        <v>905</v>
      </c>
    </row>
    <row r="2698" spans="1:2">
      <c r="A2698" s="118">
        <v>2157101</v>
      </c>
      <c r="B2698" s="116" t="s">
        <v>311</v>
      </c>
    </row>
    <row r="2699" spans="1:2">
      <c r="A2699" s="118">
        <v>2157102</v>
      </c>
      <c r="B2699" s="116" t="s">
        <v>196</v>
      </c>
    </row>
    <row r="2700" spans="1:2">
      <c r="A2700" s="118">
        <v>2157103</v>
      </c>
      <c r="B2700" s="116" t="s">
        <v>197</v>
      </c>
    </row>
    <row r="2701" spans="1:2">
      <c r="A2701" s="118">
        <v>2157200</v>
      </c>
      <c r="B2701" s="116" t="s">
        <v>259</v>
      </c>
    </row>
    <row r="2702" spans="1:2">
      <c r="A2702" s="118">
        <v>2157201</v>
      </c>
      <c r="B2702" s="116" t="s">
        <v>647</v>
      </c>
    </row>
    <row r="2703" spans="1:2">
      <c r="A2703" s="118">
        <v>2157202</v>
      </c>
      <c r="B2703" s="116" t="s">
        <v>648</v>
      </c>
    </row>
    <row r="2704" spans="1:2">
      <c r="A2704" s="118">
        <v>2157203</v>
      </c>
      <c r="B2704" s="116" t="s">
        <v>591</v>
      </c>
    </row>
    <row r="2705" spans="1:2">
      <c r="A2705" s="118">
        <v>2157600</v>
      </c>
      <c r="B2705" s="116" t="s">
        <v>1119</v>
      </c>
    </row>
    <row r="2706" spans="1:2">
      <c r="A2706" s="118">
        <v>2159900</v>
      </c>
      <c r="B2706" s="116" t="s">
        <v>81</v>
      </c>
    </row>
    <row r="2707" spans="1:2">
      <c r="A2707" s="118">
        <v>2160000</v>
      </c>
      <c r="B2707" s="116" t="s">
        <v>950</v>
      </c>
    </row>
    <row r="2708" spans="1:2">
      <c r="A2708" s="118">
        <v>2166700</v>
      </c>
      <c r="B2708" s="116" t="s">
        <v>77</v>
      </c>
    </row>
    <row r="2709" spans="1:2">
      <c r="A2709" s="118">
        <v>2167100</v>
      </c>
      <c r="B2709" s="116" t="s">
        <v>905</v>
      </c>
    </row>
    <row r="2710" spans="1:2">
      <c r="A2710" s="118">
        <v>2167101</v>
      </c>
      <c r="B2710" s="116" t="s">
        <v>311</v>
      </c>
    </row>
    <row r="2711" spans="1:2">
      <c r="A2711" s="118">
        <v>2167102</v>
      </c>
      <c r="B2711" s="116" t="s">
        <v>196</v>
      </c>
    </row>
    <row r="2712" spans="1:2">
      <c r="A2712" s="118">
        <v>2167103</v>
      </c>
      <c r="B2712" s="116" t="s">
        <v>197</v>
      </c>
    </row>
    <row r="2713" spans="1:2">
      <c r="A2713" s="118">
        <v>2167200</v>
      </c>
      <c r="B2713" s="116" t="s">
        <v>259</v>
      </c>
    </row>
    <row r="2714" spans="1:2">
      <c r="A2714" s="118">
        <v>2167201</v>
      </c>
      <c r="B2714" s="116" t="s">
        <v>647</v>
      </c>
    </row>
    <row r="2715" spans="1:2">
      <c r="A2715" s="118">
        <v>2167202</v>
      </c>
      <c r="B2715" s="116" t="s">
        <v>648</v>
      </c>
    </row>
    <row r="2716" spans="1:2">
      <c r="A2716" s="118">
        <v>2167203</v>
      </c>
      <c r="B2716" s="116" t="s">
        <v>591</v>
      </c>
    </row>
    <row r="2717" spans="1:2">
      <c r="A2717" s="118">
        <v>2170000</v>
      </c>
      <c r="B2717" s="116" t="s">
        <v>951</v>
      </c>
    </row>
    <row r="2718" spans="1:2">
      <c r="A2718" s="118">
        <v>2180000</v>
      </c>
      <c r="B2718" s="116" t="s">
        <v>1044</v>
      </c>
    </row>
    <row r="2719" spans="1:2" ht="25.5">
      <c r="A2719" s="118">
        <v>2180100</v>
      </c>
      <c r="B2719" s="116" t="s">
        <v>1679</v>
      </c>
    </row>
    <row r="2720" spans="1:2" ht="25.5">
      <c r="A2720" s="118">
        <v>2180200</v>
      </c>
      <c r="B2720" s="116" t="s">
        <v>630</v>
      </c>
    </row>
    <row r="2721" spans="1:2" ht="25.5">
      <c r="A2721" s="118">
        <v>2180300</v>
      </c>
      <c r="B2721" s="116" t="s">
        <v>952</v>
      </c>
    </row>
    <row r="2722" spans="1:2">
      <c r="A2722" s="118">
        <v>2190000</v>
      </c>
      <c r="B2722" s="116" t="s">
        <v>1045</v>
      </c>
    </row>
    <row r="2723" spans="1:2">
      <c r="A2723" s="118">
        <v>2190100</v>
      </c>
      <c r="B2723" s="116" t="s">
        <v>578</v>
      </c>
    </row>
    <row r="2724" spans="1:2">
      <c r="A2724" s="118">
        <v>2200000</v>
      </c>
      <c r="B2724" s="116" t="s">
        <v>327</v>
      </c>
    </row>
    <row r="2725" spans="1:2">
      <c r="A2725" s="118">
        <v>2200100</v>
      </c>
      <c r="B2725" s="116" t="s">
        <v>579</v>
      </c>
    </row>
    <row r="2726" spans="1:2">
      <c r="A2726" s="118">
        <v>2200200</v>
      </c>
      <c r="B2726" s="116" t="s">
        <v>301</v>
      </c>
    </row>
    <row r="2727" spans="1:2">
      <c r="A2727" s="118">
        <v>2200300</v>
      </c>
      <c r="B2727" s="116" t="s">
        <v>666</v>
      </c>
    </row>
    <row r="2728" spans="1:2">
      <c r="A2728" s="118">
        <v>2200400</v>
      </c>
      <c r="B2728" s="116" t="s">
        <v>667</v>
      </c>
    </row>
    <row r="2729" spans="1:2">
      <c r="A2729" s="118">
        <v>2200500</v>
      </c>
      <c r="B2729" s="116" t="s">
        <v>953</v>
      </c>
    </row>
    <row r="2730" spans="1:2">
      <c r="A2730" s="118">
        <v>2200600</v>
      </c>
      <c r="B2730" s="116" t="s">
        <v>1501</v>
      </c>
    </row>
    <row r="2731" spans="1:2">
      <c r="A2731" s="118">
        <v>2210000</v>
      </c>
      <c r="B2731" s="116" t="s">
        <v>1454</v>
      </c>
    </row>
    <row r="2732" spans="1:2">
      <c r="A2732" s="118">
        <v>2210100</v>
      </c>
      <c r="B2732" s="116" t="s">
        <v>1309</v>
      </c>
    </row>
    <row r="2733" spans="1:2">
      <c r="A2733" s="118">
        <v>2219900</v>
      </c>
      <c r="B2733" s="116" t="s">
        <v>81</v>
      </c>
    </row>
    <row r="2734" spans="1:2" ht="25.5">
      <c r="A2734" s="118">
        <v>2220000</v>
      </c>
      <c r="B2734" s="116" t="s">
        <v>1310</v>
      </c>
    </row>
    <row r="2735" spans="1:2">
      <c r="A2735" s="118">
        <v>2220100</v>
      </c>
      <c r="B2735" s="116" t="s">
        <v>684</v>
      </c>
    </row>
    <row r="2736" spans="1:2" ht="25.5">
      <c r="A2736" s="118">
        <v>2220200</v>
      </c>
      <c r="B2736" s="116" t="s">
        <v>239</v>
      </c>
    </row>
    <row r="2737" spans="1:2" ht="25.5">
      <c r="A2737" s="118">
        <v>2220300</v>
      </c>
      <c r="B2737" s="116" t="s">
        <v>1502</v>
      </c>
    </row>
    <row r="2738" spans="1:2">
      <c r="A2738" s="118">
        <v>2230000</v>
      </c>
      <c r="B2738" s="116" t="s">
        <v>730</v>
      </c>
    </row>
    <row r="2739" spans="1:2">
      <c r="A2739" s="118">
        <v>2230100</v>
      </c>
      <c r="B2739" s="116" t="s">
        <v>1388</v>
      </c>
    </row>
    <row r="2740" spans="1:2" ht="25.5">
      <c r="A2740" s="118">
        <v>2240000</v>
      </c>
      <c r="B2740" s="116" t="s">
        <v>1769</v>
      </c>
    </row>
    <row r="2741" spans="1:2">
      <c r="A2741" s="118">
        <v>2240100</v>
      </c>
      <c r="B2741" s="116" t="s">
        <v>1503</v>
      </c>
    </row>
    <row r="2742" spans="1:2">
      <c r="A2742" s="118">
        <v>2240200</v>
      </c>
      <c r="B2742" s="116" t="s">
        <v>1504</v>
      </c>
    </row>
    <row r="2743" spans="1:2">
      <c r="A2743" s="118">
        <v>2240300</v>
      </c>
      <c r="B2743" s="116" t="s">
        <v>1505</v>
      </c>
    </row>
    <row r="2744" spans="1:2">
      <c r="A2744" s="118">
        <v>2400000</v>
      </c>
      <c r="B2744" s="116" t="s">
        <v>1506</v>
      </c>
    </row>
    <row r="2745" spans="1:2">
      <c r="A2745" s="118">
        <v>2400100</v>
      </c>
      <c r="B2745" s="116" t="s">
        <v>1507</v>
      </c>
    </row>
    <row r="2746" spans="1:2">
      <c r="A2746" s="118">
        <v>2400101</v>
      </c>
      <c r="B2746" s="116" t="s">
        <v>2019</v>
      </c>
    </row>
    <row r="2747" spans="1:2">
      <c r="A2747" s="118">
        <v>2470000</v>
      </c>
      <c r="B2747" s="116" t="s">
        <v>1382</v>
      </c>
    </row>
    <row r="2748" spans="1:2" ht="25.5">
      <c r="A2748" s="118">
        <v>2470100</v>
      </c>
      <c r="B2748" s="116" t="s">
        <v>900</v>
      </c>
    </row>
    <row r="2749" spans="1:2">
      <c r="A2749" s="118">
        <v>2470200</v>
      </c>
      <c r="B2749" s="116" t="s">
        <v>901</v>
      </c>
    </row>
    <row r="2750" spans="1:2">
      <c r="A2750" s="118">
        <v>2470700</v>
      </c>
      <c r="B2750" s="116" t="s">
        <v>899</v>
      </c>
    </row>
    <row r="2751" spans="1:2">
      <c r="A2751" s="118">
        <v>2476300</v>
      </c>
      <c r="B2751" s="116" t="s">
        <v>934</v>
      </c>
    </row>
    <row r="2752" spans="1:2">
      <c r="A2752" s="118">
        <v>2476500</v>
      </c>
      <c r="B2752" s="116" t="s">
        <v>314</v>
      </c>
    </row>
    <row r="2753" spans="1:2">
      <c r="A2753" s="118">
        <v>2476600</v>
      </c>
      <c r="B2753" s="116" t="s">
        <v>441</v>
      </c>
    </row>
    <row r="2754" spans="1:2">
      <c r="A2754" s="118">
        <v>2476700</v>
      </c>
      <c r="B2754" s="116" t="s">
        <v>77</v>
      </c>
    </row>
    <row r="2755" spans="1:2">
      <c r="A2755" s="118">
        <v>2479900</v>
      </c>
      <c r="B2755" s="116" t="s">
        <v>81</v>
      </c>
    </row>
    <row r="2756" spans="1:2">
      <c r="A2756" s="118">
        <v>2480000</v>
      </c>
      <c r="B2756" s="116" t="s">
        <v>495</v>
      </c>
    </row>
    <row r="2757" spans="1:2">
      <c r="A2757" s="118">
        <v>2480100</v>
      </c>
      <c r="B2757" s="116" t="s">
        <v>902</v>
      </c>
    </row>
    <row r="2758" spans="1:2" ht="25.5">
      <c r="A2758" s="118">
        <v>2480200</v>
      </c>
      <c r="B2758" s="116" t="s">
        <v>1116</v>
      </c>
    </row>
    <row r="2759" spans="1:2">
      <c r="A2759" s="118">
        <v>2480300</v>
      </c>
      <c r="B2759" s="116" t="s">
        <v>204</v>
      </c>
    </row>
    <row r="2760" spans="1:2" ht="63.75">
      <c r="A2760" s="118">
        <v>2480400</v>
      </c>
      <c r="B2760" s="117" t="s">
        <v>2020</v>
      </c>
    </row>
    <row r="2761" spans="1:2">
      <c r="A2761" s="118">
        <v>2488300</v>
      </c>
      <c r="B2761" s="116" t="s">
        <v>205</v>
      </c>
    </row>
    <row r="2762" spans="1:2">
      <c r="A2762" s="118">
        <v>2490000</v>
      </c>
      <c r="B2762" s="116" t="s">
        <v>598</v>
      </c>
    </row>
    <row r="2763" spans="1:2" ht="25.5">
      <c r="A2763" s="118">
        <v>2490100</v>
      </c>
      <c r="B2763" s="116" t="s">
        <v>2021</v>
      </c>
    </row>
    <row r="2764" spans="1:2">
      <c r="A2764" s="118">
        <v>2490200</v>
      </c>
      <c r="B2764" s="116" t="s">
        <v>2022</v>
      </c>
    </row>
    <row r="2765" spans="1:2">
      <c r="A2765" s="118">
        <v>2500000</v>
      </c>
      <c r="B2765" s="116" t="s">
        <v>599</v>
      </c>
    </row>
    <row r="2766" spans="1:2">
      <c r="A2766" s="118">
        <v>2500100</v>
      </c>
      <c r="B2766" s="116" t="s">
        <v>1534</v>
      </c>
    </row>
    <row r="2767" spans="1:2">
      <c r="A2767" s="118">
        <v>2510000</v>
      </c>
      <c r="B2767" s="116" t="s">
        <v>600</v>
      </c>
    </row>
    <row r="2768" spans="1:2">
      <c r="A2768" s="118">
        <v>2519900</v>
      </c>
      <c r="B2768" s="116" t="s">
        <v>81</v>
      </c>
    </row>
    <row r="2769" spans="1:2">
      <c r="A2769" s="118">
        <v>2520000</v>
      </c>
      <c r="B2769" s="116" t="s">
        <v>2023</v>
      </c>
    </row>
    <row r="2770" spans="1:2">
      <c r="A2770" s="118">
        <v>2529900</v>
      </c>
      <c r="B2770" s="116" t="s">
        <v>81</v>
      </c>
    </row>
    <row r="2771" spans="1:2">
      <c r="A2771" s="118">
        <v>2530000</v>
      </c>
      <c r="B2771" s="116" t="s">
        <v>1184</v>
      </c>
    </row>
    <row r="2772" spans="1:2">
      <c r="A2772" s="118">
        <v>2539900</v>
      </c>
      <c r="B2772" s="116" t="s">
        <v>81</v>
      </c>
    </row>
    <row r="2773" spans="1:2">
      <c r="A2773" s="118">
        <v>2540000</v>
      </c>
      <c r="B2773" s="116" t="s">
        <v>2024</v>
      </c>
    </row>
    <row r="2774" spans="1:2" ht="25.5">
      <c r="A2774" s="118">
        <v>2540100</v>
      </c>
      <c r="B2774" s="116" t="s">
        <v>2025</v>
      </c>
    </row>
    <row r="2775" spans="1:2">
      <c r="A2775" s="118">
        <v>2600000</v>
      </c>
      <c r="B2775" s="116" t="s">
        <v>580</v>
      </c>
    </row>
    <row r="2776" spans="1:2" ht="63.75">
      <c r="A2776" s="118">
        <v>2600100</v>
      </c>
      <c r="B2776" s="117" t="s">
        <v>448</v>
      </c>
    </row>
    <row r="2777" spans="1:2" ht="51">
      <c r="A2777" s="118">
        <v>2600200</v>
      </c>
      <c r="B2777" s="117" t="s">
        <v>956</v>
      </c>
    </row>
    <row r="2778" spans="1:2" ht="38.25">
      <c r="A2778" s="118">
        <v>2600300</v>
      </c>
      <c r="B2778" s="117" t="s">
        <v>2026</v>
      </c>
    </row>
    <row r="2779" spans="1:2">
      <c r="A2779" s="118">
        <v>2600400</v>
      </c>
      <c r="B2779" s="116" t="s">
        <v>957</v>
      </c>
    </row>
    <row r="2780" spans="1:2" ht="51">
      <c r="A2780" s="118">
        <v>2600500</v>
      </c>
      <c r="B2780" s="117" t="s">
        <v>363</v>
      </c>
    </row>
    <row r="2781" spans="1:2">
      <c r="A2781" s="118">
        <v>2600600</v>
      </c>
      <c r="B2781" s="116" t="s">
        <v>682</v>
      </c>
    </row>
    <row r="2782" spans="1:2">
      <c r="A2782" s="118">
        <v>2600700</v>
      </c>
      <c r="B2782" s="116" t="s">
        <v>1391</v>
      </c>
    </row>
    <row r="2783" spans="1:2">
      <c r="A2783" s="118">
        <v>2600800</v>
      </c>
      <c r="B2783" s="116" t="s">
        <v>955</v>
      </c>
    </row>
    <row r="2784" spans="1:2">
      <c r="A2784" s="118">
        <v>2600900</v>
      </c>
      <c r="B2784" s="116" t="s">
        <v>1508</v>
      </c>
    </row>
    <row r="2785" spans="1:2">
      <c r="A2785" s="118">
        <v>2601000</v>
      </c>
      <c r="B2785" s="116" t="s">
        <v>687</v>
      </c>
    </row>
    <row r="2786" spans="1:2" ht="25.5">
      <c r="A2786" s="118">
        <v>2601100</v>
      </c>
      <c r="B2786" s="116" t="s">
        <v>804</v>
      </c>
    </row>
    <row r="2787" spans="1:2">
      <c r="A2787" s="118">
        <v>2601200</v>
      </c>
      <c r="B2787" s="116" t="s">
        <v>805</v>
      </c>
    </row>
    <row r="2788" spans="1:2">
      <c r="A2788" s="118">
        <v>2601300</v>
      </c>
      <c r="B2788" s="116" t="s">
        <v>806</v>
      </c>
    </row>
    <row r="2789" spans="1:2" ht="63.75">
      <c r="A2789" s="118">
        <v>2601400</v>
      </c>
      <c r="B2789" s="117" t="s">
        <v>981</v>
      </c>
    </row>
    <row r="2790" spans="1:2" ht="63.75">
      <c r="A2790" s="118">
        <v>2601500</v>
      </c>
      <c r="B2790" s="117" t="s">
        <v>2027</v>
      </c>
    </row>
    <row r="2791" spans="1:2" ht="25.5">
      <c r="A2791" s="118">
        <v>2602400</v>
      </c>
      <c r="B2791" s="116" t="s">
        <v>2028</v>
      </c>
    </row>
    <row r="2792" spans="1:2" ht="25.5">
      <c r="A2792" s="118">
        <v>2610000</v>
      </c>
      <c r="B2792" s="116" t="s">
        <v>2029</v>
      </c>
    </row>
    <row r="2793" spans="1:2">
      <c r="A2793" s="118">
        <v>2619900</v>
      </c>
      <c r="B2793" s="116" t="s">
        <v>81</v>
      </c>
    </row>
    <row r="2794" spans="1:2">
      <c r="A2794" s="118">
        <v>2620000</v>
      </c>
      <c r="B2794" s="116" t="s">
        <v>1585</v>
      </c>
    </row>
    <row r="2795" spans="1:2" ht="25.5">
      <c r="A2795" s="118">
        <v>2620100</v>
      </c>
      <c r="B2795" s="116" t="s">
        <v>2030</v>
      </c>
    </row>
    <row r="2796" spans="1:2">
      <c r="A2796" s="118">
        <v>2620200</v>
      </c>
      <c r="B2796" s="116" t="s">
        <v>361</v>
      </c>
    </row>
    <row r="2797" spans="1:2">
      <c r="A2797" s="118">
        <v>2630000</v>
      </c>
      <c r="B2797" s="116" t="s">
        <v>473</v>
      </c>
    </row>
    <row r="2798" spans="1:2">
      <c r="A2798" s="118">
        <v>2639900</v>
      </c>
      <c r="B2798" s="116" t="s">
        <v>81</v>
      </c>
    </row>
    <row r="2799" spans="1:2">
      <c r="A2799" s="118">
        <v>2640000</v>
      </c>
      <c r="B2799" s="116" t="s">
        <v>362</v>
      </c>
    </row>
    <row r="2800" spans="1:2">
      <c r="A2800" s="118">
        <v>2640100</v>
      </c>
      <c r="B2800" s="116" t="s">
        <v>2031</v>
      </c>
    </row>
    <row r="2801" spans="1:2" ht="25.5">
      <c r="A2801" s="118">
        <v>2640200</v>
      </c>
      <c r="B2801" s="116" t="s">
        <v>2032</v>
      </c>
    </row>
    <row r="2802" spans="1:2">
      <c r="A2802" s="118">
        <v>2649900</v>
      </c>
      <c r="B2802" s="116" t="s">
        <v>81</v>
      </c>
    </row>
    <row r="2803" spans="1:2">
      <c r="A2803" s="118">
        <v>2650000</v>
      </c>
      <c r="B2803" s="116" t="s">
        <v>2033</v>
      </c>
    </row>
    <row r="2804" spans="1:2">
      <c r="A2804" s="118">
        <v>2659900</v>
      </c>
      <c r="B2804" s="116" t="s">
        <v>81</v>
      </c>
    </row>
    <row r="2805" spans="1:2" ht="25.5">
      <c r="A2805" s="118">
        <v>2660000</v>
      </c>
      <c r="B2805" s="116" t="s">
        <v>2034</v>
      </c>
    </row>
    <row r="2806" spans="1:2">
      <c r="A2806" s="118">
        <v>2669900</v>
      </c>
      <c r="B2806" s="116" t="s">
        <v>81</v>
      </c>
    </row>
    <row r="2807" spans="1:2" ht="25.5">
      <c r="A2807" s="118">
        <v>2670000</v>
      </c>
      <c r="B2807" s="116" t="s">
        <v>2035</v>
      </c>
    </row>
    <row r="2808" spans="1:2">
      <c r="A2808" s="118">
        <v>2670100</v>
      </c>
      <c r="B2808" s="116" t="s">
        <v>942</v>
      </c>
    </row>
    <row r="2809" spans="1:2" ht="25.5">
      <c r="A2809" s="118">
        <v>2670400</v>
      </c>
      <c r="B2809" s="116" t="s">
        <v>2036</v>
      </c>
    </row>
    <row r="2810" spans="1:2">
      <c r="A2810" s="118">
        <v>2670402</v>
      </c>
      <c r="B2810" s="116" t="s">
        <v>957</v>
      </c>
    </row>
    <row r="2811" spans="1:2">
      <c r="A2811" s="118">
        <v>2670403</v>
      </c>
      <c r="B2811" s="116" t="s">
        <v>984</v>
      </c>
    </row>
    <row r="2812" spans="1:2">
      <c r="A2812" s="118">
        <v>2670500</v>
      </c>
      <c r="B2812" s="116" t="s">
        <v>985</v>
      </c>
    </row>
    <row r="2813" spans="1:2" ht="51">
      <c r="A2813" s="118">
        <v>2670501</v>
      </c>
      <c r="B2813" s="117" t="s">
        <v>986</v>
      </c>
    </row>
    <row r="2814" spans="1:2">
      <c r="A2814" s="118">
        <v>2670502</v>
      </c>
      <c r="B2814" s="116" t="s">
        <v>987</v>
      </c>
    </row>
    <row r="2815" spans="1:2">
      <c r="A2815" s="118">
        <v>2670503</v>
      </c>
      <c r="B2815" s="116" t="s">
        <v>988</v>
      </c>
    </row>
    <row r="2816" spans="1:2" ht="25.5">
      <c r="A2816" s="118">
        <v>2670504</v>
      </c>
      <c r="B2816" s="116" t="s">
        <v>989</v>
      </c>
    </row>
    <row r="2817" spans="1:2">
      <c r="A2817" s="118">
        <v>2670505</v>
      </c>
      <c r="B2817" s="116" t="s">
        <v>990</v>
      </c>
    </row>
    <row r="2818" spans="1:2">
      <c r="A2818" s="118">
        <v>2670506</v>
      </c>
      <c r="B2818" s="116" t="s">
        <v>991</v>
      </c>
    </row>
    <row r="2819" spans="1:2" ht="25.5">
      <c r="A2819" s="118">
        <v>2670507</v>
      </c>
      <c r="B2819" s="116" t="s">
        <v>992</v>
      </c>
    </row>
    <row r="2820" spans="1:2">
      <c r="A2820" s="118">
        <v>2670508</v>
      </c>
      <c r="B2820" s="116" t="s">
        <v>387</v>
      </c>
    </row>
    <row r="2821" spans="1:2">
      <c r="A2821" s="118">
        <v>2670509</v>
      </c>
      <c r="B2821" s="116" t="s">
        <v>388</v>
      </c>
    </row>
    <row r="2822" spans="1:2" ht="63.75">
      <c r="A2822" s="118">
        <v>2670510</v>
      </c>
      <c r="B2822" s="117" t="s">
        <v>1002</v>
      </c>
    </row>
    <row r="2823" spans="1:2">
      <c r="A2823" s="118">
        <v>2670511</v>
      </c>
      <c r="B2823" s="116" t="s">
        <v>421</v>
      </c>
    </row>
    <row r="2824" spans="1:2" ht="63.75">
      <c r="A2824" s="118">
        <v>2670513</v>
      </c>
      <c r="B2824" s="117" t="s">
        <v>422</v>
      </c>
    </row>
    <row r="2825" spans="1:2">
      <c r="A2825" s="118">
        <v>2670514</v>
      </c>
      <c r="B2825" s="116" t="s">
        <v>423</v>
      </c>
    </row>
    <row r="2826" spans="1:2">
      <c r="A2826" s="118">
        <v>2670515</v>
      </c>
      <c r="B2826" s="116" t="s">
        <v>424</v>
      </c>
    </row>
    <row r="2827" spans="1:2" ht="25.5">
      <c r="A2827" s="118">
        <v>2670600</v>
      </c>
      <c r="B2827" s="116" t="s">
        <v>425</v>
      </c>
    </row>
    <row r="2828" spans="1:2">
      <c r="A2828" s="118">
        <v>2700000</v>
      </c>
      <c r="B2828" s="116" t="s">
        <v>386</v>
      </c>
    </row>
    <row r="2829" spans="1:2">
      <c r="A2829" s="118">
        <v>2700100</v>
      </c>
      <c r="B2829" s="116" t="s">
        <v>943</v>
      </c>
    </row>
    <row r="2830" spans="1:2">
      <c r="A2830" s="118">
        <v>2700200</v>
      </c>
      <c r="B2830" s="116" t="s">
        <v>276</v>
      </c>
    </row>
    <row r="2831" spans="1:2">
      <c r="A2831" s="118">
        <v>2700300</v>
      </c>
      <c r="B2831" s="116" t="s">
        <v>426</v>
      </c>
    </row>
    <row r="2832" spans="1:2">
      <c r="A2832" s="118">
        <v>2700400</v>
      </c>
      <c r="B2832" s="116" t="s">
        <v>330</v>
      </c>
    </row>
    <row r="2833" spans="1:2" ht="38.25">
      <c r="A2833" s="118">
        <v>2700500</v>
      </c>
      <c r="B2833" s="117" t="s">
        <v>427</v>
      </c>
    </row>
    <row r="2834" spans="1:2" ht="38.25">
      <c r="A2834" s="118">
        <v>2700600</v>
      </c>
      <c r="B2834" s="117" t="s">
        <v>1022</v>
      </c>
    </row>
    <row r="2835" spans="1:2" ht="38.25">
      <c r="A2835" s="118">
        <v>2700700</v>
      </c>
      <c r="B2835" s="117" t="s">
        <v>1023</v>
      </c>
    </row>
    <row r="2836" spans="1:2">
      <c r="A2836" s="118">
        <v>2710000</v>
      </c>
      <c r="B2836" s="116" t="s">
        <v>1615</v>
      </c>
    </row>
    <row r="2837" spans="1:2">
      <c r="A2837" s="118">
        <v>2710100</v>
      </c>
      <c r="B2837" s="116" t="s">
        <v>216</v>
      </c>
    </row>
    <row r="2838" spans="1:2">
      <c r="A2838" s="118">
        <v>2719900</v>
      </c>
      <c r="B2838" s="116" t="s">
        <v>81</v>
      </c>
    </row>
    <row r="2839" spans="1:2">
      <c r="A2839" s="118">
        <v>2800000</v>
      </c>
      <c r="B2839" s="116" t="s">
        <v>1616</v>
      </c>
    </row>
    <row r="2840" spans="1:2">
      <c r="A2840" s="118">
        <v>2800100</v>
      </c>
      <c r="B2840" s="116" t="s">
        <v>640</v>
      </c>
    </row>
    <row r="2841" spans="1:2">
      <c r="A2841" s="118">
        <v>2800200</v>
      </c>
      <c r="B2841" s="116" t="s">
        <v>822</v>
      </c>
    </row>
    <row r="2842" spans="1:2" ht="25.5">
      <c r="A2842" s="118">
        <v>2800300</v>
      </c>
      <c r="B2842" s="116" t="s">
        <v>1933</v>
      </c>
    </row>
    <row r="2843" spans="1:2">
      <c r="A2843" s="118">
        <v>2800400</v>
      </c>
      <c r="B2843" s="116" t="s">
        <v>1385</v>
      </c>
    </row>
    <row r="2844" spans="1:2">
      <c r="A2844" s="118">
        <v>2800500</v>
      </c>
      <c r="B2844" s="116" t="s">
        <v>1024</v>
      </c>
    </row>
    <row r="2845" spans="1:2">
      <c r="A2845" s="118">
        <v>2810000</v>
      </c>
      <c r="B2845" s="116" t="s">
        <v>281</v>
      </c>
    </row>
    <row r="2846" spans="1:2">
      <c r="A2846" s="118">
        <v>2819900</v>
      </c>
      <c r="B2846" s="116" t="s">
        <v>81</v>
      </c>
    </row>
    <row r="2847" spans="1:2">
      <c r="A2847" s="118">
        <v>2910000</v>
      </c>
      <c r="B2847" s="116" t="s">
        <v>12</v>
      </c>
    </row>
    <row r="2848" spans="1:2">
      <c r="A2848" s="118">
        <v>2919900</v>
      </c>
      <c r="B2848" s="116" t="s">
        <v>81</v>
      </c>
    </row>
    <row r="2849" spans="1:2">
      <c r="A2849" s="118">
        <v>2920000</v>
      </c>
      <c r="B2849" s="116" t="s">
        <v>13</v>
      </c>
    </row>
    <row r="2850" spans="1:2">
      <c r="A2850" s="118">
        <v>2920100</v>
      </c>
      <c r="B2850" s="116" t="s">
        <v>1183</v>
      </c>
    </row>
    <row r="2851" spans="1:2">
      <c r="A2851" s="118">
        <v>2920200</v>
      </c>
      <c r="B2851" s="116" t="s">
        <v>1580</v>
      </c>
    </row>
    <row r="2852" spans="1:2">
      <c r="A2852" s="118">
        <v>3000000</v>
      </c>
      <c r="B2852" s="116" t="s">
        <v>1540</v>
      </c>
    </row>
    <row r="2853" spans="1:2">
      <c r="A2853" s="118">
        <v>3000100</v>
      </c>
      <c r="B2853" s="116" t="s">
        <v>887</v>
      </c>
    </row>
    <row r="2854" spans="1:2">
      <c r="A2854" s="118">
        <v>3000101</v>
      </c>
      <c r="B2854" s="116" t="s">
        <v>436</v>
      </c>
    </row>
    <row r="2855" spans="1:2">
      <c r="A2855" s="118">
        <v>3000102</v>
      </c>
      <c r="B2855" s="116" t="s">
        <v>116</v>
      </c>
    </row>
    <row r="2856" spans="1:2" ht="38.25">
      <c r="A2856" s="118">
        <v>3000103</v>
      </c>
      <c r="B2856" s="116" t="s">
        <v>1581</v>
      </c>
    </row>
    <row r="2857" spans="1:2" ht="25.5">
      <c r="A2857" s="118">
        <v>3000104</v>
      </c>
      <c r="B2857" s="116" t="s">
        <v>1839</v>
      </c>
    </row>
    <row r="2858" spans="1:2">
      <c r="A2858" s="118">
        <v>3000105</v>
      </c>
      <c r="B2858" s="116" t="s">
        <v>1840</v>
      </c>
    </row>
    <row r="2859" spans="1:2">
      <c r="A2859" s="118">
        <v>3000200</v>
      </c>
      <c r="B2859" s="116" t="s">
        <v>117</v>
      </c>
    </row>
    <row r="2860" spans="1:2">
      <c r="A2860" s="118">
        <v>3000201</v>
      </c>
      <c r="B2860" s="116" t="s">
        <v>66</v>
      </c>
    </row>
    <row r="2861" spans="1:2">
      <c r="A2861" s="118">
        <v>3000202</v>
      </c>
      <c r="B2861" s="116" t="s">
        <v>1841</v>
      </c>
    </row>
    <row r="2862" spans="1:2" ht="51">
      <c r="A2862" s="118">
        <v>3000203</v>
      </c>
      <c r="B2862" s="117" t="s">
        <v>1032</v>
      </c>
    </row>
    <row r="2863" spans="1:2">
      <c r="A2863" s="118">
        <v>3000204</v>
      </c>
      <c r="B2863" s="116" t="s">
        <v>1842</v>
      </c>
    </row>
    <row r="2864" spans="1:2" ht="25.5">
      <c r="A2864" s="118">
        <v>3000205</v>
      </c>
      <c r="B2864" s="116" t="s">
        <v>1843</v>
      </c>
    </row>
    <row r="2865" spans="1:2" ht="38.25">
      <c r="A2865" s="118">
        <v>3000206</v>
      </c>
      <c r="B2865" s="116" t="s">
        <v>1959</v>
      </c>
    </row>
    <row r="2866" spans="1:2" ht="38.25">
      <c r="A2866" s="118">
        <v>3000207</v>
      </c>
      <c r="B2866" s="117" t="s">
        <v>1844</v>
      </c>
    </row>
    <row r="2867" spans="1:2" ht="25.5">
      <c r="A2867" s="118">
        <v>3000208</v>
      </c>
      <c r="B2867" s="116" t="s">
        <v>1845</v>
      </c>
    </row>
    <row r="2868" spans="1:2" ht="25.5">
      <c r="A2868" s="118">
        <v>3000209</v>
      </c>
      <c r="B2868" s="116" t="s">
        <v>418</v>
      </c>
    </row>
    <row r="2869" spans="1:2" ht="25.5">
      <c r="A2869" s="118">
        <v>3000300</v>
      </c>
      <c r="B2869" s="116" t="s">
        <v>419</v>
      </c>
    </row>
    <row r="2870" spans="1:2">
      <c r="A2870" s="118">
        <v>3010000</v>
      </c>
      <c r="B2870" s="116" t="s">
        <v>1033</v>
      </c>
    </row>
    <row r="2871" spans="1:2">
      <c r="A2871" s="118">
        <v>3010100</v>
      </c>
      <c r="B2871" s="116" t="s">
        <v>1034</v>
      </c>
    </row>
    <row r="2872" spans="1:2">
      <c r="A2872" s="118">
        <v>3010101</v>
      </c>
      <c r="B2872" s="116" t="s">
        <v>1035</v>
      </c>
    </row>
    <row r="2873" spans="1:2">
      <c r="A2873" s="118">
        <v>3010200</v>
      </c>
      <c r="B2873" s="116" t="s">
        <v>642</v>
      </c>
    </row>
    <row r="2874" spans="1:2">
      <c r="A2874" s="118">
        <v>3010201</v>
      </c>
      <c r="B2874" s="116" t="s">
        <v>1323</v>
      </c>
    </row>
    <row r="2875" spans="1:2">
      <c r="A2875" s="118">
        <v>3010202</v>
      </c>
      <c r="B2875" s="116" t="s">
        <v>945</v>
      </c>
    </row>
    <row r="2876" spans="1:2">
      <c r="A2876" s="118">
        <v>3010300</v>
      </c>
      <c r="B2876" s="116" t="s">
        <v>807</v>
      </c>
    </row>
    <row r="2877" spans="1:2">
      <c r="A2877" s="118">
        <v>3010301</v>
      </c>
      <c r="B2877" s="116" t="s">
        <v>499</v>
      </c>
    </row>
    <row r="2878" spans="1:2">
      <c r="A2878" s="118">
        <v>3010302</v>
      </c>
      <c r="B2878" s="116" t="s">
        <v>307</v>
      </c>
    </row>
    <row r="2879" spans="1:2">
      <c r="A2879" s="118">
        <v>3010303</v>
      </c>
      <c r="B2879" s="116" t="s">
        <v>833</v>
      </c>
    </row>
    <row r="2880" spans="1:2" ht="25.5">
      <c r="A2880" s="118">
        <v>3010304</v>
      </c>
      <c r="B2880" s="116" t="s">
        <v>420</v>
      </c>
    </row>
    <row r="2881" spans="1:2">
      <c r="A2881" s="118">
        <v>3017100</v>
      </c>
      <c r="B2881" s="116" t="s">
        <v>905</v>
      </c>
    </row>
    <row r="2882" spans="1:2">
      <c r="A2882" s="118">
        <v>3017101</v>
      </c>
      <c r="B2882" s="116" t="s">
        <v>311</v>
      </c>
    </row>
    <row r="2883" spans="1:2">
      <c r="A2883" s="118">
        <v>3017102</v>
      </c>
      <c r="B2883" s="116" t="s">
        <v>196</v>
      </c>
    </row>
    <row r="2884" spans="1:2">
      <c r="A2884" s="118">
        <v>3017103</v>
      </c>
      <c r="B2884" s="116" t="s">
        <v>197</v>
      </c>
    </row>
    <row r="2885" spans="1:2">
      <c r="A2885" s="118">
        <v>3017200</v>
      </c>
      <c r="B2885" s="116" t="s">
        <v>259</v>
      </c>
    </row>
    <row r="2886" spans="1:2">
      <c r="A2886" s="118">
        <v>3017201</v>
      </c>
      <c r="B2886" s="116" t="s">
        <v>647</v>
      </c>
    </row>
    <row r="2887" spans="1:2">
      <c r="A2887" s="118">
        <v>3017202</v>
      </c>
      <c r="B2887" s="116" t="s">
        <v>648</v>
      </c>
    </row>
    <row r="2888" spans="1:2">
      <c r="A2888" s="118">
        <v>3017203</v>
      </c>
      <c r="B2888" s="116" t="s">
        <v>591</v>
      </c>
    </row>
    <row r="2889" spans="1:2">
      <c r="A2889" s="118">
        <v>3020000</v>
      </c>
      <c r="B2889" s="116" t="s">
        <v>1323</v>
      </c>
    </row>
    <row r="2890" spans="1:2">
      <c r="A2890" s="118">
        <v>3020100</v>
      </c>
      <c r="B2890" s="116" t="s">
        <v>732</v>
      </c>
    </row>
    <row r="2891" spans="1:2">
      <c r="A2891" s="118">
        <v>3026800</v>
      </c>
      <c r="B2891" s="116" t="s">
        <v>633</v>
      </c>
    </row>
    <row r="2892" spans="1:2">
      <c r="A2892" s="118">
        <v>3026801</v>
      </c>
      <c r="B2892" s="116" t="s">
        <v>404</v>
      </c>
    </row>
    <row r="2893" spans="1:2" ht="25.5">
      <c r="A2893" s="118">
        <v>3026802</v>
      </c>
      <c r="B2893" s="116" t="s">
        <v>188</v>
      </c>
    </row>
    <row r="2894" spans="1:2">
      <c r="A2894" s="118">
        <v>3027100</v>
      </c>
      <c r="B2894" s="116" t="s">
        <v>905</v>
      </c>
    </row>
    <row r="2895" spans="1:2">
      <c r="A2895" s="118">
        <v>3027101</v>
      </c>
      <c r="B2895" s="116" t="s">
        <v>311</v>
      </c>
    </row>
    <row r="2896" spans="1:2">
      <c r="A2896" s="118">
        <v>3027102</v>
      </c>
      <c r="B2896" s="116" t="s">
        <v>196</v>
      </c>
    </row>
    <row r="2897" spans="1:2">
      <c r="A2897" s="118">
        <v>3027103</v>
      </c>
      <c r="B2897" s="116" t="s">
        <v>197</v>
      </c>
    </row>
    <row r="2898" spans="1:2">
      <c r="A2898" s="118">
        <v>3027200</v>
      </c>
      <c r="B2898" s="116" t="s">
        <v>259</v>
      </c>
    </row>
    <row r="2899" spans="1:2">
      <c r="A2899" s="118">
        <v>3027201</v>
      </c>
      <c r="B2899" s="116" t="s">
        <v>647</v>
      </c>
    </row>
    <row r="2900" spans="1:2">
      <c r="A2900" s="118">
        <v>3027202</v>
      </c>
      <c r="B2900" s="116" t="s">
        <v>648</v>
      </c>
    </row>
    <row r="2901" spans="1:2">
      <c r="A2901" s="118">
        <v>3027203</v>
      </c>
      <c r="B2901" s="116" t="s">
        <v>591</v>
      </c>
    </row>
    <row r="2902" spans="1:2">
      <c r="A2902" s="118">
        <v>3029900</v>
      </c>
      <c r="B2902" s="116" t="s">
        <v>81</v>
      </c>
    </row>
    <row r="2903" spans="1:2">
      <c r="A2903" s="118">
        <v>3050000</v>
      </c>
      <c r="B2903" s="116" t="s">
        <v>1324</v>
      </c>
    </row>
    <row r="2904" spans="1:2">
      <c r="A2904" s="118">
        <v>3050100</v>
      </c>
      <c r="B2904" s="116" t="s">
        <v>1105</v>
      </c>
    </row>
    <row r="2905" spans="1:2" ht="25.5">
      <c r="A2905" s="118">
        <v>3050101</v>
      </c>
      <c r="B2905" s="116" t="s">
        <v>1380</v>
      </c>
    </row>
    <row r="2906" spans="1:2" ht="38.25">
      <c r="A2906" s="118">
        <v>3050102</v>
      </c>
      <c r="B2906" s="116" t="s">
        <v>185</v>
      </c>
    </row>
    <row r="2907" spans="1:2" ht="38.25">
      <c r="A2907" s="118">
        <v>3050103</v>
      </c>
      <c r="B2907" s="117" t="s">
        <v>0</v>
      </c>
    </row>
    <row r="2908" spans="1:2" ht="38.25">
      <c r="A2908" s="118">
        <v>3050104</v>
      </c>
      <c r="B2908" s="116" t="s">
        <v>428</v>
      </c>
    </row>
    <row r="2909" spans="1:2" ht="63.75">
      <c r="A2909" s="118">
        <v>3050105</v>
      </c>
      <c r="B2909" s="117" t="s">
        <v>1858</v>
      </c>
    </row>
    <row r="2910" spans="1:2" ht="25.5">
      <c r="A2910" s="118">
        <v>3050106</v>
      </c>
      <c r="B2910" s="116" t="s">
        <v>1627</v>
      </c>
    </row>
    <row r="2911" spans="1:2" ht="51">
      <c r="A2911" s="118">
        <v>3050107</v>
      </c>
      <c r="B2911" s="117" t="s">
        <v>1059</v>
      </c>
    </row>
    <row r="2912" spans="1:2" ht="63.75">
      <c r="A2912" s="118">
        <v>3050108</v>
      </c>
      <c r="B2912" s="117" t="s">
        <v>474</v>
      </c>
    </row>
    <row r="2913" spans="1:2" ht="38.25">
      <c r="A2913" s="118">
        <v>3050112</v>
      </c>
      <c r="B2913" s="116" t="s">
        <v>475</v>
      </c>
    </row>
    <row r="2914" spans="1:2" ht="51">
      <c r="A2914" s="118">
        <v>3050113</v>
      </c>
      <c r="B2914" s="117" t="s">
        <v>476</v>
      </c>
    </row>
    <row r="2915" spans="1:2">
      <c r="A2915" s="118">
        <v>3060000</v>
      </c>
      <c r="B2915" s="116" t="s">
        <v>477</v>
      </c>
    </row>
    <row r="2916" spans="1:2" ht="25.5">
      <c r="A2916" s="118">
        <v>3060100</v>
      </c>
      <c r="B2916" s="116" t="s">
        <v>478</v>
      </c>
    </row>
    <row r="2917" spans="1:2" ht="25.5">
      <c r="A2917" s="118">
        <v>3060200</v>
      </c>
      <c r="B2917" s="116" t="s">
        <v>479</v>
      </c>
    </row>
    <row r="2918" spans="1:2" ht="25.5">
      <c r="A2918" s="118">
        <v>3060300</v>
      </c>
      <c r="B2918" s="116" t="s">
        <v>480</v>
      </c>
    </row>
    <row r="2919" spans="1:2" ht="25.5">
      <c r="A2919" s="118">
        <v>3060400</v>
      </c>
      <c r="B2919" s="116" t="s">
        <v>481</v>
      </c>
    </row>
    <row r="2920" spans="1:2">
      <c r="A2920" s="118">
        <v>3100000</v>
      </c>
      <c r="B2920" s="116" t="s">
        <v>80</v>
      </c>
    </row>
    <row r="2921" spans="1:2">
      <c r="A2921" s="118">
        <v>3100100</v>
      </c>
      <c r="B2921" s="116" t="s">
        <v>186</v>
      </c>
    </row>
    <row r="2922" spans="1:2">
      <c r="A2922" s="118">
        <v>3100101</v>
      </c>
      <c r="B2922" s="116" t="s">
        <v>187</v>
      </c>
    </row>
    <row r="2923" spans="1:2">
      <c r="A2923" s="118">
        <v>3150000</v>
      </c>
      <c r="B2923" s="116" t="s">
        <v>385</v>
      </c>
    </row>
    <row r="2924" spans="1:2">
      <c r="A2924" s="118">
        <v>3150100</v>
      </c>
      <c r="B2924" s="116" t="s">
        <v>482</v>
      </c>
    </row>
    <row r="2925" spans="1:2">
      <c r="A2925" s="118">
        <v>3150101</v>
      </c>
      <c r="B2925" s="116" t="s">
        <v>383</v>
      </c>
    </row>
    <row r="2926" spans="1:2">
      <c r="A2926" s="118">
        <v>3150102</v>
      </c>
      <c r="B2926" s="116" t="s">
        <v>483</v>
      </c>
    </row>
    <row r="2927" spans="1:2">
      <c r="A2927" s="118">
        <v>3150200</v>
      </c>
      <c r="B2927" s="116" t="s">
        <v>1665</v>
      </c>
    </row>
    <row r="2928" spans="1:2" ht="25.5">
      <c r="A2928" s="118">
        <v>3150201</v>
      </c>
      <c r="B2928" s="116" t="s">
        <v>484</v>
      </c>
    </row>
    <row r="2929" spans="1:2">
      <c r="A2929" s="118">
        <v>3150202</v>
      </c>
      <c r="B2929" s="116" t="s">
        <v>746</v>
      </c>
    </row>
    <row r="2930" spans="1:2">
      <c r="A2930" s="118">
        <v>3150203</v>
      </c>
      <c r="B2930" s="116" t="s">
        <v>485</v>
      </c>
    </row>
    <row r="2931" spans="1:2" ht="25.5">
      <c r="A2931" s="118">
        <v>3150204</v>
      </c>
      <c r="B2931" s="116" t="s">
        <v>486</v>
      </c>
    </row>
    <row r="2932" spans="1:2" ht="25.5">
      <c r="A2932" s="118">
        <v>3150205</v>
      </c>
      <c r="B2932" s="116" t="s">
        <v>487</v>
      </c>
    </row>
    <row r="2933" spans="1:2" ht="25.5">
      <c r="A2933" s="118">
        <v>3150206</v>
      </c>
      <c r="B2933" s="116" t="s">
        <v>488</v>
      </c>
    </row>
    <row r="2934" spans="1:2">
      <c r="A2934" s="118">
        <v>3150300</v>
      </c>
      <c r="B2934" s="116" t="s">
        <v>747</v>
      </c>
    </row>
    <row r="2935" spans="1:2" ht="25.5">
      <c r="A2935" s="118">
        <v>3150301</v>
      </c>
      <c r="B2935" s="116" t="s">
        <v>1940</v>
      </c>
    </row>
    <row r="2936" spans="1:2" ht="25.5">
      <c r="A2936" s="118">
        <v>3150302</v>
      </c>
      <c r="B2936" s="116" t="s">
        <v>489</v>
      </c>
    </row>
    <row r="2937" spans="1:2">
      <c r="A2937" s="118">
        <v>3170000</v>
      </c>
      <c r="B2937" s="116" t="s">
        <v>1174</v>
      </c>
    </row>
    <row r="2938" spans="1:2">
      <c r="A2938" s="118">
        <v>3170100</v>
      </c>
      <c r="B2938" s="116" t="s">
        <v>1038</v>
      </c>
    </row>
    <row r="2939" spans="1:2" ht="25.5">
      <c r="A2939" s="118">
        <v>3170101</v>
      </c>
      <c r="B2939" s="116" t="s">
        <v>1526</v>
      </c>
    </row>
    <row r="2940" spans="1:2" ht="25.5">
      <c r="A2940" s="118">
        <v>3170110</v>
      </c>
      <c r="B2940" s="116" t="s">
        <v>1455</v>
      </c>
    </row>
    <row r="2941" spans="1:2">
      <c r="A2941" s="118">
        <v>3300000</v>
      </c>
      <c r="B2941" s="116" t="s">
        <v>938</v>
      </c>
    </row>
    <row r="2942" spans="1:2">
      <c r="A2942" s="118">
        <v>3300100</v>
      </c>
      <c r="B2942" s="116" t="s">
        <v>1256</v>
      </c>
    </row>
    <row r="2943" spans="1:2" ht="25.5">
      <c r="A2943" s="118">
        <v>3300101</v>
      </c>
      <c r="B2943" s="116" t="s">
        <v>490</v>
      </c>
    </row>
    <row r="2944" spans="1:2" ht="25.5">
      <c r="A2944" s="118">
        <v>3300102</v>
      </c>
      <c r="B2944" s="116" t="s">
        <v>491</v>
      </c>
    </row>
    <row r="2945" spans="1:2">
      <c r="A2945" s="118">
        <v>3300200</v>
      </c>
      <c r="B2945" s="116" t="s">
        <v>565</v>
      </c>
    </row>
    <row r="2946" spans="1:2">
      <c r="A2946" s="118">
        <v>3300201</v>
      </c>
      <c r="B2946" s="116" t="s">
        <v>566</v>
      </c>
    </row>
    <row r="2947" spans="1:2" ht="25.5">
      <c r="A2947" s="118">
        <v>3300202</v>
      </c>
      <c r="B2947" s="116" t="s">
        <v>237</v>
      </c>
    </row>
    <row r="2948" spans="1:2" ht="25.5">
      <c r="A2948" s="118">
        <v>3300203</v>
      </c>
      <c r="B2948" s="116" t="s">
        <v>1574</v>
      </c>
    </row>
    <row r="2949" spans="1:2">
      <c r="A2949" s="118">
        <v>3300204</v>
      </c>
      <c r="B2949" s="116" t="s">
        <v>1575</v>
      </c>
    </row>
    <row r="2950" spans="1:2">
      <c r="A2950" s="118">
        <v>3300205</v>
      </c>
      <c r="B2950" s="116" t="s">
        <v>1576</v>
      </c>
    </row>
    <row r="2951" spans="1:2">
      <c r="A2951" s="118">
        <v>3300206</v>
      </c>
      <c r="B2951" s="116" t="s">
        <v>238</v>
      </c>
    </row>
    <row r="2952" spans="1:2">
      <c r="A2952" s="118">
        <v>3300207</v>
      </c>
      <c r="B2952" s="116" t="s">
        <v>899</v>
      </c>
    </row>
    <row r="2953" spans="1:2" ht="25.5">
      <c r="A2953" s="118">
        <v>3300208</v>
      </c>
      <c r="B2953" s="116" t="s">
        <v>1887</v>
      </c>
    </row>
    <row r="2954" spans="1:2">
      <c r="A2954" s="118">
        <v>3300300</v>
      </c>
      <c r="B2954" s="116" t="s">
        <v>867</v>
      </c>
    </row>
    <row r="2955" spans="1:2">
      <c r="A2955" s="118">
        <v>3300301</v>
      </c>
      <c r="B2955" s="116" t="s">
        <v>1031</v>
      </c>
    </row>
    <row r="2956" spans="1:2">
      <c r="A2956" s="118">
        <v>3300400</v>
      </c>
      <c r="B2956" s="116" t="s">
        <v>1343</v>
      </c>
    </row>
    <row r="2957" spans="1:2">
      <c r="A2957" s="118">
        <v>3300401</v>
      </c>
      <c r="B2957" s="116" t="s">
        <v>1344</v>
      </c>
    </row>
    <row r="2958" spans="1:2" ht="38.25">
      <c r="A2958" s="118">
        <v>3300402</v>
      </c>
      <c r="B2958" s="116" t="s">
        <v>1345</v>
      </c>
    </row>
    <row r="2959" spans="1:2">
      <c r="A2959" s="118">
        <v>3300600</v>
      </c>
      <c r="B2959" s="116" t="s">
        <v>1346</v>
      </c>
    </row>
    <row r="2960" spans="1:2" ht="25.5">
      <c r="A2960" s="118">
        <v>3300700</v>
      </c>
      <c r="B2960" s="116" t="s">
        <v>1347</v>
      </c>
    </row>
    <row r="2961" spans="1:2">
      <c r="A2961" s="118">
        <v>3308200</v>
      </c>
      <c r="B2961" s="116" t="s">
        <v>1121</v>
      </c>
    </row>
    <row r="2962" spans="1:2">
      <c r="A2962" s="118">
        <v>3309900</v>
      </c>
      <c r="B2962" s="116" t="s">
        <v>81</v>
      </c>
    </row>
    <row r="2963" spans="1:2" ht="25.5">
      <c r="A2963" s="118">
        <v>3350000</v>
      </c>
      <c r="B2963" s="116" t="s">
        <v>939</v>
      </c>
    </row>
    <row r="2964" spans="1:2" ht="25.5">
      <c r="A2964" s="118">
        <v>3350100</v>
      </c>
      <c r="B2964" s="116" t="s">
        <v>326</v>
      </c>
    </row>
    <row r="2965" spans="1:2">
      <c r="A2965" s="118">
        <v>3350200</v>
      </c>
      <c r="B2965" s="116" t="s">
        <v>1388</v>
      </c>
    </row>
    <row r="2966" spans="1:2">
      <c r="A2966" s="118">
        <v>3350300</v>
      </c>
      <c r="B2966" s="116" t="s">
        <v>826</v>
      </c>
    </row>
    <row r="2967" spans="1:2">
      <c r="A2967" s="118">
        <v>3360000</v>
      </c>
      <c r="B2967" s="116" t="s">
        <v>1348</v>
      </c>
    </row>
    <row r="2968" spans="1:2" ht="25.5">
      <c r="A2968" s="118">
        <v>3360100</v>
      </c>
      <c r="B2968" s="116" t="s">
        <v>1349</v>
      </c>
    </row>
    <row r="2969" spans="1:2">
      <c r="A2969" s="118">
        <v>3370000</v>
      </c>
      <c r="B2969" s="116" t="s">
        <v>966</v>
      </c>
    </row>
    <row r="2970" spans="1:2">
      <c r="A2970" s="118">
        <v>3379900</v>
      </c>
      <c r="B2970" s="116" t="s">
        <v>81</v>
      </c>
    </row>
    <row r="2971" spans="1:2">
      <c r="A2971" s="118">
        <v>3390000</v>
      </c>
      <c r="B2971" s="116" t="s">
        <v>1586</v>
      </c>
    </row>
    <row r="2972" spans="1:2">
      <c r="A2972" s="118">
        <v>3399900</v>
      </c>
      <c r="B2972" s="116" t="s">
        <v>81</v>
      </c>
    </row>
    <row r="2973" spans="1:2">
      <c r="A2973" s="118">
        <v>3400000</v>
      </c>
      <c r="B2973" s="116" t="s">
        <v>1587</v>
      </c>
    </row>
    <row r="2974" spans="1:2">
      <c r="A2974" s="118">
        <v>3400100</v>
      </c>
      <c r="B2974" s="116" t="s">
        <v>827</v>
      </c>
    </row>
    <row r="2975" spans="1:2">
      <c r="A2975" s="118">
        <v>3400101</v>
      </c>
      <c r="B2975" s="116" t="s">
        <v>828</v>
      </c>
    </row>
    <row r="2976" spans="1:2">
      <c r="A2976" s="118">
        <v>3400102</v>
      </c>
      <c r="B2976" s="116" t="s">
        <v>1350</v>
      </c>
    </row>
    <row r="2977" spans="1:2">
      <c r="A2977" s="118">
        <v>3400103</v>
      </c>
      <c r="B2977" s="116" t="s">
        <v>829</v>
      </c>
    </row>
    <row r="2978" spans="1:2">
      <c r="A2978" s="118">
        <v>3400104</v>
      </c>
      <c r="B2978" s="116" t="s">
        <v>1351</v>
      </c>
    </row>
    <row r="2979" spans="1:2" ht="25.5">
      <c r="A2979" s="118">
        <v>3400105</v>
      </c>
      <c r="B2979" s="116" t="s">
        <v>540</v>
      </c>
    </row>
    <row r="2980" spans="1:2">
      <c r="A2980" s="118">
        <v>3400106</v>
      </c>
      <c r="B2980" s="116" t="s">
        <v>1114</v>
      </c>
    </row>
    <row r="2981" spans="1:2">
      <c r="A2981" s="118">
        <v>3400200</v>
      </c>
      <c r="B2981" s="116" t="s">
        <v>233</v>
      </c>
    </row>
    <row r="2982" spans="1:2">
      <c r="A2982" s="118">
        <v>3400300</v>
      </c>
      <c r="B2982" s="116" t="s">
        <v>1115</v>
      </c>
    </row>
    <row r="2983" spans="1:2">
      <c r="A2983" s="118">
        <v>3400400</v>
      </c>
      <c r="B2983" s="116" t="s">
        <v>1352</v>
      </c>
    </row>
    <row r="2984" spans="1:2" ht="25.5">
      <c r="A2984" s="118">
        <v>3400500</v>
      </c>
      <c r="B2984" s="116" t="s">
        <v>1190</v>
      </c>
    </row>
    <row r="2985" spans="1:2">
      <c r="A2985" s="118">
        <v>3400600</v>
      </c>
      <c r="B2985" s="116" t="s">
        <v>1681</v>
      </c>
    </row>
    <row r="2986" spans="1:2">
      <c r="A2986" s="118">
        <v>3400700</v>
      </c>
      <c r="B2986" s="116" t="s">
        <v>1353</v>
      </c>
    </row>
    <row r="2987" spans="1:2">
      <c r="A2987" s="118">
        <v>3400701</v>
      </c>
      <c r="B2987" s="116" t="s">
        <v>1354</v>
      </c>
    </row>
    <row r="2988" spans="1:2">
      <c r="A2988" s="118">
        <v>3400702</v>
      </c>
      <c r="B2988" s="116" t="s">
        <v>1355</v>
      </c>
    </row>
    <row r="2989" spans="1:2" ht="25.5">
      <c r="A2989" s="118">
        <v>3400800</v>
      </c>
      <c r="B2989" s="116" t="s">
        <v>1356</v>
      </c>
    </row>
    <row r="2990" spans="1:2" ht="38.25">
      <c r="A2990" s="118">
        <v>3400900</v>
      </c>
      <c r="B2990" s="116" t="s">
        <v>1897</v>
      </c>
    </row>
    <row r="2991" spans="1:2" ht="25.5">
      <c r="A2991" s="118">
        <v>3401000</v>
      </c>
      <c r="B2991" s="116" t="s">
        <v>1898</v>
      </c>
    </row>
    <row r="2992" spans="1:2" ht="25.5">
      <c r="A2992" s="118">
        <v>3401100</v>
      </c>
      <c r="B2992" s="116" t="s">
        <v>1899</v>
      </c>
    </row>
    <row r="2993" spans="1:2">
      <c r="A2993" s="118">
        <v>3401200</v>
      </c>
      <c r="B2993" s="116" t="s">
        <v>1900</v>
      </c>
    </row>
    <row r="2994" spans="1:2" ht="25.5">
      <c r="A2994" s="118">
        <v>3401500</v>
      </c>
      <c r="B2994" s="116" t="s">
        <v>1901</v>
      </c>
    </row>
    <row r="2995" spans="1:2" ht="25.5">
      <c r="A2995" s="118">
        <v>3401600</v>
      </c>
      <c r="B2995" s="116" t="s">
        <v>1902</v>
      </c>
    </row>
    <row r="2996" spans="1:2" ht="25.5">
      <c r="A2996" s="118">
        <v>3401700</v>
      </c>
      <c r="B2996" s="116" t="s">
        <v>1903</v>
      </c>
    </row>
    <row r="2997" spans="1:2" ht="25.5">
      <c r="A2997" s="118">
        <v>3401800</v>
      </c>
      <c r="B2997" s="116" t="s">
        <v>1904</v>
      </c>
    </row>
    <row r="2998" spans="1:2" ht="25.5">
      <c r="A2998" s="118">
        <v>3408000</v>
      </c>
      <c r="B2998" s="116" t="s">
        <v>1356</v>
      </c>
    </row>
    <row r="2999" spans="1:2">
      <c r="A2999" s="118">
        <v>3408300</v>
      </c>
      <c r="B2999" s="116" t="s">
        <v>205</v>
      </c>
    </row>
    <row r="3000" spans="1:2" ht="38.25">
      <c r="A3000" s="118">
        <v>3408301</v>
      </c>
      <c r="B3000" s="117" t="s">
        <v>1905</v>
      </c>
    </row>
    <row r="3001" spans="1:2" ht="51">
      <c r="A3001" s="118">
        <v>3408302</v>
      </c>
      <c r="B3001" s="117" t="s">
        <v>1906</v>
      </c>
    </row>
    <row r="3002" spans="1:2" ht="51">
      <c r="A3002" s="118">
        <v>3408303</v>
      </c>
      <c r="B3002" s="117" t="s">
        <v>1907</v>
      </c>
    </row>
    <row r="3003" spans="1:2" ht="38.25">
      <c r="A3003" s="118">
        <v>3408304</v>
      </c>
      <c r="B3003" s="116" t="s">
        <v>1702</v>
      </c>
    </row>
    <row r="3004" spans="1:2" ht="38.25">
      <c r="A3004" s="118">
        <v>3408305</v>
      </c>
      <c r="B3004" s="117" t="s">
        <v>75</v>
      </c>
    </row>
    <row r="3005" spans="1:2" ht="76.5">
      <c r="A3005" s="118">
        <v>3408306</v>
      </c>
      <c r="B3005" s="117" t="s">
        <v>1144</v>
      </c>
    </row>
    <row r="3006" spans="1:2" ht="38.25">
      <c r="A3006" s="118">
        <v>3408307</v>
      </c>
      <c r="B3006" s="117" t="s">
        <v>1150</v>
      </c>
    </row>
    <row r="3007" spans="1:2" ht="63.75">
      <c r="A3007" s="118">
        <v>3408308</v>
      </c>
      <c r="B3007" s="117" t="s">
        <v>1151</v>
      </c>
    </row>
    <row r="3008" spans="1:2" ht="51">
      <c r="A3008" s="118">
        <v>3408309</v>
      </c>
      <c r="B3008" s="117" t="s">
        <v>1152</v>
      </c>
    </row>
    <row r="3009" spans="1:2" ht="25.5">
      <c r="A3009" s="118">
        <v>3408310</v>
      </c>
      <c r="B3009" s="116" t="s">
        <v>715</v>
      </c>
    </row>
    <row r="3010" spans="1:2" ht="63.75">
      <c r="A3010" s="118">
        <v>3408311</v>
      </c>
      <c r="B3010" s="117" t="s">
        <v>1153</v>
      </c>
    </row>
    <row r="3011" spans="1:2" ht="51">
      <c r="A3011" s="118">
        <v>3408313</v>
      </c>
      <c r="B3011" s="117" t="s">
        <v>1154</v>
      </c>
    </row>
    <row r="3012" spans="1:2" ht="63.75">
      <c r="A3012" s="118">
        <v>3408314</v>
      </c>
      <c r="B3012" s="117" t="s">
        <v>1725</v>
      </c>
    </row>
    <row r="3013" spans="1:2" ht="51">
      <c r="A3013" s="118">
        <v>3408315</v>
      </c>
      <c r="B3013" s="117" t="s">
        <v>1949</v>
      </c>
    </row>
    <row r="3014" spans="1:2" ht="38.25">
      <c r="A3014" s="118">
        <v>3408316</v>
      </c>
      <c r="B3014" s="116" t="s">
        <v>1950</v>
      </c>
    </row>
    <row r="3015" spans="1:2" ht="38.25">
      <c r="A3015" s="118">
        <v>3408317</v>
      </c>
      <c r="B3015" s="117" t="s">
        <v>1951</v>
      </c>
    </row>
    <row r="3016" spans="1:2" ht="38.25">
      <c r="A3016" s="118">
        <v>3408318</v>
      </c>
      <c r="B3016" s="117" t="s">
        <v>1952</v>
      </c>
    </row>
    <row r="3017" spans="1:2" ht="63.75">
      <c r="A3017" s="118">
        <v>3408319</v>
      </c>
      <c r="B3017" s="117" t="s">
        <v>1752</v>
      </c>
    </row>
    <row r="3018" spans="1:2" ht="38.25">
      <c r="A3018" s="118">
        <v>3408320</v>
      </c>
      <c r="B3018" s="117" t="s">
        <v>1753</v>
      </c>
    </row>
    <row r="3019" spans="1:2" ht="63.75">
      <c r="A3019" s="118">
        <v>3408321</v>
      </c>
      <c r="B3019" s="117" t="s">
        <v>1754</v>
      </c>
    </row>
    <row r="3020" spans="1:2" ht="25.5">
      <c r="A3020" s="118">
        <v>3408322</v>
      </c>
      <c r="B3020" s="116" t="s">
        <v>1755</v>
      </c>
    </row>
    <row r="3021" spans="1:2">
      <c r="A3021" s="118">
        <v>3410000</v>
      </c>
      <c r="B3021" s="116" t="s">
        <v>965</v>
      </c>
    </row>
    <row r="3022" spans="1:2">
      <c r="A3022" s="118">
        <v>3419900</v>
      </c>
      <c r="B3022" s="116" t="s">
        <v>81</v>
      </c>
    </row>
    <row r="3023" spans="1:2">
      <c r="A3023" s="118">
        <v>3450000</v>
      </c>
      <c r="B3023" s="116" t="s">
        <v>1756</v>
      </c>
    </row>
    <row r="3024" spans="1:2" ht="25.5">
      <c r="A3024" s="118">
        <v>3450100</v>
      </c>
      <c r="B3024" s="116" t="s">
        <v>1757</v>
      </c>
    </row>
    <row r="3025" spans="1:2">
      <c r="A3025" s="118">
        <v>3500000</v>
      </c>
      <c r="B3025" s="116" t="s">
        <v>2120</v>
      </c>
    </row>
    <row r="3026" spans="1:2" ht="25.5">
      <c r="A3026" s="118">
        <v>3500100</v>
      </c>
      <c r="B3026" s="116" t="s">
        <v>603</v>
      </c>
    </row>
    <row r="3027" spans="1:2">
      <c r="A3027" s="118">
        <v>3500200</v>
      </c>
      <c r="B3027" s="116" t="s">
        <v>398</v>
      </c>
    </row>
    <row r="3028" spans="1:2" ht="25.5">
      <c r="A3028" s="118">
        <v>3500300</v>
      </c>
      <c r="B3028" s="116" t="s">
        <v>604</v>
      </c>
    </row>
    <row r="3029" spans="1:2" ht="25.5">
      <c r="A3029" s="118">
        <v>3500301</v>
      </c>
      <c r="B3029" s="116" t="s">
        <v>1312</v>
      </c>
    </row>
    <row r="3030" spans="1:2">
      <c r="A3030" s="118">
        <v>3510000</v>
      </c>
      <c r="B3030" s="116" t="s">
        <v>399</v>
      </c>
    </row>
    <row r="3031" spans="1:2" ht="25.5">
      <c r="A3031" s="118">
        <v>3510100</v>
      </c>
      <c r="B3031" s="116" t="s">
        <v>469</v>
      </c>
    </row>
    <row r="3032" spans="1:2" ht="25.5">
      <c r="A3032" s="118">
        <v>3510200</v>
      </c>
      <c r="B3032" s="116" t="s">
        <v>1096</v>
      </c>
    </row>
    <row r="3033" spans="1:2" ht="25.5">
      <c r="A3033" s="118">
        <v>3510300</v>
      </c>
      <c r="B3033" s="116" t="s">
        <v>178</v>
      </c>
    </row>
    <row r="3034" spans="1:2">
      <c r="A3034" s="118">
        <v>3510500</v>
      </c>
      <c r="B3034" s="116" t="s">
        <v>501</v>
      </c>
    </row>
    <row r="3035" spans="1:2" ht="25.5">
      <c r="A3035" s="118">
        <v>3510600</v>
      </c>
      <c r="B3035" s="116" t="s">
        <v>744</v>
      </c>
    </row>
    <row r="3036" spans="1:2" ht="25.5">
      <c r="A3036" s="118">
        <v>3510700</v>
      </c>
      <c r="B3036" s="116" t="s">
        <v>743</v>
      </c>
    </row>
    <row r="3037" spans="1:2" ht="25.5">
      <c r="A3037" s="118">
        <v>3510800</v>
      </c>
      <c r="B3037" s="116" t="s">
        <v>2121</v>
      </c>
    </row>
    <row r="3038" spans="1:2">
      <c r="A3038" s="118">
        <v>3510900</v>
      </c>
      <c r="B3038" s="116" t="s">
        <v>2122</v>
      </c>
    </row>
    <row r="3039" spans="1:2" ht="25.5">
      <c r="A3039" s="118">
        <v>3511000</v>
      </c>
      <c r="B3039" s="116" t="s">
        <v>2170</v>
      </c>
    </row>
    <row r="3040" spans="1:2" ht="25.5">
      <c r="A3040" s="118">
        <v>3602600</v>
      </c>
      <c r="B3040" s="116" t="s">
        <v>605</v>
      </c>
    </row>
    <row r="3041" spans="1:2" ht="25.5">
      <c r="A3041" s="118">
        <v>3610000</v>
      </c>
      <c r="B3041" s="116" t="s">
        <v>606</v>
      </c>
    </row>
    <row r="3042" spans="1:2">
      <c r="A3042" s="118">
        <v>3610100</v>
      </c>
      <c r="B3042" s="116" t="s">
        <v>607</v>
      </c>
    </row>
    <row r="3043" spans="1:2">
      <c r="A3043" s="118">
        <v>3610101</v>
      </c>
      <c r="B3043" s="116" t="s">
        <v>608</v>
      </c>
    </row>
    <row r="3044" spans="1:2">
      <c r="A3044" s="118">
        <v>3610103</v>
      </c>
      <c r="B3044" s="116" t="s">
        <v>609</v>
      </c>
    </row>
    <row r="3045" spans="1:2" ht="25.5">
      <c r="A3045" s="118">
        <v>3610105</v>
      </c>
      <c r="B3045" s="116" t="s">
        <v>610</v>
      </c>
    </row>
    <row r="3046" spans="1:2" ht="25.5">
      <c r="A3046" s="118">
        <v>3610106</v>
      </c>
      <c r="B3046" s="116" t="s">
        <v>1209</v>
      </c>
    </row>
    <row r="3047" spans="1:2" ht="38.25">
      <c r="A3047" s="118">
        <v>3610107</v>
      </c>
      <c r="B3047" s="116" t="s">
        <v>2123</v>
      </c>
    </row>
    <row r="3048" spans="1:2">
      <c r="A3048" s="118">
        <v>3610300</v>
      </c>
      <c r="B3048" s="116" t="s">
        <v>1210</v>
      </c>
    </row>
    <row r="3049" spans="1:2">
      <c r="A3049" s="118">
        <v>3610301</v>
      </c>
      <c r="B3049" s="116" t="s">
        <v>1211</v>
      </c>
    </row>
    <row r="3050" spans="1:2">
      <c r="A3050" s="118">
        <v>3610302</v>
      </c>
      <c r="B3050" s="116" t="s">
        <v>1212</v>
      </c>
    </row>
    <row r="3051" spans="1:2">
      <c r="A3051" s="118">
        <v>3610303</v>
      </c>
      <c r="B3051" s="116" t="s">
        <v>1213</v>
      </c>
    </row>
    <row r="3052" spans="1:2">
      <c r="A3052" s="118">
        <v>3610304</v>
      </c>
      <c r="B3052" s="116" t="s">
        <v>1214</v>
      </c>
    </row>
    <row r="3053" spans="1:2">
      <c r="A3053" s="118">
        <v>3610305</v>
      </c>
      <c r="B3053" s="116" t="s">
        <v>1215</v>
      </c>
    </row>
    <row r="3054" spans="1:2">
      <c r="A3054" s="118">
        <v>3610400</v>
      </c>
      <c r="B3054" s="116" t="s">
        <v>1216</v>
      </c>
    </row>
    <row r="3055" spans="1:2" ht="25.5">
      <c r="A3055" s="118">
        <v>3610403</v>
      </c>
      <c r="B3055" s="116" t="s">
        <v>1217</v>
      </c>
    </row>
    <row r="3056" spans="1:2">
      <c r="A3056" s="118">
        <v>3610500</v>
      </c>
      <c r="B3056" s="116" t="s">
        <v>1218</v>
      </c>
    </row>
    <row r="3057" spans="1:2">
      <c r="A3057" s="118">
        <v>3610502</v>
      </c>
      <c r="B3057" s="116" t="s">
        <v>1219</v>
      </c>
    </row>
    <row r="3058" spans="1:2" ht="25.5">
      <c r="A3058" s="118">
        <v>3610600</v>
      </c>
      <c r="B3058" s="116" t="s">
        <v>1220</v>
      </c>
    </row>
    <row r="3059" spans="1:2">
      <c r="A3059" s="118">
        <v>4100000</v>
      </c>
      <c r="B3059" s="116" t="s">
        <v>817</v>
      </c>
    </row>
    <row r="3060" spans="1:2">
      <c r="A3060" s="118">
        <v>4100100</v>
      </c>
      <c r="B3060" s="116" t="s">
        <v>270</v>
      </c>
    </row>
    <row r="3061" spans="1:2">
      <c r="A3061" s="118">
        <v>4110000</v>
      </c>
      <c r="B3061" s="116" t="s">
        <v>64</v>
      </c>
    </row>
    <row r="3062" spans="1:2">
      <c r="A3062" s="118">
        <v>4119900</v>
      </c>
      <c r="B3062" s="116" t="s">
        <v>81</v>
      </c>
    </row>
    <row r="3063" spans="1:2">
      <c r="A3063" s="118">
        <v>4130000</v>
      </c>
      <c r="B3063" s="116" t="s">
        <v>1021</v>
      </c>
    </row>
    <row r="3064" spans="1:2">
      <c r="A3064" s="118">
        <v>4200000</v>
      </c>
      <c r="B3064" s="116" t="s">
        <v>107</v>
      </c>
    </row>
    <row r="3065" spans="1:2" ht="25.5">
      <c r="A3065" s="118">
        <v>4200100</v>
      </c>
      <c r="B3065" s="116" t="s">
        <v>2011</v>
      </c>
    </row>
    <row r="3066" spans="1:2">
      <c r="A3066" s="118">
        <v>4207100</v>
      </c>
      <c r="B3066" s="116" t="s">
        <v>905</v>
      </c>
    </row>
    <row r="3067" spans="1:2">
      <c r="A3067" s="118">
        <v>4207101</v>
      </c>
      <c r="B3067" s="116" t="s">
        <v>311</v>
      </c>
    </row>
    <row r="3068" spans="1:2">
      <c r="A3068" s="118">
        <v>4207102</v>
      </c>
      <c r="B3068" s="116" t="s">
        <v>196</v>
      </c>
    </row>
    <row r="3069" spans="1:2">
      <c r="A3069" s="118">
        <v>4207103</v>
      </c>
      <c r="B3069" s="116" t="s">
        <v>197</v>
      </c>
    </row>
    <row r="3070" spans="1:2">
      <c r="A3070" s="118">
        <v>4209900</v>
      </c>
      <c r="B3070" s="116" t="s">
        <v>81</v>
      </c>
    </row>
    <row r="3071" spans="1:2">
      <c r="A3071" s="118">
        <v>4210000</v>
      </c>
      <c r="B3071" s="116" t="s">
        <v>2012</v>
      </c>
    </row>
    <row r="3072" spans="1:2" ht="25.5">
      <c r="A3072" s="118">
        <v>4215600</v>
      </c>
      <c r="B3072" s="116" t="s">
        <v>340</v>
      </c>
    </row>
    <row r="3073" spans="1:2">
      <c r="A3073" s="118">
        <v>4215800</v>
      </c>
      <c r="B3073" s="116" t="s">
        <v>594</v>
      </c>
    </row>
    <row r="3074" spans="1:2">
      <c r="A3074" s="118">
        <v>4216800</v>
      </c>
      <c r="B3074" s="116" t="s">
        <v>633</v>
      </c>
    </row>
    <row r="3075" spans="1:2">
      <c r="A3075" s="118">
        <v>4216801</v>
      </c>
      <c r="B3075" s="116" t="s">
        <v>404</v>
      </c>
    </row>
    <row r="3076" spans="1:2" ht="25.5">
      <c r="A3076" s="118">
        <v>4216802</v>
      </c>
      <c r="B3076" s="116" t="s">
        <v>188</v>
      </c>
    </row>
    <row r="3077" spans="1:2">
      <c r="A3077" s="118">
        <v>4217100</v>
      </c>
      <c r="B3077" s="116" t="s">
        <v>905</v>
      </c>
    </row>
    <row r="3078" spans="1:2">
      <c r="A3078" s="118">
        <v>4217101</v>
      </c>
      <c r="B3078" s="116" t="s">
        <v>311</v>
      </c>
    </row>
    <row r="3079" spans="1:2">
      <c r="A3079" s="118">
        <v>4217102</v>
      </c>
      <c r="B3079" s="116" t="s">
        <v>196</v>
      </c>
    </row>
    <row r="3080" spans="1:2">
      <c r="A3080" s="118">
        <v>4217103</v>
      </c>
      <c r="B3080" s="116" t="s">
        <v>197</v>
      </c>
    </row>
    <row r="3081" spans="1:2">
      <c r="A3081" s="118">
        <v>4217200</v>
      </c>
      <c r="B3081" s="116" t="s">
        <v>259</v>
      </c>
    </row>
    <row r="3082" spans="1:2">
      <c r="A3082" s="118">
        <v>4217201</v>
      </c>
      <c r="B3082" s="116" t="s">
        <v>647</v>
      </c>
    </row>
    <row r="3083" spans="1:2">
      <c r="A3083" s="118">
        <v>4217202</v>
      </c>
      <c r="B3083" s="116" t="s">
        <v>648</v>
      </c>
    </row>
    <row r="3084" spans="1:2">
      <c r="A3084" s="118">
        <v>4217203</v>
      </c>
      <c r="B3084" s="116" t="s">
        <v>591</v>
      </c>
    </row>
    <row r="3085" spans="1:2">
      <c r="A3085" s="118">
        <v>4219900</v>
      </c>
      <c r="B3085" s="116" t="s">
        <v>81</v>
      </c>
    </row>
    <row r="3086" spans="1:2">
      <c r="A3086" s="118">
        <v>4220000</v>
      </c>
      <c r="B3086" s="116" t="s">
        <v>1828</v>
      </c>
    </row>
    <row r="3087" spans="1:2">
      <c r="A3087" s="118">
        <v>4229900</v>
      </c>
      <c r="B3087" s="116" t="s">
        <v>81</v>
      </c>
    </row>
    <row r="3088" spans="1:2">
      <c r="A3088" s="118">
        <v>4230000</v>
      </c>
      <c r="B3088" s="116" t="s">
        <v>317</v>
      </c>
    </row>
    <row r="3089" spans="1:2">
      <c r="A3089" s="118">
        <v>4231200</v>
      </c>
      <c r="B3089" s="116" t="s">
        <v>184</v>
      </c>
    </row>
    <row r="3090" spans="1:2" ht="25.5">
      <c r="A3090" s="118">
        <v>4235600</v>
      </c>
      <c r="B3090" s="116" t="s">
        <v>340</v>
      </c>
    </row>
    <row r="3091" spans="1:2">
      <c r="A3091" s="118">
        <v>4239900</v>
      </c>
      <c r="B3091" s="116" t="s">
        <v>81</v>
      </c>
    </row>
    <row r="3092" spans="1:2">
      <c r="A3092" s="118">
        <v>4240000</v>
      </c>
      <c r="B3092" s="116" t="s">
        <v>961</v>
      </c>
    </row>
    <row r="3093" spans="1:2" ht="25.5">
      <c r="A3093" s="118">
        <v>4240200</v>
      </c>
      <c r="B3093" s="116" t="s">
        <v>652</v>
      </c>
    </row>
    <row r="3094" spans="1:2">
      <c r="A3094" s="118">
        <v>4249900</v>
      </c>
      <c r="B3094" s="116" t="s">
        <v>81</v>
      </c>
    </row>
    <row r="3095" spans="1:2">
      <c r="A3095" s="118">
        <v>4250000</v>
      </c>
      <c r="B3095" s="116" t="s">
        <v>1130</v>
      </c>
    </row>
    <row r="3096" spans="1:2">
      <c r="A3096" s="118">
        <v>4259900</v>
      </c>
      <c r="B3096" s="116" t="s">
        <v>81</v>
      </c>
    </row>
    <row r="3097" spans="1:2">
      <c r="A3097" s="118">
        <v>4260000</v>
      </c>
      <c r="B3097" s="116" t="s">
        <v>367</v>
      </c>
    </row>
    <row r="3098" spans="1:2">
      <c r="A3098" s="118">
        <v>4265800</v>
      </c>
      <c r="B3098" s="116" t="s">
        <v>594</v>
      </c>
    </row>
    <row r="3099" spans="1:2">
      <c r="A3099" s="118">
        <v>4269900</v>
      </c>
      <c r="B3099" s="116" t="s">
        <v>81</v>
      </c>
    </row>
    <row r="3100" spans="1:2">
      <c r="A3100" s="118">
        <v>4270000</v>
      </c>
      <c r="B3100" s="116" t="s">
        <v>368</v>
      </c>
    </row>
    <row r="3101" spans="1:2">
      <c r="A3101" s="118">
        <v>4275800</v>
      </c>
      <c r="B3101" s="116" t="s">
        <v>594</v>
      </c>
    </row>
    <row r="3102" spans="1:2">
      <c r="A3102" s="118">
        <v>4276800</v>
      </c>
      <c r="B3102" s="116" t="s">
        <v>633</v>
      </c>
    </row>
    <row r="3103" spans="1:2">
      <c r="A3103" s="118">
        <v>4276801</v>
      </c>
      <c r="B3103" s="116" t="s">
        <v>404</v>
      </c>
    </row>
    <row r="3104" spans="1:2" ht="25.5">
      <c r="A3104" s="118">
        <v>4276802</v>
      </c>
      <c r="B3104" s="116" t="s">
        <v>188</v>
      </c>
    </row>
    <row r="3105" spans="1:2">
      <c r="A3105" s="118">
        <v>4277100</v>
      </c>
      <c r="B3105" s="116" t="s">
        <v>905</v>
      </c>
    </row>
    <row r="3106" spans="1:2">
      <c r="A3106" s="118">
        <v>4277101</v>
      </c>
      <c r="B3106" s="116" t="s">
        <v>311</v>
      </c>
    </row>
    <row r="3107" spans="1:2">
      <c r="A3107" s="118">
        <v>4277102</v>
      </c>
      <c r="B3107" s="116" t="s">
        <v>196</v>
      </c>
    </row>
    <row r="3108" spans="1:2">
      <c r="A3108" s="118">
        <v>4277103</v>
      </c>
      <c r="B3108" s="116" t="s">
        <v>197</v>
      </c>
    </row>
    <row r="3109" spans="1:2">
      <c r="A3109" s="118">
        <v>4277200</v>
      </c>
      <c r="B3109" s="116" t="s">
        <v>259</v>
      </c>
    </row>
    <row r="3110" spans="1:2">
      <c r="A3110" s="118">
        <v>4277201</v>
      </c>
      <c r="B3110" s="116" t="s">
        <v>647</v>
      </c>
    </row>
    <row r="3111" spans="1:2">
      <c r="A3111" s="118">
        <v>4277202</v>
      </c>
      <c r="B3111" s="116" t="s">
        <v>648</v>
      </c>
    </row>
    <row r="3112" spans="1:2">
      <c r="A3112" s="118">
        <v>4277203</v>
      </c>
      <c r="B3112" s="116" t="s">
        <v>591</v>
      </c>
    </row>
    <row r="3113" spans="1:2">
      <c r="A3113" s="118">
        <v>4277600</v>
      </c>
      <c r="B3113" s="116" t="s">
        <v>1187</v>
      </c>
    </row>
    <row r="3114" spans="1:2">
      <c r="A3114" s="118">
        <v>4279900</v>
      </c>
      <c r="B3114" s="116" t="s">
        <v>81</v>
      </c>
    </row>
    <row r="3115" spans="1:2">
      <c r="A3115" s="118">
        <v>4280000</v>
      </c>
      <c r="B3115" s="116" t="s">
        <v>369</v>
      </c>
    </row>
    <row r="3116" spans="1:2">
      <c r="A3116" s="118">
        <v>4280100</v>
      </c>
      <c r="B3116" s="116" t="s">
        <v>1387</v>
      </c>
    </row>
    <row r="3117" spans="1:2">
      <c r="A3117" s="118">
        <v>4285800</v>
      </c>
      <c r="B3117" s="116" t="s">
        <v>594</v>
      </c>
    </row>
    <row r="3118" spans="1:2">
      <c r="A3118" s="118">
        <v>4286800</v>
      </c>
      <c r="B3118" s="116" t="s">
        <v>633</v>
      </c>
    </row>
    <row r="3119" spans="1:2">
      <c r="A3119" s="118">
        <v>4286801</v>
      </c>
      <c r="B3119" s="116" t="s">
        <v>404</v>
      </c>
    </row>
    <row r="3120" spans="1:2" ht="25.5">
      <c r="A3120" s="118">
        <v>4286802</v>
      </c>
      <c r="B3120" s="116" t="s">
        <v>188</v>
      </c>
    </row>
    <row r="3121" spans="1:2">
      <c r="A3121" s="118">
        <v>4287100</v>
      </c>
      <c r="B3121" s="116" t="s">
        <v>905</v>
      </c>
    </row>
    <row r="3122" spans="1:2">
      <c r="A3122" s="118">
        <v>4287101</v>
      </c>
      <c r="B3122" s="116" t="s">
        <v>311</v>
      </c>
    </row>
    <row r="3123" spans="1:2">
      <c r="A3123" s="118">
        <v>4287102</v>
      </c>
      <c r="B3123" s="116" t="s">
        <v>196</v>
      </c>
    </row>
    <row r="3124" spans="1:2">
      <c r="A3124" s="118">
        <v>4287103</v>
      </c>
      <c r="B3124" s="116" t="s">
        <v>197</v>
      </c>
    </row>
    <row r="3125" spans="1:2">
      <c r="A3125" s="118">
        <v>4287200</v>
      </c>
      <c r="B3125" s="116" t="s">
        <v>259</v>
      </c>
    </row>
    <row r="3126" spans="1:2">
      <c r="A3126" s="118">
        <v>4287201</v>
      </c>
      <c r="B3126" s="116" t="s">
        <v>647</v>
      </c>
    </row>
    <row r="3127" spans="1:2">
      <c r="A3127" s="118">
        <v>4287202</v>
      </c>
      <c r="B3127" s="116" t="s">
        <v>648</v>
      </c>
    </row>
    <row r="3128" spans="1:2">
      <c r="A3128" s="118">
        <v>4287203</v>
      </c>
      <c r="B3128" s="116" t="s">
        <v>591</v>
      </c>
    </row>
    <row r="3129" spans="1:2">
      <c r="A3129" s="118">
        <v>4287300</v>
      </c>
      <c r="B3129" s="116" t="s">
        <v>74</v>
      </c>
    </row>
    <row r="3130" spans="1:2">
      <c r="A3130" s="118">
        <v>4287600</v>
      </c>
      <c r="B3130" s="116" t="s">
        <v>1119</v>
      </c>
    </row>
    <row r="3131" spans="1:2">
      <c r="A3131" s="118">
        <v>4287800</v>
      </c>
      <c r="B3131" s="116" t="s">
        <v>339</v>
      </c>
    </row>
    <row r="3132" spans="1:2">
      <c r="A3132" s="118">
        <v>4289900</v>
      </c>
      <c r="B3132" s="116" t="s">
        <v>81</v>
      </c>
    </row>
    <row r="3133" spans="1:2">
      <c r="A3133" s="118">
        <v>4290000</v>
      </c>
      <c r="B3133" s="116" t="s">
        <v>1592</v>
      </c>
    </row>
    <row r="3134" spans="1:2">
      <c r="A3134" s="118">
        <v>4297800</v>
      </c>
      <c r="B3134" s="116" t="s">
        <v>339</v>
      </c>
    </row>
    <row r="3135" spans="1:2">
      <c r="A3135" s="118">
        <v>4299900</v>
      </c>
      <c r="B3135" s="116" t="s">
        <v>81</v>
      </c>
    </row>
    <row r="3136" spans="1:2">
      <c r="A3136" s="118">
        <v>4300000</v>
      </c>
      <c r="B3136" s="116" t="s">
        <v>1593</v>
      </c>
    </row>
    <row r="3137" spans="1:2">
      <c r="A3137" s="118">
        <v>4300100</v>
      </c>
      <c r="B3137" s="116" t="s">
        <v>1896</v>
      </c>
    </row>
    <row r="3138" spans="1:2">
      <c r="A3138" s="118">
        <v>4300200</v>
      </c>
      <c r="B3138" s="116" t="s">
        <v>533</v>
      </c>
    </row>
    <row r="3139" spans="1:2">
      <c r="A3139" s="118">
        <v>4300201</v>
      </c>
      <c r="B3139" s="116" t="s">
        <v>2013</v>
      </c>
    </row>
    <row r="3140" spans="1:2" ht="38.25">
      <c r="A3140" s="118">
        <v>4300202</v>
      </c>
      <c r="B3140" s="116" t="s">
        <v>2014</v>
      </c>
    </row>
    <row r="3141" spans="1:2">
      <c r="A3141" s="118">
        <v>4300300</v>
      </c>
      <c r="B3141" s="116" t="s">
        <v>546</v>
      </c>
    </row>
    <row r="3142" spans="1:2" ht="25.5">
      <c r="A3142" s="118">
        <v>4300400</v>
      </c>
      <c r="B3142" s="116" t="s">
        <v>2015</v>
      </c>
    </row>
    <row r="3143" spans="1:2" ht="38.25">
      <c r="A3143" s="118">
        <v>4300500</v>
      </c>
      <c r="B3143" s="116" t="s">
        <v>1830</v>
      </c>
    </row>
    <row r="3144" spans="1:2" ht="25.5">
      <c r="A3144" s="118">
        <v>4305600</v>
      </c>
      <c r="B3144" s="116" t="s">
        <v>340</v>
      </c>
    </row>
    <row r="3145" spans="1:2">
      <c r="A3145" s="118">
        <v>4305800</v>
      </c>
      <c r="B3145" s="116" t="s">
        <v>594</v>
      </c>
    </row>
    <row r="3146" spans="1:2">
      <c r="A3146" s="118">
        <v>4306200</v>
      </c>
      <c r="B3146" s="116" t="s">
        <v>181</v>
      </c>
    </row>
    <row r="3147" spans="1:2">
      <c r="A3147" s="118">
        <v>4306800</v>
      </c>
      <c r="B3147" s="116" t="s">
        <v>633</v>
      </c>
    </row>
    <row r="3148" spans="1:2">
      <c r="A3148" s="118">
        <v>4306801</v>
      </c>
      <c r="B3148" s="116" t="s">
        <v>404</v>
      </c>
    </row>
    <row r="3149" spans="1:2" ht="25.5">
      <c r="A3149" s="118">
        <v>4306802</v>
      </c>
      <c r="B3149" s="116" t="s">
        <v>188</v>
      </c>
    </row>
    <row r="3150" spans="1:2">
      <c r="A3150" s="118">
        <v>4307100</v>
      </c>
      <c r="B3150" s="116" t="s">
        <v>905</v>
      </c>
    </row>
    <row r="3151" spans="1:2">
      <c r="A3151" s="118">
        <v>4307101</v>
      </c>
      <c r="B3151" s="116" t="s">
        <v>311</v>
      </c>
    </row>
    <row r="3152" spans="1:2">
      <c r="A3152" s="118">
        <v>4307102</v>
      </c>
      <c r="B3152" s="116" t="s">
        <v>196</v>
      </c>
    </row>
    <row r="3153" spans="1:2">
      <c r="A3153" s="118">
        <v>4307103</v>
      </c>
      <c r="B3153" s="116" t="s">
        <v>197</v>
      </c>
    </row>
    <row r="3154" spans="1:2">
      <c r="A3154" s="118">
        <v>4307200</v>
      </c>
      <c r="B3154" s="116" t="s">
        <v>259</v>
      </c>
    </row>
    <row r="3155" spans="1:2">
      <c r="A3155" s="118">
        <v>4307201</v>
      </c>
      <c r="B3155" s="116" t="s">
        <v>647</v>
      </c>
    </row>
    <row r="3156" spans="1:2">
      <c r="A3156" s="118">
        <v>4307202</v>
      </c>
      <c r="B3156" s="116" t="s">
        <v>648</v>
      </c>
    </row>
    <row r="3157" spans="1:2">
      <c r="A3157" s="118">
        <v>4307203</v>
      </c>
      <c r="B3157" s="116" t="s">
        <v>591</v>
      </c>
    </row>
    <row r="3158" spans="1:2">
      <c r="A3158" s="118">
        <v>4307300</v>
      </c>
      <c r="B3158" s="116" t="s">
        <v>74</v>
      </c>
    </row>
    <row r="3159" spans="1:2">
      <c r="A3159" s="118">
        <v>4307600</v>
      </c>
      <c r="B3159" s="116" t="s">
        <v>1119</v>
      </c>
    </row>
    <row r="3160" spans="1:2">
      <c r="A3160" s="118">
        <v>4309200</v>
      </c>
      <c r="B3160" s="116" t="s">
        <v>1625</v>
      </c>
    </row>
    <row r="3161" spans="1:2">
      <c r="A3161" s="118">
        <v>4309900</v>
      </c>
      <c r="B3161" s="116" t="s">
        <v>81</v>
      </c>
    </row>
    <row r="3162" spans="1:2">
      <c r="A3162" s="118">
        <v>4310000</v>
      </c>
      <c r="B3162" s="116" t="s">
        <v>302</v>
      </c>
    </row>
    <row r="3163" spans="1:2">
      <c r="A3163" s="118">
        <v>4310100</v>
      </c>
      <c r="B3163" s="116" t="s">
        <v>271</v>
      </c>
    </row>
    <row r="3164" spans="1:2">
      <c r="A3164" s="118">
        <v>4310102</v>
      </c>
      <c r="B3164" s="116" t="s">
        <v>2124</v>
      </c>
    </row>
    <row r="3165" spans="1:2">
      <c r="A3165" s="118">
        <v>4310104</v>
      </c>
      <c r="B3165" s="116" t="s">
        <v>271</v>
      </c>
    </row>
    <row r="3166" spans="1:2" ht="25.5">
      <c r="A3166" s="118">
        <v>4310200</v>
      </c>
      <c r="B3166" s="116" t="s">
        <v>1831</v>
      </c>
    </row>
    <row r="3167" spans="1:2">
      <c r="A3167" s="118">
        <v>4319400</v>
      </c>
      <c r="B3167" s="116" t="s">
        <v>638</v>
      </c>
    </row>
    <row r="3168" spans="1:2">
      <c r="A3168" s="118">
        <v>4319900</v>
      </c>
      <c r="B3168" s="116" t="s">
        <v>81</v>
      </c>
    </row>
    <row r="3169" spans="1:2">
      <c r="A3169" s="118">
        <v>4320000</v>
      </c>
      <c r="B3169" s="116" t="s">
        <v>234</v>
      </c>
    </row>
    <row r="3170" spans="1:2">
      <c r="A3170" s="118">
        <v>4320100</v>
      </c>
      <c r="B3170" s="116" t="s">
        <v>405</v>
      </c>
    </row>
    <row r="3171" spans="1:2">
      <c r="A3171" s="118">
        <v>4320200</v>
      </c>
      <c r="B3171" s="116" t="s">
        <v>1094</v>
      </c>
    </row>
    <row r="3172" spans="1:2">
      <c r="A3172" s="118">
        <v>4320201</v>
      </c>
      <c r="B3172" s="116" t="s">
        <v>664</v>
      </c>
    </row>
    <row r="3173" spans="1:2">
      <c r="A3173" s="118">
        <v>4320202</v>
      </c>
      <c r="B3173" s="116" t="s">
        <v>1832</v>
      </c>
    </row>
    <row r="3174" spans="1:2">
      <c r="A3174" s="118">
        <v>4320203</v>
      </c>
      <c r="B3174" s="116" t="s">
        <v>1960</v>
      </c>
    </row>
    <row r="3175" spans="1:2">
      <c r="A3175" s="118">
        <v>4325800</v>
      </c>
      <c r="B3175" s="116" t="s">
        <v>594</v>
      </c>
    </row>
    <row r="3176" spans="1:2">
      <c r="A3176" s="118">
        <v>4326200</v>
      </c>
      <c r="B3176" s="116" t="s">
        <v>181</v>
      </c>
    </row>
    <row r="3177" spans="1:2">
      <c r="A3177" s="118">
        <v>4326800</v>
      </c>
      <c r="B3177" s="116" t="s">
        <v>633</v>
      </c>
    </row>
    <row r="3178" spans="1:2">
      <c r="A3178" s="118">
        <v>4326801</v>
      </c>
      <c r="B3178" s="116" t="s">
        <v>404</v>
      </c>
    </row>
    <row r="3179" spans="1:2" ht="25.5">
      <c r="A3179" s="118">
        <v>4326802</v>
      </c>
      <c r="B3179" s="116" t="s">
        <v>188</v>
      </c>
    </row>
    <row r="3180" spans="1:2">
      <c r="A3180" s="118">
        <v>4327100</v>
      </c>
      <c r="B3180" s="116" t="s">
        <v>905</v>
      </c>
    </row>
    <row r="3181" spans="1:2">
      <c r="A3181" s="118">
        <v>4327101</v>
      </c>
      <c r="B3181" s="116" t="s">
        <v>311</v>
      </c>
    </row>
    <row r="3182" spans="1:2">
      <c r="A3182" s="118">
        <v>4327102</v>
      </c>
      <c r="B3182" s="116" t="s">
        <v>196</v>
      </c>
    </row>
    <row r="3183" spans="1:2">
      <c r="A3183" s="118">
        <v>4327103</v>
      </c>
      <c r="B3183" s="116" t="s">
        <v>197</v>
      </c>
    </row>
    <row r="3184" spans="1:2">
      <c r="A3184" s="118">
        <v>4327200</v>
      </c>
      <c r="B3184" s="116" t="s">
        <v>259</v>
      </c>
    </row>
    <row r="3185" spans="1:2">
      <c r="A3185" s="118">
        <v>4327201</v>
      </c>
      <c r="B3185" s="116" t="s">
        <v>647</v>
      </c>
    </row>
    <row r="3186" spans="1:2">
      <c r="A3186" s="118">
        <v>4327202</v>
      </c>
      <c r="B3186" s="116" t="s">
        <v>648</v>
      </c>
    </row>
    <row r="3187" spans="1:2">
      <c r="A3187" s="118">
        <v>4327203</v>
      </c>
      <c r="B3187" s="116" t="s">
        <v>591</v>
      </c>
    </row>
    <row r="3188" spans="1:2">
      <c r="A3188" s="118">
        <v>4329900</v>
      </c>
      <c r="B3188" s="116" t="s">
        <v>81</v>
      </c>
    </row>
    <row r="3189" spans="1:2">
      <c r="A3189" s="118">
        <v>4350000</v>
      </c>
      <c r="B3189" s="116" t="s">
        <v>65</v>
      </c>
    </row>
    <row r="3190" spans="1:2">
      <c r="A3190" s="118">
        <v>4359900</v>
      </c>
      <c r="B3190" s="116" t="s">
        <v>81</v>
      </c>
    </row>
    <row r="3191" spans="1:2">
      <c r="A3191" s="118">
        <v>4360000</v>
      </c>
      <c r="B3191" s="116" t="s">
        <v>4</v>
      </c>
    </row>
    <row r="3192" spans="1:2">
      <c r="A3192" s="118">
        <v>4360100</v>
      </c>
      <c r="B3192" s="116" t="s">
        <v>247</v>
      </c>
    </row>
    <row r="3193" spans="1:2">
      <c r="A3193" s="118">
        <v>4360200</v>
      </c>
      <c r="B3193" s="116" t="s">
        <v>1095</v>
      </c>
    </row>
    <row r="3194" spans="1:2">
      <c r="A3194" s="118">
        <v>4360300</v>
      </c>
      <c r="B3194" s="116" t="s">
        <v>1026</v>
      </c>
    </row>
    <row r="3195" spans="1:2">
      <c r="A3195" s="118">
        <v>4360400</v>
      </c>
      <c r="B3195" s="116" t="s">
        <v>674</v>
      </c>
    </row>
    <row r="3196" spans="1:2">
      <c r="A3196" s="118">
        <v>4360500</v>
      </c>
      <c r="B3196" s="116" t="s">
        <v>59</v>
      </c>
    </row>
    <row r="3197" spans="1:2">
      <c r="A3197" s="118">
        <v>4360600</v>
      </c>
      <c r="B3197" s="116" t="s">
        <v>60</v>
      </c>
    </row>
    <row r="3198" spans="1:2">
      <c r="A3198" s="118">
        <v>4360700</v>
      </c>
      <c r="B3198" s="116" t="s">
        <v>544</v>
      </c>
    </row>
    <row r="3199" spans="1:2" ht="25.5">
      <c r="A3199" s="118">
        <v>4360800</v>
      </c>
      <c r="B3199" s="116" t="s">
        <v>1298</v>
      </c>
    </row>
    <row r="3200" spans="1:2">
      <c r="A3200" s="118">
        <v>4360900</v>
      </c>
      <c r="B3200" s="116" t="s">
        <v>271</v>
      </c>
    </row>
    <row r="3201" spans="1:2">
      <c r="A3201" s="118">
        <v>4361000</v>
      </c>
      <c r="B3201" s="116" t="s">
        <v>1233</v>
      </c>
    </row>
    <row r="3202" spans="1:2">
      <c r="A3202" s="118">
        <v>4361100</v>
      </c>
      <c r="B3202" s="116" t="s">
        <v>1299</v>
      </c>
    </row>
    <row r="3203" spans="1:2">
      <c r="A3203" s="118">
        <v>4361200</v>
      </c>
      <c r="B3203" s="116" t="s">
        <v>184</v>
      </c>
    </row>
    <row r="3204" spans="1:2">
      <c r="A3204" s="118">
        <v>4361400</v>
      </c>
      <c r="B3204" s="116" t="s">
        <v>1833</v>
      </c>
    </row>
    <row r="3205" spans="1:2" ht="25.5">
      <c r="A3205" s="118">
        <v>4361500</v>
      </c>
      <c r="B3205" s="116" t="s">
        <v>1834</v>
      </c>
    </row>
    <row r="3206" spans="1:2">
      <c r="A3206" s="118">
        <v>4361600</v>
      </c>
      <c r="B3206" s="116" t="s">
        <v>1835</v>
      </c>
    </row>
    <row r="3207" spans="1:2">
      <c r="A3207" s="118">
        <v>4361700</v>
      </c>
      <c r="B3207" s="116" t="s">
        <v>1836</v>
      </c>
    </row>
    <row r="3208" spans="1:2">
      <c r="A3208" s="118">
        <v>4361800</v>
      </c>
      <c r="B3208" s="116" t="s">
        <v>1837</v>
      </c>
    </row>
    <row r="3209" spans="1:2">
      <c r="A3209" s="118">
        <v>4361900</v>
      </c>
      <c r="B3209" s="116" t="s">
        <v>1838</v>
      </c>
    </row>
    <row r="3210" spans="1:2" ht="25.5">
      <c r="A3210" s="118">
        <v>4361901</v>
      </c>
      <c r="B3210" s="116" t="s">
        <v>1280</v>
      </c>
    </row>
    <row r="3211" spans="1:2" ht="25.5">
      <c r="A3211" s="118">
        <v>4361902</v>
      </c>
      <c r="B3211" s="116" t="s">
        <v>1281</v>
      </c>
    </row>
    <row r="3212" spans="1:2">
      <c r="A3212" s="118">
        <v>4362000</v>
      </c>
      <c r="B3212" s="116" t="s">
        <v>1282</v>
      </c>
    </row>
    <row r="3213" spans="1:2">
      <c r="A3213" s="118">
        <v>4362100</v>
      </c>
      <c r="B3213" s="116" t="s">
        <v>1283</v>
      </c>
    </row>
    <row r="3214" spans="1:2" ht="25.5">
      <c r="A3214" s="118">
        <v>4369300</v>
      </c>
      <c r="B3214" s="116" t="s">
        <v>673</v>
      </c>
    </row>
    <row r="3215" spans="1:2">
      <c r="A3215" s="118">
        <v>4369400</v>
      </c>
      <c r="B3215" s="116" t="s">
        <v>638</v>
      </c>
    </row>
    <row r="3216" spans="1:2">
      <c r="A3216" s="118">
        <v>4400000</v>
      </c>
      <c r="B3216" s="116" t="s">
        <v>1284</v>
      </c>
    </row>
    <row r="3217" spans="1:2">
      <c r="A3217" s="118">
        <v>4400100</v>
      </c>
      <c r="B3217" s="116" t="s">
        <v>1248</v>
      </c>
    </row>
    <row r="3218" spans="1:2">
      <c r="A3218" s="118">
        <v>4400200</v>
      </c>
      <c r="B3218" s="116" t="s">
        <v>974</v>
      </c>
    </row>
    <row r="3219" spans="1:2" ht="25.5">
      <c r="A3219" s="118">
        <v>4400300</v>
      </c>
      <c r="B3219" s="116" t="s">
        <v>1995</v>
      </c>
    </row>
    <row r="3220" spans="1:2">
      <c r="A3220" s="118">
        <v>4400400</v>
      </c>
      <c r="B3220" s="116" t="s">
        <v>1996</v>
      </c>
    </row>
    <row r="3221" spans="1:2">
      <c r="A3221" s="118">
        <v>4400500</v>
      </c>
      <c r="B3221" s="116" t="s">
        <v>1126</v>
      </c>
    </row>
    <row r="3222" spans="1:2">
      <c r="A3222" s="118">
        <v>4400600</v>
      </c>
      <c r="B3222" s="116" t="s">
        <v>459</v>
      </c>
    </row>
    <row r="3223" spans="1:2">
      <c r="A3223" s="118">
        <v>4400700</v>
      </c>
      <c r="B3223" s="116" t="s">
        <v>358</v>
      </c>
    </row>
    <row r="3224" spans="1:2" ht="25.5">
      <c r="A3224" s="118">
        <v>4400800</v>
      </c>
      <c r="B3224" s="116" t="s">
        <v>1997</v>
      </c>
    </row>
    <row r="3225" spans="1:2">
      <c r="A3225" s="118">
        <v>4400900</v>
      </c>
      <c r="B3225" s="116" t="s">
        <v>1998</v>
      </c>
    </row>
    <row r="3226" spans="1:2">
      <c r="A3226" s="118">
        <v>4405800</v>
      </c>
      <c r="B3226" s="116" t="s">
        <v>594</v>
      </c>
    </row>
    <row r="3227" spans="1:2">
      <c r="A3227" s="118">
        <v>4409200</v>
      </c>
      <c r="B3227" s="116" t="s">
        <v>1625</v>
      </c>
    </row>
    <row r="3228" spans="1:2">
      <c r="A3228" s="118">
        <v>4409400</v>
      </c>
      <c r="B3228" s="116" t="s">
        <v>638</v>
      </c>
    </row>
    <row r="3229" spans="1:2">
      <c r="A3229" s="118">
        <v>4409900</v>
      </c>
      <c r="B3229" s="116" t="s">
        <v>81</v>
      </c>
    </row>
    <row r="3230" spans="1:2">
      <c r="A3230" s="118">
        <v>4410000</v>
      </c>
      <c r="B3230" s="116" t="s">
        <v>1513</v>
      </c>
    </row>
    <row r="3231" spans="1:2">
      <c r="A3231" s="118">
        <v>4415800</v>
      </c>
      <c r="B3231" s="116" t="s">
        <v>594</v>
      </c>
    </row>
    <row r="3232" spans="1:2">
      <c r="A3232" s="118">
        <v>4417100</v>
      </c>
      <c r="B3232" s="116" t="s">
        <v>905</v>
      </c>
    </row>
    <row r="3233" spans="1:2">
      <c r="A3233" s="118">
        <v>4417101</v>
      </c>
      <c r="B3233" s="116" t="s">
        <v>311</v>
      </c>
    </row>
    <row r="3234" spans="1:2">
      <c r="A3234" s="118">
        <v>4417102</v>
      </c>
      <c r="B3234" s="116" t="s">
        <v>196</v>
      </c>
    </row>
    <row r="3235" spans="1:2">
      <c r="A3235" s="118">
        <v>4417103</v>
      </c>
      <c r="B3235" s="116" t="s">
        <v>197</v>
      </c>
    </row>
    <row r="3236" spans="1:2">
      <c r="A3236" s="118">
        <v>4417200</v>
      </c>
      <c r="B3236" s="116" t="s">
        <v>259</v>
      </c>
    </row>
    <row r="3237" spans="1:2">
      <c r="A3237" s="118">
        <v>4417201</v>
      </c>
      <c r="B3237" s="116" t="s">
        <v>647</v>
      </c>
    </row>
    <row r="3238" spans="1:2">
      <c r="A3238" s="118">
        <v>4417202</v>
      </c>
      <c r="B3238" s="116" t="s">
        <v>648</v>
      </c>
    </row>
    <row r="3239" spans="1:2">
      <c r="A3239" s="118">
        <v>4417203</v>
      </c>
      <c r="B3239" s="116" t="s">
        <v>591</v>
      </c>
    </row>
    <row r="3240" spans="1:2">
      <c r="A3240" s="118">
        <v>4419200</v>
      </c>
      <c r="B3240" s="116" t="s">
        <v>1625</v>
      </c>
    </row>
    <row r="3241" spans="1:2">
      <c r="A3241" s="118">
        <v>4419900</v>
      </c>
      <c r="B3241" s="116" t="s">
        <v>81</v>
      </c>
    </row>
    <row r="3242" spans="1:2">
      <c r="A3242" s="118">
        <v>4420000</v>
      </c>
      <c r="B3242" s="116" t="s">
        <v>318</v>
      </c>
    </row>
    <row r="3243" spans="1:2">
      <c r="A3243" s="118">
        <v>4420100</v>
      </c>
      <c r="B3243" s="116" t="s">
        <v>256</v>
      </c>
    </row>
    <row r="3244" spans="1:2">
      <c r="A3244" s="118">
        <v>4429200</v>
      </c>
      <c r="B3244" s="116" t="s">
        <v>1625</v>
      </c>
    </row>
    <row r="3245" spans="1:2">
      <c r="A3245" s="118">
        <v>4429900</v>
      </c>
      <c r="B3245" s="116" t="s">
        <v>81</v>
      </c>
    </row>
    <row r="3246" spans="1:2">
      <c r="A3246" s="118">
        <v>4430000</v>
      </c>
      <c r="B3246" s="116" t="s">
        <v>1536</v>
      </c>
    </row>
    <row r="3247" spans="1:2">
      <c r="A3247" s="118">
        <v>4430100</v>
      </c>
      <c r="B3247" s="116" t="s">
        <v>1674</v>
      </c>
    </row>
    <row r="3248" spans="1:2">
      <c r="A3248" s="118">
        <v>4438500</v>
      </c>
      <c r="B3248" s="116" t="s">
        <v>1527</v>
      </c>
    </row>
    <row r="3249" spans="1:2">
      <c r="A3249" s="118">
        <v>4439200</v>
      </c>
      <c r="B3249" s="116" t="s">
        <v>1625</v>
      </c>
    </row>
    <row r="3250" spans="1:2">
      <c r="A3250" s="118">
        <v>4439900</v>
      </c>
      <c r="B3250" s="116" t="s">
        <v>81</v>
      </c>
    </row>
    <row r="3251" spans="1:2">
      <c r="A3251" s="118">
        <v>4440000</v>
      </c>
      <c r="B3251" s="116" t="s">
        <v>1999</v>
      </c>
    </row>
    <row r="3252" spans="1:2">
      <c r="A3252" s="118">
        <v>4440100</v>
      </c>
      <c r="B3252" s="116" t="s">
        <v>2000</v>
      </c>
    </row>
    <row r="3253" spans="1:2">
      <c r="A3253" s="118">
        <v>4440200</v>
      </c>
      <c r="B3253" s="116" t="s">
        <v>2001</v>
      </c>
    </row>
    <row r="3254" spans="1:2">
      <c r="A3254" s="118">
        <v>4500000</v>
      </c>
      <c r="B3254" s="116" t="s">
        <v>2002</v>
      </c>
    </row>
    <row r="3255" spans="1:2">
      <c r="A3255" s="118">
        <v>4500100</v>
      </c>
      <c r="B3255" s="116" t="s">
        <v>1126</v>
      </c>
    </row>
    <row r="3256" spans="1:2">
      <c r="A3256" s="118">
        <v>4500200</v>
      </c>
      <c r="B3256" s="116" t="s">
        <v>459</v>
      </c>
    </row>
    <row r="3257" spans="1:2">
      <c r="A3257" s="118">
        <v>4500300</v>
      </c>
      <c r="B3257" s="116" t="s">
        <v>358</v>
      </c>
    </row>
    <row r="3258" spans="1:2">
      <c r="A3258" s="118">
        <v>4500500</v>
      </c>
      <c r="B3258" s="116" t="s">
        <v>198</v>
      </c>
    </row>
    <row r="3259" spans="1:2">
      <c r="A3259" s="118">
        <v>4500600</v>
      </c>
      <c r="B3259" s="116" t="s">
        <v>974</v>
      </c>
    </row>
    <row r="3260" spans="1:2" ht="25.5">
      <c r="A3260" s="118">
        <v>4500700</v>
      </c>
      <c r="B3260" s="116" t="s">
        <v>2003</v>
      </c>
    </row>
    <row r="3261" spans="1:2">
      <c r="A3261" s="118">
        <v>4505800</v>
      </c>
      <c r="B3261" s="116" t="s">
        <v>594</v>
      </c>
    </row>
    <row r="3262" spans="1:2">
      <c r="A3262" s="118">
        <v>4506700</v>
      </c>
      <c r="B3262" s="116" t="s">
        <v>77</v>
      </c>
    </row>
    <row r="3263" spans="1:2">
      <c r="A3263" s="118">
        <v>4508500</v>
      </c>
      <c r="B3263" s="116" t="s">
        <v>1527</v>
      </c>
    </row>
    <row r="3264" spans="1:2">
      <c r="A3264" s="118">
        <v>4509000</v>
      </c>
      <c r="B3264" s="116" t="s">
        <v>954</v>
      </c>
    </row>
    <row r="3265" spans="1:2" ht="25.5">
      <c r="A3265" s="118">
        <v>4509300</v>
      </c>
      <c r="B3265" s="116" t="s">
        <v>673</v>
      </c>
    </row>
    <row r="3266" spans="1:2">
      <c r="A3266" s="118">
        <v>4509400</v>
      </c>
      <c r="B3266" s="116" t="s">
        <v>638</v>
      </c>
    </row>
    <row r="3267" spans="1:2">
      <c r="A3267" s="118">
        <v>4510000</v>
      </c>
      <c r="B3267" s="116" t="s">
        <v>1537</v>
      </c>
    </row>
    <row r="3268" spans="1:2">
      <c r="A3268" s="118">
        <v>4510100</v>
      </c>
      <c r="B3268" s="116" t="s">
        <v>680</v>
      </c>
    </row>
    <row r="3269" spans="1:2" ht="76.5">
      <c r="A3269" s="118">
        <v>4510102</v>
      </c>
      <c r="B3269" s="117" t="s">
        <v>71</v>
      </c>
    </row>
    <row r="3270" spans="1:2" ht="63.75">
      <c r="A3270" s="118">
        <v>4510103</v>
      </c>
      <c r="B3270" s="117" t="s">
        <v>812</v>
      </c>
    </row>
    <row r="3271" spans="1:2">
      <c r="A3271" s="118">
        <v>4518500</v>
      </c>
      <c r="B3271" s="116" t="s">
        <v>1527</v>
      </c>
    </row>
    <row r="3272" spans="1:2" ht="25.5">
      <c r="A3272" s="118">
        <v>4520000</v>
      </c>
      <c r="B3272" s="116" t="s">
        <v>56</v>
      </c>
    </row>
    <row r="3273" spans="1:2">
      <c r="A3273" s="118">
        <v>4529900</v>
      </c>
      <c r="B3273" s="116" t="s">
        <v>81</v>
      </c>
    </row>
    <row r="3274" spans="1:2">
      <c r="A3274" s="118">
        <v>4530000</v>
      </c>
      <c r="B3274" s="116" t="s">
        <v>57</v>
      </c>
    </row>
    <row r="3275" spans="1:2">
      <c r="A3275" s="118">
        <v>4530100</v>
      </c>
      <c r="B3275" s="116" t="s">
        <v>58</v>
      </c>
    </row>
    <row r="3276" spans="1:2" ht="38.25">
      <c r="A3276" s="118">
        <v>4530101</v>
      </c>
      <c r="B3276" s="117" t="s">
        <v>923</v>
      </c>
    </row>
    <row r="3277" spans="1:2" ht="63.75">
      <c r="A3277" s="118">
        <v>4530102</v>
      </c>
      <c r="B3277" s="117" t="s">
        <v>277</v>
      </c>
    </row>
    <row r="3278" spans="1:2" ht="63.75">
      <c r="A3278" s="118">
        <v>4530103</v>
      </c>
      <c r="B3278" s="117" t="s">
        <v>2004</v>
      </c>
    </row>
    <row r="3279" spans="1:2" ht="51">
      <c r="A3279" s="118">
        <v>4530104</v>
      </c>
      <c r="B3279" s="117" t="s">
        <v>1143</v>
      </c>
    </row>
    <row r="3280" spans="1:2" ht="25.5">
      <c r="A3280" s="118">
        <v>4530105</v>
      </c>
      <c r="B3280" s="116" t="s">
        <v>2005</v>
      </c>
    </row>
    <row r="3281" spans="1:2" ht="38.25">
      <c r="A3281" s="118">
        <v>4530106</v>
      </c>
      <c r="B3281" s="116" t="s">
        <v>2006</v>
      </c>
    </row>
    <row r="3282" spans="1:2" ht="51">
      <c r="A3282" s="118">
        <v>4530107</v>
      </c>
      <c r="B3282" s="117" t="s">
        <v>2007</v>
      </c>
    </row>
    <row r="3283" spans="1:2" ht="25.5">
      <c r="A3283" s="118">
        <v>4530109</v>
      </c>
      <c r="B3283" s="116" t="s">
        <v>2008</v>
      </c>
    </row>
    <row r="3284" spans="1:2" ht="25.5">
      <c r="A3284" s="118">
        <v>4530111</v>
      </c>
      <c r="B3284" s="116" t="s">
        <v>2009</v>
      </c>
    </row>
    <row r="3285" spans="1:2">
      <c r="A3285" s="118">
        <v>4538500</v>
      </c>
      <c r="B3285" s="116" t="s">
        <v>1527</v>
      </c>
    </row>
    <row r="3286" spans="1:2">
      <c r="A3286" s="118">
        <v>4539400</v>
      </c>
      <c r="B3286" s="116" t="s">
        <v>638</v>
      </c>
    </row>
    <row r="3287" spans="1:2">
      <c r="A3287" s="118">
        <v>4539900</v>
      </c>
      <c r="B3287" s="116" t="s">
        <v>81</v>
      </c>
    </row>
    <row r="3288" spans="1:2">
      <c r="A3288" s="118">
        <v>4550000</v>
      </c>
      <c r="B3288" s="116" t="s">
        <v>820</v>
      </c>
    </row>
    <row r="3289" spans="1:2" ht="25.5">
      <c r="A3289" s="118">
        <v>4550100</v>
      </c>
      <c r="B3289" s="116" t="s">
        <v>513</v>
      </c>
    </row>
    <row r="3290" spans="1:2" ht="25.5">
      <c r="A3290" s="118">
        <v>4550101</v>
      </c>
      <c r="B3290" s="116" t="s">
        <v>272</v>
      </c>
    </row>
    <row r="3291" spans="1:2" ht="25.5">
      <c r="A3291" s="118">
        <v>4550102</v>
      </c>
      <c r="B3291" s="116" t="s">
        <v>434</v>
      </c>
    </row>
    <row r="3292" spans="1:2">
      <c r="A3292" s="118">
        <v>4555800</v>
      </c>
      <c r="B3292" s="116" t="s">
        <v>594</v>
      </c>
    </row>
    <row r="3293" spans="1:2">
      <c r="A3293" s="118">
        <v>4556800</v>
      </c>
      <c r="B3293" s="116" t="s">
        <v>633</v>
      </c>
    </row>
    <row r="3294" spans="1:2">
      <c r="A3294" s="118">
        <v>4556801</v>
      </c>
      <c r="B3294" s="116" t="s">
        <v>404</v>
      </c>
    </row>
    <row r="3295" spans="1:2" ht="13.5" customHeight="1">
      <c r="A3295" s="118">
        <v>4556802</v>
      </c>
      <c r="B3295" s="116" t="s">
        <v>188</v>
      </c>
    </row>
    <row r="3296" spans="1:2">
      <c r="A3296" s="118">
        <v>4557100</v>
      </c>
      <c r="B3296" s="116" t="s">
        <v>905</v>
      </c>
    </row>
    <row r="3297" spans="1:2">
      <c r="A3297" s="118">
        <v>4557101</v>
      </c>
      <c r="B3297" s="116" t="s">
        <v>311</v>
      </c>
    </row>
    <row r="3298" spans="1:2">
      <c r="A3298" s="118">
        <v>4557102</v>
      </c>
      <c r="B3298" s="116" t="s">
        <v>196</v>
      </c>
    </row>
    <row r="3299" spans="1:2">
      <c r="A3299" s="118">
        <v>4557103</v>
      </c>
      <c r="B3299" s="116" t="s">
        <v>197</v>
      </c>
    </row>
    <row r="3300" spans="1:2">
      <c r="A3300" s="118">
        <v>4557200</v>
      </c>
      <c r="B3300" s="116" t="s">
        <v>259</v>
      </c>
    </row>
    <row r="3301" spans="1:2">
      <c r="A3301" s="118">
        <v>4557201</v>
      </c>
      <c r="B3301" s="116" t="s">
        <v>647</v>
      </c>
    </row>
    <row r="3302" spans="1:2">
      <c r="A3302" s="118">
        <v>4557202</v>
      </c>
      <c r="B3302" s="116" t="s">
        <v>648</v>
      </c>
    </row>
    <row r="3303" spans="1:2">
      <c r="A3303" s="118">
        <v>4557203</v>
      </c>
      <c r="B3303" s="116" t="s">
        <v>591</v>
      </c>
    </row>
    <row r="3304" spans="1:2">
      <c r="A3304" s="118">
        <v>4558500</v>
      </c>
      <c r="B3304" s="116" t="s">
        <v>1527</v>
      </c>
    </row>
    <row r="3305" spans="1:2">
      <c r="A3305" s="118">
        <v>4559900</v>
      </c>
      <c r="B3305" s="116" t="s">
        <v>81</v>
      </c>
    </row>
    <row r="3306" spans="1:2">
      <c r="A3306" s="118">
        <v>4560000</v>
      </c>
      <c r="B3306" s="116" t="s">
        <v>84</v>
      </c>
    </row>
    <row r="3307" spans="1:2" ht="25.5">
      <c r="A3307" s="118">
        <v>4560100</v>
      </c>
      <c r="B3307" s="116" t="s">
        <v>1259</v>
      </c>
    </row>
    <row r="3308" spans="1:2">
      <c r="A3308" s="118">
        <v>4560101</v>
      </c>
      <c r="B3308" s="116" t="s">
        <v>1583</v>
      </c>
    </row>
    <row r="3309" spans="1:2">
      <c r="A3309" s="118">
        <v>4560102</v>
      </c>
      <c r="B3309" s="116" t="s">
        <v>1584</v>
      </c>
    </row>
    <row r="3310" spans="1:2">
      <c r="A3310" s="118">
        <v>4568500</v>
      </c>
      <c r="B3310" s="116" t="s">
        <v>1527</v>
      </c>
    </row>
    <row r="3311" spans="1:2">
      <c r="A3311" s="118">
        <v>4570000</v>
      </c>
      <c r="B3311" s="116" t="s">
        <v>883</v>
      </c>
    </row>
    <row r="3312" spans="1:2" ht="25.5">
      <c r="A3312" s="118">
        <v>4570100</v>
      </c>
      <c r="B3312" s="116" t="s">
        <v>2010</v>
      </c>
    </row>
    <row r="3313" spans="1:2">
      <c r="A3313" s="118">
        <v>4575800</v>
      </c>
      <c r="B3313" s="116" t="s">
        <v>594</v>
      </c>
    </row>
    <row r="3314" spans="1:2">
      <c r="A3314" s="118">
        <v>4577100</v>
      </c>
      <c r="B3314" s="116" t="s">
        <v>905</v>
      </c>
    </row>
    <row r="3315" spans="1:2">
      <c r="A3315" s="118">
        <v>4577101</v>
      </c>
      <c r="B3315" s="116" t="s">
        <v>311</v>
      </c>
    </row>
    <row r="3316" spans="1:2">
      <c r="A3316" s="118">
        <v>4577102</v>
      </c>
      <c r="B3316" s="116" t="s">
        <v>196</v>
      </c>
    </row>
    <row r="3317" spans="1:2">
      <c r="A3317" s="118">
        <v>4577103</v>
      </c>
      <c r="B3317" s="116" t="s">
        <v>197</v>
      </c>
    </row>
    <row r="3318" spans="1:2">
      <c r="A3318" s="118">
        <v>4577200</v>
      </c>
      <c r="B3318" s="116" t="s">
        <v>259</v>
      </c>
    </row>
    <row r="3319" spans="1:2">
      <c r="A3319" s="118">
        <v>4577201</v>
      </c>
      <c r="B3319" s="116" t="s">
        <v>647</v>
      </c>
    </row>
    <row r="3320" spans="1:2">
      <c r="A3320" s="118">
        <v>4577202</v>
      </c>
      <c r="B3320" s="116" t="s">
        <v>648</v>
      </c>
    </row>
    <row r="3321" spans="1:2">
      <c r="A3321" s="118">
        <v>4577203</v>
      </c>
      <c r="B3321" s="116" t="s">
        <v>591</v>
      </c>
    </row>
    <row r="3322" spans="1:2">
      <c r="A3322" s="118">
        <v>4577600</v>
      </c>
      <c r="B3322" s="116" t="s">
        <v>1119</v>
      </c>
    </row>
    <row r="3323" spans="1:2">
      <c r="A3323" s="118">
        <v>4578500</v>
      </c>
      <c r="B3323" s="116" t="s">
        <v>1527</v>
      </c>
    </row>
    <row r="3324" spans="1:2">
      <c r="A3324" s="118">
        <v>4579900</v>
      </c>
      <c r="B3324" s="116" t="s">
        <v>81</v>
      </c>
    </row>
    <row r="3325" spans="1:2">
      <c r="A3325" s="118">
        <v>4680000</v>
      </c>
      <c r="B3325" s="116" t="s">
        <v>494</v>
      </c>
    </row>
    <row r="3326" spans="1:2">
      <c r="A3326" s="118">
        <v>4689900</v>
      </c>
      <c r="B3326" s="116" t="s">
        <v>81</v>
      </c>
    </row>
    <row r="3327" spans="1:2">
      <c r="A3327" s="118">
        <v>4690000</v>
      </c>
      <c r="B3327" s="116" t="s">
        <v>884</v>
      </c>
    </row>
    <row r="3328" spans="1:2">
      <c r="A3328" s="118">
        <v>4695800</v>
      </c>
      <c r="B3328" s="116" t="s">
        <v>594</v>
      </c>
    </row>
    <row r="3329" spans="1:2">
      <c r="A3329" s="118">
        <v>4697100</v>
      </c>
      <c r="B3329" s="116" t="s">
        <v>905</v>
      </c>
    </row>
    <row r="3330" spans="1:2">
      <c r="A3330" s="118">
        <v>4697101</v>
      </c>
      <c r="B3330" s="116" t="s">
        <v>311</v>
      </c>
    </row>
    <row r="3331" spans="1:2">
      <c r="A3331" s="118">
        <v>4697102</v>
      </c>
      <c r="B3331" s="116" t="s">
        <v>196</v>
      </c>
    </row>
    <row r="3332" spans="1:2">
      <c r="A3332" s="118">
        <v>4697103</v>
      </c>
      <c r="B3332" s="116" t="s">
        <v>197</v>
      </c>
    </row>
    <row r="3333" spans="1:2">
      <c r="A3333" s="118">
        <v>4697200</v>
      </c>
      <c r="B3333" s="116" t="s">
        <v>259</v>
      </c>
    </row>
    <row r="3334" spans="1:2">
      <c r="A3334" s="118">
        <v>4697201</v>
      </c>
      <c r="B3334" s="116" t="s">
        <v>647</v>
      </c>
    </row>
    <row r="3335" spans="1:2">
      <c r="A3335" s="118">
        <v>4697202</v>
      </c>
      <c r="B3335" s="116" t="s">
        <v>648</v>
      </c>
    </row>
    <row r="3336" spans="1:2">
      <c r="A3336" s="118">
        <v>4697203</v>
      </c>
      <c r="B3336" s="116" t="s">
        <v>591</v>
      </c>
    </row>
    <row r="3337" spans="1:2">
      <c r="A3337" s="118">
        <v>4699900</v>
      </c>
      <c r="B3337" s="116" t="s">
        <v>81</v>
      </c>
    </row>
    <row r="3338" spans="1:2">
      <c r="A3338" s="118">
        <v>4700000</v>
      </c>
      <c r="B3338" s="116" t="s">
        <v>1401</v>
      </c>
    </row>
    <row r="3339" spans="1:2" ht="51">
      <c r="A3339" s="118">
        <v>4700100</v>
      </c>
      <c r="B3339" s="117" t="s">
        <v>1267</v>
      </c>
    </row>
    <row r="3340" spans="1:2">
      <c r="A3340" s="118">
        <v>4700200</v>
      </c>
      <c r="B3340" s="116" t="s">
        <v>496</v>
      </c>
    </row>
    <row r="3341" spans="1:2" ht="38.25">
      <c r="A3341" s="118">
        <v>4700300</v>
      </c>
      <c r="B3341" s="117" t="s">
        <v>1268</v>
      </c>
    </row>
    <row r="3342" spans="1:2">
      <c r="A3342" s="118">
        <v>4705800</v>
      </c>
      <c r="B3342" s="116" t="s">
        <v>594</v>
      </c>
    </row>
    <row r="3343" spans="1:2">
      <c r="A3343" s="118">
        <v>4706200</v>
      </c>
      <c r="B3343" s="116" t="s">
        <v>181</v>
      </c>
    </row>
    <row r="3344" spans="1:2">
      <c r="A3344" s="118">
        <v>4706800</v>
      </c>
      <c r="B3344" s="116" t="s">
        <v>633</v>
      </c>
    </row>
    <row r="3345" spans="1:2">
      <c r="A3345" s="118">
        <v>4706801</v>
      </c>
      <c r="B3345" s="116" t="s">
        <v>404</v>
      </c>
    </row>
    <row r="3346" spans="1:2" ht="25.5">
      <c r="A3346" s="118">
        <v>4706802</v>
      </c>
      <c r="B3346" s="116" t="s">
        <v>188</v>
      </c>
    </row>
    <row r="3347" spans="1:2">
      <c r="A3347" s="118">
        <v>4707100</v>
      </c>
      <c r="B3347" s="116" t="s">
        <v>905</v>
      </c>
    </row>
    <row r="3348" spans="1:2">
      <c r="A3348" s="118">
        <v>4707101</v>
      </c>
      <c r="B3348" s="116" t="s">
        <v>311</v>
      </c>
    </row>
    <row r="3349" spans="1:2">
      <c r="A3349" s="118">
        <v>4707102</v>
      </c>
      <c r="B3349" s="116" t="s">
        <v>196</v>
      </c>
    </row>
    <row r="3350" spans="1:2">
      <c r="A3350" s="118">
        <v>4707103</v>
      </c>
      <c r="B3350" s="116" t="s">
        <v>197</v>
      </c>
    </row>
    <row r="3351" spans="1:2">
      <c r="A3351" s="118">
        <v>4707200</v>
      </c>
      <c r="B3351" s="116" t="s">
        <v>259</v>
      </c>
    </row>
    <row r="3352" spans="1:2">
      <c r="A3352" s="118">
        <v>4707201</v>
      </c>
      <c r="B3352" s="116" t="s">
        <v>647</v>
      </c>
    </row>
    <row r="3353" spans="1:2">
      <c r="A3353" s="118">
        <v>4707202</v>
      </c>
      <c r="B3353" s="116" t="s">
        <v>648</v>
      </c>
    </row>
    <row r="3354" spans="1:2">
      <c r="A3354" s="118">
        <v>4707203</v>
      </c>
      <c r="B3354" s="116" t="s">
        <v>591</v>
      </c>
    </row>
    <row r="3355" spans="1:2">
      <c r="A3355" s="118">
        <v>4707600</v>
      </c>
      <c r="B3355" s="116" t="s">
        <v>1119</v>
      </c>
    </row>
    <row r="3356" spans="1:2">
      <c r="A3356" s="118">
        <v>4709900</v>
      </c>
      <c r="B3356" s="116" t="s">
        <v>81</v>
      </c>
    </row>
    <row r="3357" spans="1:2">
      <c r="A3357" s="118">
        <v>4710000</v>
      </c>
      <c r="B3357" s="116" t="s">
        <v>885</v>
      </c>
    </row>
    <row r="3358" spans="1:2">
      <c r="A3358" s="118">
        <v>4715800</v>
      </c>
      <c r="B3358" s="116" t="s">
        <v>594</v>
      </c>
    </row>
    <row r="3359" spans="1:2">
      <c r="A3359" s="118">
        <v>4716200</v>
      </c>
      <c r="B3359" s="116" t="s">
        <v>181</v>
      </c>
    </row>
    <row r="3360" spans="1:2">
      <c r="A3360" s="118">
        <v>4716800</v>
      </c>
      <c r="B3360" s="116" t="s">
        <v>78</v>
      </c>
    </row>
    <row r="3361" spans="1:2">
      <c r="A3361" s="118">
        <v>4716801</v>
      </c>
      <c r="B3361" s="116" t="s">
        <v>404</v>
      </c>
    </row>
    <row r="3362" spans="1:2" ht="25.5">
      <c r="A3362" s="118">
        <v>4716802</v>
      </c>
      <c r="B3362" s="116" t="s">
        <v>188</v>
      </c>
    </row>
    <row r="3363" spans="1:2">
      <c r="A3363" s="118">
        <v>4717100</v>
      </c>
      <c r="B3363" s="116" t="s">
        <v>905</v>
      </c>
    </row>
    <row r="3364" spans="1:2">
      <c r="A3364" s="118">
        <v>4717101</v>
      </c>
      <c r="B3364" s="116" t="s">
        <v>311</v>
      </c>
    </row>
    <row r="3365" spans="1:2">
      <c r="A3365" s="118">
        <v>4717102</v>
      </c>
      <c r="B3365" s="116" t="s">
        <v>196</v>
      </c>
    </row>
    <row r="3366" spans="1:2">
      <c r="A3366" s="118">
        <v>4717103</v>
      </c>
      <c r="B3366" s="116" t="s">
        <v>197</v>
      </c>
    </row>
    <row r="3367" spans="1:2">
      <c r="A3367" s="118">
        <v>4717200</v>
      </c>
      <c r="B3367" s="116" t="s">
        <v>259</v>
      </c>
    </row>
    <row r="3368" spans="1:2">
      <c r="A3368" s="118">
        <v>4717201</v>
      </c>
      <c r="B3368" s="116" t="s">
        <v>647</v>
      </c>
    </row>
    <row r="3369" spans="1:2">
      <c r="A3369" s="118">
        <v>4717202</v>
      </c>
      <c r="B3369" s="116" t="s">
        <v>648</v>
      </c>
    </row>
    <row r="3370" spans="1:2">
      <c r="A3370" s="118">
        <v>4717203</v>
      </c>
      <c r="B3370" s="116" t="s">
        <v>591</v>
      </c>
    </row>
    <row r="3371" spans="1:2">
      <c r="A3371" s="118">
        <v>4717600</v>
      </c>
      <c r="B3371" s="116" t="s">
        <v>1187</v>
      </c>
    </row>
    <row r="3372" spans="1:2">
      <c r="A3372" s="118">
        <v>4719900</v>
      </c>
      <c r="B3372" s="116" t="s">
        <v>81</v>
      </c>
    </row>
    <row r="3373" spans="1:2">
      <c r="A3373" s="118">
        <v>4720000</v>
      </c>
      <c r="B3373" s="116" t="s">
        <v>207</v>
      </c>
    </row>
    <row r="3374" spans="1:2">
      <c r="A3374" s="118">
        <v>4729900</v>
      </c>
      <c r="B3374" s="116" t="s">
        <v>81</v>
      </c>
    </row>
    <row r="3375" spans="1:2">
      <c r="A3375" s="118">
        <v>4730000</v>
      </c>
      <c r="B3375" s="116" t="s">
        <v>819</v>
      </c>
    </row>
    <row r="3376" spans="1:2">
      <c r="A3376" s="118">
        <v>4739900</v>
      </c>
      <c r="B3376" s="116" t="s">
        <v>81</v>
      </c>
    </row>
    <row r="3377" spans="1:2">
      <c r="A3377" s="118">
        <v>4740000</v>
      </c>
      <c r="B3377" s="116" t="s">
        <v>308</v>
      </c>
    </row>
    <row r="3378" spans="1:2">
      <c r="A3378" s="118">
        <v>4749900</v>
      </c>
      <c r="B3378" s="116" t="s">
        <v>81</v>
      </c>
    </row>
    <row r="3379" spans="1:2">
      <c r="A3379" s="118">
        <v>4750000</v>
      </c>
      <c r="B3379" s="116" t="s">
        <v>928</v>
      </c>
    </row>
    <row r="3380" spans="1:2">
      <c r="A3380" s="118">
        <v>4755800</v>
      </c>
      <c r="B3380" s="116" t="s">
        <v>594</v>
      </c>
    </row>
    <row r="3381" spans="1:2">
      <c r="A3381" s="118">
        <v>4756800</v>
      </c>
      <c r="B3381" s="116" t="s">
        <v>633</v>
      </c>
    </row>
    <row r="3382" spans="1:2">
      <c r="A3382" s="118">
        <v>4756801</v>
      </c>
      <c r="B3382" s="116" t="s">
        <v>404</v>
      </c>
    </row>
    <row r="3383" spans="1:2" ht="25.5">
      <c r="A3383" s="118">
        <v>4756802</v>
      </c>
      <c r="B3383" s="116" t="s">
        <v>188</v>
      </c>
    </row>
    <row r="3384" spans="1:2">
      <c r="A3384" s="118">
        <v>4757100</v>
      </c>
      <c r="B3384" s="116" t="s">
        <v>905</v>
      </c>
    </row>
    <row r="3385" spans="1:2">
      <c r="A3385" s="118">
        <v>4757101</v>
      </c>
      <c r="B3385" s="116" t="s">
        <v>311</v>
      </c>
    </row>
    <row r="3386" spans="1:2">
      <c r="A3386" s="118">
        <v>4757102</v>
      </c>
      <c r="B3386" s="116" t="s">
        <v>196</v>
      </c>
    </row>
    <row r="3387" spans="1:2">
      <c r="A3387" s="118">
        <v>4757103</v>
      </c>
      <c r="B3387" s="116" t="s">
        <v>197</v>
      </c>
    </row>
    <row r="3388" spans="1:2">
      <c r="A3388" s="118">
        <v>4757200</v>
      </c>
      <c r="B3388" s="116" t="s">
        <v>259</v>
      </c>
    </row>
    <row r="3389" spans="1:2">
      <c r="A3389" s="118">
        <v>4757201</v>
      </c>
      <c r="B3389" s="116" t="s">
        <v>647</v>
      </c>
    </row>
    <row r="3390" spans="1:2">
      <c r="A3390" s="118">
        <v>4757202</v>
      </c>
      <c r="B3390" s="116" t="s">
        <v>648</v>
      </c>
    </row>
    <row r="3391" spans="1:2">
      <c r="A3391" s="118">
        <v>4757203</v>
      </c>
      <c r="B3391" s="116" t="s">
        <v>591</v>
      </c>
    </row>
    <row r="3392" spans="1:2">
      <c r="A3392" s="118">
        <v>4757600</v>
      </c>
      <c r="B3392" s="116" t="s">
        <v>1119</v>
      </c>
    </row>
    <row r="3393" spans="1:2">
      <c r="A3393" s="118">
        <v>4759900</v>
      </c>
      <c r="B3393" s="116" t="s">
        <v>81</v>
      </c>
    </row>
    <row r="3394" spans="1:2">
      <c r="A3394" s="118">
        <v>4790000</v>
      </c>
      <c r="B3394" s="116" t="s">
        <v>209</v>
      </c>
    </row>
    <row r="3395" spans="1:2">
      <c r="A3395" s="118">
        <v>4799900</v>
      </c>
      <c r="B3395" s="116" t="s">
        <v>81</v>
      </c>
    </row>
    <row r="3396" spans="1:2">
      <c r="A3396" s="118">
        <v>4800000</v>
      </c>
      <c r="B3396" s="116" t="s">
        <v>946</v>
      </c>
    </row>
    <row r="3397" spans="1:2">
      <c r="A3397" s="118">
        <v>4805800</v>
      </c>
      <c r="B3397" s="116" t="s">
        <v>594</v>
      </c>
    </row>
    <row r="3398" spans="1:2">
      <c r="A3398" s="118">
        <v>4806800</v>
      </c>
      <c r="B3398" s="116" t="s">
        <v>78</v>
      </c>
    </row>
    <row r="3399" spans="1:2">
      <c r="A3399" s="118">
        <v>4806801</v>
      </c>
      <c r="B3399" s="116" t="s">
        <v>404</v>
      </c>
    </row>
    <row r="3400" spans="1:2" ht="25.5">
      <c r="A3400" s="118">
        <v>4806802</v>
      </c>
      <c r="B3400" s="116" t="s">
        <v>188</v>
      </c>
    </row>
    <row r="3401" spans="1:2">
      <c r="A3401" s="118">
        <v>4807100</v>
      </c>
      <c r="B3401" s="116" t="s">
        <v>905</v>
      </c>
    </row>
    <row r="3402" spans="1:2">
      <c r="A3402" s="118">
        <v>4807101</v>
      </c>
      <c r="B3402" s="116" t="s">
        <v>311</v>
      </c>
    </row>
    <row r="3403" spans="1:2">
      <c r="A3403" s="118">
        <v>4807102</v>
      </c>
      <c r="B3403" s="116" t="s">
        <v>196</v>
      </c>
    </row>
    <row r="3404" spans="1:2">
      <c r="A3404" s="118">
        <v>4807103</v>
      </c>
      <c r="B3404" s="116" t="s">
        <v>197</v>
      </c>
    </row>
    <row r="3405" spans="1:2">
      <c r="A3405" s="118">
        <v>4807200</v>
      </c>
      <c r="B3405" s="116" t="s">
        <v>259</v>
      </c>
    </row>
    <row r="3406" spans="1:2">
      <c r="A3406" s="118">
        <v>4807201</v>
      </c>
      <c r="B3406" s="116" t="s">
        <v>647</v>
      </c>
    </row>
    <row r="3407" spans="1:2">
      <c r="A3407" s="118">
        <v>4807202</v>
      </c>
      <c r="B3407" s="116" t="s">
        <v>648</v>
      </c>
    </row>
    <row r="3408" spans="1:2">
      <c r="A3408" s="118">
        <v>4807203</v>
      </c>
      <c r="B3408" s="116" t="s">
        <v>591</v>
      </c>
    </row>
    <row r="3409" spans="1:2">
      <c r="A3409" s="118">
        <v>4807600</v>
      </c>
      <c r="B3409" s="116" t="s">
        <v>1119</v>
      </c>
    </row>
    <row r="3410" spans="1:2">
      <c r="A3410" s="118">
        <v>4809900</v>
      </c>
      <c r="B3410" s="116" t="s">
        <v>81</v>
      </c>
    </row>
    <row r="3411" spans="1:2">
      <c r="A3411" s="118">
        <v>4810000</v>
      </c>
      <c r="B3411" s="116" t="s">
        <v>91</v>
      </c>
    </row>
    <row r="3412" spans="1:2">
      <c r="A3412" s="118">
        <v>4810100</v>
      </c>
      <c r="B3412" s="116" t="s">
        <v>509</v>
      </c>
    </row>
    <row r="3413" spans="1:2">
      <c r="A3413" s="118">
        <v>4810200</v>
      </c>
      <c r="B3413" s="116" t="s">
        <v>1624</v>
      </c>
    </row>
    <row r="3414" spans="1:2" ht="25.5">
      <c r="A3414" s="118">
        <v>4810300</v>
      </c>
      <c r="B3414" s="116" t="s">
        <v>1269</v>
      </c>
    </row>
    <row r="3415" spans="1:2" ht="25.5">
      <c r="A3415" s="118">
        <v>4810400</v>
      </c>
      <c r="B3415" s="116" t="s">
        <v>1270</v>
      </c>
    </row>
    <row r="3416" spans="1:2">
      <c r="A3416" s="118">
        <v>4817700</v>
      </c>
      <c r="B3416" s="116" t="s">
        <v>1244</v>
      </c>
    </row>
    <row r="3417" spans="1:2">
      <c r="A3417" s="118">
        <v>4820000</v>
      </c>
      <c r="B3417" s="116" t="s">
        <v>92</v>
      </c>
    </row>
    <row r="3418" spans="1:2">
      <c r="A3418" s="118">
        <v>4825800</v>
      </c>
      <c r="B3418" s="116" t="s">
        <v>594</v>
      </c>
    </row>
    <row r="3419" spans="1:2">
      <c r="A3419" s="118">
        <v>4827100</v>
      </c>
      <c r="B3419" s="116" t="s">
        <v>905</v>
      </c>
    </row>
    <row r="3420" spans="1:2">
      <c r="A3420" s="118">
        <v>4827101</v>
      </c>
      <c r="B3420" s="116" t="s">
        <v>311</v>
      </c>
    </row>
    <row r="3421" spans="1:2">
      <c r="A3421" s="118">
        <v>4827102</v>
      </c>
      <c r="B3421" s="116" t="s">
        <v>196</v>
      </c>
    </row>
    <row r="3422" spans="1:2">
      <c r="A3422" s="118">
        <v>4827103</v>
      </c>
      <c r="B3422" s="116" t="s">
        <v>197</v>
      </c>
    </row>
    <row r="3423" spans="1:2">
      <c r="A3423" s="118">
        <v>4827200</v>
      </c>
      <c r="B3423" s="116" t="s">
        <v>259</v>
      </c>
    </row>
    <row r="3424" spans="1:2">
      <c r="A3424" s="118">
        <v>4827201</v>
      </c>
      <c r="B3424" s="116" t="s">
        <v>647</v>
      </c>
    </row>
    <row r="3425" spans="1:2">
      <c r="A3425" s="118">
        <v>4827202</v>
      </c>
      <c r="B3425" s="116" t="s">
        <v>648</v>
      </c>
    </row>
    <row r="3426" spans="1:2">
      <c r="A3426" s="118">
        <v>4827203</v>
      </c>
      <c r="B3426" s="116" t="s">
        <v>591</v>
      </c>
    </row>
    <row r="3427" spans="1:2">
      <c r="A3427" s="118">
        <v>4829900</v>
      </c>
      <c r="B3427" s="116" t="s">
        <v>81</v>
      </c>
    </row>
    <row r="3428" spans="1:2">
      <c r="A3428" s="118">
        <v>4830000</v>
      </c>
      <c r="B3428" s="116" t="s">
        <v>93</v>
      </c>
    </row>
    <row r="3429" spans="1:2">
      <c r="A3429" s="118">
        <v>4839900</v>
      </c>
      <c r="B3429" s="116" t="s">
        <v>81</v>
      </c>
    </row>
    <row r="3430" spans="1:2">
      <c r="A3430" s="118">
        <v>4840000</v>
      </c>
      <c r="B3430" s="116" t="s">
        <v>286</v>
      </c>
    </row>
    <row r="3431" spans="1:2">
      <c r="A3431" s="118">
        <v>4849900</v>
      </c>
      <c r="B3431" s="116" t="s">
        <v>81</v>
      </c>
    </row>
    <row r="3432" spans="1:2">
      <c r="A3432" s="118">
        <v>4850000</v>
      </c>
      <c r="B3432" s="116" t="s">
        <v>1271</v>
      </c>
    </row>
    <row r="3433" spans="1:2">
      <c r="A3433" s="118">
        <v>4850100</v>
      </c>
      <c r="B3433" s="116" t="s">
        <v>376</v>
      </c>
    </row>
    <row r="3434" spans="1:2">
      <c r="A3434" s="118">
        <v>4850200</v>
      </c>
      <c r="B3434" s="116" t="s">
        <v>324</v>
      </c>
    </row>
    <row r="3435" spans="1:2" ht="38.25">
      <c r="A3435" s="118">
        <v>4850300</v>
      </c>
      <c r="B3435" s="117" t="s">
        <v>1272</v>
      </c>
    </row>
    <row r="3436" spans="1:2" ht="25.5">
      <c r="A3436" s="118">
        <v>4850400</v>
      </c>
      <c r="B3436" s="116" t="s">
        <v>1273</v>
      </c>
    </row>
    <row r="3437" spans="1:2">
      <c r="A3437" s="118">
        <v>4850500</v>
      </c>
      <c r="B3437" s="116" t="s">
        <v>1274</v>
      </c>
    </row>
    <row r="3438" spans="1:2">
      <c r="A3438" s="118">
        <v>4850600</v>
      </c>
      <c r="B3438" s="116" t="s">
        <v>306</v>
      </c>
    </row>
    <row r="3439" spans="1:2">
      <c r="A3439" s="118">
        <v>4850700</v>
      </c>
      <c r="B3439" s="116" t="s">
        <v>1233</v>
      </c>
    </row>
    <row r="3440" spans="1:2">
      <c r="A3440" s="118">
        <v>4850800</v>
      </c>
      <c r="B3440" s="116" t="s">
        <v>530</v>
      </c>
    </row>
    <row r="3441" spans="1:2">
      <c r="A3441" s="118">
        <v>4850900</v>
      </c>
      <c r="B3441" s="116" t="s">
        <v>208</v>
      </c>
    </row>
    <row r="3442" spans="1:2" ht="38.25">
      <c r="A3442" s="118">
        <v>4851000</v>
      </c>
      <c r="B3442" s="117" t="s">
        <v>688</v>
      </c>
    </row>
    <row r="3443" spans="1:2">
      <c r="A3443" s="118">
        <v>4851300</v>
      </c>
      <c r="B3443" s="116" t="s">
        <v>689</v>
      </c>
    </row>
    <row r="3444" spans="1:2" ht="51">
      <c r="A3444" s="118">
        <v>4851400</v>
      </c>
      <c r="B3444" s="117" t="s">
        <v>690</v>
      </c>
    </row>
    <row r="3445" spans="1:2">
      <c r="A3445" s="118">
        <v>4851600</v>
      </c>
      <c r="B3445" s="116" t="s">
        <v>691</v>
      </c>
    </row>
    <row r="3446" spans="1:2" ht="25.5">
      <c r="A3446" s="118">
        <v>4851700</v>
      </c>
      <c r="B3446" s="116" t="s">
        <v>692</v>
      </c>
    </row>
    <row r="3447" spans="1:2">
      <c r="A3447" s="118">
        <v>4851800</v>
      </c>
      <c r="B3447" s="116" t="s">
        <v>693</v>
      </c>
    </row>
    <row r="3448" spans="1:2" ht="25.5">
      <c r="A3448" s="118">
        <v>4851900</v>
      </c>
      <c r="B3448" s="116" t="s">
        <v>694</v>
      </c>
    </row>
    <row r="3449" spans="1:2">
      <c r="A3449" s="118">
        <v>4852000</v>
      </c>
      <c r="B3449" s="116" t="s">
        <v>695</v>
      </c>
    </row>
    <row r="3450" spans="1:2">
      <c r="A3450" s="118">
        <v>4852300</v>
      </c>
      <c r="B3450" s="116" t="s">
        <v>696</v>
      </c>
    </row>
    <row r="3451" spans="1:2">
      <c r="A3451" s="118">
        <v>4852400</v>
      </c>
      <c r="B3451" s="116" t="s">
        <v>1277</v>
      </c>
    </row>
    <row r="3452" spans="1:2">
      <c r="A3452" s="118">
        <v>4852500</v>
      </c>
      <c r="B3452" s="116" t="s">
        <v>1278</v>
      </c>
    </row>
    <row r="3453" spans="1:2">
      <c r="A3453" s="118">
        <v>4857700</v>
      </c>
      <c r="B3453" s="116" t="s">
        <v>1279</v>
      </c>
    </row>
    <row r="3454" spans="1:2">
      <c r="A3454" s="118">
        <v>4859700</v>
      </c>
      <c r="B3454" s="116" t="s">
        <v>1141</v>
      </c>
    </row>
    <row r="3455" spans="1:2">
      <c r="A3455" s="118">
        <v>4870000</v>
      </c>
      <c r="B3455" s="116" t="s">
        <v>697</v>
      </c>
    </row>
    <row r="3456" spans="1:2">
      <c r="A3456" s="118">
        <v>4870100</v>
      </c>
      <c r="B3456" s="116" t="s">
        <v>376</v>
      </c>
    </row>
    <row r="3457" spans="1:2" ht="25.5">
      <c r="A3457" s="118">
        <v>4870200</v>
      </c>
      <c r="B3457" s="116" t="s">
        <v>698</v>
      </c>
    </row>
    <row r="3458" spans="1:2">
      <c r="A3458" s="118">
        <v>4880000</v>
      </c>
      <c r="B3458" s="116" t="s">
        <v>699</v>
      </c>
    </row>
    <row r="3459" spans="1:2">
      <c r="A3459" s="118">
        <v>4900000</v>
      </c>
      <c r="B3459" s="116" t="s">
        <v>304</v>
      </c>
    </row>
    <row r="3460" spans="1:2" ht="38.25">
      <c r="A3460" s="118">
        <v>4900100</v>
      </c>
      <c r="B3460" s="117" t="s">
        <v>251</v>
      </c>
    </row>
    <row r="3461" spans="1:2" ht="25.5">
      <c r="A3461" s="118">
        <v>4900101</v>
      </c>
      <c r="B3461" s="116" t="s">
        <v>700</v>
      </c>
    </row>
    <row r="3462" spans="1:2" ht="38.25">
      <c r="A3462" s="118">
        <v>4900200</v>
      </c>
      <c r="B3462" s="116" t="s">
        <v>153</v>
      </c>
    </row>
    <row r="3463" spans="1:2">
      <c r="A3463" s="118">
        <v>4900201</v>
      </c>
      <c r="B3463" s="116" t="s">
        <v>154</v>
      </c>
    </row>
    <row r="3464" spans="1:2" ht="25.5">
      <c r="A3464" s="118">
        <v>4900300</v>
      </c>
      <c r="B3464" s="116" t="s">
        <v>701</v>
      </c>
    </row>
    <row r="3465" spans="1:2">
      <c r="A3465" s="118">
        <v>4900301</v>
      </c>
      <c r="B3465" s="116" t="s">
        <v>279</v>
      </c>
    </row>
    <row r="3466" spans="1:2">
      <c r="A3466" s="118">
        <v>4900400</v>
      </c>
      <c r="B3466" s="116" t="s">
        <v>702</v>
      </c>
    </row>
    <row r="3467" spans="1:2" ht="56.25" customHeight="1">
      <c r="A3467" s="118">
        <v>4900500</v>
      </c>
      <c r="B3467" s="116" t="s">
        <v>703</v>
      </c>
    </row>
    <row r="3468" spans="1:2">
      <c r="A3468" s="118">
        <v>4900501</v>
      </c>
      <c r="B3468" s="116" t="s">
        <v>704</v>
      </c>
    </row>
    <row r="3469" spans="1:2">
      <c r="A3469" s="118">
        <v>4910000</v>
      </c>
      <c r="B3469" s="116" t="s">
        <v>183</v>
      </c>
    </row>
    <row r="3470" spans="1:2">
      <c r="A3470" s="118">
        <v>4910100</v>
      </c>
      <c r="B3470" s="116" t="s">
        <v>908</v>
      </c>
    </row>
    <row r="3471" spans="1:2">
      <c r="A3471" s="118">
        <v>5000000</v>
      </c>
      <c r="B3471" s="116" t="s">
        <v>779</v>
      </c>
    </row>
    <row r="3472" spans="1:2">
      <c r="A3472" s="118">
        <v>5009900</v>
      </c>
      <c r="B3472" s="116" t="s">
        <v>81</v>
      </c>
    </row>
    <row r="3473" spans="1:2">
      <c r="A3473" s="118">
        <v>5010000</v>
      </c>
      <c r="B3473" s="116" t="s">
        <v>1936</v>
      </c>
    </row>
    <row r="3474" spans="1:2">
      <c r="A3474" s="118">
        <v>5019900</v>
      </c>
      <c r="B3474" s="116" t="s">
        <v>81</v>
      </c>
    </row>
    <row r="3475" spans="1:2">
      <c r="A3475" s="118">
        <v>5020000</v>
      </c>
      <c r="B3475" s="116" t="s">
        <v>1937</v>
      </c>
    </row>
    <row r="3476" spans="1:2">
      <c r="A3476" s="118">
        <v>5029900</v>
      </c>
      <c r="B3476" s="116" t="s">
        <v>81</v>
      </c>
    </row>
    <row r="3477" spans="1:2">
      <c r="A3477" s="118">
        <v>5050000</v>
      </c>
      <c r="B3477" s="116" t="s">
        <v>280</v>
      </c>
    </row>
    <row r="3478" spans="1:2" ht="25.5">
      <c r="A3478" s="118">
        <v>5050100</v>
      </c>
      <c r="B3478" s="116" t="s">
        <v>390</v>
      </c>
    </row>
    <row r="3479" spans="1:2" ht="25.5">
      <c r="A3479" s="118">
        <v>5050101</v>
      </c>
      <c r="B3479" s="116" t="s">
        <v>925</v>
      </c>
    </row>
    <row r="3480" spans="1:2" ht="25.5">
      <c r="A3480" s="118">
        <v>5050102</v>
      </c>
      <c r="B3480" s="116" t="s">
        <v>1514</v>
      </c>
    </row>
    <row r="3481" spans="1:2">
      <c r="A3481" s="118">
        <v>5050103</v>
      </c>
      <c r="B3481" s="116" t="s">
        <v>1452</v>
      </c>
    </row>
    <row r="3482" spans="1:2">
      <c r="A3482" s="118">
        <v>5050104</v>
      </c>
      <c r="B3482" s="116" t="s">
        <v>471</v>
      </c>
    </row>
    <row r="3483" spans="1:2">
      <c r="A3483" s="118">
        <v>5050105</v>
      </c>
      <c r="B3483" s="116" t="s">
        <v>739</v>
      </c>
    </row>
    <row r="3484" spans="1:2">
      <c r="A3484" s="118">
        <v>5050200</v>
      </c>
      <c r="B3484" s="116" t="s">
        <v>740</v>
      </c>
    </row>
    <row r="3485" spans="1:2" ht="25.5">
      <c r="A3485" s="118">
        <v>5050201</v>
      </c>
      <c r="B3485" s="116" t="s">
        <v>1611</v>
      </c>
    </row>
    <row r="3486" spans="1:2">
      <c r="A3486" s="118">
        <v>5050202</v>
      </c>
      <c r="B3486" s="116" t="s">
        <v>631</v>
      </c>
    </row>
    <row r="3487" spans="1:2">
      <c r="A3487" s="118">
        <v>5050300</v>
      </c>
      <c r="B3487" s="116" t="s">
        <v>705</v>
      </c>
    </row>
    <row r="3488" spans="1:2" ht="25.5">
      <c r="A3488" s="118">
        <v>5050301</v>
      </c>
      <c r="B3488" s="116" t="s">
        <v>706</v>
      </c>
    </row>
    <row r="3489" spans="1:2" ht="38.25">
      <c r="A3489" s="118">
        <v>5050302</v>
      </c>
      <c r="B3489" s="116" t="s">
        <v>707</v>
      </c>
    </row>
    <row r="3490" spans="1:2" ht="25.5">
      <c r="A3490" s="118">
        <v>5050303</v>
      </c>
      <c r="B3490" s="116" t="s">
        <v>1048</v>
      </c>
    </row>
    <row r="3491" spans="1:2">
      <c r="A3491" s="118">
        <v>5050304</v>
      </c>
      <c r="B3491" s="116" t="s">
        <v>708</v>
      </c>
    </row>
    <row r="3492" spans="1:2">
      <c r="A3492" s="118">
        <v>5050400</v>
      </c>
      <c r="B3492" s="116" t="s">
        <v>200</v>
      </c>
    </row>
    <row r="3493" spans="1:2">
      <c r="A3493" s="118">
        <v>5050401</v>
      </c>
      <c r="B3493" s="116" t="s">
        <v>2</v>
      </c>
    </row>
    <row r="3494" spans="1:2">
      <c r="A3494" s="118">
        <v>5050500</v>
      </c>
      <c r="B3494" s="116" t="s">
        <v>3</v>
      </c>
    </row>
    <row r="3495" spans="1:2" ht="25.5">
      <c r="A3495" s="118">
        <v>5050501</v>
      </c>
      <c r="B3495" s="116" t="s">
        <v>709</v>
      </c>
    </row>
    <row r="3496" spans="1:2">
      <c r="A3496" s="118">
        <v>5050502</v>
      </c>
      <c r="B3496" s="116" t="s">
        <v>380</v>
      </c>
    </row>
    <row r="3497" spans="1:2" ht="25.5">
      <c r="A3497" s="118">
        <v>5050503</v>
      </c>
      <c r="B3497" s="116" t="s">
        <v>1289</v>
      </c>
    </row>
    <row r="3498" spans="1:2" ht="25.5">
      <c r="A3498" s="118">
        <v>5050504</v>
      </c>
      <c r="B3498" s="116" t="s">
        <v>1290</v>
      </c>
    </row>
    <row r="3499" spans="1:2" ht="38.25">
      <c r="A3499" s="118">
        <v>5050505</v>
      </c>
      <c r="B3499" s="116" t="s">
        <v>1291</v>
      </c>
    </row>
    <row r="3500" spans="1:2">
      <c r="A3500" s="118">
        <v>5050506</v>
      </c>
      <c r="B3500" s="116" t="s">
        <v>541</v>
      </c>
    </row>
    <row r="3501" spans="1:2" ht="25.5">
      <c r="A3501" s="118">
        <v>5050507</v>
      </c>
      <c r="B3501" s="116" t="s">
        <v>2041</v>
      </c>
    </row>
    <row r="3502" spans="1:2" ht="38.25">
      <c r="A3502" s="118">
        <v>5050508</v>
      </c>
      <c r="B3502" s="116" t="s">
        <v>1556</v>
      </c>
    </row>
    <row r="3503" spans="1:2" ht="25.5">
      <c r="A3503" s="118">
        <v>5050509</v>
      </c>
      <c r="B3503" s="116" t="s">
        <v>1557</v>
      </c>
    </row>
    <row r="3504" spans="1:2" ht="25.5">
      <c r="A3504" s="118">
        <v>5050600</v>
      </c>
      <c r="B3504" s="116" t="s">
        <v>377</v>
      </c>
    </row>
    <row r="3505" spans="1:2" ht="25.5">
      <c r="A3505" s="118">
        <v>5050601</v>
      </c>
      <c r="B3505" s="116" t="s">
        <v>925</v>
      </c>
    </row>
    <row r="3506" spans="1:2" ht="25.5">
      <c r="A3506" s="118">
        <v>5050602</v>
      </c>
      <c r="B3506" s="116" t="s">
        <v>1514</v>
      </c>
    </row>
    <row r="3507" spans="1:2">
      <c r="A3507" s="118">
        <v>5050604</v>
      </c>
      <c r="B3507" s="116" t="s">
        <v>471</v>
      </c>
    </row>
    <row r="3508" spans="1:2" ht="38.25">
      <c r="A3508" s="118">
        <v>5050700</v>
      </c>
      <c r="B3508" s="116" t="s">
        <v>1558</v>
      </c>
    </row>
    <row r="3509" spans="1:2" ht="25.5">
      <c r="A3509" s="118">
        <v>5050701</v>
      </c>
      <c r="B3509" s="116" t="s">
        <v>925</v>
      </c>
    </row>
    <row r="3510" spans="1:2" ht="25.5">
      <c r="A3510" s="118">
        <v>5050702</v>
      </c>
      <c r="B3510" s="116" t="s">
        <v>1514</v>
      </c>
    </row>
    <row r="3511" spans="1:2">
      <c r="A3511" s="118">
        <v>5050703</v>
      </c>
      <c r="B3511" s="116" t="s">
        <v>1452</v>
      </c>
    </row>
    <row r="3512" spans="1:2">
      <c r="A3512" s="118">
        <v>5050704</v>
      </c>
      <c r="B3512" s="116" t="s">
        <v>471</v>
      </c>
    </row>
    <row r="3513" spans="1:2">
      <c r="A3513" s="118">
        <v>5050705</v>
      </c>
      <c r="B3513" s="116" t="s">
        <v>739</v>
      </c>
    </row>
    <row r="3514" spans="1:2" ht="25.5">
      <c r="A3514" s="118">
        <v>5050800</v>
      </c>
      <c r="B3514" s="116" t="s">
        <v>1396</v>
      </c>
    </row>
    <row r="3515" spans="1:2" ht="25.5">
      <c r="A3515" s="118">
        <v>5050801</v>
      </c>
      <c r="B3515" s="116" t="s">
        <v>201</v>
      </c>
    </row>
    <row r="3516" spans="1:2">
      <c r="A3516" s="118">
        <v>5050802</v>
      </c>
      <c r="B3516" s="116" t="s">
        <v>442</v>
      </c>
    </row>
    <row r="3517" spans="1:2" ht="25.5">
      <c r="A3517" s="118">
        <v>5050900</v>
      </c>
      <c r="B3517" s="116" t="s">
        <v>1559</v>
      </c>
    </row>
    <row r="3518" spans="1:2" ht="25.5">
      <c r="A3518" s="118">
        <v>5050901</v>
      </c>
      <c r="B3518" s="116" t="s">
        <v>588</v>
      </c>
    </row>
    <row r="3519" spans="1:2">
      <c r="A3519" s="118">
        <v>5050902</v>
      </c>
      <c r="B3519" s="116" t="s">
        <v>1560</v>
      </c>
    </row>
    <row r="3520" spans="1:2" ht="25.5">
      <c r="A3520" s="118">
        <v>5051000</v>
      </c>
      <c r="B3520" s="116" t="s">
        <v>903</v>
      </c>
    </row>
    <row r="3521" spans="1:2">
      <c r="A3521" s="118">
        <v>5051001</v>
      </c>
      <c r="B3521" s="116" t="s">
        <v>409</v>
      </c>
    </row>
    <row r="3522" spans="1:2" ht="38.25">
      <c r="A3522" s="118">
        <v>5051100</v>
      </c>
      <c r="B3522" s="116" t="s">
        <v>1561</v>
      </c>
    </row>
    <row r="3523" spans="1:2" ht="25.5">
      <c r="A3523" s="118">
        <v>5051101</v>
      </c>
      <c r="B3523" s="116" t="s">
        <v>1877</v>
      </c>
    </row>
    <row r="3524" spans="1:2" ht="25.5">
      <c r="A3524" s="118">
        <v>5051200</v>
      </c>
      <c r="B3524" s="116" t="s">
        <v>1878</v>
      </c>
    </row>
    <row r="3525" spans="1:2">
      <c r="A3525" s="118">
        <v>5051201</v>
      </c>
      <c r="B3525" s="116" t="s">
        <v>431</v>
      </c>
    </row>
    <row r="3526" spans="1:2">
      <c r="A3526" s="118">
        <v>5051300</v>
      </c>
      <c r="B3526" s="116" t="s">
        <v>118</v>
      </c>
    </row>
    <row r="3527" spans="1:2">
      <c r="A3527" s="118">
        <v>5051301</v>
      </c>
      <c r="B3527" s="116" t="s">
        <v>1176</v>
      </c>
    </row>
    <row r="3528" spans="1:2">
      <c r="A3528" s="118">
        <v>5051302</v>
      </c>
      <c r="B3528" s="116" t="s">
        <v>1263</v>
      </c>
    </row>
    <row r="3529" spans="1:2">
      <c r="A3529" s="118">
        <v>5051303</v>
      </c>
      <c r="B3529" s="116" t="s">
        <v>1104</v>
      </c>
    </row>
    <row r="3530" spans="1:2">
      <c r="A3530" s="118">
        <v>5051304</v>
      </c>
      <c r="B3530" s="116" t="s">
        <v>786</v>
      </c>
    </row>
    <row r="3531" spans="1:2" ht="25.5">
      <c r="A3531" s="118">
        <v>5051400</v>
      </c>
      <c r="B3531" s="116" t="s">
        <v>1386</v>
      </c>
    </row>
    <row r="3532" spans="1:2">
      <c r="A3532" s="118">
        <v>5051401</v>
      </c>
      <c r="B3532" s="116" t="s">
        <v>837</v>
      </c>
    </row>
    <row r="3533" spans="1:2" ht="25.5">
      <c r="A3533" s="118">
        <v>5051500</v>
      </c>
      <c r="B3533" s="116" t="s">
        <v>876</v>
      </c>
    </row>
    <row r="3534" spans="1:2">
      <c r="A3534" s="118">
        <v>5051501</v>
      </c>
      <c r="B3534" s="116" t="s">
        <v>345</v>
      </c>
    </row>
    <row r="3535" spans="1:2" ht="63.75">
      <c r="A3535" s="118">
        <v>5051600</v>
      </c>
      <c r="B3535" s="117" t="s">
        <v>1879</v>
      </c>
    </row>
    <row r="3536" spans="1:2">
      <c r="A3536" s="118">
        <v>5051601</v>
      </c>
      <c r="B3536" s="116" t="s">
        <v>1314</v>
      </c>
    </row>
    <row r="3537" spans="1:2" ht="25.5">
      <c r="A3537" s="118">
        <v>5051700</v>
      </c>
      <c r="B3537" s="116" t="s">
        <v>1880</v>
      </c>
    </row>
    <row r="3538" spans="1:2">
      <c r="A3538" s="118">
        <v>5051701</v>
      </c>
      <c r="B3538" s="116" t="s">
        <v>1254</v>
      </c>
    </row>
    <row r="3539" spans="1:2" ht="25.5">
      <c r="A3539" s="118">
        <v>5051702</v>
      </c>
      <c r="B3539" s="116" t="s">
        <v>191</v>
      </c>
    </row>
    <row r="3540" spans="1:2" ht="25.5">
      <c r="A3540" s="118">
        <v>5051703</v>
      </c>
      <c r="B3540" s="116" t="s">
        <v>825</v>
      </c>
    </row>
    <row r="3541" spans="1:2">
      <c r="A3541" s="118">
        <v>5051704</v>
      </c>
      <c r="B3541" s="116" t="s">
        <v>958</v>
      </c>
    </row>
    <row r="3542" spans="1:2" ht="25.5">
      <c r="A3542" s="118">
        <v>5051800</v>
      </c>
      <c r="B3542" s="116" t="s">
        <v>587</v>
      </c>
    </row>
    <row r="3543" spans="1:2" ht="25.5">
      <c r="A3543" s="118">
        <v>5051900</v>
      </c>
      <c r="B3543" s="116" t="s">
        <v>1881</v>
      </c>
    </row>
    <row r="3544" spans="1:2" ht="25.5">
      <c r="A3544" s="118">
        <v>5052000</v>
      </c>
      <c r="B3544" s="116" t="s">
        <v>1571</v>
      </c>
    </row>
    <row r="3545" spans="1:2">
      <c r="A3545" s="118">
        <v>5052001</v>
      </c>
      <c r="B3545" s="116" t="s">
        <v>1572</v>
      </c>
    </row>
    <row r="3546" spans="1:2" ht="25.5">
      <c r="A3546" s="118">
        <v>5052100</v>
      </c>
      <c r="B3546" s="116" t="s">
        <v>2125</v>
      </c>
    </row>
    <row r="3547" spans="1:2" ht="25.5">
      <c r="A3547" s="118">
        <v>5052102</v>
      </c>
      <c r="B3547" s="116" t="s">
        <v>1522</v>
      </c>
    </row>
    <row r="3548" spans="1:2">
      <c r="A3548" s="118">
        <v>5052200</v>
      </c>
      <c r="B3548" s="116" t="s">
        <v>960</v>
      </c>
    </row>
    <row r="3549" spans="1:2" ht="25.5">
      <c r="A3549" s="118">
        <v>5052201</v>
      </c>
      <c r="B3549" s="116" t="s">
        <v>1573</v>
      </c>
    </row>
    <row r="3550" spans="1:2" ht="25.5">
      <c r="A3550" s="118">
        <v>5052202</v>
      </c>
      <c r="B3550" s="116" t="s">
        <v>1339</v>
      </c>
    </row>
    <row r="3551" spans="1:2" ht="38.25">
      <c r="A3551" s="118">
        <v>5052203</v>
      </c>
      <c r="B3551" s="116" t="s">
        <v>1340</v>
      </c>
    </row>
    <row r="3552" spans="1:2" ht="25.5">
      <c r="A3552" s="118">
        <v>5052204</v>
      </c>
      <c r="B3552" s="116" t="s">
        <v>1341</v>
      </c>
    </row>
    <row r="3553" spans="1:2">
      <c r="A3553" s="118">
        <v>5052205</v>
      </c>
      <c r="B3553" s="116" t="s">
        <v>1342</v>
      </c>
    </row>
    <row r="3554" spans="1:2" ht="25.5">
      <c r="A3554" s="118">
        <v>5052300</v>
      </c>
      <c r="B3554" s="116" t="s">
        <v>1122</v>
      </c>
    </row>
    <row r="3555" spans="1:2" ht="25.5">
      <c r="A3555" s="118">
        <v>5052301</v>
      </c>
      <c r="B3555" s="116" t="s">
        <v>592</v>
      </c>
    </row>
    <row r="3556" spans="1:2">
      <c r="A3556" s="118">
        <v>5052302</v>
      </c>
      <c r="B3556" s="116" t="s">
        <v>189</v>
      </c>
    </row>
    <row r="3557" spans="1:2">
      <c r="A3557" s="118">
        <v>5052400</v>
      </c>
      <c r="B3557" s="116" t="s">
        <v>190</v>
      </c>
    </row>
    <row r="3558" spans="1:2" ht="25.5">
      <c r="A3558" s="118">
        <v>5052500</v>
      </c>
      <c r="B3558" s="116" t="s">
        <v>517</v>
      </c>
    </row>
    <row r="3559" spans="1:2">
      <c r="A3559" s="118">
        <v>5052501</v>
      </c>
      <c r="B3559" s="116" t="s">
        <v>518</v>
      </c>
    </row>
    <row r="3560" spans="1:2" ht="38.25">
      <c r="A3560" s="118">
        <v>5052600</v>
      </c>
      <c r="B3560" s="116" t="s">
        <v>753</v>
      </c>
    </row>
    <row r="3561" spans="1:2">
      <c r="A3561" s="118">
        <v>5052601</v>
      </c>
      <c r="B3561" s="116" t="s">
        <v>754</v>
      </c>
    </row>
    <row r="3562" spans="1:2" ht="38.25">
      <c r="A3562" s="118">
        <v>5052700</v>
      </c>
      <c r="B3562" s="116" t="s">
        <v>755</v>
      </c>
    </row>
    <row r="3563" spans="1:2" ht="25.5">
      <c r="A3563" s="118">
        <v>5052701</v>
      </c>
      <c r="B3563" s="116" t="s">
        <v>756</v>
      </c>
    </row>
    <row r="3564" spans="1:2">
      <c r="A3564" s="118">
        <v>5052800</v>
      </c>
      <c r="B3564" s="116" t="s">
        <v>896</v>
      </c>
    </row>
    <row r="3565" spans="1:2">
      <c r="A3565" s="118">
        <v>5052900</v>
      </c>
      <c r="B3565" s="116" t="s">
        <v>1139</v>
      </c>
    </row>
    <row r="3566" spans="1:2" ht="25.5">
      <c r="A3566" s="118">
        <v>5052901</v>
      </c>
      <c r="B3566" s="116" t="s">
        <v>757</v>
      </c>
    </row>
    <row r="3567" spans="1:2">
      <c r="A3567" s="118">
        <v>5053000</v>
      </c>
      <c r="B3567" s="116" t="s">
        <v>659</v>
      </c>
    </row>
    <row r="3568" spans="1:2">
      <c r="A3568" s="118">
        <v>5053100</v>
      </c>
      <c r="B3568" s="116" t="s">
        <v>659</v>
      </c>
    </row>
    <row r="3569" spans="1:2">
      <c r="A3569" s="118">
        <v>5053110</v>
      </c>
      <c r="B3569" s="116" t="s">
        <v>659</v>
      </c>
    </row>
    <row r="3570" spans="1:2">
      <c r="A3570" s="118">
        <v>5053120</v>
      </c>
      <c r="B3570" s="116" t="s">
        <v>659</v>
      </c>
    </row>
    <row r="3571" spans="1:2" ht="25.5">
      <c r="A3571" s="118">
        <v>5053200</v>
      </c>
      <c r="B3571" s="116" t="s">
        <v>758</v>
      </c>
    </row>
    <row r="3572" spans="1:2" ht="25.5">
      <c r="A3572" s="118">
        <v>5053201</v>
      </c>
      <c r="B3572" s="116" t="s">
        <v>759</v>
      </c>
    </row>
    <row r="3573" spans="1:2" ht="25.5">
      <c r="A3573" s="118">
        <v>5053202</v>
      </c>
      <c r="B3573" s="116" t="s">
        <v>760</v>
      </c>
    </row>
    <row r="3574" spans="1:2" ht="25.5">
      <c r="A3574" s="118">
        <v>5053204</v>
      </c>
      <c r="B3574" s="116" t="s">
        <v>761</v>
      </c>
    </row>
    <row r="3575" spans="1:2" ht="25.5">
      <c r="A3575" s="118">
        <v>5053205</v>
      </c>
      <c r="B3575" s="116" t="s">
        <v>762</v>
      </c>
    </row>
    <row r="3576" spans="1:2">
      <c r="A3576" s="118">
        <v>5053300</v>
      </c>
      <c r="B3576" s="116" t="s">
        <v>1304</v>
      </c>
    </row>
    <row r="3577" spans="1:2">
      <c r="A3577" s="118">
        <v>5053301</v>
      </c>
      <c r="B3577" s="116" t="s">
        <v>967</v>
      </c>
    </row>
    <row r="3578" spans="1:2">
      <c r="A3578" s="118">
        <v>5053302</v>
      </c>
      <c r="B3578" s="116" t="s">
        <v>410</v>
      </c>
    </row>
    <row r="3579" spans="1:2" ht="63.75">
      <c r="A3579" s="118">
        <v>5053400</v>
      </c>
      <c r="B3579" s="117" t="s">
        <v>763</v>
      </c>
    </row>
    <row r="3580" spans="1:2" ht="38.25">
      <c r="A3580" s="118">
        <v>5053401</v>
      </c>
      <c r="B3580" s="117" t="s">
        <v>764</v>
      </c>
    </row>
    <row r="3581" spans="1:2" ht="25.5">
      <c r="A3581" s="118">
        <v>5053402</v>
      </c>
      <c r="B3581" s="116" t="s">
        <v>765</v>
      </c>
    </row>
    <row r="3582" spans="1:2" ht="25.5">
      <c r="A3582" s="118">
        <v>5053500</v>
      </c>
      <c r="B3582" s="116" t="s">
        <v>766</v>
      </c>
    </row>
    <row r="3583" spans="1:2" ht="25.5">
      <c r="A3583" s="118">
        <v>5053600</v>
      </c>
      <c r="B3583" s="116" t="s">
        <v>1522</v>
      </c>
    </row>
    <row r="3584" spans="1:2" ht="25.5">
      <c r="A3584" s="118">
        <v>5053601</v>
      </c>
      <c r="B3584" s="116" t="s">
        <v>1522</v>
      </c>
    </row>
    <row r="3585" spans="1:2" ht="25.5">
      <c r="A3585" s="118">
        <v>5053602</v>
      </c>
      <c r="B3585" s="116" t="s">
        <v>767</v>
      </c>
    </row>
    <row r="3586" spans="1:2" ht="38.25">
      <c r="A3586" s="118">
        <v>5053700</v>
      </c>
      <c r="B3586" s="117" t="s">
        <v>830</v>
      </c>
    </row>
    <row r="3587" spans="1:2">
      <c r="A3587" s="118">
        <v>5053800</v>
      </c>
      <c r="B3587" s="116" t="s">
        <v>768</v>
      </c>
    </row>
    <row r="3588" spans="1:2" ht="25.5">
      <c r="A3588" s="118">
        <v>5053801</v>
      </c>
      <c r="B3588" s="116" t="s">
        <v>769</v>
      </c>
    </row>
    <row r="3589" spans="1:2" ht="25.5">
      <c r="A3589" s="118">
        <v>5053900</v>
      </c>
      <c r="B3589" s="116" t="s">
        <v>526</v>
      </c>
    </row>
    <row r="3590" spans="1:2" ht="25.5">
      <c r="A3590" s="118">
        <v>5053901</v>
      </c>
      <c r="B3590" s="116" t="s">
        <v>886</v>
      </c>
    </row>
    <row r="3591" spans="1:2">
      <c r="A3591" s="118">
        <v>5053902</v>
      </c>
      <c r="B3591" s="116" t="s">
        <v>248</v>
      </c>
    </row>
    <row r="3592" spans="1:2">
      <c r="A3592" s="118">
        <v>5053903</v>
      </c>
      <c r="B3592" s="116" t="s">
        <v>249</v>
      </c>
    </row>
    <row r="3593" spans="1:2" ht="25.5">
      <c r="A3593" s="118">
        <v>5053904</v>
      </c>
      <c r="B3593" s="116" t="s">
        <v>531</v>
      </c>
    </row>
    <row r="3594" spans="1:2">
      <c r="A3594" s="118">
        <v>5053905</v>
      </c>
      <c r="B3594" s="116" t="s">
        <v>532</v>
      </c>
    </row>
    <row r="3595" spans="1:2">
      <c r="A3595" s="118">
        <v>5053906</v>
      </c>
      <c r="B3595" s="116" t="s">
        <v>869</v>
      </c>
    </row>
    <row r="3596" spans="1:2">
      <c r="A3596" s="118">
        <v>5053907</v>
      </c>
      <c r="B3596" s="116" t="s">
        <v>870</v>
      </c>
    </row>
    <row r="3597" spans="1:2" ht="25.5">
      <c r="A3597" s="118">
        <v>5054000</v>
      </c>
      <c r="B3597" s="116" t="s">
        <v>1675</v>
      </c>
    </row>
    <row r="3598" spans="1:2" ht="63.75">
      <c r="A3598" s="118">
        <v>5054100</v>
      </c>
      <c r="B3598" s="117" t="s">
        <v>563</v>
      </c>
    </row>
    <row r="3599" spans="1:2" ht="25.5">
      <c r="A3599" s="118">
        <v>5054200</v>
      </c>
      <c r="B3599" s="116" t="s">
        <v>564</v>
      </c>
    </row>
    <row r="3600" spans="1:2">
      <c r="A3600" s="118">
        <v>5054201</v>
      </c>
      <c r="B3600" s="116" t="s">
        <v>770</v>
      </c>
    </row>
    <row r="3601" spans="1:2" ht="25.5">
      <c r="A3601" s="118">
        <v>5054202</v>
      </c>
      <c r="B3601" s="116" t="s">
        <v>1634</v>
      </c>
    </row>
    <row r="3602" spans="1:2">
      <c r="A3602" s="118">
        <v>5054300</v>
      </c>
      <c r="B3602" s="116" t="s">
        <v>1596</v>
      </c>
    </row>
    <row r="3603" spans="1:2">
      <c r="A3603" s="118">
        <v>5054301</v>
      </c>
      <c r="B3603" s="116" t="s">
        <v>1094</v>
      </c>
    </row>
    <row r="3604" spans="1:2">
      <c r="A3604" s="118">
        <v>5054302</v>
      </c>
      <c r="B3604" s="116" t="s">
        <v>1524</v>
      </c>
    </row>
    <row r="3605" spans="1:2">
      <c r="A3605" s="118">
        <v>5054400</v>
      </c>
      <c r="B3605" s="116" t="s">
        <v>1525</v>
      </c>
    </row>
    <row r="3606" spans="1:2" ht="25.5">
      <c r="A3606" s="118">
        <v>5054401</v>
      </c>
      <c r="B3606" s="116" t="s">
        <v>937</v>
      </c>
    </row>
    <row r="3607" spans="1:2" ht="25.5">
      <c r="A3607" s="118">
        <v>5054500</v>
      </c>
      <c r="B3607" s="116" t="s">
        <v>230</v>
      </c>
    </row>
    <row r="3608" spans="1:2">
      <c r="A3608" s="118">
        <v>5054600</v>
      </c>
      <c r="B3608" s="116" t="s">
        <v>1140</v>
      </c>
    </row>
    <row r="3609" spans="1:2">
      <c r="A3609" s="118">
        <v>5054700</v>
      </c>
      <c r="B3609" s="116" t="s">
        <v>659</v>
      </c>
    </row>
    <row r="3610" spans="1:2">
      <c r="A3610" s="118">
        <v>5054800</v>
      </c>
      <c r="B3610" s="116" t="s">
        <v>1824</v>
      </c>
    </row>
    <row r="3611" spans="1:2">
      <c r="A3611" s="118">
        <v>5054900</v>
      </c>
      <c r="B3611" s="116" t="s">
        <v>152</v>
      </c>
    </row>
    <row r="3612" spans="1:2">
      <c r="A3612" s="118">
        <v>5054901</v>
      </c>
      <c r="B3612" s="116" t="s">
        <v>195</v>
      </c>
    </row>
    <row r="3613" spans="1:2" ht="25.5">
      <c r="A3613" s="118">
        <v>5055000</v>
      </c>
      <c r="B3613" s="116" t="s">
        <v>1004</v>
      </c>
    </row>
    <row r="3614" spans="1:2">
      <c r="A3614" s="118">
        <v>5055100</v>
      </c>
      <c r="B3614" s="116" t="s">
        <v>1005</v>
      </c>
    </row>
    <row r="3615" spans="1:2">
      <c r="A3615" s="118">
        <v>5055101</v>
      </c>
      <c r="B3615" s="116" t="s">
        <v>312</v>
      </c>
    </row>
    <row r="3616" spans="1:2" ht="25.5">
      <c r="A3616" s="118">
        <v>5055200</v>
      </c>
      <c r="B3616" s="116" t="s">
        <v>1006</v>
      </c>
    </row>
    <row r="3617" spans="1:2">
      <c r="A3617" s="118">
        <v>5055201</v>
      </c>
      <c r="B3617" s="116" t="s">
        <v>1007</v>
      </c>
    </row>
    <row r="3618" spans="1:2" ht="25.5">
      <c r="A3618" s="118">
        <v>5055300</v>
      </c>
      <c r="B3618" s="116" t="s">
        <v>1008</v>
      </c>
    </row>
    <row r="3619" spans="1:2" ht="25.5">
      <c r="A3619" s="118">
        <v>5055400</v>
      </c>
      <c r="B3619" s="116" t="s">
        <v>1009</v>
      </c>
    </row>
    <row r="3620" spans="1:2" ht="38.25">
      <c r="A3620" s="118">
        <v>5055402</v>
      </c>
      <c r="B3620" s="116" t="s">
        <v>1010</v>
      </c>
    </row>
    <row r="3621" spans="1:2">
      <c r="A3621" s="118">
        <v>5055500</v>
      </c>
      <c r="B3621" s="116" t="s">
        <v>111</v>
      </c>
    </row>
    <row r="3622" spans="1:2">
      <c r="A3622" s="118">
        <v>5055510</v>
      </c>
      <c r="B3622" s="116" t="s">
        <v>1011</v>
      </c>
    </row>
    <row r="3623" spans="1:2">
      <c r="A3623" s="118">
        <v>5055520</v>
      </c>
      <c r="B3623" s="116" t="s">
        <v>1012</v>
      </c>
    </row>
    <row r="3624" spans="1:2">
      <c r="A3624" s="118">
        <v>5055521</v>
      </c>
      <c r="B3624" s="116" t="s">
        <v>112</v>
      </c>
    </row>
    <row r="3625" spans="1:2">
      <c r="A3625" s="118">
        <v>5055522</v>
      </c>
      <c r="B3625" s="116" t="s">
        <v>1124</v>
      </c>
    </row>
    <row r="3626" spans="1:2" ht="25.5">
      <c r="A3626" s="118">
        <v>5055530</v>
      </c>
      <c r="B3626" s="116" t="s">
        <v>1013</v>
      </c>
    </row>
    <row r="3627" spans="1:2" ht="25.5">
      <c r="A3627" s="118">
        <v>5055531</v>
      </c>
      <c r="B3627" s="116" t="s">
        <v>1013</v>
      </c>
    </row>
    <row r="3628" spans="1:2">
      <c r="A3628" s="118">
        <v>5055900</v>
      </c>
      <c r="B3628" s="116" t="s">
        <v>1014</v>
      </c>
    </row>
    <row r="3629" spans="1:2">
      <c r="A3629" s="118">
        <v>5055901</v>
      </c>
      <c r="B3629" s="116" t="s">
        <v>1015</v>
      </c>
    </row>
    <row r="3630" spans="1:2">
      <c r="A3630" s="118">
        <v>5055902</v>
      </c>
      <c r="B3630" s="116" t="s">
        <v>1016</v>
      </c>
    </row>
    <row r="3631" spans="1:2">
      <c r="A3631" s="118">
        <v>5055903</v>
      </c>
      <c r="B3631" s="116" t="s">
        <v>1017</v>
      </c>
    </row>
    <row r="3632" spans="1:2">
      <c r="A3632" s="118">
        <v>5055904</v>
      </c>
      <c r="B3632" s="116" t="s">
        <v>1018</v>
      </c>
    </row>
    <row r="3633" spans="1:2">
      <c r="A3633" s="118">
        <v>5056400</v>
      </c>
      <c r="B3633" s="116" t="s">
        <v>1047</v>
      </c>
    </row>
    <row r="3634" spans="1:2">
      <c r="A3634" s="118">
        <v>5057600</v>
      </c>
      <c r="B3634" s="116" t="s">
        <v>1187</v>
      </c>
    </row>
    <row r="3635" spans="1:2">
      <c r="A3635" s="118">
        <v>5058000</v>
      </c>
      <c r="B3635" s="116" t="s">
        <v>1019</v>
      </c>
    </row>
    <row r="3636" spans="1:2">
      <c r="A3636" s="118">
        <v>5058001</v>
      </c>
      <c r="B3636" s="116" t="s">
        <v>1020</v>
      </c>
    </row>
    <row r="3637" spans="1:2" ht="38.25">
      <c r="A3637" s="118">
        <v>5058100</v>
      </c>
      <c r="B3637" s="117" t="s">
        <v>1654</v>
      </c>
    </row>
    <row r="3638" spans="1:2" ht="25.5">
      <c r="A3638" s="118">
        <v>5058101</v>
      </c>
      <c r="B3638" s="116" t="s">
        <v>1655</v>
      </c>
    </row>
    <row r="3639" spans="1:2">
      <c r="A3639" s="118">
        <v>5058500</v>
      </c>
      <c r="B3639" s="116" t="s">
        <v>1262</v>
      </c>
    </row>
    <row r="3640" spans="1:2">
      <c r="A3640" s="118">
        <v>5058600</v>
      </c>
      <c r="B3640" s="116" t="s">
        <v>1262</v>
      </c>
    </row>
    <row r="3641" spans="1:2">
      <c r="A3641" s="118">
        <v>5058610</v>
      </c>
      <c r="B3641" s="116" t="s">
        <v>1189</v>
      </c>
    </row>
    <row r="3642" spans="1:2">
      <c r="A3642" s="118">
        <v>5060000</v>
      </c>
      <c r="B3642" s="116" t="s">
        <v>1601</v>
      </c>
    </row>
    <row r="3643" spans="1:2">
      <c r="A3643" s="118">
        <v>5060100</v>
      </c>
      <c r="B3643" s="116" t="s">
        <v>1656</v>
      </c>
    </row>
    <row r="3644" spans="1:2">
      <c r="A3644" s="118">
        <v>5060200</v>
      </c>
      <c r="B3644" s="116" t="s">
        <v>1693</v>
      </c>
    </row>
    <row r="3645" spans="1:2" ht="25.5">
      <c r="A3645" s="118">
        <v>5060300</v>
      </c>
      <c r="B3645" s="116" t="s">
        <v>1657</v>
      </c>
    </row>
    <row r="3646" spans="1:2">
      <c r="A3646" s="118">
        <v>5070000</v>
      </c>
      <c r="B3646" s="116" t="s">
        <v>1658</v>
      </c>
    </row>
    <row r="3647" spans="1:2">
      <c r="A3647" s="118">
        <v>5070100</v>
      </c>
      <c r="B3647" s="116" t="s">
        <v>1659</v>
      </c>
    </row>
    <row r="3648" spans="1:2">
      <c r="A3648" s="118">
        <v>5079900</v>
      </c>
      <c r="B3648" s="116" t="s">
        <v>659</v>
      </c>
    </row>
    <row r="3649" spans="1:2">
      <c r="A3649" s="118">
        <v>5080000</v>
      </c>
      <c r="B3649" s="116" t="s">
        <v>909</v>
      </c>
    </row>
    <row r="3650" spans="1:2">
      <c r="A3650" s="118">
        <v>5089900</v>
      </c>
      <c r="B3650" s="116" t="s">
        <v>81</v>
      </c>
    </row>
    <row r="3651" spans="1:2">
      <c r="A3651" s="118">
        <v>5090000</v>
      </c>
      <c r="B3651" s="116" t="s">
        <v>1660</v>
      </c>
    </row>
    <row r="3652" spans="1:2" ht="25.5">
      <c r="A3652" s="118">
        <v>5090100</v>
      </c>
      <c r="B3652" s="116" t="s">
        <v>1661</v>
      </c>
    </row>
    <row r="3653" spans="1:2">
      <c r="A3653" s="118">
        <v>5090101</v>
      </c>
      <c r="B3653" s="116" t="s">
        <v>1662</v>
      </c>
    </row>
    <row r="3654" spans="1:2" ht="25.5">
      <c r="A3654" s="118">
        <v>5090200</v>
      </c>
      <c r="B3654" s="116" t="s">
        <v>1947</v>
      </c>
    </row>
    <row r="3655" spans="1:2">
      <c r="A3655" s="118">
        <v>5090201</v>
      </c>
      <c r="B3655" s="116" t="s">
        <v>1948</v>
      </c>
    </row>
    <row r="3656" spans="1:2" ht="25.5">
      <c r="A3656" s="118">
        <v>5090300</v>
      </c>
      <c r="B3656" s="116" t="s">
        <v>1418</v>
      </c>
    </row>
    <row r="3657" spans="1:2">
      <c r="A3657" s="118">
        <v>5090301</v>
      </c>
      <c r="B3657" s="116" t="s">
        <v>1419</v>
      </c>
    </row>
    <row r="3658" spans="1:2" ht="25.5">
      <c r="A3658" s="118">
        <v>5090400</v>
      </c>
      <c r="B3658" s="116" t="s">
        <v>1420</v>
      </c>
    </row>
    <row r="3659" spans="1:2" ht="25.5">
      <c r="A3659" s="118">
        <v>5090401</v>
      </c>
      <c r="B3659" s="116" t="s">
        <v>1421</v>
      </c>
    </row>
    <row r="3660" spans="1:2" ht="51">
      <c r="A3660" s="118">
        <v>5090500</v>
      </c>
      <c r="B3660" s="117" t="s">
        <v>1422</v>
      </c>
    </row>
    <row r="3661" spans="1:2" ht="38.25">
      <c r="A3661" s="118">
        <v>5090501</v>
      </c>
      <c r="B3661" s="117" t="s">
        <v>1423</v>
      </c>
    </row>
    <row r="3662" spans="1:2" ht="25.5">
      <c r="A3662" s="118">
        <v>5090600</v>
      </c>
      <c r="B3662" s="116" t="s">
        <v>1424</v>
      </c>
    </row>
    <row r="3663" spans="1:2">
      <c r="A3663" s="118">
        <v>5090601</v>
      </c>
      <c r="B3663" s="116" t="s">
        <v>844</v>
      </c>
    </row>
    <row r="3664" spans="1:2" ht="25.5">
      <c r="A3664" s="118">
        <v>5090700</v>
      </c>
      <c r="B3664" s="116" t="s">
        <v>845</v>
      </c>
    </row>
    <row r="3665" spans="1:2">
      <c r="A3665" s="118">
        <v>5090701</v>
      </c>
      <c r="B3665" s="116" t="s">
        <v>846</v>
      </c>
    </row>
    <row r="3666" spans="1:2" ht="25.5">
      <c r="A3666" s="118">
        <v>5090800</v>
      </c>
      <c r="B3666" s="116" t="s">
        <v>847</v>
      </c>
    </row>
    <row r="3667" spans="1:2">
      <c r="A3667" s="118">
        <v>5090801</v>
      </c>
      <c r="B3667" s="116" t="s">
        <v>848</v>
      </c>
    </row>
    <row r="3668" spans="1:2" ht="25.5">
      <c r="A3668" s="118">
        <v>5090900</v>
      </c>
      <c r="B3668" s="116" t="s">
        <v>1432</v>
      </c>
    </row>
    <row r="3669" spans="1:2">
      <c r="A3669" s="118">
        <v>5090901</v>
      </c>
      <c r="B3669" s="116" t="s">
        <v>1433</v>
      </c>
    </row>
    <row r="3670" spans="1:2" ht="25.5">
      <c r="A3670" s="118">
        <v>5091000</v>
      </c>
      <c r="B3670" s="116" t="s">
        <v>1434</v>
      </c>
    </row>
    <row r="3671" spans="1:2">
      <c r="A3671" s="118">
        <v>5091001</v>
      </c>
      <c r="B3671" s="116" t="s">
        <v>1435</v>
      </c>
    </row>
    <row r="3672" spans="1:2" ht="25.5">
      <c r="A3672" s="118">
        <v>5091100</v>
      </c>
      <c r="B3672" s="116" t="s">
        <v>1436</v>
      </c>
    </row>
    <row r="3673" spans="1:2">
      <c r="A3673" s="118">
        <v>5091101</v>
      </c>
      <c r="B3673" s="116" t="s">
        <v>1437</v>
      </c>
    </row>
    <row r="3674" spans="1:2" ht="25.5">
      <c r="A3674" s="118">
        <v>5091200</v>
      </c>
      <c r="B3674" s="116" t="s">
        <v>1438</v>
      </c>
    </row>
    <row r="3675" spans="1:2">
      <c r="A3675" s="118">
        <v>5091201</v>
      </c>
      <c r="B3675" s="116" t="s">
        <v>1439</v>
      </c>
    </row>
    <row r="3676" spans="1:2" ht="25.5">
      <c r="A3676" s="118">
        <v>5091300</v>
      </c>
      <c r="B3676" s="116" t="s">
        <v>1440</v>
      </c>
    </row>
    <row r="3677" spans="1:2">
      <c r="A3677" s="118">
        <v>5091301</v>
      </c>
      <c r="B3677" s="116" t="s">
        <v>1441</v>
      </c>
    </row>
    <row r="3678" spans="1:2">
      <c r="A3678" s="118">
        <v>5100000</v>
      </c>
      <c r="B3678" s="116" t="s">
        <v>880</v>
      </c>
    </row>
    <row r="3679" spans="1:2">
      <c r="A3679" s="118">
        <v>5100100</v>
      </c>
      <c r="B3679" s="116" t="s">
        <v>737</v>
      </c>
    </row>
    <row r="3680" spans="1:2" ht="25.5">
      <c r="A3680" s="118">
        <v>5100200</v>
      </c>
      <c r="B3680" s="116" t="s">
        <v>567</v>
      </c>
    </row>
    <row r="3681" spans="1:2" ht="25.5">
      <c r="A3681" s="118">
        <v>5100300</v>
      </c>
      <c r="B3681" s="116" t="s">
        <v>353</v>
      </c>
    </row>
    <row r="3682" spans="1:2">
      <c r="A3682" s="118">
        <v>5110000</v>
      </c>
      <c r="B3682" s="116" t="s">
        <v>316</v>
      </c>
    </row>
    <row r="3683" spans="1:2" ht="25.5">
      <c r="A3683" s="118">
        <v>5110200</v>
      </c>
      <c r="B3683" s="116" t="s">
        <v>641</v>
      </c>
    </row>
    <row r="3684" spans="1:2">
      <c r="A3684" s="118">
        <v>5120000</v>
      </c>
      <c r="B3684" s="116" t="s">
        <v>1512</v>
      </c>
    </row>
    <row r="3685" spans="1:2">
      <c r="A3685" s="118">
        <v>5129400</v>
      </c>
      <c r="B3685" s="116" t="s">
        <v>638</v>
      </c>
    </row>
    <row r="3686" spans="1:2">
      <c r="A3686" s="118">
        <v>5129700</v>
      </c>
      <c r="B3686" s="116" t="s">
        <v>1141</v>
      </c>
    </row>
    <row r="3687" spans="1:2">
      <c r="A3687" s="118">
        <v>5130000</v>
      </c>
      <c r="B3687" s="116" t="s">
        <v>1938</v>
      </c>
    </row>
    <row r="3688" spans="1:2">
      <c r="A3688" s="118">
        <v>5139700</v>
      </c>
      <c r="B3688" s="116" t="s">
        <v>1141</v>
      </c>
    </row>
    <row r="3689" spans="1:2">
      <c r="A3689" s="118">
        <v>5140000</v>
      </c>
      <c r="B3689" s="116" t="s">
        <v>1939</v>
      </c>
    </row>
    <row r="3690" spans="1:2">
      <c r="A3690" s="118">
        <v>5140100</v>
      </c>
      <c r="B3690" s="116" t="s">
        <v>1304</v>
      </c>
    </row>
    <row r="3691" spans="1:2">
      <c r="A3691" s="118">
        <v>5140101</v>
      </c>
      <c r="B3691" s="116" t="s">
        <v>1442</v>
      </c>
    </row>
    <row r="3692" spans="1:2">
      <c r="A3692" s="118">
        <v>5140102</v>
      </c>
      <c r="B3692" s="116" t="s">
        <v>1443</v>
      </c>
    </row>
    <row r="3693" spans="1:2">
      <c r="A3693" s="118">
        <v>5140103</v>
      </c>
      <c r="B3693" s="116" t="s">
        <v>1442</v>
      </c>
    </row>
    <row r="3694" spans="1:2">
      <c r="A3694" s="118">
        <v>5140110</v>
      </c>
      <c r="B3694" s="116" t="s">
        <v>1051</v>
      </c>
    </row>
    <row r="3695" spans="1:2">
      <c r="A3695" s="118">
        <v>5140200</v>
      </c>
      <c r="B3695" s="116" t="s">
        <v>199</v>
      </c>
    </row>
    <row r="3696" spans="1:2">
      <c r="A3696" s="118">
        <v>5140300</v>
      </c>
      <c r="B3696" s="116" t="s">
        <v>1417</v>
      </c>
    </row>
    <row r="3697" spans="1:2">
      <c r="A3697" s="118">
        <v>5140400</v>
      </c>
      <c r="B3697" s="116" t="s">
        <v>1696</v>
      </c>
    </row>
    <row r="3698" spans="1:2">
      <c r="A3698" s="118">
        <v>5140500</v>
      </c>
      <c r="B3698" s="116" t="s">
        <v>1697</v>
      </c>
    </row>
    <row r="3699" spans="1:2" ht="25.5">
      <c r="A3699" s="118">
        <v>5140600</v>
      </c>
      <c r="B3699" s="116" t="s">
        <v>1444</v>
      </c>
    </row>
    <row r="3700" spans="1:2">
      <c r="A3700" s="118">
        <v>5140700</v>
      </c>
      <c r="B3700" s="116" t="s">
        <v>1698</v>
      </c>
    </row>
    <row r="3701" spans="1:2">
      <c r="A3701" s="118">
        <v>5140800</v>
      </c>
      <c r="B3701" s="116" t="s">
        <v>1445</v>
      </c>
    </row>
    <row r="3702" spans="1:2">
      <c r="A3702" s="118">
        <v>5140900</v>
      </c>
      <c r="B3702" s="116" t="s">
        <v>1446</v>
      </c>
    </row>
    <row r="3703" spans="1:2" ht="38.25">
      <c r="A3703" s="118">
        <v>5141000</v>
      </c>
      <c r="B3703" s="117" t="s">
        <v>1908</v>
      </c>
    </row>
    <row r="3704" spans="1:2" ht="25.5">
      <c r="A3704" s="118">
        <v>5141500</v>
      </c>
      <c r="B3704" s="117" t="s">
        <v>2167</v>
      </c>
    </row>
    <row r="3705" spans="1:2" ht="38.25">
      <c r="A3705" s="118">
        <v>5142000</v>
      </c>
      <c r="B3705" s="116" t="s">
        <v>726</v>
      </c>
    </row>
    <row r="3706" spans="1:2">
      <c r="A3706" s="118">
        <v>5142100</v>
      </c>
      <c r="B3706" s="116" t="s">
        <v>1668</v>
      </c>
    </row>
    <row r="3707" spans="1:2">
      <c r="A3707" s="118">
        <v>5142200</v>
      </c>
      <c r="B3707" s="116" t="s">
        <v>1909</v>
      </c>
    </row>
    <row r="3708" spans="1:2" ht="25.5">
      <c r="A3708" s="118">
        <v>5142201</v>
      </c>
      <c r="B3708" s="116" t="s">
        <v>1910</v>
      </c>
    </row>
    <row r="3709" spans="1:2">
      <c r="A3709" s="118">
        <v>5142202</v>
      </c>
      <c r="B3709" s="116" t="s">
        <v>1911</v>
      </c>
    </row>
    <row r="3710" spans="1:2">
      <c r="A3710" s="118">
        <v>5142300</v>
      </c>
      <c r="B3710" s="116" t="s">
        <v>1912</v>
      </c>
    </row>
    <row r="3711" spans="1:2" ht="38.25">
      <c r="A3711" s="118">
        <v>5142301</v>
      </c>
      <c r="B3711" s="116" t="s">
        <v>1703</v>
      </c>
    </row>
    <row r="3712" spans="1:2" ht="38.25">
      <c r="A3712" s="118">
        <v>5142400</v>
      </c>
      <c r="B3712" s="116" t="s">
        <v>1704</v>
      </c>
    </row>
    <row r="3713" spans="1:2" ht="25.5">
      <c r="A3713" s="118">
        <v>5142401</v>
      </c>
      <c r="B3713" s="116" t="s">
        <v>1705</v>
      </c>
    </row>
    <row r="3714" spans="1:2">
      <c r="A3714" s="118">
        <v>5142500</v>
      </c>
      <c r="B3714" s="116" t="s">
        <v>1706</v>
      </c>
    </row>
    <row r="3715" spans="1:2">
      <c r="A3715" s="118">
        <v>5142501</v>
      </c>
      <c r="B3715" s="116" t="s">
        <v>1707</v>
      </c>
    </row>
    <row r="3716" spans="1:2">
      <c r="A3716" s="118">
        <v>5142600</v>
      </c>
      <c r="B3716" s="116" t="s">
        <v>1708</v>
      </c>
    </row>
    <row r="3717" spans="1:2" ht="25.5">
      <c r="A3717" s="118">
        <v>5142601</v>
      </c>
      <c r="B3717" s="116" t="s">
        <v>1709</v>
      </c>
    </row>
    <row r="3718" spans="1:2">
      <c r="A3718" s="118">
        <v>5142800</v>
      </c>
      <c r="B3718" s="116" t="s">
        <v>1710</v>
      </c>
    </row>
    <row r="3719" spans="1:2" ht="25.5">
      <c r="A3719" s="118">
        <v>5142801</v>
      </c>
      <c r="B3719" s="116" t="s">
        <v>1711</v>
      </c>
    </row>
    <row r="3720" spans="1:2">
      <c r="A3720" s="118">
        <v>5142900</v>
      </c>
      <c r="B3720" s="116" t="s">
        <v>1712</v>
      </c>
    </row>
    <row r="3721" spans="1:2" ht="25.5">
      <c r="A3721" s="118">
        <v>5142901</v>
      </c>
      <c r="B3721" s="116" t="s">
        <v>1713</v>
      </c>
    </row>
    <row r="3722" spans="1:2">
      <c r="A3722" s="118">
        <v>5143100</v>
      </c>
      <c r="B3722" s="116" t="s">
        <v>1714</v>
      </c>
    </row>
    <row r="3723" spans="1:2" ht="38.25">
      <c r="A3723" s="118">
        <v>5143101</v>
      </c>
      <c r="B3723" s="117" t="s">
        <v>1715</v>
      </c>
    </row>
    <row r="3724" spans="1:2">
      <c r="A3724" s="118">
        <v>5143300</v>
      </c>
      <c r="B3724" s="116" t="s">
        <v>1716</v>
      </c>
    </row>
    <row r="3725" spans="1:2" ht="25.5">
      <c r="A3725" s="118">
        <v>5143301</v>
      </c>
      <c r="B3725" s="116" t="s">
        <v>1717</v>
      </c>
    </row>
    <row r="3726" spans="1:2">
      <c r="A3726" s="118">
        <v>5143400</v>
      </c>
      <c r="B3726" s="116" t="s">
        <v>1718</v>
      </c>
    </row>
    <row r="3727" spans="1:2">
      <c r="A3727" s="118">
        <v>5143401</v>
      </c>
      <c r="B3727" s="116" t="s">
        <v>1719</v>
      </c>
    </row>
    <row r="3728" spans="1:2" ht="25.5">
      <c r="A3728" s="118">
        <v>5143500</v>
      </c>
      <c r="B3728" s="116" t="s">
        <v>1720</v>
      </c>
    </row>
    <row r="3729" spans="1:2">
      <c r="A3729" s="118">
        <v>5143501</v>
      </c>
      <c r="B3729" s="116" t="s">
        <v>1721</v>
      </c>
    </row>
    <row r="3730" spans="1:2" ht="38.25">
      <c r="A3730" s="118">
        <v>5143600</v>
      </c>
      <c r="B3730" s="117" t="s">
        <v>1722</v>
      </c>
    </row>
    <row r="3731" spans="1:2">
      <c r="A3731" s="118">
        <v>5143601</v>
      </c>
      <c r="B3731" s="116" t="s">
        <v>1723</v>
      </c>
    </row>
    <row r="3732" spans="1:2" ht="38.25">
      <c r="A3732" s="118">
        <v>5143700</v>
      </c>
      <c r="B3732" s="117" t="s">
        <v>1724</v>
      </c>
    </row>
    <row r="3733" spans="1:2" ht="38.25">
      <c r="A3733" s="118">
        <v>5143701</v>
      </c>
      <c r="B3733" s="116" t="s">
        <v>1991</v>
      </c>
    </row>
    <row r="3734" spans="1:2" ht="25.5">
      <c r="A3734" s="118">
        <v>5143800</v>
      </c>
      <c r="B3734" s="116" t="s">
        <v>1992</v>
      </c>
    </row>
    <row r="3735" spans="1:2" ht="25.5">
      <c r="A3735" s="118">
        <v>5143801</v>
      </c>
      <c r="B3735" s="116" t="s">
        <v>1993</v>
      </c>
    </row>
    <row r="3736" spans="1:2" ht="102">
      <c r="A3736" s="118">
        <v>5143900</v>
      </c>
      <c r="B3736" s="117" t="s">
        <v>1484</v>
      </c>
    </row>
    <row r="3737" spans="1:2" ht="51">
      <c r="A3737" s="118">
        <v>5143901</v>
      </c>
      <c r="B3737" s="117" t="s">
        <v>1275</v>
      </c>
    </row>
    <row r="3738" spans="1:2">
      <c r="A3738" s="118">
        <v>5144000</v>
      </c>
      <c r="B3738" s="116" t="s">
        <v>1276</v>
      </c>
    </row>
    <row r="3739" spans="1:2" ht="38.25">
      <c r="A3739" s="118">
        <v>5144001</v>
      </c>
      <c r="B3739" s="117" t="s">
        <v>1357</v>
      </c>
    </row>
    <row r="3740" spans="1:2" ht="38.25">
      <c r="A3740" s="118">
        <v>5144100</v>
      </c>
      <c r="B3740" s="116" t="s">
        <v>1358</v>
      </c>
    </row>
    <row r="3741" spans="1:2" ht="38.25">
      <c r="A3741" s="118">
        <v>5150000</v>
      </c>
      <c r="B3741" s="116" t="s">
        <v>660</v>
      </c>
    </row>
    <row r="3742" spans="1:2" ht="38.25">
      <c r="A3742" s="118">
        <v>5150100</v>
      </c>
      <c r="B3742" s="116" t="s">
        <v>660</v>
      </c>
    </row>
    <row r="3743" spans="1:2">
      <c r="A3743" s="118">
        <v>5160000</v>
      </c>
      <c r="B3743" s="116" t="s">
        <v>661</v>
      </c>
    </row>
    <row r="3744" spans="1:2">
      <c r="A3744" s="118">
        <v>5160100</v>
      </c>
      <c r="B3744" s="116" t="s">
        <v>661</v>
      </c>
    </row>
    <row r="3745" spans="1:2">
      <c r="A3745" s="118">
        <v>5160130</v>
      </c>
      <c r="B3745" s="116" t="s">
        <v>1242</v>
      </c>
    </row>
    <row r="3746" spans="1:2">
      <c r="A3746" s="118">
        <v>5170000</v>
      </c>
      <c r="B3746" s="116" t="s">
        <v>662</v>
      </c>
    </row>
    <row r="3747" spans="1:2">
      <c r="A3747" s="118">
        <v>5170100</v>
      </c>
      <c r="B3747" s="116" t="s">
        <v>210</v>
      </c>
    </row>
    <row r="3748" spans="1:2">
      <c r="A3748" s="118">
        <v>5170200</v>
      </c>
      <c r="B3748" s="116" t="s">
        <v>1533</v>
      </c>
    </row>
    <row r="3749" spans="1:2">
      <c r="A3749" s="118">
        <v>5170220</v>
      </c>
      <c r="B3749" s="116" t="s">
        <v>412</v>
      </c>
    </row>
    <row r="3750" spans="1:2">
      <c r="A3750" s="118">
        <v>5170400</v>
      </c>
      <c r="B3750" s="116" t="s">
        <v>1531</v>
      </c>
    </row>
    <row r="3751" spans="1:2">
      <c r="A3751" s="118">
        <v>5170500</v>
      </c>
      <c r="B3751" s="116" t="s">
        <v>1453</v>
      </c>
    </row>
    <row r="3752" spans="1:2" ht="25.5">
      <c r="A3752" s="118">
        <v>5170600</v>
      </c>
      <c r="B3752" s="116" t="s">
        <v>503</v>
      </c>
    </row>
    <row r="3753" spans="1:2">
      <c r="A3753" s="118">
        <v>5170700</v>
      </c>
      <c r="B3753" s="116" t="s">
        <v>1359</v>
      </c>
    </row>
    <row r="3754" spans="1:2" ht="25.5">
      <c r="A3754" s="118">
        <v>5171000</v>
      </c>
      <c r="B3754" s="116" t="s">
        <v>2126</v>
      </c>
    </row>
    <row r="3755" spans="1:2">
      <c r="A3755" s="118">
        <v>5180000</v>
      </c>
      <c r="B3755" s="116" t="s">
        <v>504</v>
      </c>
    </row>
    <row r="3756" spans="1:2">
      <c r="A3756" s="118">
        <v>5180100</v>
      </c>
      <c r="B3756" s="116" t="s">
        <v>1251</v>
      </c>
    </row>
    <row r="3757" spans="1:2">
      <c r="A3757" s="118">
        <v>5180101</v>
      </c>
      <c r="B3757" s="116" t="s">
        <v>1360</v>
      </c>
    </row>
    <row r="3758" spans="1:2">
      <c r="A3758" s="118">
        <v>5180200</v>
      </c>
      <c r="B3758" s="116" t="s">
        <v>373</v>
      </c>
    </row>
    <row r="3759" spans="1:2">
      <c r="A3759" s="118">
        <v>5190000</v>
      </c>
      <c r="B3759" s="116" t="s">
        <v>1361</v>
      </c>
    </row>
    <row r="3760" spans="1:2" ht="25.5">
      <c r="A3760" s="118">
        <v>5190100</v>
      </c>
      <c r="B3760" s="116" t="s">
        <v>1362</v>
      </c>
    </row>
    <row r="3761" spans="1:2">
      <c r="A3761" s="118">
        <v>5200000</v>
      </c>
      <c r="B3761" s="116" t="s">
        <v>983</v>
      </c>
    </row>
    <row r="3762" spans="1:2">
      <c r="A3762" s="118">
        <v>5200100</v>
      </c>
      <c r="B3762" s="116" t="s">
        <v>776</v>
      </c>
    </row>
    <row r="3763" spans="1:2">
      <c r="A3763" s="118">
        <v>5200200</v>
      </c>
      <c r="B3763" s="116" t="s">
        <v>872</v>
      </c>
    </row>
    <row r="3764" spans="1:2" ht="25.5">
      <c r="A3764" s="118">
        <v>5200300</v>
      </c>
      <c r="B3764" s="116" t="s">
        <v>512</v>
      </c>
    </row>
    <row r="3765" spans="1:2" ht="25.5">
      <c r="A3765" s="118">
        <v>5200302</v>
      </c>
      <c r="B3765" s="116" t="s">
        <v>1363</v>
      </c>
    </row>
    <row r="3766" spans="1:2">
      <c r="A3766" s="118">
        <v>5200400</v>
      </c>
      <c r="B3766" s="116" t="s">
        <v>344</v>
      </c>
    </row>
    <row r="3767" spans="1:2" ht="25.5">
      <c r="A3767" s="118">
        <v>5200402</v>
      </c>
      <c r="B3767" s="116" t="s">
        <v>1364</v>
      </c>
    </row>
    <row r="3768" spans="1:2">
      <c r="A3768" s="118">
        <v>5200500</v>
      </c>
      <c r="B3768" s="116" t="s">
        <v>232</v>
      </c>
    </row>
    <row r="3769" spans="1:2">
      <c r="A3769" s="118">
        <v>5200600</v>
      </c>
      <c r="B3769" s="116" t="s">
        <v>1237</v>
      </c>
    </row>
    <row r="3770" spans="1:2" ht="25.5">
      <c r="A3770" s="118">
        <v>5200700</v>
      </c>
      <c r="B3770" s="116" t="s">
        <v>534</v>
      </c>
    </row>
    <row r="3771" spans="1:2">
      <c r="A3771" s="118">
        <v>5200800</v>
      </c>
      <c r="B3771" s="116" t="s">
        <v>364</v>
      </c>
    </row>
    <row r="3772" spans="1:2">
      <c r="A3772" s="118">
        <v>5200900</v>
      </c>
      <c r="B3772" s="116" t="s">
        <v>365</v>
      </c>
    </row>
    <row r="3773" spans="1:2">
      <c r="A3773" s="118">
        <v>5200901</v>
      </c>
      <c r="B3773" s="116" t="s">
        <v>365</v>
      </c>
    </row>
    <row r="3774" spans="1:2" ht="25.5">
      <c r="A3774" s="118">
        <v>5201000</v>
      </c>
      <c r="B3774" s="116" t="s">
        <v>787</v>
      </c>
    </row>
    <row r="3775" spans="1:2">
      <c r="A3775" s="118">
        <v>5201001</v>
      </c>
      <c r="B3775" s="116" t="s">
        <v>2127</v>
      </c>
    </row>
    <row r="3776" spans="1:2">
      <c r="A3776" s="118">
        <v>5201100</v>
      </c>
      <c r="B3776" s="116" t="s">
        <v>1299</v>
      </c>
    </row>
    <row r="3777" spans="1:2">
      <c r="A3777" s="118">
        <v>5201200</v>
      </c>
      <c r="B3777" s="116" t="s">
        <v>788</v>
      </c>
    </row>
    <row r="3778" spans="1:2">
      <c r="A3778" s="118">
        <v>5201300</v>
      </c>
      <c r="B3778" s="116" t="s">
        <v>1241</v>
      </c>
    </row>
    <row r="3779" spans="1:2">
      <c r="A3779" s="118">
        <v>5201301</v>
      </c>
      <c r="B3779" s="116" t="s">
        <v>1241</v>
      </c>
    </row>
    <row r="3780" spans="1:2">
      <c r="A3780" s="118">
        <v>5201311</v>
      </c>
      <c r="B3780" s="116" t="s">
        <v>211</v>
      </c>
    </row>
    <row r="3781" spans="1:2">
      <c r="A3781" s="118">
        <v>5201312</v>
      </c>
      <c r="B3781" s="116" t="s">
        <v>213</v>
      </c>
    </row>
    <row r="3782" spans="1:2">
      <c r="A3782" s="118">
        <v>5201313</v>
      </c>
      <c r="B3782" s="116" t="s">
        <v>450</v>
      </c>
    </row>
    <row r="3783" spans="1:2">
      <c r="A3783" s="118">
        <v>5201320</v>
      </c>
      <c r="B3783" s="116" t="s">
        <v>450</v>
      </c>
    </row>
    <row r="3784" spans="1:2">
      <c r="A3784" s="118">
        <v>5201400</v>
      </c>
      <c r="B3784" s="116" t="s">
        <v>968</v>
      </c>
    </row>
    <row r="3785" spans="1:2" ht="25.5">
      <c r="A3785" s="118">
        <v>5201500</v>
      </c>
      <c r="B3785" s="116" t="s">
        <v>1365</v>
      </c>
    </row>
    <row r="3786" spans="1:2" ht="25.5">
      <c r="A3786" s="118">
        <v>5201600</v>
      </c>
      <c r="B3786" s="116" t="s">
        <v>1690</v>
      </c>
    </row>
    <row r="3787" spans="1:2" ht="25.5">
      <c r="A3787" s="118">
        <v>5201800</v>
      </c>
      <c r="B3787" s="116" t="s">
        <v>156</v>
      </c>
    </row>
    <row r="3788" spans="1:2">
      <c r="A3788" s="118">
        <v>5202000</v>
      </c>
      <c r="B3788" s="116" t="s">
        <v>1366</v>
      </c>
    </row>
    <row r="3789" spans="1:2" ht="51">
      <c r="A3789" s="118">
        <v>5202100</v>
      </c>
      <c r="B3789" s="117" t="s">
        <v>519</v>
      </c>
    </row>
    <row r="3790" spans="1:2">
      <c r="A3790" s="118">
        <v>5202300</v>
      </c>
      <c r="B3790" s="116" t="s">
        <v>1367</v>
      </c>
    </row>
    <row r="3791" spans="1:2">
      <c r="A3791" s="118">
        <v>5202400</v>
      </c>
      <c r="B3791" s="116" t="s">
        <v>1368</v>
      </c>
    </row>
    <row r="3792" spans="1:2" ht="25.5">
      <c r="A3792" s="118">
        <v>5202500</v>
      </c>
      <c r="B3792" s="116" t="s">
        <v>1369</v>
      </c>
    </row>
    <row r="3793" spans="1:2">
      <c r="A3793" s="118">
        <v>5202600</v>
      </c>
      <c r="B3793" s="116" t="s">
        <v>1370</v>
      </c>
    </row>
    <row r="3794" spans="1:2" ht="38.25">
      <c r="A3794" s="118">
        <v>5202700</v>
      </c>
      <c r="B3794" s="117" t="s">
        <v>1371</v>
      </c>
    </row>
    <row r="3795" spans="1:2">
      <c r="A3795" s="118">
        <v>5202800</v>
      </c>
      <c r="B3795" s="116" t="s">
        <v>1372</v>
      </c>
    </row>
    <row r="3796" spans="1:2">
      <c r="A3796" s="118">
        <v>5203010</v>
      </c>
      <c r="B3796" s="116" t="s">
        <v>1373</v>
      </c>
    </row>
    <row r="3797" spans="1:2">
      <c r="A3797" s="118">
        <v>5203012</v>
      </c>
      <c r="B3797" s="116" t="s">
        <v>113</v>
      </c>
    </row>
    <row r="3798" spans="1:2">
      <c r="A3798" s="118">
        <v>5210000</v>
      </c>
      <c r="B3798" s="117" t="s">
        <v>2106</v>
      </c>
    </row>
    <row r="3799" spans="1:2" ht="25.5">
      <c r="A3799" s="118">
        <v>5210100</v>
      </c>
      <c r="B3799" s="117" t="s">
        <v>2169</v>
      </c>
    </row>
    <row r="3800" spans="1:2">
      <c r="A3800" s="118">
        <v>5210110</v>
      </c>
      <c r="B3800" s="116" t="s">
        <v>1374</v>
      </c>
    </row>
    <row r="3801" spans="1:2">
      <c r="A3801" s="118">
        <v>5210112</v>
      </c>
      <c r="B3801" s="116" t="s">
        <v>90</v>
      </c>
    </row>
    <row r="3802" spans="1:2" ht="25.5">
      <c r="A3802" s="118">
        <v>5210113</v>
      </c>
      <c r="B3802" s="116" t="s">
        <v>1864</v>
      </c>
    </row>
    <row r="3803" spans="1:2">
      <c r="A3803" s="118">
        <v>5210114</v>
      </c>
      <c r="B3803" s="116" t="s">
        <v>1865</v>
      </c>
    </row>
    <row r="3804" spans="1:2" ht="25.5">
      <c r="A3804" s="118">
        <v>5210125</v>
      </c>
      <c r="B3804" s="116" t="s">
        <v>2064</v>
      </c>
    </row>
    <row r="3805" spans="1:2">
      <c r="A3805" s="118">
        <v>5210129</v>
      </c>
      <c r="B3805" s="116" t="s">
        <v>2128</v>
      </c>
    </row>
    <row r="3806" spans="1:2">
      <c r="A3806" s="118">
        <v>5210300</v>
      </c>
      <c r="B3806" s="116" t="s">
        <v>1866</v>
      </c>
    </row>
    <row r="3807" spans="1:2">
      <c r="A3807" s="118">
        <v>5210301</v>
      </c>
      <c r="B3807" s="116" t="s">
        <v>717</v>
      </c>
    </row>
    <row r="3808" spans="1:2" ht="25.5">
      <c r="A3808" s="118">
        <v>5210302</v>
      </c>
      <c r="B3808" s="116" t="s">
        <v>972</v>
      </c>
    </row>
    <row r="3809" spans="1:2" ht="25.5">
      <c r="A3809" s="118">
        <v>5210303</v>
      </c>
      <c r="B3809" s="116" t="s">
        <v>973</v>
      </c>
    </row>
    <row r="3810" spans="1:2">
      <c r="A3810" s="118">
        <v>5220000</v>
      </c>
      <c r="B3810" s="116" t="s">
        <v>500</v>
      </c>
    </row>
    <row r="3811" spans="1:2">
      <c r="A3811" s="118">
        <v>5220100</v>
      </c>
      <c r="B3811" s="116" t="s">
        <v>1867</v>
      </c>
    </row>
    <row r="3812" spans="1:2">
      <c r="A3812" s="118">
        <v>5220200</v>
      </c>
      <c r="B3812" s="116" t="s">
        <v>1630</v>
      </c>
    </row>
    <row r="3813" spans="1:2" ht="25.5">
      <c r="A3813" s="118">
        <v>5220202</v>
      </c>
      <c r="B3813" s="116" t="s">
        <v>1108</v>
      </c>
    </row>
    <row r="3814" spans="1:2">
      <c r="A3814" s="118">
        <v>5220400</v>
      </c>
      <c r="B3814" s="116" t="s">
        <v>1772</v>
      </c>
    </row>
    <row r="3815" spans="1:2" ht="25.5">
      <c r="A3815" s="118">
        <v>5220700</v>
      </c>
      <c r="B3815" s="116" t="s">
        <v>1773</v>
      </c>
    </row>
    <row r="3816" spans="1:2">
      <c r="A3816" s="118">
        <v>5220900</v>
      </c>
      <c r="B3816" s="116" t="s">
        <v>1961</v>
      </c>
    </row>
    <row r="3817" spans="1:2">
      <c r="A3817" s="118">
        <v>5221200</v>
      </c>
      <c r="B3817" s="116" t="s">
        <v>1774</v>
      </c>
    </row>
    <row r="3818" spans="1:2">
      <c r="A3818" s="118">
        <v>5221201</v>
      </c>
      <c r="B3818" s="116" t="s">
        <v>1775</v>
      </c>
    </row>
    <row r="3819" spans="1:2" ht="25.5">
      <c r="A3819" s="118">
        <v>5221202</v>
      </c>
      <c r="B3819" s="116" t="s">
        <v>2129</v>
      </c>
    </row>
    <row r="3820" spans="1:2">
      <c r="A3820" s="118">
        <v>5221300</v>
      </c>
      <c r="B3820" s="116" t="s">
        <v>1776</v>
      </c>
    </row>
    <row r="3821" spans="1:2">
      <c r="A3821" s="118">
        <v>5221301</v>
      </c>
      <c r="B3821" s="116" t="s">
        <v>1961</v>
      </c>
    </row>
    <row r="3822" spans="1:2">
      <c r="A3822" s="118">
        <v>5221302</v>
      </c>
      <c r="B3822" s="116" t="s">
        <v>1442</v>
      </c>
    </row>
    <row r="3823" spans="1:2">
      <c r="A3823" s="118">
        <v>5221303</v>
      </c>
      <c r="B3823" s="116" t="s">
        <v>1442</v>
      </c>
    </row>
    <row r="3824" spans="1:2">
      <c r="A3824" s="118">
        <v>5221304</v>
      </c>
      <c r="B3824" s="116" t="s">
        <v>1442</v>
      </c>
    </row>
    <row r="3825" spans="1:2">
      <c r="A3825" s="118">
        <v>5221305</v>
      </c>
      <c r="B3825" s="116" t="s">
        <v>1442</v>
      </c>
    </row>
    <row r="3826" spans="1:2">
      <c r="A3826" s="118">
        <v>5221306</v>
      </c>
      <c r="B3826" s="116" t="s">
        <v>1777</v>
      </c>
    </row>
    <row r="3827" spans="1:2">
      <c r="A3827" s="118">
        <v>5221307</v>
      </c>
      <c r="B3827" s="116" t="s">
        <v>1442</v>
      </c>
    </row>
    <row r="3828" spans="1:2">
      <c r="A3828" s="118">
        <v>5221308</v>
      </c>
      <c r="B3828" s="116" t="s">
        <v>1778</v>
      </c>
    </row>
    <row r="3829" spans="1:2" ht="25.5">
      <c r="A3829" s="118">
        <v>5221309</v>
      </c>
      <c r="B3829" s="116" t="s">
        <v>1779</v>
      </c>
    </row>
    <row r="3830" spans="1:2">
      <c r="A3830" s="118">
        <v>5221310</v>
      </c>
      <c r="B3830" s="116" t="s">
        <v>1780</v>
      </c>
    </row>
    <row r="3831" spans="1:2">
      <c r="A3831" s="118">
        <v>5221312</v>
      </c>
      <c r="B3831" s="116" t="s">
        <v>1962</v>
      </c>
    </row>
    <row r="3832" spans="1:2">
      <c r="A3832" s="118">
        <v>5221313</v>
      </c>
      <c r="B3832" s="116" t="s">
        <v>2193</v>
      </c>
    </row>
    <row r="3833" spans="1:2" ht="25.5">
      <c r="A3833" s="118">
        <v>5221314</v>
      </c>
      <c r="B3833" s="116" t="s">
        <v>2130</v>
      </c>
    </row>
    <row r="3834" spans="1:2">
      <c r="A3834" s="118">
        <v>5221315</v>
      </c>
      <c r="B3834" s="116" t="s">
        <v>2131</v>
      </c>
    </row>
    <row r="3835" spans="1:2">
      <c r="A3835" s="118">
        <v>5221400</v>
      </c>
      <c r="B3835" s="116" t="s">
        <v>2132</v>
      </c>
    </row>
    <row r="3836" spans="1:2">
      <c r="A3836" s="118">
        <v>5221401</v>
      </c>
      <c r="B3836" s="116" t="s">
        <v>1781</v>
      </c>
    </row>
    <row r="3837" spans="1:2">
      <c r="A3837" s="118">
        <v>5221900</v>
      </c>
      <c r="B3837" s="116" t="s">
        <v>1782</v>
      </c>
    </row>
    <row r="3838" spans="1:2" ht="25.5">
      <c r="A3838" s="118">
        <v>5222100</v>
      </c>
      <c r="B3838" s="116" t="s">
        <v>2174</v>
      </c>
    </row>
    <row r="3839" spans="1:2" ht="25.5">
      <c r="A3839" s="118">
        <v>5222101</v>
      </c>
      <c r="B3839" s="116" t="s">
        <v>2175</v>
      </c>
    </row>
    <row r="3840" spans="1:2" ht="25.5">
      <c r="A3840" s="118">
        <v>5222900</v>
      </c>
      <c r="B3840" s="116" t="s">
        <v>719</v>
      </c>
    </row>
    <row r="3841" spans="1:2" ht="25.5">
      <c r="A3841" s="118">
        <v>5222902</v>
      </c>
      <c r="B3841" s="116" t="s">
        <v>719</v>
      </c>
    </row>
    <row r="3842" spans="1:2">
      <c r="A3842" s="118">
        <v>5223100</v>
      </c>
      <c r="B3842" s="116" t="s">
        <v>1783</v>
      </c>
    </row>
    <row r="3843" spans="1:2">
      <c r="A3843" s="118">
        <v>5223101</v>
      </c>
      <c r="B3843" s="116" t="s">
        <v>1784</v>
      </c>
    </row>
    <row r="3844" spans="1:2" ht="25.5">
      <c r="A3844" s="118">
        <v>5223102</v>
      </c>
      <c r="B3844" s="116" t="s">
        <v>1785</v>
      </c>
    </row>
    <row r="3845" spans="1:2" ht="25.5">
      <c r="A3845" s="118">
        <v>5223103</v>
      </c>
      <c r="B3845" s="116" t="s">
        <v>1786</v>
      </c>
    </row>
    <row r="3846" spans="1:2">
      <c r="A3846" s="118">
        <v>5223200</v>
      </c>
      <c r="B3846" s="116" t="s">
        <v>1787</v>
      </c>
    </row>
    <row r="3847" spans="1:2">
      <c r="A3847" s="118">
        <v>5223300</v>
      </c>
      <c r="B3847" s="116" t="s">
        <v>789</v>
      </c>
    </row>
    <row r="3848" spans="1:2" ht="38.25">
      <c r="A3848" s="118">
        <v>5223302</v>
      </c>
      <c r="B3848" s="116" t="s">
        <v>1788</v>
      </c>
    </row>
    <row r="3849" spans="1:2" ht="25.5">
      <c r="A3849" s="118">
        <v>5223400</v>
      </c>
      <c r="B3849" s="116" t="s">
        <v>1789</v>
      </c>
    </row>
    <row r="3850" spans="1:2">
      <c r="A3850" s="118">
        <v>5223500</v>
      </c>
      <c r="B3850" s="116" t="s">
        <v>1790</v>
      </c>
    </row>
    <row r="3851" spans="1:2">
      <c r="A3851" s="118">
        <v>5223502</v>
      </c>
      <c r="B3851" s="116" t="s">
        <v>1790</v>
      </c>
    </row>
    <row r="3852" spans="1:2" ht="25.5">
      <c r="A3852" s="118">
        <v>5223800</v>
      </c>
      <c r="B3852" s="116" t="s">
        <v>539</v>
      </c>
    </row>
    <row r="3853" spans="1:2" ht="25.5">
      <c r="A3853" s="118">
        <v>5223803</v>
      </c>
      <c r="B3853" s="116" t="s">
        <v>1963</v>
      </c>
    </row>
    <row r="3854" spans="1:2">
      <c r="A3854" s="118">
        <v>5224000</v>
      </c>
      <c r="B3854" s="116" t="s">
        <v>1818</v>
      </c>
    </row>
    <row r="3855" spans="1:2">
      <c r="A3855" s="118">
        <v>5224002</v>
      </c>
      <c r="B3855" s="116" t="s">
        <v>1791</v>
      </c>
    </row>
    <row r="3856" spans="1:2">
      <c r="A3856" s="118">
        <v>5224005</v>
      </c>
      <c r="B3856" s="116" t="s">
        <v>1792</v>
      </c>
    </row>
    <row r="3857" spans="1:2">
      <c r="A3857" s="118">
        <v>5224400</v>
      </c>
      <c r="B3857" s="116" t="s">
        <v>371</v>
      </c>
    </row>
    <row r="3858" spans="1:2" ht="25.5">
      <c r="A3858" s="118">
        <v>5224600</v>
      </c>
      <c r="B3858" s="116" t="s">
        <v>2133</v>
      </c>
    </row>
    <row r="3859" spans="1:2" ht="25.5">
      <c r="A3859" s="118">
        <v>5224602</v>
      </c>
      <c r="B3859" s="116" t="s">
        <v>2168</v>
      </c>
    </row>
    <row r="3860" spans="1:2" ht="38.25">
      <c r="A3860" s="118">
        <v>5224603</v>
      </c>
      <c r="B3860" s="117" t="s">
        <v>2134</v>
      </c>
    </row>
    <row r="3861" spans="1:2" ht="25.5">
      <c r="A3861" s="118">
        <v>5225100</v>
      </c>
      <c r="B3861" s="116" t="s">
        <v>1053</v>
      </c>
    </row>
    <row r="3862" spans="1:2">
      <c r="A3862" s="118">
        <v>5225101</v>
      </c>
      <c r="B3862" s="116" t="s">
        <v>2037</v>
      </c>
    </row>
    <row r="3863" spans="1:2">
      <c r="A3863" s="118">
        <v>5225300</v>
      </c>
      <c r="B3863" s="116" t="s">
        <v>1113</v>
      </c>
    </row>
    <row r="3864" spans="1:2" ht="25.5">
      <c r="A3864" s="118">
        <v>5225301</v>
      </c>
      <c r="B3864" s="116" t="s">
        <v>150</v>
      </c>
    </row>
    <row r="3865" spans="1:2">
      <c r="A3865" s="118">
        <v>5225302</v>
      </c>
      <c r="B3865" s="116" t="s">
        <v>151</v>
      </c>
    </row>
    <row r="3866" spans="1:2">
      <c r="A3866" s="118">
        <v>5225600</v>
      </c>
      <c r="B3866" s="116" t="s">
        <v>2038</v>
      </c>
    </row>
    <row r="3867" spans="1:2">
      <c r="A3867" s="118">
        <v>5225700</v>
      </c>
      <c r="B3867" s="116" t="s">
        <v>341</v>
      </c>
    </row>
    <row r="3868" spans="1:2" ht="25.5">
      <c r="A3868" s="118">
        <v>5225705</v>
      </c>
      <c r="B3868" s="116" t="s">
        <v>342</v>
      </c>
    </row>
    <row r="3869" spans="1:2" ht="25.5">
      <c r="A3869" s="118">
        <v>5225800</v>
      </c>
      <c r="B3869" s="116" t="s">
        <v>2135</v>
      </c>
    </row>
    <row r="3870" spans="1:2" ht="25.5">
      <c r="A3870" s="118">
        <v>5225803</v>
      </c>
      <c r="B3870" s="116" t="s">
        <v>2039</v>
      </c>
    </row>
    <row r="3871" spans="1:2" ht="38.25">
      <c r="A3871" s="118">
        <v>5225900</v>
      </c>
      <c r="B3871" s="116" t="s">
        <v>2040</v>
      </c>
    </row>
    <row r="3872" spans="1:2" ht="25.5">
      <c r="A3872" s="118">
        <v>5225901</v>
      </c>
      <c r="B3872" s="116" t="s">
        <v>1545</v>
      </c>
    </row>
    <row r="3873" spans="1:2">
      <c r="A3873" s="118">
        <v>5226000</v>
      </c>
      <c r="B3873" s="154" t="s">
        <v>2136</v>
      </c>
    </row>
    <row r="3874" spans="1:2" ht="25.5">
      <c r="A3874" s="118">
        <v>5226003</v>
      </c>
      <c r="B3874" s="116" t="s">
        <v>1243</v>
      </c>
    </row>
    <row r="3875" spans="1:2" ht="25.5">
      <c r="A3875" s="118">
        <v>5226004</v>
      </c>
      <c r="B3875" s="116" t="s">
        <v>1546</v>
      </c>
    </row>
    <row r="3876" spans="1:2" ht="25.5">
      <c r="A3876" s="118">
        <v>5226006</v>
      </c>
      <c r="B3876" s="178" t="s">
        <v>193</v>
      </c>
    </row>
    <row r="3877" spans="1:2">
      <c r="A3877" s="118">
        <v>5226100</v>
      </c>
      <c r="B3877" s="116" t="s">
        <v>1547</v>
      </c>
    </row>
    <row r="3878" spans="1:2">
      <c r="A3878" s="118">
        <v>5226102</v>
      </c>
      <c r="B3878" s="116" t="s">
        <v>1548</v>
      </c>
    </row>
    <row r="3879" spans="1:2">
      <c r="A3879" s="118">
        <v>5226400</v>
      </c>
      <c r="B3879" s="116" t="s">
        <v>2137</v>
      </c>
    </row>
    <row r="3880" spans="1:2" ht="25.5">
      <c r="A3880" s="118">
        <v>5226401</v>
      </c>
      <c r="B3880" s="116" t="s">
        <v>1549</v>
      </c>
    </row>
    <row r="3881" spans="1:2" ht="25.5">
      <c r="A3881" s="118">
        <v>5226404</v>
      </c>
      <c r="B3881" s="116" t="s">
        <v>2138</v>
      </c>
    </row>
    <row r="3882" spans="1:2">
      <c r="A3882" s="118">
        <v>5226900</v>
      </c>
      <c r="B3882" s="116" t="s">
        <v>1603</v>
      </c>
    </row>
    <row r="3883" spans="1:2" ht="25.5">
      <c r="A3883" s="118">
        <v>5226902</v>
      </c>
      <c r="B3883" s="116" t="s">
        <v>1550</v>
      </c>
    </row>
    <row r="3884" spans="1:2">
      <c r="A3884" s="118">
        <v>5226904</v>
      </c>
      <c r="B3884" s="116" t="s">
        <v>1604</v>
      </c>
    </row>
    <row r="3885" spans="1:2" ht="25.5">
      <c r="A3885" s="118">
        <v>5226905</v>
      </c>
      <c r="B3885" s="116" t="s">
        <v>437</v>
      </c>
    </row>
    <row r="3886" spans="1:2">
      <c r="A3886" s="118">
        <v>5227200</v>
      </c>
      <c r="B3886" s="116" t="s">
        <v>2165</v>
      </c>
    </row>
    <row r="3887" spans="1:2">
      <c r="A3887" s="118">
        <v>5227201</v>
      </c>
      <c r="B3887" s="116" t="s">
        <v>2166</v>
      </c>
    </row>
    <row r="3888" spans="1:2" ht="25.5">
      <c r="A3888" s="118">
        <v>5227209</v>
      </c>
      <c r="B3888" s="116" t="s">
        <v>2199</v>
      </c>
    </row>
    <row r="3889" spans="1:2">
      <c r="A3889" s="118">
        <v>5227210</v>
      </c>
      <c r="B3889" s="116" t="s">
        <v>2197</v>
      </c>
    </row>
    <row r="3890" spans="1:2">
      <c r="A3890" s="118">
        <v>5228000</v>
      </c>
      <c r="B3890" s="116" t="s">
        <v>2141</v>
      </c>
    </row>
    <row r="3891" spans="1:2" ht="25.5">
      <c r="A3891" s="118">
        <v>5228001</v>
      </c>
      <c r="B3891" s="116" t="s">
        <v>2142</v>
      </c>
    </row>
    <row r="3892" spans="1:2">
      <c r="A3892" s="118">
        <v>5230000</v>
      </c>
      <c r="B3892" s="116" t="s">
        <v>681</v>
      </c>
    </row>
    <row r="3893" spans="1:2">
      <c r="A3893" s="118">
        <v>5230100</v>
      </c>
      <c r="B3893" s="116" t="s">
        <v>1676</v>
      </c>
    </row>
    <row r="3894" spans="1:2" ht="25.5">
      <c r="A3894" s="118">
        <v>5260000</v>
      </c>
      <c r="B3894" s="116" t="s">
        <v>1551</v>
      </c>
    </row>
    <row r="3895" spans="1:2" ht="25.5">
      <c r="A3895" s="118">
        <v>5260100</v>
      </c>
      <c r="B3895" s="116" t="s">
        <v>1677</v>
      </c>
    </row>
    <row r="3896" spans="1:2" ht="25.5">
      <c r="A3896" s="118">
        <v>5260200</v>
      </c>
      <c r="B3896" s="116" t="s">
        <v>1552</v>
      </c>
    </row>
    <row r="3897" spans="1:2">
      <c r="A3897" s="118">
        <v>5268200</v>
      </c>
      <c r="B3897" s="116" t="s">
        <v>1121</v>
      </c>
    </row>
    <row r="3898" spans="1:2" ht="25.5">
      <c r="A3898" s="118">
        <v>5270000</v>
      </c>
      <c r="B3898" s="116" t="s">
        <v>1553</v>
      </c>
    </row>
    <row r="3899" spans="1:2" ht="51">
      <c r="A3899" s="118">
        <v>5300000</v>
      </c>
      <c r="B3899" s="117" t="s">
        <v>1397</v>
      </c>
    </row>
    <row r="3900" spans="1:2">
      <c r="A3900" s="118">
        <v>5300100</v>
      </c>
      <c r="B3900" s="116" t="s">
        <v>1398</v>
      </c>
    </row>
    <row r="3901" spans="1:2" ht="25.5">
      <c r="A3901" s="118">
        <v>5500000</v>
      </c>
      <c r="B3901" s="116" t="s">
        <v>1554</v>
      </c>
    </row>
    <row r="3902" spans="1:2">
      <c r="A3902" s="118">
        <v>5500200</v>
      </c>
      <c r="B3902" s="116" t="s">
        <v>233</v>
      </c>
    </row>
    <row r="3903" spans="1:2">
      <c r="A3903" s="118">
        <v>5500300</v>
      </c>
      <c r="B3903" s="116" t="s">
        <v>1555</v>
      </c>
    </row>
    <row r="3904" spans="1:2">
      <c r="A3904" s="118">
        <v>5500301</v>
      </c>
      <c r="B3904" s="116" t="s">
        <v>1003</v>
      </c>
    </row>
    <row r="3905" spans="1:2">
      <c r="A3905" s="118">
        <v>5500302</v>
      </c>
      <c r="B3905" s="116" t="s">
        <v>993</v>
      </c>
    </row>
    <row r="3906" spans="1:2" ht="25.5">
      <c r="A3906" s="118">
        <v>5500303</v>
      </c>
      <c r="B3906" s="116" t="s">
        <v>994</v>
      </c>
    </row>
    <row r="3907" spans="1:2">
      <c r="A3907" s="118">
        <v>5500400</v>
      </c>
      <c r="B3907" s="116" t="s">
        <v>1101</v>
      </c>
    </row>
    <row r="3908" spans="1:2">
      <c r="A3908" s="118">
        <v>5500500</v>
      </c>
      <c r="B3908" s="116" t="s">
        <v>1182</v>
      </c>
    </row>
    <row r="3909" spans="1:2">
      <c r="A3909" s="118">
        <v>5500600</v>
      </c>
      <c r="B3909" s="116" t="s">
        <v>995</v>
      </c>
    </row>
    <row r="3910" spans="1:2">
      <c r="A3910" s="118">
        <v>5500601</v>
      </c>
      <c r="B3910" s="116" t="s">
        <v>996</v>
      </c>
    </row>
    <row r="3911" spans="1:2">
      <c r="A3911" s="118">
        <v>6000000</v>
      </c>
      <c r="B3911" s="116" t="s">
        <v>350</v>
      </c>
    </row>
    <row r="3912" spans="1:2">
      <c r="A3912" s="118">
        <v>6000100</v>
      </c>
      <c r="B3912" s="116" t="s">
        <v>328</v>
      </c>
    </row>
    <row r="3913" spans="1:2" ht="25.5">
      <c r="A3913" s="118">
        <v>6000200</v>
      </c>
      <c r="B3913" s="116" t="s">
        <v>228</v>
      </c>
    </row>
    <row r="3914" spans="1:2">
      <c r="A3914" s="118">
        <v>6000300</v>
      </c>
      <c r="B3914" s="116" t="s">
        <v>229</v>
      </c>
    </row>
    <row r="3915" spans="1:2">
      <c r="A3915" s="118">
        <v>6000400</v>
      </c>
      <c r="B3915" s="116" t="s">
        <v>997</v>
      </c>
    </row>
    <row r="3916" spans="1:2">
      <c r="A3916" s="118">
        <v>6000500</v>
      </c>
      <c r="B3916" s="116" t="s">
        <v>524</v>
      </c>
    </row>
    <row r="3917" spans="1:2" ht="25.5">
      <c r="A3917" s="118">
        <v>6010000</v>
      </c>
      <c r="B3917" s="116" t="s">
        <v>998</v>
      </c>
    </row>
    <row r="3918" spans="1:2">
      <c r="A3918" s="118">
        <v>7010000</v>
      </c>
      <c r="B3918" s="116" t="s">
        <v>999</v>
      </c>
    </row>
    <row r="3919" spans="1:2">
      <c r="A3919" s="118">
        <v>7010100</v>
      </c>
      <c r="B3919" s="116" t="s">
        <v>1000</v>
      </c>
    </row>
    <row r="3920" spans="1:2" ht="25.5">
      <c r="A3920" s="118">
        <v>7050000</v>
      </c>
      <c r="B3920" s="116" t="s">
        <v>720</v>
      </c>
    </row>
    <row r="3921" spans="1:2" ht="38.25">
      <c r="A3921" s="118">
        <v>7050100</v>
      </c>
      <c r="B3921" s="116" t="s">
        <v>235</v>
      </c>
    </row>
    <row r="3922" spans="1:2" ht="25.5">
      <c r="A3922" s="118">
        <v>7050200</v>
      </c>
      <c r="B3922" s="116" t="s">
        <v>76</v>
      </c>
    </row>
    <row r="3923" spans="1:2" ht="25.5">
      <c r="A3923" s="118">
        <v>7050300</v>
      </c>
      <c r="B3923" s="116" t="s">
        <v>1252</v>
      </c>
    </row>
    <row r="3924" spans="1:2" ht="25.5">
      <c r="A3924" s="118">
        <v>7050400</v>
      </c>
      <c r="B3924" s="116" t="s">
        <v>406</v>
      </c>
    </row>
    <row r="3925" spans="1:2">
      <c r="A3925" s="118">
        <v>7050401</v>
      </c>
      <c r="B3925" s="116" t="s">
        <v>407</v>
      </c>
    </row>
    <row r="3926" spans="1:2">
      <c r="A3926" s="118">
        <v>7050402</v>
      </c>
      <c r="B3926" s="116" t="s">
        <v>941</v>
      </c>
    </row>
    <row r="3927" spans="1:2">
      <c r="A3927" s="118">
        <v>7050403</v>
      </c>
      <c r="B3927" s="116" t="s">
        <v>536</v>
      </c>
    </row>
    <row r="3928" spans="1:2">
      <c r="A3928" s="118">
        <v>7050404</v>
      </c>
      <c r="B3928" s="116" t="s">
        <v>1257</v>
      </c>
    </row>
    <row r="3929" spans="1:2">
      <c r="A3929" s="118">
        <v>7050405</v>
      </c>
      <c r="B3929" s="116" t="s">
        <v>871</v>
      </c>
    </row>
    <row r="3930" spans="1:2">
      <c r="A3930" s="118">
        <v>7050406</v>
      </c>
      <c r="B3930" s="116" t="s">
        <v>1458</v>
      </c>
    </row>
    <row r="3931" spans="1:2">
      <c r="A3931" s="118">
        <v>7050407</v>
      </c>
      <c r="B3931" s="116" t="s">
        <v>1459</v>
      </c>
    </row>
    <row r="3932" spans="1:2">
      <c r="A3932" s="118">
        <v>7050408</v>
      </c>
      <c r="B3932" s="116" t="s">
        <v>933</v>
      </c>
    </row>
    <row r="3933" spans="1:2">
      <c r="A3933" s="118">
        <v>7050409</v>
      </c>
      <c r="B3933" s="116" t="s">
        <v>1395</v>
      </c>
    </row>
    <row r="3934" spans="1:2" ht="25.5">
      <c r="A3934" s="118">
        <v>7050500</v>
      </c>
      <c r="B3934" s="116" t="s">
        <v>959</v>
      </c>
    </row>
    <row r="3935" spans="1:2">
      <c r="A3935" s="118">
        <v>7050501</v>
      </c>
      <c r="B3935" s="116" t="s">
        <v>407</v>
      </c>
    </row>
    <row r="3936" spans="1:2">
      <c r="A3936" s="118">
        <v>7050502</v>
      </c>
      <c r="B3936" s="116" t="s">
        <v>941</v>
      </c>
    </row>
    <row r="3937" spans="1:2">
      <c r="A3937" s="118">
        <v>7050503</v>
      </c>
      <c r="B3937" s="116" t="s">
        <v>536</v>
      </c>
    </row>
    <row r="3938" spans="1:2">
      <c r="A3938" s="118">
        <v>7050505</v>
      </c>
      <c r="B3938" s="116" t="s">
        <v>871</v>
      </c>
    </row>
    <row r="3939" spans="1:2">
      <c r="A3939" s="118">
        <v>7050506</v>
      </c>
      <c r="B3939" s="116" t="s">
        <v>1458</v>
      </c>
    </row>
    <row r="3940" spans="1:2">
      <c r="A3940" s="118">
        <v>7050507</v>
      </c>
      <c r="B3940" s="116" t="s">
        <v>1459</v>
      </c>
    </row>
    <row r="3941" spans="1:2">
      <c r="A3941" s="118">
        <v>7050508</v>
      </c>
      <c r="B3941" s="116" t="s">
        <v>933</v>
      </c>
    </row>
    <row r="3942" spans="1:2">
      <c r="A3942" s="118">
        <v>7050509</v>
      </c>
      <c r="B3942" s="116" t="s">
        <v>1395</v>
      </c>
    </row>
    <row r="3943" spans="1:2" ht="25.5">
      <c r="A3943" s="118">
        <v>7050600</v>
      </c>
      <c r="B3943" s="116" t="s">
        <v>1093</v>
      </c>
    </row>
    <row r="3944" spans="1:2">
      <c r="A3944" s="118">
        <v>7050601</v>
      </c>
      <c r="B3944" s="116" t="s">
        <v>407</v>
      </c>
    </row>
    <row r="3945" spans="1:2">
      <c r="A3945" s="118">
        <v>7050602</v>
      </c>
      <c r="B3945" s="116" t="s">
        <v>941</v>
      </c>
    </row>
    <row r="3946" spans="1:2">
      <c r="A3946" s="118">
        <v>7050603</v>
      </c>
      <c r="B3946" s="116" t="s">
        <v>536</v>
      </c>
    </row>
    <row r="3947" spans="1:2">
      <c r="A3947" s="118">
        <v>7050604</v>
      </c>
      <c r="B3947" s="116" t="s">
        <v>1257</v>
      </c>
    </row>
    <row r="3948" spans="1:2">
      <c r="A3948" s="118">
        <v>7050605</v>
      </c>
      <c r="B3948" s="116" t="s">
        <v>871</v>
      </c>
    </row>
    <row r="3949" spans="1:2">
      <c r="A3949" s="118">
        <v>7050606</v>
      </c>
      <c r="B3949" s="116" t="s">
        <v>1458</v>
      </c>
    </row>
    <row r="3950" spans="1:2">
      <c r="A3950" s="118">
        <v>7050607</v>
      </c>
      <c r="B3950" s="116" t="s">
        <v>1459</v>
      </c>
    </row>
    <row r="3951" spans="1:2">
      <c r="A3951" s="118">
        <v>7050608</v>
      </c>
      <c r="B3951" s="116" t="s">
        <v>933</v>
      </c>
    </row>
    <row r="3952" spans="1:2">
      <c r="A3952" s="118">
        <v>7050609</v>
      </c>
      <c r="B3952" s="116" t="s">
        <v>1395</v>
      </c>
    </row>
    <row r="3953" spans="1:2" ht="25.5">
      <c r="A3953" s="118">
        <v>7050700</v>
      </c>
      <c r="B3953" s="116" t="s">
        <v>446</v>
      </c>
    </row>
    <row r="3954" spans="1:2">
      <c r="A3954" s="118">
        <v>7050703</v>
      </c>
      <c r="B3954" s="116" t="s">
        <v>536</v>
      </c>
    </row>
    <row r="3955" spans="1:2">
      <c r="A3955" s="118">
        <v>7050706</v>
      </c>
      <c r="B3955" s="116" t="s">
        <v>1458</v>
      </c>
    </row>
    <row r="3956" spans="1:2">
      <c r="A3956" s="118">
        <v>7050707</v>
      </c>
      <c r="B3956" s="116" t="s">
        <v>1459</v>
      </c>
    </row>
    <row r="3957" spans="1:2">
      <c r="A3957" s="118">
        <v>7050708</v>
      </c>
      <c r="B3957" s="116" t="s">
        <v>933</v>
      </c>
    </row>
    <row r="3958" spans="1:2">
      <c r="A3958" s="118">
        <v>7050709</v>
      </c>
      <c r="B3958" s="116" t="s">
        <v>1395</v>
      </c>
    </row>
    <row r="3959" spans="1:2">
      <c r="A3959" s="118">
        <v>7950000</v>
      </c>
      <c r="B3959" s="116" t="s">
        <v>1030</v>
      </c>
    </row>
    <row r="3960" spans="1:2">
      <c r="A3960" s="118">
        <v>7950100</v>
      </c>
      <c r="B3960" s="116" t="s">
        <v>2159</v>
      </c>
    </row>
    <row r="3961" spans="1:2">
      <c r="A3961" s="118">
        <v>7950200</v>
      </c>
      <c r="B3961" s="116" t="s">
        <v>2176</v>
      </c>
    </row>
    <row r="3962" spans="1:2">
      <c r="A3962" s="118">
        <v>7950300</v>
      </c>
      <c r="B3962" s="116" t="s">
        <v>1001</v>
      </c>
    </row>
    <row r="3963" spans="1:2">
      <c r="A3963" s="118">
        <v>7950400</v>
      </c>
      <c r="B3963" s="116" t="s">
        <v>1399</v>
      </c>
    </row>
    <row r="3964" spans="1:2" ht="25.5">
      <c r="A3964" s="118">
        <v>7950500</v>
      </c>
      <c r="B3964" s="116" t="s">
        <v>1964</v>
      </c>
    </row>
    <row r="3965" spans="1:2" ht="25.5">
      <c r="A3965" s="118">
        <v>7950600</v>
      </c>
      <c r="B3965" s="116" t="s">
        <v>1400</v>
      </c>
    </row>
    <row r="3966" spans="1:2" ht="25.5">
      <c r="A3966" s="118">
        <v>7950700</v>
      </c>
      <c r="B3966" s="116" t="s">
        <v>2158</v>
      </c>
    </row>
    <row r="3967" spans="1:2" ht="15" customHeight="1">
      <c r="A3967" s="118">
        <v>7950800</v>
      </c>
      <c r="B3967" s="116" t="s">
        <v>94</v>
      </c>
    </row>
    <row r="3968" spans="1:2">
      <c r="A3968" s="118">
        <v>7950900</v>
      </c>
      <c r="B3968" s="116" t="s">
        <v>2162</v>
      </c>
    </row>
    <row r="3969" spans="1:2">
      <c r="A3969" s="118">
        <v>7951000</v>
      </c>
      <c r="B3969" s="116" t="s">
        <v>1953</v>
      </c>
    </row>
    <row r="3970" spans="1:2">
      <c r="A3970" s="118">
        <v>7951100</v>
      </c>
      <c r="B3970" s="116" t="s">
        <v>745</v>
      </c>
    </row>
    <row r="3971" spans="1:2">
      <c r="A3971" s="118">
        <v>7951200</v>
      </c>
      <c r="B3971" s="116" t="s">
        <v>1954</v>
      </c>
    </row>
    <row r="3972" spans="1:2">
      <c r="A3972" s="118">
        <v>7951300</v>
      </c>
      <c r="B3972" s="116" t="s">
        <v>300</v>
      </c>
    </row>
    <row r="3973" spans="1:2" ht="25.5">
      <c r="A3973" s="118">
        <v>7951301</v>
      </c>
      <c r="B3973" s="116" t="s">
        <v>2139</v>
      </c>
    </row>
    <row r="3974" spans="1:2" ht="25.5">
      <c r="A3974" s="118">
        <v>7951302</v>
      </c>
      <c r="B3974" s="116" t="s">
        <v>1758</v>
      </c>
    </row>
    <row r="3975" spans="1:2" ht="25.5">
      <c r="A3975" s="118">
        <v>7951303</v>
      </c>
      <c r="B3975" s="116" t="s">
        <v>14</v>
      </c>
    </row>
    <row r="3976" spans="1:2" ht="25.5">
      <c r="A3976" s="118">
        <v>7951304</v>
      </c>
      <c r="B3976" s="116" t="s">
        <v>15</v>
      </c>
    </row>
    <row r="3977" spans="1:2" ht="25.5">
      <c r="A3977" s="118">
        <v>7951400</v>
      </c>
      <c r="B3977" s="116" t="s">
        <v>2143</v>
      </c>
    </row>
    <row r="3978" spans="1:2" ht="17.25" customHeight="1">
      <c r="A3978" s="118">
        <v>7951500</v>
      </c>
      <c r="B3978" s="116" t="s">
        <v>2144</v>
      </c>
    </row>
    <row r="3979" spans="1:2">
      <c r="A3979" s="118">
        <v>7951600</v>
      </c>
      <c r="B3979" s="116" t="s">
        <v>2145</v>
      </c>
    </row>
    <row r="3980" spans="1:2">
      <c r="A3980" s="118">
        <v>7951700</v>
      </c>
      <c r="B3980" s="116" t="s">
        <v>2173</v>
      </c>
    </row>
    <row r="3981" spans="1:2">
      <c r="A3981" s="118">
        <v>7951800</v>
      </c>
      <c r="B3981" s="116" t="s">
        <v>2156</v>
      </c>
    </row>
    <row r="3982" spans="1:2">
      <c r="A3982" s="118">
        <v>7951900</v>
      </c>
      <c r="B3982" s="116" t="s">
        <v>2157</v>
      </c>
    </row>
    <row r="3983" spans="1:2">
      <c r="A3983" s="118">
        <v>7952000</v>
      </c>
      <c r="B3983" s="116" t="s">
        <v>2160</v>
      </c>
    </row>
    <row r="3984" spans="1:2">
      <c r="A3984" s="118">
        <v>7952100</v>
      </c>
      <c r="B3984" s="116" t="s">
        <v>2161</v>
      </c>
    </row>
    <row r="3985" spans="1:2">
      <c r="A3985" s="118">
        <v>7952200</v>
      </c>
      <c r="B3985" s="116" t="s">
        <v>2164</v>
      </c>
    </row>
    <row r="3986" spans="1:2">
      <c r="A3986" s="118">
        <v>7952300</v>
      </c>
      <c r="B3986" s="196" t="s">
        <v>2178</v>
      </c>
    </row>
    <row r="3987" spans="1:2" ht="25.5">
      <c r="A3987" s="118">
        <v>7952400</v>
      </c>
      <c r="B3987" s="196" t="s">
        <v>2194</v>
      </c>
    </row>
    <row r="3988" spans="1:2" ht="25.5">
      <c r="A3988" s="118">
        <v>9907123</v>
      </c>
      <c r="B3988" s="196" t="s">
        <v>2474</v>
      </c>
    </row>
    <row r="3989" spans="1:2">
      <c r="A3989" s="118">
        <v>9907294</v>
      </c>
      <c r="B3989" s="196" t="s">
        <v>2459</v>
      </c>
    </row>
    <row r="3990" spans="1:2">
      <c r="A3990" s="118">
        <v>9980000</v>
      </c>
      <c r="B3990" s="116" t="s">
        <v>2140</v>
      </c>
    </row>
    <row r="3991" spans="1:2">
      <c r="A3991" s="118">
        <v>9990000</v>
      </c>
      <c r="B3991" s="116" t="s">
        <v>1955</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dimension ref="A1"/>
  <sheetViews>
    <sheetView workbookViewId="0">
      <selection activeCell="N27" sqref="N27"/>
    </sheetView>
  </sheetViews>
  <sheetFormatPr defaultRowHeight="12.75"/>
  <sheetData/>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dimension ref="A1"/>
  <sheetViews>
    <sheetView workbookViewId="0">
      <selection activeCell="N41" sqref="N40:O41"/>
    </sheetView>
  </sheetViews>
  <sheetFormatPr defaultRowHeight="12.75"/>
  <sheetData/>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Лист9"/>
  <dimension ref="A1:C171"/>
  <sheetViews>
    <sheetView showGridLines="0" view="pageBreakPreview" zoomScaleSheetLayoutView="100" workbookViewId="0">
      <selection activeCell="A4" sqref="A4:C4"/>
    </sheetView>
  </sheetViews>
  <sheetFormatPr defaultRowHeight="12.75"/>
  <cols>
    <col min="1" max="1" width="5.140625" bestFit="1" customWidth="1"/>
    <col min="2" max="2" width="24.42578125" customWidth="1"/>
    <col min="3" max="3" width="59.140625" customWidth="1"/>
    <col min="8" max="8" width="43.42578125" customWidth="1"/>
  </cols>
  <sheetData>
    <row r="1" spans="1:3" ht="15.75">
      <c r="A1" s="737" t="s">
        <v>1577</v>
      </c>
      <c r="B1" s="737"/>
      <c r="C1" s="737"/>
    </row>
    <row r="2" spans="1:3" ht="15.75">
      <c r="A2" s="737" t="s">
        <v>1058</v>
      </c>
      <c r="B2" s="737"/>
      <c r="C2" s="737"/>
    </row>
    <row r="3" spans="1:3" ht="15.75">
      <c r="A3" s="737" t="s">
        <v>716</v>
      </c>
      <c r="B3" s="737"/>
      <c r="C3" s="737"/>
    </row>
    <row r="4" spans="1:3" ht="15.75">
      <c r="A4" s="737" t="s">
        <v>2455</v>
      </c>
      <c r="B4" s="737"/>
      <c r="C4" s="737"/>
    </row>
    <row r="5" spans="1:3" ht="15.75">
      <c r="A5" s="127"/>
      <c r="B5" s="1"/>
      <c r="C5" s="1"/>
    </row>
    <row r="6" spans="1:3" ht="18" customHeight="1">
      <c r="A6" s="792" t="s">
        <v>2070</v>
      </c>
      <c r="B6" s="792"/>
      <c r="C6" s="792"/>
    </row>
    <row r="7" spans="1:3" ht="15.75">
      <c r="A7" s="128"/>
    </row>
    <row r="8" spans="1:3" ht="15.75">
      <c r="A8" s="793" t="s">
        <v>1201</v>
      </c>
      <c r="B8" s="793"/>
      <c r="C8" s="793"/>
    </row>
    <row r="9" spans="1:3" ht="31.5">
      <c r="A9" s="7">
        <v>950</v>
      </c>
      <c r="B9" s="7" t="s">
        <v>1202</v>
      </c>
      <c r="C9" s="7" t="s">
        <v>1203</v>
      </c>
    </row>
    <row r="10" spans="1:3" ht="47.25">
      <c r="A10" s="7">
        <v>950</v>
      </c>
      <c r="B10" s="231" t="s">
        <v>1564</v>
      </c>
      <c r="C10" s="7" t="s">
        <v>2089</v>
      </c>
    </row>
    <row r="11" spans="1:3" ht="31.5">
      <c r="A11" s="7">
        <v>950</v>
      </c>
      <c r="B11" s="231" t="s">
        <v>1565</v>
      </c>
      <c r="C11" s="7" t="s">
        <v>1566</v>
      </c>
    </row>
    <row r="12" spans="1:3" ht="78.75">
      <c r="A12" s="232">
        <v>950</v>
      </c>
      <c r="B12" s="7" t="s">
        <v>1567</v>
      </c>
      <c r="C12" s="7" t="s">
        <v>1568</v>
      </c>
    </row>
    <row r="13" spans="1:3" ht="63">
      <c r="A13" s="232">
        <v>950</v>
      </c>
      <c r="B13" s="7" t="s">
        <v>1569</v>
      </c>
      <c r="C13" s="7" t="s">
        <v>2016</v>
      </c>
    </row>
    <row r="14" spans="1:3" ht="47.25">
      <c r="A14" s="232">
        <v>950</v>
      </c>
      <c r="B14" s="7" t="s">
        <v>1204</v>
      </c>
      <c r="C14" s="7" t="s">
        <v>1205</v>
      </c>
    </row>
    <row r="15" spans="1:3" ht="31.5">
      <c r="A15" s="232">
        <v>950</v>
      </c>
      <c r="B15" s="231" t="s">
        <v>1206</v>
      </c>
      <c r="C15" s="7" t="s">
        <v>1207</v>
      </c>
    </row>
    <row r="16" spans="1:3" ht="31.5">
      <c r="A16" s="232">
        <v>950</v>
      </c>
      <c r="B16" s="7" t="s">
        <v>1208</v>
      </c>
      <c r="C16" s="7" t="s">
        <v>1425</v>
      </c>
    </row>
    <row r="17" spans="1:3" ht="47.25">
      <c r="A17" s="232">
        <v>950</v>
      </c>
      <c r="B17" s="7" t="s">
        <v>1426</v>
      </c>
      <c r="C17" s="7" t="s">
        <v>1570</v>
      </c>
    </row>
    <row r="18" spans="1:3" ht="31.5">
      <c r="A18" s="232">
        <v>950</v>
      </c>
      <c r="B18" s="7" t="s">
        <v>2017</v>
      </c>
      <c r="C18" s="7" t="s">
        <v>2018</v>
      </c>
    </row>
    <row r="19" spans="1:3" ht="63">
      <c r="A19" s="232">
        <v>950</v>
      </c>
      <c r="B19" s="7" t="s">
        <v>1427</v>
      </c>
      <c r="C19" s="7" t="s">
        <v>1428</v>
      </c>
    </row>
    <row r="20" spans="1:3" ht="63">
      <c r="A20" s="7">
        <v>950</v>
      </c>
      <c r="B20" s="7" t="s">
        <v>1987</v>
      </c>
      <c r="C20" s="7" t="s">
        <v>2262</v>
      </c>
    </row>
    <row r="21" spans="1:3" ht="47.25">
      <c r="A21" s="232">
        <v>950</v>
      </c>
      <c r="B21" s="7" t="s">
        <v>2072</v>
      </c>
      <c r="C21" s="2" t="s">
        <v>2396</v>
      </c>
    </row>
    <row r="22" spans="1:3" ht="63">
      <c r="A22" s="232">
        <v>950</v>
      </c>
      <c r="B22" s="7" t="s">
        <v>1491</v>
      </c>
      <c r="C22" s="2" t="s">
        <v>1492</v>
      </c>
    </row>
    <row r="23" spans="1:3" ht="110.25">
      <c r="A23" s="232">
        <v>950</v>
      </c>
      <c r="B23" s="7" t="s">
        <v>2075</v>
      </c>
      <c r="C23" s="7" t="s">
        <v>2223</v>
      </c>
    </row>
    <row r="24" spans="1:3" ht="78.75">
      <c r="A24" s="232">
        <v>950</v>
      </c>
      <c r="B24" s="7" t="s">
        <v>2076</v>
      </c>
      <c r="C24" s="7" t="s">
        <v>2077</v>
      </c>
    </row>
    <row r="25" spans="1:3" ht="15.75">
      <c r="A25" s="232">
        <v>950</v>
      </c>
      <c r="B25" s="7" t="s">
        <v>1429</v>
      </c>
      <c r="C25" s="2" t="s">
        <v>1430</v>
      </c>
    </row>
    <row r="26" spans="1:3" ht="55.5" customHeight="1">
      <c r="A26" s="232">
        <v>950</v>
      </c>
      <c r="B26" s="7" t="s">
        <v>1431</v>
      </c>
      <c r="C26" s="7" t="s">
        <v>1846</v>
      </c>
    </row>
    <row r="27" spans="1:3" ht="63">
      <c r="A27" s="232">
        <v>950</v>
      </c>
      <c r="B27" s="7" t="s">
        <v>515</v>
      </c>
      <c r="C27" s="7" t="s">
        <v>516</v>
      </c>
    </row>
    <row r="28" spans="1:3" ht="47.25">
      <c r="A28" s="232">
        <v>950</v>
      </c>
      <c r="B28" s="7" t="s">
        <v>1847</v>
      </c>
      <c r="C28" s="7" t="s">
        <v>1848</v>
      </c>
    </row>
    <row r="29" spans="1:3" ht="78.75">
      <c r="A29" s="231">
        <v>950</v>
      </c>
      <c r="B29" s="231" t="s">
        <v>915</v>
      </c>
      <c r="C29" s="7" t="s">
        <v>916</v>
      </c>
    </row>
    <row r="30" spans="1:3" ht="31.5">
      <c r="A30" s="231">
        <v>950</v>
      </c>
      <c r="B30" s="231" t="s">
        <v>2398</v>
      </c>
      <c r="C30" s="7" t="s">
        <v>918</v>
      </c>
    </row>
    <row r="31" spans="1:3" ht="35.25" customHeight="1">
      <c r="A31" s="793" t="s">
        <v>1849</v>
      </c>
      <c r="B31" s="793"/>
      <c r="C31" s="793"/>
    </row>
    <row r="32" spans="1:3" ht="63">
      <c r="A32" s="7">
        <v>952</v>
      </c>
      <c r="B32" s="7" t="s">
        <v>1850</v>
      </c>
      <c r="C32" s="7" t="s">
        <v>1851</v>
      </c>
    </row>
    <row r="33" spans="1:3" ht="94.5">
      <c r="A33" s="7">
        <v>952</v>
      </c>
      <c r="B33" s="7" t="s">
        <v>2085</v>
      </c>
      <c r="C33" s="7" t="s">
        <v>1852</v>
      </c>
    </row>
    <row r="34" spans="1:3" ht="94.5">
      <c r="A34" s="7">
        <v>952</v>
      </c>
      <c r="B34" s="7" t="s">
        <v>1853</v>
      </c>
      <c r="C34" s="7" t="s">
        <v>1854</v>
      </c>
    </row>
    <row r="35" spans="1:3" ht="78.75">
      <c r="A35" s="7">
        <v>952</v>
      </c>
      <c r="B35" s="7" t="s">
        <v>1855</v>
      </c>
      <c r="C35" s="7" t="s">
        <v>1856</v>
      </c>
    </row>
    <row r="36" spans="1:3" ht="47.25">
      <c r="A36" s="7">
        <v>952</v>
      </c>
      <c r="B36" s="7" t="s">
        <v>2229</v>
      </c>
      <c r="C36" s="7" t="s">
        <v>2230</v>
      </c>
    </row>
    <row r="37" spans="1:3" ht="63">
      <c r="A37" s="7">
        <v>952</v>
      </c>
      <c r="B37" s="7" t="s">
        <v>2231</v>
      </c>
      <c r="C37" s="7" t="s">
        <v>2232</v>
      </c>
    </row>
    <row r="38" spans="1:3" ht="94.5">
      <c r="A38" s="7">
        <v>952</v>
      </c>
      <c r="B38" s="7" t="s">
        <v>1857</v>
      </c>
      <c r="C38" s="7" t="s">
        <v>1285</v>
      </c>
    </row>
    <row r="39" spans="1:3" ht="31.5">
      <c r="A39" s="7">
        <v>952</v>
      </c>
      <c r="B39" s="7" t="s">
        <v>1286</v>
      </c>
      <c r="C39" s="7" t="s">
        <v>1287</v>
      </c>
    </row>
    <row r="40" spans="1:3" ht="110.25">
      <c r="A40" s="7">
        <v>952</v>
      </c>
      <c r="B40" s="7" t="s">
        <v>2086</v>
      </c>
      <c r="C40" s="7" t="s">
        <v>1288</v>
      </c>
    </row>
    <row r="41" spans="1:3" ht="110.25">
      <c r="A41" s="7">
        <v>952</v>
      </c>
      <c r="B41" s="7" t="s">
        <v>2087</v>
      </c>
      <c r="C41" s="7" t="s">
        <v>1859</v>
      </c>
    </row>
    <row r="42" spans="1:3" ht="31.5">
      <c r="A42" s="7">
        <v>952</v>
      </c>
      <c r="B42" s="7" t="s">
        <v>1860</v>
      </c>
      <c r="C42" s="7" t="s">
        <v>1861</v>
      </c>
    </row>
    <row r="43" spans="1:3" ht="47.25">
      <c r="A43" s="7">
        <v>952</v>
      </c>
      <c r="B43" s="7" t="s">
        <v>2084</v>
      </c>
      <c r="C43" s="7" t="s">
        <v>1862</v>
      </c>
    </row>
    <row r="44" spans="1:3" ht="63">
      <c r="A44" s="7">
        <v>952</v>
      </c>
      <c r="B44" s="7" t="s">
        <v>1863</v>
      </c>
      <c r="C44" s="7" t="s">
        <v>2088</v>
      </c>
    </row>
    <row r="45" spans="1:3" ht="78.75">
      <c r="A45" s="232">
        <v>952</v>
      </c>
      <c r="B45" s="7" t="s">
        <v>1567</v>
      </c>
      <c r="C45" s="7" t="s">
        <v>1568</v>
      </c>
    </row>
    <row r="46" spans="1:3" ht="63">
      <c r="A46" s="232">
        <v>952</v>
      </c>
      <c r="B46" s="7" t="s">
        <v>1569</v>
      </c>
      <c r="C46" s="7" t="s">
        <v>2016</v>
      </c>
    </row>
    <row r="47" spans="1:3" ht="47.25">
      <c r="A47" s="232">
        <v>952</v>
      </c>
      <c r="B47" s="7" t="s">
        <v>1204</v>
      </c>
      <c r="C47" s="7" t="s">
        <v>1205</v>
      </c>
    </row>
    <row r="48" spans="1:3" ht="31.5">
      <c r="A48" s="232">
        <v>952</v>
      </c>
      <c r="B48" s="231" t="s">
        <v>1206</v>
      </c>
      <c r="C48" s="7" t="s">
        <v>1207</v>
      </c>
    </row>
    <row r="49" spans="1:3" ht="31.5">
      <c r="A49" s="232">
        <v>952</v>
      </c>
      <c r="B49" s="7" t="s">
        <v>1208</v>
      </c>
      <c r="C49" s="7" t="s">
        <v>1425</v>
      </c>
    </row>
    <row r="50" spans="1:3" ht="47.25">
      <c r="A50" s="232">
        <v>952</v>
      </c>
      <c r="B50" s="7" t="s">
        <v>1426</v>
      </c>
      <c r="C50" s="7" t="s">
        <v>1570</v>
      </c>
    </row>
    <row r="51" spans="1:3" ht="31.5">
      <c r="A51" s="232">
        <v>952</v>
      </c>
      <c r="B51" s="7" t="s">
        <v>2017</v>
      </c>
      <c r="C51" s="7" t="s">
        <v>2018</v>
      </c>
    </row>
    <row r="52" spans="1:3" ht="63">
      <c r="A52" s="232">
        <v>952</v>
      </c>
      <c r="B52" s="7" t="s">
        <v>1427</v>
      </c>
      <c r="C52" s="7" t="s">
        <v>1428</v>
      </c>
    </row>
    <row r="53" spans="1:3" ht="47.25">
      <c r="A53" s="7">
        <v>952</v>
      </c>
      <c r="B53" s="7" t="s">
        <v>1628</v>
      </c>
      <c r="C53" s="7" t="s">
        <v>1629</v>
      </c>
    </row>
    <row r="54" spans="1:3" ht="15.75">
      <c r="A54" s="233">
        <v>952</v>
      </c>
      <c r="B54" s="7" t="s">
        <v>1429</v>
      </c>
      <c r="C54" s="2" t="s">
        <v>1430</v>
      </c>
    </row>
    <row r="55" spans="1:3" ht="15.75">
      <c r="A55" s="800" t="s">
        <v>1060</v>
      </c>
      <c r="B55" s="801"/>
      <c r="C55" s="802"/>
    </row>
    <row r="56" spans="1:3" ht="47.25">
      <c r="A56" s="24">
        <v>953</v>
      </c>
      <c r="B56" s="231" t="s">
        <v>1564</v>
      </c>
      <c r="C56" s="7" t="s">
        <v>2089</v>
      </c>
    </row>
    <row r="57" spans="1:3" ht="31.5">
      <c r="A57" s="233">
        <v>953</v>
      </c>
      <c r="B57" s="231" t="s">
        <v>1565</v>
      </c>
      <c r="C57" s="7" t="s">
        <v>1566</v>
      </c>
    </row>
    <row r="58" spans="1:3" ht="78.75">
      <c r="A58" s="232">
        <v>953</v>
      </c>
      <c r="B58" s="7" t="s">
        <v>1567</v>
      </c>
      <c r="C58" s="7" t="s">
        <v>1568</v>
      </c>
    </row>
    <row r="59" spans="1:3" ht="63">
      <c r="A59" s="232">
        <v>953</v>
      </c>
      <c r="B59" s="7" t="s">
        <v>1569</v>
      </c>
      <c r="C59" s="7" t="s">
        <v>2016</v>
      </c>
    </row>
    <row r="60" spans="1:3" ht="47.25">
      <c r="A60" s="232">
        <v>953</v>
      </c>
      <c r="B60" s="7" t="s">
        <v>1204</v>
      </c>
      <c r="C60" s="7" t="s">
        <v>1205</v>
      </c>
    </row>
    <row r="61" spans="1:3" ht="31.5">
      <c r="A61" s="232">
        <v>953</v>
      </c>
      <c r="B61" s="231" t="s">
        <v>1206</v>
      </c>
      <c r="C61" s="7" t="s">
        <v>1207</v>
      </c>
    </row>
    <row r="62" spans="1:3" ht="31.5">
      <c r="A62" s="232">
        <v>953</v>
      </c>
      <c r="B62" s="7" t="s">
        <v>1208</v>
      </c>
      <c r="C62" s="7" t="s">
        <v>1425</v>
      </c>
    </row>
    <row r="63" spans="1:3" ht="47.25">
      <c r="A63" s="232">
        <v>953</v>
      </c>
      <c r="B63" s="7" t="s">
        <v>1426</v>
      </c>
      <c r="C63" s="7" t="s">
        <v>1570</v>
      </c>
    </row>
    <row r="64" spans="1:3" ht="31.5">
      <c r="A64" s="232">
        <v>953</v>
      </c>
      <c r="B64" s="7" t="s">
        <v>2017</v>
      </c>
      <c r="C64" s="7" t="s">
        <v>2018</v>
      </c>
    </row>
    <row r="65" spans="1:3" ht="63">
      <c r="A65" s="232">
        <v>953</v>
      </c>
      <c r="B65" s="7" t="s">
        <v>1427</v>
      </c>
      <c r="C65" s="7" t="s">
        <v>1428</v>
      </c>
    </row>
    <row r="66" spans="1:3" ht="31.5">
      <c r="A66" s="232">
        <v>953</v>
      </c>
      <c r="B66" s="7" t="s">
        <v>2073</v>
      </c>
      <c r="C66" s="7" t="s">
        <v>2074</v>
      </c>
    </row>
    <row r="67" spans="1:3" ht="47.25">
      <c r="A67" s="232">
        <v>953</v>
      </c>
      <c r="B67" s="7" t="s">
        <v>2072</v>
      </c>
      <c r="C67" s="7" t="s">
        <v>2396</v>
      </c>
    </row>
    <row r="68" spans="1:3" ht="63">
      <c r="A68" s="232">
        <v>953</v>
      </c>
      <c r="B68" s="7" t="s">
        <v>2238</v>
      </c>
      <c r="C68" s="7" t="s">
        <v>2240</v>
      </c>
    </row>
    <row r="69" spans="1:3" ht="31.5">
      <c r="A69" s="232">
        <v>953</v>
      </c>
      <c r="B69" s="7" t="s">
        <v>2239</v>
      </c>
      <c r="C69" s="7" t="s">
        <v>2241</v>
      </c>
    </row>
    <row r="70" spans="1:3" ht="47.25">
      <c r="A70" s="232">
        <v>953</v>
      </c>
      <c r="B70" s="7" t="s">
        <v>2263</v>
      </c>
      <c r="C70" s="7" t="s">
        <v>2264</v>
      </c>
    </row>
    <row r="71" spans="1:3" ht="15.75">
      <c r="A71" s="232">
        <v>953</v>
      </c>
      <c r="B71" s="7" t="s">
        <v>1429</v>
      </c>
      <c r="C71" s="2" t="s">
        <v>1430</v>
      </c>
    </row>
    <row r="72" spans="1:3" ht="63">
      <c r="A72" s="232">
        <v>953</v>
      </c>
      <c r="B72" s="7" t="s">
        <v>1061</v>
      </c>
      <c r="C72" s="7" t="s">
        <v>1062</v>
      </c>
    </row>
    <row r="73" spans="1:3" ht="47.25">
      <c r="A73" s="232">
        <v>953</v>
      </c>
      <c r="B73" s="7" t="s">
        <v>1063</v>
      </c>
      <c r="C73" s="7" t="s">
        <v>1064</v>
      </c>
    </row>
    <row r="74" spans="1:3" ht="47.25">
      <c r="A74" s="232">
        <v>953</v>
      </c>
      <c r="B74" s="7" t="s">
        <v>1847</v>
      </c>
      <c r="C74" s="7" t="s">
        <v>1848</v>
      </c>
    </row>
    <row r="75" spans="1:3" ht="63">
      <c r="A75" s="232">
        <v>953</v>
      </c>
      <c r="B75" s="7" t="s">
        <v>1065</v>
      </c>
      <c r="C75" s="7" t="s">
        <v>1066</v>
      </c>
    </row>
    <row r="76" spans="1:3" ht="83.25" customHeight="1">
      <c r="A76" s="232">
        <v>953</v>
      </c>
      <c r="B76" s="7" t="s">
        <v>2438</v>
      </c>
      <c r="C76" s="7" t="s">
        <v>2439</v>
      </c>
    </row>
    <row r="77" spans="1:3" ht="31.5">
      <c r="A77" s="232">
        <v>953</v>
      </c>
      <c r="B77" s="7" t="s">
        <v>1067</v>
      </c>
      <c r="C77" s="7" t="s">
        <v>1068</v>
      </c>
    </row>
    <row r="78" spans="1:3" ht="78.75">
      <c r="A78" s="232">
        <v>953</v>
      </c>
      <c r="B78" s="7" t="s">
        <v>915</v>
      </c>
      <c r="C78" s="7" t="s">
        <v>916</v>
      </c>
    </row>
    <row r="79" spans="1:3" ht="31.5">
      <c r="A79" s="231">
        <v>953</v>
      </c>
      <c r="B79" s="231" t="s">
        <v>917</v>
      </c>
      <c r="C79" s="7" t="s">
        <v>918</v>
      </c>
    </row>
    <row r="80" spans="1:3" ht="35.25" customHeight="1">
      <c r="A80" s="803" t="s">
        <v>1069</v>
      </c>
      <c r="B80" s="804"/>
      <c r="C80" s="805"/>
    </row>
    <row r="81" spans="1:3" ht="47.25">
      <c r="A81" s="232">
        <v>954</v>
      </c>
      <c r="B81" s="231" t="s">
        <v>1564</v>
      </c>
      <c r="C81" s="7" t="s">
        <v>2089</v>
      </c>
    </row>
    <row r="82" spans="1:3" ht="31.5">
      <c r="A82" s="232">
        <v>954</v>
      </c>
      <c r="B82" s="231" t="s">
        <v>1565</v>
      </c>
      <c r="C82" s="7" t="s">
        <v>1566</v>
      </c>
    </row>
    <row r="83" spans="1:3" ht="78.75">
      <c r="A83" s="232">
        <v>954</v>
      </c>
      <c r="B83" s="7" t="s">
        <v>1567</v>
      </c>
      <c r="C83" s="7" t="s">
        <v>1568</v>
      </c>
    </row>
    <row r="84" spans="1:3" ht="63">
      <c r="A84" s="232">
        <v>954</v>
      </c>
      <c r="B84" s="7" t="s">
        <v>1569</v>
      </c>
      <c r="C84" s="7" t="s">
        <v>2016</v>
      </c>
    </row>
    <row r="85" spans="1:3" ht="47.25">
      <c r="A85" s="232">
        <v>954</v>
      </c>
      <c r="B85" s="7" t="s">
        <v>1204</v>
      </c>
      <c r="C85" s="7" t="s">
        <v>1205</v>
      </c>
    </row>
    <row r="86" spans="1:3" ht="31.5">
      <c r="A86" s="232">
        <v>954</v>
      </c>
      <c r="B86" s="231" t="s">
        <v>1206</v>
      </c>
      <c r="C86" s="7" t="s">
        <v>1207</v>
      </c>
    </row>
    <row r="87" spans="1:3" ht="31.5">
      <c r="A87" s="232">
        <v>954</v>
      </c>
      <c r="B87" s="7" t="s">
        <v>1208</v>
      </c>
      <c r="C87" s="7" t="s">
        <v>1425</v>
      </c>
    </row>
    <row r="88" spans="1:3" ht="47.25">
      <c r="A88" s="232">
        <v>954</v>
      </c>
      <c r="B88" s="7" t="s">
        <v>1426</v>
      </c>
      <c r="C88" s="7" t="s">
        <v>1570</v>
      </c>
    </row>
    <row r="89" spans="1:3" ht="31.5">
      <c r="A89" s="232">
        <v>954</v>
      </c>
      <c r="B89" s="7" t="s">
        <v>2017</v>
      </c>
      <c r="C89" s="7" t="s">
        <v>2018</v>
      </c>
    </row>
    <row r="90" spans="1:3" ht="63">
      <c r="A90" s="232">
        <v>954</v>
      </c>
      <c r="B90" s="7" t="s">
        <v>1427</v>
      </c>
      <c r="C90" s="7" t="s">
        <v>1428</v>
      </c>
    </row>
    <row r="91" spans="1:3" ht="47.25">
      <c r="A91" s="232">
        <v>954</v>
      </c>
      <c r="B91" s="7" t="s">
        <v>1070</v>
      </c>
      <c r="C91" s="7" t="s">
        <v>1071</v>
      </c>
    </row>
    <row r="92" spans="1:3" ht="63">
      <c r="A92" s="232">
        <v>954</v>
      </c>
      <c r="B92" s="7" t="s">
        <v>1072</v>
      </c>
      <c r="C92" s="7" t="s">
        <v>1073</v>
      </c>
    </row>
    <row r="93" spans="1:3" ht="109.5" customHeight="1">
      <c r="A93" s="232">
        <v>954</v>
      </c>
      <c r="B93" s="7" t="s">
        <v>2442</v>
      </c>
      <c r="C93" s="7" t="s">
        <v>2443</v>
      </c>
    </row>
    <row r="94" spans="1:3" ht="63">
      <c r="A94" s="232">
        <v>954</v>
      </c>
      <c r="B94" s="7" t="s">
        <v>1074</v>
      </c>
      <c r="C94" s="7" t="s">
        <v>1075</v>
      </c>
    </row>
    <row r="95" spans="1:3" ht="47.25">
      <c r="A95" s="232">
        <v>954</v>
      </c>
      <c r="B95" s="7" t="s">
        <v>1076</v>
      </c>
      <c r="C95" s="7" t="s">
        <v>1077</v>
      </c>
    </row>
    <row r="96" spans="1:3" ht="47.25">
      <c r="A96" s="232">
        <v>954</v>
      </c>
      <c r="B96" s="7" t="s">
        <v>1847</v>
      </c>
      <c r="C96" s="7" t="s">
        <v>1848</v>
      </c>
    </row>
    <row r="97" spans="1:3" ht="94.5">
      <c r="A97" s="232">
        <v>954</v>
      </c>
      <c r="B97" s="7" t="s">
        <v>1078</v>
      </c>
      <c r="C97" s="7" t="s">
        <v>1079</v>
      </c>
    </row>
    <row r="98" spans="1:3" ht="78.75">
      <c r="A98" s="232">
        <v>954</v>
      </c>
      <c r="B98" s="7" t="s">
        <v>2237</v>
      </c>
      <c r="C98" s="7" t="s">
        <v>2244</v>
      </c>
    </row>
    <row r="99" spans="1:3" ht="31.5">
      <c r="A99" s="232">
        <v>954</v>
      </c>
      <c r="B99" s="231" t="s">
        <v>917</v>
      </c>
      <c r="C99" s="7" t="s">
        <v>918</v>
      </c>
    </row>
    <row r="100" spans="1:3" ht="47.25">
      <c r="A100" s="232">
        <v>954</v>
      </c>
      <c r="B100" s="7" t="s">
        <v>1080</v>
      </c>
      <c r="C100" s="7" t="s">
        <v>1081</v>
      </c>
    </row>
    <row r="101" spans="1:3" ht="15.75">
      <c r="A101" s="793" t="s">
        <v>1082</v>
      </c>
      <c r="B101" s="793"/>
      <c r="C101" s="793"/>
    </row>
    <row r="102" spans="1:3" ht="31.5">
      <c r="A102" s="7">
        <v>955</v>
      </c>
      <c r="B102" s="231" t="s">
        <v>1083</v>
      </c>
      <c r="C102" s="7" t="s">
        <v>1084</v>
      </c>
    </row>
    <row r="103" spans="1:3" ht="47.25">
      <c r="A103" s="7">
        <v>955</v>
      </c>
      <c r="B103" s="231" t="s">
        <v>1564</v>
      </c>
      <c r="C103" s="7" t="s">
        <v>2089</v>
      </c>
    </row>
    <row r="104" spans="1:3" ht="31.5">
      <c r="A104" s="7">
        <v>955</v>
      </c>
      <c r="B104" s="231" t="s">
        <v>1565</v>
      </c>
      <c r="C104" s="7" t="s">
        <v>1566</v>
      </c>
    </row>
    <row r="105" spans="1:3" ht="47.25">
      <c r="A105" s="7">
        <v>955</v>
      </c>
      <c r="B105" s="231" t="s">
        <v>1085</v>
      </c>
      <c r="C105" s="7" t="s">
        <v>1086</v>
      </c>
    </row>
    <row r="106" spans="1:3" ht="78.75">
      <c r="A106" s="232">
        <v>955</v>
      </c>
      <c r="B106" s="7" t="s">
        <v>1567</v>
      </c>
      <c r="C106" s="7" t="s">
        <v>1568</v>
      </c>
    </row>
    <row r="107" spans="1:3" ht="63">
      <c r="A107" s="232">
        <v>955</v>
      </c>
      <c r="B107" s="7" t="s">
        <v>1569</v>
      </c>
      <c r="C107" s="7" t="s">
        <v>2016</v>
      </c>
    </row>
    <row r="108" spans="1:3" ht="63">
      <c r="A108" s="7">
        <v>955</v>
      </c>
      <c r="B108" s="7" t="s">
        <v>2090</v>
      </c>
      <c r="C108" s="7" t="s">
        <v>2091</v>
      </c>
    </row>
    <row r="109" spans="1:3" ht="47.25">
      <c r="A109" s="232">
        <v>955</v>
      </c>
      <c r="B109" s="7" t="s">
        <v>1204</v>
      </c>
      <c r="C109" s="7" t="s">
        <v>1205</v>
      </c>
    </row>
    <row r="110" spans="1:3" ht="31.5">
      <c r="A110" s="7">
        <v>955</v>
      </c>
      <c r="B110" s="231" t="s">
        <v>1206</v>
      </c>
      <c r="C110" s="7" t="s">
        <v>1207</v>
      </c>
    </row>
    <row r="111" spans="1:3" ht="31.5">
      <c r="A111" s="232">
        <v>955</v>
      </c>
      <c r="B111" s="7" t="s">
        <v>1208</v>
      </c>
      <c r="C111" s="7" t="s">
        <v>1425</v>
      </c>
    </row>
    <row r="112" spans="1:3" ht="63">
      <c r="A112" s="7">
        <v>955</v>
      </c>
      <c r="B112" s="7" t="s">
        <v>10</v>
      </c>
      <c r="C112" s="7" t="s">
        <v>1087</v>
      </c>
    </row>
    <row r="113" spans="1:3" ht="31.5">
      <c r="A113" s="7">
        <v>955</v>
      </c>
      <c r="B113" s="7" t="s">
        <v>2017</v>
      </c>
      <c r="C113" s="7" t="s">
        <v>2018</v>
      </c>
    </row>
    <row r="114" spans="1:3" ht="63">
      <c r="A114" s="7">
        <v>955</v>
      </c>
      <c r="B114" s="7" t="s">
        <v>1427</v>
      </c>
      <c r="C114" s="7" t="s">
        <v>1428</v>
      </c>
    </row>
    <row r="115" spans="1:3" ht="31.5">
      <c r="A115" s="7">
        <v>955</v>
      </c>
      <c r="B115" s="7" t="s">
        <v>1983</v>
      </c>
      <c r="C115" s="7" t="s">
        <v>1984</v>
      </c>
    </row>
    <row r="116" spans="1:3" ht="47.25">
      <c r="A116" s="7">
        <v>955</v>
      </c>
      <c r="B116" s="7" t="s">
        <v>1985</v>
      </c>
      <c r="C116" s="7" t="s">
        <v>1986</v>
      </c>
    </row>
    <row r="117" spans="1:3" ht="15.75">
      <c r="A117" s="7">
        <v>955</v>
      </c>
      <c r="B117" s="7" t="s">
        <v>1429</v>
      </c>
      <c r="C117" s="2" t="s">
        <v>1430</v>
      </c>
    </row>
    <row r="118" spans="1:3" ht="47.25">
      <c r="A118" s="7">
        <v>955</v>
      </c>
      <c r="B118" s="7" t="s">
        <v>1988</v>
      </c>
      <c r="C118" s="7" t="s">
        <v>1989</v>
      </c>
    </row>
    <row r="119" spans="1:3" ht="47.25">
      <c r="A119" s="7">
        <v>955</v>
      </c>
      <c r="B119" s="7" t="s">
        <v>1847</v>
      </c>
      <c r="C119" s="7" t="s">
        <v>1990</v>
      </c>
    </row>
    <row r="120" spans="1:3" ht="63">
      <c r="A120" s="7">
        <v>955</v>
      </c>
      <c r="B120" s="7" t="s">
        <v>913</v>
      </c>
      <c r="C120" s="7" t="s">
        <v>914</v>
      </c>
    </row>
    <row r="121" spans="1:3" ht="78.75">
      <c r="A121" s="7">
        <v>955</v>
      </c>
      <c r="B121" s="7" t="s">
        <v>915</v>
      </c>
      <c r="C121" s="7" t="s">
        <v>916</v>
      </c>
    </row>
    <row r="122" spans="1:3" ht="63">
      <c r="A122" s="7">
        <v>955</v>
      </c>
      <c r="B122" s="7" t="s">
        <v>2078</v>
      </c>
      <c r="C122" s="7" t="s">
        <v>2079</v>
      </c>
    </row>
    <row r="123" spans="1:3" ht="31.5">
      <c r="A123" s="7">
        <v>955</v>
      </c>
      <c r="B123" s="7" t="s">
        <v>917</v>
      </c>
      <c r="C123" s="7" t="s">
        <v>918</v>
      </c>
    </row>
    <row r="124" spans="1:3" ht="110.25">
      <c r="A124" s="7">
        <v>955</v>
      </c>
      <c r="B124" s="7" t="s">
        <v>919</v>
      </c>
      <c r="C124" s="7" t="s">
        <v>1486</v>
      </c>
    </row>
    <row r="125" spans="1:3" ht="33.75" customHeight="1">
      <c r="A125" s="794" t="s">
        <v>1487</v>
      </c>
      <c r="B125" s="795"/>
      <c r="C125" s="796"/>
    </row>
    <row r="126" spans="1:3" ht="47.25">
      <c r="A126" s="234">
        <v>956</v>
      </c>
      <c r="B126" s="231" t="s">
        <v>1564</v>
      </c>
      <c r="C126" s="7" t="s">
        <v>2089</v>
      </c>
    </row>
    <row r="127" spans="1:3" ht="31.5">
      <c r="A127" s="234">
        <v>956</v>
      </c>
      <c r="B127" s="231" t="s">
        <v>1565</v>
      </c>
      <c r="C127" s="7" t="s">
        <v>1566</v>
      </c>
    </row>
    <row r="128" spans="1:3" ht="78.75">
      <c r="A128" s="232">
        <v>956</v>
      </c>
      <c r="B128" s="7" t="s">
        <v>1567</v>
      </c>
      <c r="C128" s="7" t="s">
        <v>1568</v>
      </c>
    </row>
    <row r="129" spans="1:3" ht="63">
      <c r="A129" s="232">
        <v>956</v>
      </c>
      <c r="B129" s="7" t="s">
        <v>1569</v>
      </c>
      <c r="C129" s="7" t="s">
        <v>2016</v>
      </c>
    </row>
    <row r="130" spans="1:3" ht="47.25">
      <c r="A130" s="232">
        <v>956</v>
      </c>
      <c r="B130" s="7" t="s">
        <v>1204</v>
      </c>
      <c r="C130" s="7" t="s">
        <v>1205</v>
      </c>
    </row>
    <row r="131" spans="1:3" ht="31.5">
      <c r="A131" s="232">
        <v>956</v>
      </c>
      <c r="B131" s="231" t="s">
        <v>1206</v>
      </c>
      <c r="C131" s="7" t="s">
        <v>1207</v>
      </c>
    </row>
    <row r="132" spans="1:3" ht="31.5">
      <c r="A132" s="232">
        <v>956</v>
      </c>
      <c r="B132" s="7" t="s">
        <v>1208</v>
      </c>
      <c r="C132" s="7" t="s">
        <v>1425</v>
      </c>
    </row>
    <row r="133" spans="1:3" ht="47.25">
      <c r="A133" s="232">
        <v>956</v>
      </c>
      <c r="B133" s="7" t="s">
        <v>1426</v>
      </c>
      <c r="C133" s="7" t="s">
        <v>1570</v>
      </c>
    </row>
    <row r="134" spans="1:3" ht="31.5">
      <c r="A134" s="232">
        <v>956</v>
      </c>
      <c r="B134" s="7" t="s">
        <v>2017</v>
      </c>
      <c r="C134" s="7" t="s">
        <v>2018</v>
      </c>
    </row>
    <row r="135" spans="1:3" ht="63">
      <c r="A135" s="232">
        <v>956</v>
      </c>
      <c r="B135" s="7" t="s">
        <v>1427</v>
      </c>
      <c r="C135" s="7" t="s">
        <v>1428</v>
      </c>
    </row>
    <row r="136" spans="1:3" ht="51.75" customHeight="1">
      <c r="A136" s="232">
        <v>956</v>
      </c>
      <c r="B136" s="7" t="s">
        <v>1488</v>
      </c>
      <c r="C136" s="7" t="s">
        <v>2396</v>
      </c>
    </row>
    <row r="137" spans="1:3" ht="15.75">
      <c r="A137" s="7">
        <v>956</v>
      </c>
      <c r="B137" s="7" t="s">
        <v>1429</v>
      </c>
      <c r="C137" s="2" t="s">
        <v>1430</v>
      </c>
    </row>
    <row r="138" spans="1:3" ht="78.75">
      <c r="A138" s="7">
        <v>956</v>
      </c>
      <c r="B138" s="7" t="s">
        <v>915</v>
      </c>
      <c r="C138" s="2" t="s">
        <v>916</v>
      </c>
    </row>
    <row r="139" spans="1:3" ht="94.5">
      <c r="A139" s="7">
        <v>956</v>
      </c>
      <c r="B139" s="7" t="s">
        <v>2245</v>
      </c>
      <c r="C139" s="2" t="s">
        <v>2246</v>
      </c>
    </row>
    <row r="140" spans="1:3" ht="63">
      <c r="A140" s="7">
        <v>956</v>
      </c>
      <c r="B140" s="7" t="s">
        <v>2247</v>
      </c>
      <c r="C140" s="2" t="s">
        <v>2248</v>
      </c>
    </row>
    <row r="141" spans="1:3" ht="78.75">
      <c r="A141" s="7">
        <v>956</v>
      </c>
      <c r="B141" s="7" t="s">
        <v>2249</v>
      </c>
      <c r="C141" s="2" t="s">
        <v>2250</v>
      </c>
    </row>
    <row r="142" spans="1:3" ht="47.25">
      <c r="A142" s="232">
        <v>956</v>
      </c>
      <c r="B142" s="7" t="s">
        <v>1489</v>
      </c>
      <c r="C142" s="2" t="s">
        <v>1490</v>
      </c>
    </row>
    <row r="143" spans="1:3" ht="31.5">
      <c r="A143" s="231">
        <v>956</v>
      </c>
      <c r="B143" s="7" t="s">
        <v>917</v>
      </c>
      <c r="C143" s="7" t="s">
        <v>918</v>
      </c>
    </row>
    <row r="144" spans="1:3" ht="35.25" customHeight="1">
      <c r="A144" s="797" t="s">
        <v>1493</v>
      </c>
      <c r="B144" s="798"/>
      <c r="C144" s="799"/>
    </row>
    <row r="145" spans="1:3" ht="47.25">
      <c r="A145" s="233">
        <v>958</v>
      </c>
      <c r="B145" s="231" t="s">
        <v>1564</v>
      </c>
      <c r="C145" s="7" t="s">
        <v>2089</v>
      </c>
    </row>
    <row r="146" spans="1:3" ht="31.5">
      <c r="A146" s="233">
        <v>958</v>
      </c>
      <c r="B146" s="231" t="s">
        <v>1565</v>
      </c>
      <c r="C146" s="7" t="s">
        <v>1566</v>
      </c>
    </row>
    <row r="147" spans="1:3" ht="78.75">
      <c r="A147" s="232">
        <v>958</v>
      </c>
      <c r="B147" s="7" t="s">
        <v>1567</v>
      </c>
      <c r="C147" s="7" t="s">
        <v>1568</v>
      </c>
    </row>
    <row r="148" spans="1:3" ht="63">
      <c r="A148" s="232">
        <v>958</v>
      </c>
      <c r="B148" s="7" t="s">
        <v>1569</v>
      </c>
      <c r="C148" s="7" t="s">
        <v>2016</v>
      </c>
    </row>
    <row r="149" spans="1:3" ht="110.25">
      <c r="A149" s="232">
        <v>958</v>
      </c>
      <c r="B149" s="7" t="s">
        <v>2251</v>
      </c>
      <c r="C149" s="7" t="s">
        <v>2252</v>
      </c>
    </row>
    <row r="150" spans="1:3" ht="47.25">
      <c r="A150" s="232">
        <v>958</v>
      </c>
      <c r="B150" s="7" t="s">
        <v>1204</v>
      </c>
      <c r="C150" s="7" t="s">
        <v>1205</v>
      </c>
    </row>
    <row r="151" spans="1:3" ht="31.5">
      <c r="A151" s="232">
        <v>958</v>
      </c>
      <c r="B151" s="231" t="s">
        <v>1206</v>
      </c>
      <c r="C151" s="7" t="s">
        <v>1207</v>
      </c>
    </row>
    <row r="152" spans="1:3" ht="31.5">
      <c r="A152" s="232">
        <v>958</v>
      </c>
      <c r="B152" s="7" t="s">
        <v>1208</v>
      </c>
      <c r="C152" s="7" t="s">
        <v>1425</v>
      </c>
    </row>
    <row r="153" spans="1:3" ht="47.25">
      <c r="A153" s="232">
        <v>958</v>
      </c>
      <c r="B153" s="7" t="s">
        <v>1426</v>
      </c>
      <c r="C153" s="7" t="s">
        <v>1570</v>
      </c>
    </row>
    <row r="154" spans="1:3" ht="31.5">
      <c r="A154" s="232">
        <v>958</v>
      </c>
      <c r="B154" s="7" t="s">
        <v>2017</v>
      </c>
      <c r="C154" s="7" t="s">
        <v>2018</v>
      </c>
    </row>
    <row r="155" spans="1:3" ht="63">
      <c r="A155" s="232">
        <v>958</v>
      </c>
      <c r="B155" s="7" t="s">
        <v>1427</v>
      </c>
      <c r="C155" s="7" t="s">
        <v>1428</v>
      </c>
    </row>
    <row r="156" spans="1:3" ht="31.5">
      <c r="A156" s="232">
        <v>958</v>
      </c>
      <c r="B156" s="7" t="s">
        <v>1562</v>
      </c>
      <c r="C156" s="7" t="s">
        <v>1563</v>
      </c>
    </row>
    <row r="157" spans="1:3" ht="78.75">
      <c r="A157" s="232">
        <v>958</v>
      </c>
      <c r="B157" s="7" t="s">
        <v>2228</v>
      </c>
      <c r="C157" s="7" t="s">
        <v>2227</v>
      </c>
    </row>
    <row r="158" spans="1:3" ht="78.75">
      <c r="A158" s="232">
        <v>958</v>
      </c>
      <c r="B158" s="7" t="s">
        <v>2225</v>
      </c>
      <c r="C158" s="7" t="s">
        <v>2226</v>
      </c>
    </row>
    <row r="159" spans="1:3" ht="31.5">
      <c r="A159" s="232">
        <v>958</v>
      </c>
      <c r="B159" s="7" t="s">
        <v>2073</v>
      </c>
      <c r="C159" s="7" t="s">
        <v>2074</v>
      </c>
    </row>
    <row r="160" spans="1:3" ht="47.25">
      <c r="A160" s="232">
        <v>958</v>
      </c>
      <c r="B160" s="7" t="s">
        <v>1488</v>
      </c>
      <c r="C160" s="7" t="s">
        <v>2397</v>
      </c>
    </row>
    <row r="161" spans="1:3" ht="47.25">
      <c r="A161" s="232">
        <v>958</v>
      </c>
      <c r="B161" s="7" t="s">
        <v>2233</v>
      </c>
      <c r="C161" s="7" t="s">
        <v>2234</v>
      </c>
    </row>
    <row r="162" spans="1:3" ht="78.75">
      <c r="A162" s="232">
        <v>958</v>
      </c>
      <c r="B162" s="7" t="s">
        <v>2080</v>
      </c>
      <c r="C162" s="7" t="s">
        <v>2081</v>
      </c>
    </row>
    <row r="163" spans="1:3" ht="47.25">
      <c r="A163" s="232">
        <v>958</v>
      </c>
      <c r="B163" s="7" t="s">
        <v>2082</v>
      </c>
      <c r="C163" s="7" t="s">
        <v>2083</v>
      </c>
    </row>
    <row r="164" spans="1:3" ht="47.25">
      <c r="A164" s="231">
        <v>958</v>
      </c>
      <c r="B164" s="231" t="s">
        <v>2235</v>
      </c>
      <c r="C164" s="7" t="s">
        <v>2236</v>
      </c>
    </row>
    <row r="165" spans="1:3" ht="47.25">
      <c r="A165" s="231">
        <v>958</v>
      </c>
      <c r="B165" s="231" t="s">
        <v>2242</v>
      </c>
      <c r="C165" s="7" t="s">
        <v>2243</v>
      </c>
    </row>
    <row r="166" spans="1:3" ht="15.75">
      <c r="A166" s="232">
        <v>958</v>
      </c>
      <c r="B166" s="7" t="s">
        <v>1429</v>
      </c>
      <c r="C166" s="7" t="s">
        <v>1430</v>
      </c>
    </row>
    <row r="167" spans="1:3" ht="78.75">
      <c r="A167" s="232">
        <v>958</v>
      </c>
      <c r="B167" s="7" t="s">
        <v>2224</v>
      </c>
      <c r="C167" s="7" t="s">
        <v>916</v>
      </c>
    </row>
    <row r="168" spans="1:3" ht="31.5">
      <c r="A168" s="232">
        <v>958</v>
      </c>
      <c r="B168" s="7" t="s">
        <v>917</v>
      </c>
      <c r="C168" s="7" t="s">
        <v>918</v>
      </c>
    </row>
    <row r="169" spans="1:3" ht="31.5" hidden="1">
      <c r="A169" s="131">
        <v>979</v>
      </c>
      <c r="B169" s="129" t="s">
        <v>1562</v>
      </c>
      <c r="C169" s="2" t="s">
        <v>1563</v>
      </c>
    </row>
    <row r="170" spans="1:3" ht="15.75">
      <c r="A170" s="789" t="s">
        <v>2437</v>
      </c>
      <c r="B170" s="790"/>
      <c r="C170" s="791"/>
    </row>
    <row r="171" spans="1:3" ht="78.75">
      <c r="A171" s="231">
        <v>982</v>
      </c>
      <c r="B171" s="7" t="s">
        <v>2224</v>
      </c>
      <c r="C171" s="7" t="s">
        <v>916</v>
      </c>
    </row>
  </sheetData>
  <mergeCells count="13">
    <mergeCell ref="A170:C170"/>
    <mergeCell ref="A6:C6"/>
    <mergeCell ref="A8:C8"/>
    <mergeCell ref="A1:C1"/>
    <mergeCell ref="A2:C2"/>
    <mergeCell ref="A3:C3"/>
    <mergeCell ref="A4:C4"/>
    <mergeCell ref="A125:C125"/>
    <mergeCell ref="A144:C144"/>
    <mergeCell ref="A31:C31"/>
    <mergeCell ref="A55:C55"/>
    <mergeCell ref="A80:C80"/>
    <mergeCell ref="A101:C101"/>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I81"/>
  <sheetViews>
    <sheetView view="pageBreakPreview" topLeftCell="A64" zoomScaleSheetLayoutView="100" workbookViewId="0">
      <selection activeCell="J16" sqref="J16"/>
    </sheetView>
  </sheetViews>
  <sheetFormatPr defaultColWidth="9.140625" defaultRowHeight="15.75"/>
  <cols>
    <col min="1" max="1" width="4.140625" style="248" customWidth="1"/>
    <col min="2" max="2" width="61.85546875" style="248" customWidth="1"/>
    <col min="3" max="3" width="15.42578125" style="248" hidden="1" customWidth="1"/>
    <col min="4" max="4" width="12.85546875" style="248" hidden="1" customWidth="1"/>
    <col min="5" max="5" width="14" style="248" customWidth="1"/>
    <col min="6" max="6" width="16.5703125" style="248" customWidth="1"/>
    <col min="7" max="7" width="13.85546875" style="248" customWidth="1"/>
    <col min="8" max="16384" width="9.140625" style="248"/>
  </cols>
  <sheetData>
    <row r="1" spans="1:9">
      <c r="B1" s="839" t="s">
        <v>2468</v>
      </c>
      <c r="C1" s="839"/>
      <c r="D1" s="839"/>
      <c r="E1" s="839"/>
      <c r="F1" s="839"/>
      <c r="G1" s="839"/>
    </row>
    <row r="2" spans="1:9">
      <c r="B2" s="839" t="s">
        <v>1058</v>
      </c>
      <c r="C2" s="839"/>
      <c r="D2" s="839"/>
      <c r="E2" s="839"/>
      <c r="F2" s="839"/>
      <c r="G2" s="839"/>
    </row>
    <row r="3" spans="1:9">
      <c r="B3" s="839" t="s">
        <v>716</v>
      </c>
      <c r="C3" s="839"/>
      <c r="D3" s="839"/>
      <c r="E3" s="839"/>
      <c r="F3" s="839"/>
      <c r="G3" s="839"/>
    </row>
    <row r="4" spans="1:9" ht="14.25" customHeight="1">
      <c r="B4" s="839" t="s">
        <v>3095</v>
      </c>
      <c r="C4" s="839"/>
      <c r="D4" s="839"/>
      <c r="E4" s="839"/>
      <c r="F4" s="839"/>
      <c r="G4" s="839"/>
    </row>
    <row r="5" spans="1:9" ht="2.25" customHeight="1">
      <c r="B5" s="517"/>
      <c r="C5" s="517"/>
    </row>
    <row r="6" spans="1:9" ht="0.75" customHeight="1"/>
    <row r="7" spans="1:9" ht="34.5" customHeight="1">
      <c r="A7" s="836" t="s">
        <v>2598</v>
      </c>
      <c r="B7" s="836"/>
      <c r="C7" s="836"/>
      <c r="D7" s="836"/>
      <c r="E7" s="836"/>
      <c r="F7" s="836"/>
      <c r="G7" s="836"/>
    </row>
    <row r="8" spans="1:9" ht="25.5" customHeight="1" thickBot="1">
      <c r="A8" s="899" t="s">
        <v>2573</v>
      </c>
      <c r="B8" s="899"/>
      <c r="C8" s="899"/>
      <c r="D8" s="899"/>
      <c r="E8" s="899"/>
      <c r="F8" s="899"/>
      <c r="G8" s="899"/>
    </row>
    <row r="9" spans="1:9" ht="31.5">
      <c r="A9" s="900" t="s">
        <v>1633</v>
      </c>
      <c r="B9" s="901"/>
      <c r="C9" s="643" t="s">
        <v>3176</v>
      </c>
      <c r="D9" s="518" t="s">
        <v>1129</v>
      </c>
      <c r="E9" s="139" t="s">
        <v>3177</v>
      </c>
      <c r="F9" s="518" t="s">
        <v>1129</v>
      </c>
      <c r="G9" s="520" t="s">
        <v>2393</v>
      </c>
      <c r="I9" s="276"/>
    </row>
    <row r="10" spans="1:9" ht="17.25" customHeight="1">
      <c r="A10" s="902" t="s">
        <v>9</v>
      </c>
      <c r="B10" s="903"/>
      <c r="C10" s="251">
        <v>7500000</v>
      </c>
      <c r="D10" s="251">
        <v>12783000</v>
      </c>
      <c r="E10" s="251">
        <v>8007420</v>
      </c>
      <c r="F10" s="580"/>
      <c r="G10" s="581">
        <f>SUM(E10:F10)</f>
        <v>8007420</v>
      </c>
      <c r="I10" s="276"/>
    </row>
    <row r="11" spans="1:9" ht="17.25" customHeight="1">
      <c r="A11" s="902" t="s">
        <v>1383</v>
      </c>
      <c r="B11" s="903"/>
      <c r="C11" s="497"/>
      <c r="D11" s="497"/>
      <c r="E11" s="497">
        <v>1000000</v>
      </c>
      <c r="F11" s="582"/>
      <c r="G11" s="581">
        <f t="shared" ref="G11:G12" si="0">SUM(E11:F11)</f>
        <v>1000000</v>
      </c>
      <c r="I11" s="276"/>
    </row>
    <row r="12" spans="1:9" ht="17.25" customHeight="1">
      <c r="A12" s="902" t="s">
        <v>651</v>
      </c>
      <c r="B12" s="903"/>
      <c r="C12" s="497"/>
      <c r="D12" s="497"/>
      <c r="E12" s="497">
        <v>1000000</v>
      </c>
      <c r="F12" s="582"/>
      <c r="G12" s="581">
        <f t="shared" si="0"/>
        <v>1000000</v>
      </c>
      <c r="I12" s="276"/>
    </row>
    <row r="13" spans="1:9" ht="21.75" customHeight="1" thickBot="1">
      <c r="A13" s="904" t="s">
        <v>1137</v>
      </c>
      <c r="B13" s="905"/>
      <c r="C13" s="362">
        <f>SUM(C10:C10)</f>
        <v>7500000</v>
      </c>
      <c r="D13" s="362">
        <f t="shared" ref="D13" si="1">SUM(D10:D10)</f>
        <v>12783000</v>
      </c>
      <c r="E13" s="362">
        <v>10007420</v>
      </c>
      <c r="F13" s="583">
        <f>F10+F11+F12</f>
        <v>0</v>
      </c>
      <c r="G13" s="585">
        <f>SUM(E13:F13)</f>
        <v>10007420</v>
      </c>
    </row>
    <row r="14" spans="1:9" ht="15" customHeight="1">
      <c r="A14" s="584"/>
      <c r="B14" s="584"/>
      <c r="C14" s="275"/>
      <c r="D14" s="275"/>
      <c r="E14" s="275"/>
      <c r="F14" s="275"/>
      <c r="G14" s="275"/>
    </row>
    <row r="15" spans="1:9" ht="69" customHeight="1" thickBot="1">
      <c r="A15" s="899" t="s">
        <v>2958</v>
      </c>
      <c r="B15" s="899"/>
      <c r="C15" s="899"/>
      <c r="D15" s="899"/>
      <c r="E15" s="899"/>
      <c r="F15" s="899"/>
      <c r="G15" s="899"/>
    </row>
    <row r="16" spans="1:9" ht="31.5">
      <c r="A16" s="900" t="s">
        <v>1633</v>
      </c>
      <c r="B16" s="901"/>
      <c r="C16" s="643" t="s">
        <v>3176</v>
      </c>
      <c r="D16" s="518" t="s">
        <v>1129</v>
      </c>
      <c r="E16" s="139" t="s">
        <v>3177</v>
      </c>
      <c r="F16" s="518" t="s">
        <v>1129</v>
      </c>
      <c r="G16" s="520" t="s">
        <v>2393</v>
      </c>
    </row>
    <row r="17" spans="1:7">
      <c r="A17" s="902" t="s">
        <v>9</v>
      </c>
      <c r="B17" s="903"/>
      <c r="C17" s="251">
        <v>19247000</v>
      </c>
      <c r="D17" s="251">
        <v>1000000</v>
      </c>
      <c r="E17" s="251">
        <v>19399159</v>
      </c>
      <c r="F17" s="580"/>
      <c r="G17" s="522">
        <f>SUM(E17:F17)</f>
        <v>19399159</v>
      </c>
    </row>
    <row r="18" spans="1:7">
      <c r="A18" s="902" t="s">
        <v>1383</v>
      </c>
      <c r="B18" s="903"/>
      <c r="C18" s="251">
        <v>500000</v>
      </c>
      <c r="D18" s="251"/>
      <c r="E18" s="251">
        <v>500000</v>
      </c>
      <c r="F18" s="469"/>
      <c r="G18" s="522">
        <f t="shared" ref="G18:G20" si="2">SUM(E18:F18)</f>
        <v>500000</v>
      </c>
    </row>
    <row r="19" spans="1:7" ht="15.75" customHeight="1">
      <c r="A19" s="902" t="s">
        <v>2171</v>
      </c>
      <c r="B19" s="903"/>
      <c r="C19" s="251">
        <v>1000000</v>
      </c>
      <c r="D19" s="251">
        <v>-1000000</v>
      </c>
      <c r="E19" s="251">
        <v>847841</v>
      </c>
      <c r="F19" s="580"/>
      <c r="G19" s="522">
        <f t="shared" si="2"/>
        <v>847841</v>
      </c>
    </row>
    <row r="20" spans="1:7">
      <c r="A20" s="902" t="s">
        <v>8</v>
      </c>
      <c r="B20" s="903"/>
      <c r="C20" s="251">
        <v>1500000</v>
      </c>
      <c r="D20" s="251"/>
      <c r="E20" s="251">
        <v>1500000</v>
      </c>
      <c r="F20" s="469"/>
      <c r="G20" s="522">
        <f t="shared" si="2"/>
        <v>1500000</v>
      </c>
    </row>
    <row r="21" spans="1:7" ht="14.25" customHeight="1" thickBot="1">
      <c r="A21" s="904" t="s">
        <v>1137</v>
      </c>
      <c r="B21" s="905"/>
      <c r="C21" s="362">
        <f>C17+C18+C19+C20</f>
        <v>22247000</v>
      </c>
      <c r="D21" s="362">
        <f t="shared" ref="D21" si="3">D17+D18+D19+D20</f>
        <v>0</v>
      </c>
      <c r="E21" s="362">
        <v>22247000</v>
      </c>
      <c r="F21" s="362">
        <f>SUM(F17:F20)</f>
        <v>0</v>
      </c>
      <c r="G21" s="523">
        <f>SUM(G17:G20)</f>
        <v>22247000</v>
      </c>
    </row>
    <row r="22" spans="1:7" ht="15" customHeight="1">
      <c r="A22" s="908"/>
      <c r="B22" s="908"/>
      <c r="C22" s="275"/>
      <c r="D22" s="275"/>
      <c r="E22" s="275"/>
    </row>
    <row r="23" spans="1:7" ht="49.5" customHeight="1" thickBot="1">
      <c r="A23" s="838" t="s">
        <v>3084</v>
      </c>
      <c r="B23" s="838"/>
      <c r="C23" s="838"/>
      <c r="D23" s="838"/>
      <c r="E23" s="838"/>
      <c r="F23" s="838"/>
      <c r="G23" s="838"/>
    </row>
    <row r="24" spans="1:7" ht="31.5">
      <c r="A24" s="900" t="s">
        <v>1633</v>
      </c>
      <c r="B24" s="901"/>
      <c r="C24" s="643" t="s">
        <v>3176</v>
      </c>
      <c r="D24" s="577" t="s">
        <v>1129</v>
      </c>
      <c r="E24" s="139" t="s">
        <v>3177</v>
      </c>
      <c r="F24" s="577" t="s">
        <v>1129</v>
      </c>
      <c r="G24" s="520" t="s">
        <v>2393</v>
      </c>
    </row>
    <row r="25" spans="1:7">
      <c r="A25" s="902" t="s">
        <v>9</v>
      </c>
      <c r="B25" s="903"/>
      <c r="C25" s="251">
        <v>7500000</v>
      </c>
      <c r="D25" s="251">
        <v>12783000</v>
      </c>
      <c r="E25" s="251">
        <v>10440000</v>
      </c>
      <c r="F25" s="521"/>
      <c r="G25" s="522">
        <f>E25+F25</f>
        <v>10440000</v>
      </c>
    </row>
    <row r="26" spans="1:7" ht="16.5" thickBot="1">
      <c r="A26" s="904" t="s">
        <v>1137</v>
      </c>
      <c r="B26" s="905"/>
      <c r="C26" s="362">
        <f>SUM(C25:C25)</f>
        <v>7500000</v>
      </c>
      <c r="D26" s="362">
        <f t="shared" ref="D26" si="4">SUM(D25:D25)</f>
        <v>12783000</v>
      </c>
      <c r="E26" s="362">
        <v>10440000</v>
      </c>
      <c r="F26" s="362">
        <f t="shared" ref="F26:G26" si="5">F25</f>
        <v>0</v>
      </c>
      <c r="G26" s="578">
        <f t="shared" si="5"/>
        <v>10440000</v>
      </c>
    </row>
    <row r="27" spans="1:7">
      <c r="B27" s="524"/>
      <c r="C27" s="524"/>
      <c r="D27" s="524"/>
      <c r="E27" s="524"/>
      <c r="F27" s="524"/>
      <c r="G27" s="525"/>
    </row>
    <row r="28" spans="1:7" ht="57" customHeight="1" thickBot="1">
      <c r="A28" s="838" t="s">
        <v>3099</v>
      </c>
      <c r="B28" s="838"/>
      <c r="C28" s="838"/>
      <c r="D28" s="838"/>
      <c r="E28" s="838"/>
      <c r="F28" s="838"/>
      <c r="G28" s="838"/>
    </row>
    <row r="29" spans="1:7" ht="31.5">
      <c r="A29" s="900" t="s">
        <v>1633</v>
      </c>
      <c r="B29" s="901"/>
      <c r="C29" s="643" t="s">
        <v>3176</v>
      </c>
      <c r="D29" s="579" t="s">
        <v>1129</v>
      </c>
      <c r="E29" s="139" t="s">
        <v>3177</v>
      </c>
      <c r="F29" s="579" t="s">
        <v>1129</v>
      </c>
      <c r="G29" s="520" t="s">
        <v>2393</v>
      </c>
    </row>
    <row r="30" spans="1:7">
      <c r="A30" s="902" t="s">
        <v>9</v>
      </c>
      <c r="B30" s="903"/>
      <c r="C30" s="251">
        <v>7500000</v>
      </c>
      <c r="D30" s="251">
        <v>12783000</v>
      </c>
      <c r="E30" s="251">
        <v>2914615.88</v>
      </c>
      <c r="F30" s="521"/>
      <c r="G30" s="522">
        <f>E30+F30</f>
        <v>2914615.88</v>
      </c>
    </row>
    <row r="31" spans="1:7" ht="16.5" thickBot="1">
      <c r="A31" s="904" t="s">
        <v>1137</v>
      </c>
      <c r="B31" s="905"/>
      <c r="C31" s="362">
        <f>SUM(C30:C30)</f>
        <v>7500000</v>
      </c>
      <c r="D31" s="362">
        <f t="shared" ref="D31" si="6">SUM(D30:D30)</f>
        <v>12783000</v>
      </c>
      <c r="E31" s="362">
        <v>2914615.88</v>
      </c>
      <c r="F31" s="362">
        <f t="shared" ref="F31:G31" si="7">F30</f>
        <v>0</v>
      </c>
      <c r="G31" s="578">
        <f t="shared" si="7"/>
        <v>2914615.88</v>
      </c>
    </row>
    <row r="32" spans="1:7" ht="11.25" customHeight="1">
      <c r="B32" s="524"/>
      <c r="C32" s="524"/>
      <c r="D32" s="524"/>
      <c r="E32" s="525"/>
      <c r="F32" s="525"/>
      <c r="G32" s="525"/>
    </row>
    <row r="33" spans="1:7" ht="99.75" customHeight="1" thickBot="1">
      <c r="A33" s="838" t="s">
        <v>3100</v>
      </c>
      <c r="B33" s="838"/>
      <c r="C33" s="838"/>
      <c r="D33" s="838"/>
      <c r="E33" s="838"/>
      <c r="F33" s="838"/>
      <c r="G33" s="838"/>
    </row>
    <row r="34" spans="1:7" ht="31.5">
      <c r="A34" s="900" t="s">
        <v>1633</v>
      </c>
      <c r="B34" s="901"/>
      <c r="C34" s="643" t="s">
        <v>3176</v>
      </c>
      <c r="D34" s="586" t="s">
        <v>1129</v>
      </c>
      <c r="E34" s="139" t="s">
        <v>3177</v>
      </c>
      <c r="F34" s="586" t="s">
        <v>1129</v>
      </c>
      <c r="G34" s="520" t="s">
        <v>2393</v>
      </c>
    </row>
    <row r="35" spans="1:7">
      <c r="A35" s="902" t="s">
        <v>9</v>
      </c>
      <c r="B35" s="903"/>
      <c r="C35" s="251">
        <v>7500000</v>
      </c>
      <c r="D35" s="251">
        <v>12783000</v>
      </c>
      <c r="E35" s="251">
        <v>9255747</v>
      </c>
      <c r="F35" s="521"/>
      <c r="G35" s="522">
        <f>E35+F35</f>
        <v>9255747</v>
      </c>
    </row>
    <row r="36" spans="1:7">
      <c r="A36" s="902" t="s">
        <v>8</v>
      </c>
      <c r="B36" s="903"/>
      <c r="C36" s="497"/>
      <c r="D36" s="497"/>
      <c r="E36" s="497">
        <v>26441429.399999999</v>
      </c>
      <c r="F36" s="587"/>
      <c r="G36" s="522">
        <f>E36+F36</f>
        <v>26441429.399999999</v>
      </c>
    </row>
    <row r="37" spans="1:7" ht="16.5" thickBot="1">
      <c r="A37" s="904" t="s">
        <v>1137</v>
      </c>
      <c r="B37" s="905"/>
      <c r="C37" s="362">
        <f>SUM(C35:C35)</f>
        <v>7500000</v>
      </c>
      <c r="D37" s="362">
        <f t="shared" ref="D37" si="8">SUM(D35:D35)</f>
        <v>12783000</v>
      </c>
      <c r="E37" s="362">
        <v>35697176.399999999</v>
      </c>
      <c r="F37" s="362">
        <f>SUM(F35:F36)</f>
        <v>0</v>
      </c>
      <c r="G37" s="362">
        <f>SUM(G35:G36)</f>
        <v>35697176.399999999</v>
      </c>
    </row>
    <row r="39" spans="1:7" ht="92.25" customHeight="1" thickBot="1">
      <c r="A39" s="838" t="s">
        <v>3101</v>
      </c>
      <c r="B39" s="838"/>
      <c r="C39" s="838"/>
      <c r="D39" s="838"/>
      <c r="E39" s="838"/>
      <c r="F39" s="838"/>
      <c r="G39" s="838"/>
    </row>
    <row r="40" spans="1:7" ht="31.5">
      <c r="A40" s="900" t="s">
        <v>1633</v>
      </c>
      <c r="B40" s="901"/>
      <c r="C40" s="643" t="s">
        <v>3176</v>
      </c>
      <c r="D40" s="586" t="s">
        <v>1129</v>
      </c>
      <c r="E40" s="139" t="s">
        <v>3177</v>
      </c>
      <c r="F40" s="586" t="s">
        <v>1129</v>
      </c>
      <c r="G40" s="520" t="s">
        <v>2393</v>
      </c>
    </row>
    <row r="41" spans="1:7">
      <c r="A41" s="902" t="s">
        <v>9</v>
      </c>
      <c r="B41" s="903"/>
      <c r="C41" s="251">
        <v>7500000</v>
      </c>
      <c r="D41" s="251">
        <v>12783000</v>
      </c>
      <c r="E41" s="251">
        <v>462787.35</v>
      </c>
      <c r="F41" s="521"/>
      <c r="G41" s="522">
        <f>E41+F41</f>
        <v>462787.35</v>
      </c>
    </row>
    <row r="42" spans="1:7">
      <c r="A42" s="902" t="s">
        <v>8</v>
      </c>
      <c r="B42" s="903"/>
      <c r="C42" s="497"/>
      <c r="D42" s="497"/>
      <c r="E42" s="497">
        <v>1708386.77</v>
      </c>
      <c r="F42" s="587"/>
      <c r="G42" s="522">
        <f>E42+F42</f>
        <v>1708386.77</v>
      </c>
    </row>
    <row r="43" spans="1:7" ht="16.5" thickBot="1">
      <c r="A43" s="904" t="s">
        <v>1137</v>
      </c>
      <c r="B43" s="905"/>
      <c r="C43" s="362">
        <f>SUM(C41:C41)</f>
        <v>7500000</v>
      </c>
      <c r="D43" s="362">
        <f t="shared" ref="D43" si="9">SUM(D41:D41)</f>
        <v>12783000</v>
      </c>
      <c r="E43" s="362">
        <v>2171174.12</v>
      </c>
      <c r="F43" s="362">
        <f>SUM(F41:F42)</f>
        <v>0</v>
      </c>
      <c r="G43" s="362">
        <f>SUM(G41:G42)</f>
        <v>2171174.12</v>
      </c>
    </row>
    <row r="45" spans="1:7" ht="32.25" customHeight="1" thickBot="1">
      <c r="A45" s="838" t="s">
        <v>3102</v>
      </c>
      <c r="B45" s="838"/>
      <c r="C45" s="838"/>
      <c r="D45" s="838"/>
      <c r="E45" s="838"/>
      <c r="F45" s="838"/>
      <c r="G45" s="838"/>
    </row>
    <row r="46" spans="1:7" ht="31.5">
      <c r="A46" s="900" t="s">
        <v>1633</v>
      </c>
      <c r="B46" s="901"/>
      <c r="C46" s="643" t="s">
        <v>3176</v>
      </c>
      <c r="D46" s="586" t="s">
        <v>1129</v>
      </c>
      <c r="E46" s="139" t="s">
        <v>3177</v>
      </c>
      <c r="F46" s="586" t="s">
        <v>1129</v>
      </c>
      <c r="G46" s="520" t="s">
        <v>2393</v>
      </c>
    </row>
    <row r="47" spans="1:7">
      <c r="A47" s="902" t="s">
        <v>2172</v>
      </c>
      <c r="B47" s="903"/>
      <c r="C47" s="497"/>
      <c r="D47" s="497"/>
      <c r="E47" s="497">
        <v>1696999.72</v>
      </c>
      <c r="F47" s="587"/>
      <c r="G47" s="522">
        <f>E47+F47</f>
        <v>1696999.72</v>
      </c>
    </row>
    <row r="48" spans="1:7" ht="16.5" thickBot="1">
      <c r="A48" s="904" t="s">
        <v>1137</v>
      </c>
      <c r="B48" s="905"/>
      <c r="C48" s="362" t="e">
        <f>SUM(#REF!)</f>
        <v>#REF!</v>
      </c>
      <c r="D48" s="362" t="e">
        <f>SUM(#REF!)</f>
        <v>#REF!</v>
      </c>
      <c r="E48" s="362">
        <v>1696999.72</v>
      </c>
      <c r="F48" s="362">
        <f>SUM(F47:F47)</f>
        <v>0</v>
      </c>
      <c r="G48" s="362">
        <f>SUM(G47:G47)</f>
        <v>1696999.72</v>
      </c>
    </row>
    <row r="50" spans="1:7" ht="59.25" customHeight="1" thickBot="1">
      <c r="A50" s="899" t="s">
        <v>3138</v>
      </c>
      <c r="B50" s="899"/>
      <c r="C50" s="899"/>
      <c r="D50" s="899"/>
      <c r="E50" s="899"/>
      <c r="F50" s="899"/>
      <c r="G50" s="899"/>
    </row>
    <row r="51" spans="1:7" ht="31.5">
      <c r="A51" s="900" t="s">
        <v>1633</v>
      </c>
      <c r="B51" s="901"/>
      <c r="C51" s="643" t="s">
        <v>3176</v>
      </c>
      <c r="D51" s="594" t="s">
        <v>1129</v>
      </c>
      <c r="E51" s="139" t="s">
        <v>3177</v>
      </c>
      <c r="F51" s="594" t="s">
        <v>1129</v>
      </c>
      <c r="G51" s="520" t="s">
        <v>2393</v>
      </c>
    </row>
    <row r="52" spans="1:7">
      <c r="A52" s="902" t="s">
        <v>9</v>
      </c>
      <c r="B52" s="903"/>
      <c r="C52" s="251">
        <v>19247000</v>
      </c>
      <c r="D52" s="251">
        <v>1000000</v>
      </c>
      <c r="E52" s="251">
        <v>12134900</v>
      </c>
      <c r="F52" s="521"/>
      <c r="G52" s="522">
        <f>SUM(E52:F52)</f>
        <v>12134900</v>
      </c>
    </row>
    <row r="53" spans="1:7">
      <c r="A53" s="902" t="s">
        <v>1383</v>
      </c>
      <c r="B53" s="903"/>
      <c r="C53" s="251">
        <v>500000</v>
      </c>
      <c r="D53" s="251"/>
      <c r="E53" s="251">
        <v>463000</v>
      </c>
      <c r="F53" s="521"/>
      <c r="G53" s="522">
        <f t="shared" ref="G53:G56" si="10">SUM(E53:F53)</f>
        <v>463000</v>
      </c>
    </row>
    <row r="54" spans="1:7">
      <c r="A54" s="902" t="s">
        <v>2171</v>
      </c>
      <c r="B54" s="903"/>
      <c r="C54" s="251">
        <v>1000000</v>
      </c>
      <c r="D54" s="251">
        <v>-1000000</v>
      </c>
      <c r="E54" s="251">
        <v>338300</v>
      </c>
      <c r="F54" s="521"/>
      <c r="G54" s="522">
        <f t="shared" si="10"/>
        <v>338300</v>
      </c>
    </row>
    <row r="55" spans="1:7">
      <c r="A55" s="902" t="s">
        <v>8</v>
      </c>
      <c r="B55" s="903"/>
      <c r="C55" s="251">
        <v>1500000</v>
      </c>
      <c r="D55" s="251"/>
      <c r="E55" s="251">
        <v>1959800</v>
      </c>
      <c r="F55" s="521"/>
      <c r="G55" s="522">
        <f t="shared" si="10"/>
        <v>1959800</v>
      </c>
    </row>
    <row r="56" spans="1:7">
      <c r="A56" s="902" t="s">
        <v>2172</v>
      </c>
      <c r="B56" s="903"/>
      <c r="C56" s="497"/>
      <c r="D56" s="497"/>
      <c r="E56" s="497">
        <v>1121900</v>
      </c>
      <c r="F56" s="587"/>
      <c r="G56" s="596">
        <f t="shared" si="10"/>
        <v>1121900</v>
      </c>
    </row>
    <row r="57" spans="1:7" ht="16.5" thickBot="1">
      <c r="A57" s="904" t="s">
        <v>1137</v>
      </c>
      <c r="B57" s="905"/>
      <c r="C57" s="362">
        <f>C52+C53+C54+C55</f>
        <v>22247000</v>
      </c>
      <c r="D57" s="362">
        <f t="shared" ref="D57" si="11">D52+D53+D54+D55</f>
        <v>0</v>
      </c>
      <c r="E57" s="362">
        <v>16017900</v>
      </c>
      <c r="F57" s="362">
        <f>SUM(F52:F56)</f>
        <v>0</v>
      </c>
      <c r="G57" s="362">
        <f>SUM(G52:G56)</f>
        <v>16017900</v>
      </c>
    </row>
    <row r="59" spans="1:7" ht="55.5" customHeight="1" thickBot="1">
      <c r="A59" s="838" t="s">
        <v>3139</v>
      </c>
      <c r="B59" s="838"/>
      <c r="C59" s="838"/>
      <c r="D59" s="838"/>
      <c r="E59" s="838"/>
      <c r="F59" s="838"/>
      <c r="G59" s="838"/>
    </row>
    <row r="60" spans="1:7" ht="31.5">
      <c r="A60" s="900" t="s">
        <v>1633</v>
      </c>
      <c r="B60" s="901"/>
      <c r="C60" s="643" t="s">
        <v>3176</v>
      </c>
      <c r="D60" s="594" t="s">
        <v>1129</v>
      </c>
      <c r="E60" s="139" t="s">
        <v>3177</v>
      </c>
      <c r="F60" s="594" t="s">
        <v>1129</v>
      </c>
      <c r="G60" s="520" t="s">
        <v>2393</v>
      </c>
    </row>
    <row r="61" spans="1:7">
      <c r="A61" s="902" t="s">
        <v>9</v>
      </c>
      <c r="B61" s="903"/>
      <c r="C61" s="251">
        <v>7500000</v>
      </c>
      <c r="D61" s="251">
        <v>12783000</v>
      </c>
      <c r="E61" s="251">
        <v>8994676</v>
      </c>
      <c r="F61" s="521"/>
      <c r="G61" s="522">
        <f>E61+F61</f>
        <v>8994676</v>
      </c>
    </row>
    <row r="62" spans="1:7" ht="16.5" thickBot="1">
      <c r="A62" s="904" t="s">
        <v>1137</v>
      </c>
      <c r="B62" s="905"/>
      <c r="C62" s="362">
        <f>SUM(C61:C61)</f>
        <v>7500000</v>
      </c>
      <c r="D62" s="362">
        <f t="shared" ref="D62" si="12">SUM(D61:D61)</f>
        <v>12783000</v>
      </c>
      <c r="E62" s="362">
        <v>8994676</v>
      </c>
      <c r="F62" s="362">
        <f t="shared" ref="F62:G62" si="13">F61</f>
        <v>0</v>
      </c>
      <c r="G62" s="362">
        <f t="shared" si="13"/>
        <v>8994676</v>
      </c>
    </row>
    <row r="64" spans="1:7" ht="52.5" customHeight="1" thickBot="1">
      <c r="A64" s="838" t="s">
        <v>3159</v>
      </c>
      <c r="B64" s="838"/>
      <c r="C64" s="838"/>
      <c r="D64" s="838"/>
      <c r="E64" s="838"/>
      <c r="F64" s="838"/>
      <c r="G64" s="838"/>
    </row>
    <row r="65" spans="1:7" ht="31.5">
      <c r="A65" s="900" t="s">
        <v>1633</v>
      </c>
      <c r="B65" s="901"/>
      <c r="C65" s="643" t="s">
        <v>3176</v>
      </c>
      <c r="D65" s="597" t="s">
        <v>1129</v>
      </c>
      <c r="E65" s="139" t="s">
        <v>3177</v>
      </c>
      <c r="F65" s="597" t="s">
        <v>1129</v>
      </c>
      <c r="G65" s="520" t="s">
        <v>2393</v>
      </c>
    </row>
    <row r="66" spans="1:7">
      <c r="A66" s="902" t="s">
        <v>9</v>
      </c>
      <c r="B66" s="903"/>
      <c r="C66" s="251">
        <v>7500000</v>
      </c>
      <c r="D66" s="251">
        <v>12783000</v>
      </c>
      <c r="E66" s="251">
        <v>1500000</v>
      </c>
      <c r="F66" s="521"/>
      <c r="G66" s="522">
        <f>E66+F66</f>
        <v>1500000</v>
      </c>
    </row>
    <row r="67" spans="1:7">
      <c r="A67" s="902" t="s">
        <v>1383</v>
      </c>
      <c r="B67" s="903"/>
      <c r="C67" s="497"/>
      <c r="D67" s="497"/>
      <c r="E67" s="497">
        <v>300000</v>
      </c>
      <c r="F67" s="587"/>
      <c r="G67" s="596">
        <v>300000</v>
      </c>
    </row>
    <row r="68" spans="1:7" ht="16.5" thickBot="1">
      <c r="A68" s="904" t="s">
        <v>1137</v>
      </c>
      <c r="B68" s="905"/>
      <c r="C68" s="362">
        <f>SUM(C66:C66)</f>
        <v>7500000</v>
      </c>
      <c r="D68" s="362">
        <f t="shared" ref="D68" si="14">SUM(D66:D66)</f>
        <v>12783000</v>
      </c>
      <c r="E68" s="362">
        <v>1800000</v>
      </c>
      <c r="F68" s="362">
        <f t="shared" ref="F68:G68" si="15">SUM(F66:F67)</f>
        <v>0</v>
      </c>
      <c r="G68" s="362">
        <f t="shared" si="15"/>
        <v>1800000</v>
      </c>
    </row>
    <row r="70" spans="1:7" ht="56.25" customHeight="1" thickBot="1">
      <c r="A70" s="838" t="s">
        <v>3160</v>
      </c>
      <c r="B70" s="838"/>
      <c r="C70" s="838"/>
      <c r="D70" s="838"/>
      <c r="E70" s="838"/>
      <c r="F70" s="838"/>
      <c r="G70" s="838"/>
    </row>
    <row r="71" spans="1:7" ht="31.5">
      <c r="A71" s="900" t="s">
        <v>1633</v>
      </c>
      <c r="B71" s="901"/>
      <c r="C71" s="643" t="s">
        <v>3176</v>
      </c>
      <c r="D71" s="594" t="s">
        <v>1129</v>
      </c>
      <c r="E71" s="139" t="s">
        <v>3177</v>
      </c>
      <c r="F71" s="594" t="s">
        <v>1129</v>
      </c>
      <c r="G71" s="520" t="s">
        <v>2393</v>
      </c>
    </row>
    <row r="72" spans="1:7">
      <c r="A72" s="902" t="s">
        <v>9</v>
      </c>
      <c r="B72" s="903"/>
      <c r="C72" s="251">
        <v>7500000</v>
      </c>
      <c r="D72" s="251">
        <v>12783000</v>
      </c>
      <c r="E72" s="251">
        <v>1295456.2</v>
      </c>
      <c r="F72" s="521"/>
      <c r="G72" s="522">
        <f>E72+F72</f>
        <v>1295456.2</v>
      </c>
    </row>
    <row r="73" spans="1:7">
      <c r="A73" s="902" t="s">
        <v>1383</v>
      </c>
      <c r="B73" s="903"/>
      <c r="C73" s="497"/>
      <c r="D73" s="497"/>
      <c r="E73" s="497">
        <v>215909.37</v>
      </c>
      <c r="F73" s="587"/>
      <c r="G73" s="596">
        <v>215909.37</v>
      </c>
    </row>
    <row r="74" spans="1:7" ht="16.5" thickBot="1">
      <c r="A74" s="904" t="s">
        <v>1137</v>
      </c>
      <c r="B74" s="905"/>
      <c r="C74" s="362">
        <f>SUM(C72:C72)</f>
        <v>7500000</v>
      </c>
      <c r="D74" s="362">
        <f t="shared" ref="D74" si="16">SUM(D72:D72)</f>
        <v>12783000</v>
      </c>
      <c r="E74" s="362">
        <v>1511365.5699999998</v>
      </c>
      <c r="F74" s="362">
        <f t="shared" ref="F74:G74" si="17">SUM(F72:F73)</f>
        <v>0</v>
      </c>
      <c r="G74" s="362">
        <f t="shared" si="17"/>
        <v>1511365.5699999998</v>
      </c>
    </row>
    <row r="75" spans="1:7">
      <c r="A75" s="584"/>
      <c r="B75" s="584"/>
      <c r="C75" s="275"/>
      <c r="D75" s="275"/>
      <c r="E75" s="275"/>
      <c r="F75" s="275"/>
      <c r="G75" s="275"/>
    </row>
    <row r="76" spans="1:7" ht="64.5" customHeight="1" thickBot="1">
      <c r="A76" s="838" t="s">
        <v>3161</v>
      </c>
      <c r="B76" s="838"/>
      <c r="C76" s="838"/>
      <c r="D76" s="838"/>
      <c r="E76" s="838"/>
      <c r="F76" s="838"/>
      <c r="G76" s="838"/>
    </row>
    <row r="77" spans="1:7" ht="31.5">
      <c r="A77" s="900" t="s">
        <v>1633</v>
      </c>
      <c r="B77" s="901"/>
      <c r="C77" s="643" t="s">
        <v>3176</v>
      </c>
      <c r="D77" s="598" t="s">
        <v>1129</v>
      </c>
      <c r="E77" s="139" t="s">
        <v>3177</v>
      </c>
      <c r="F77" s="598" t="s">
        <v>1129</v>
      </c>
      <c r="G77" s="520" t="s">
        <v>2393</v>
      </c>
    </row>
    <row r="78" spans="1:7">
      <c r="A78" s="902" t="s">
        <v>9</v>
      </c>
      <c r="B78" s="903"/>
      <c r="C78" s="251">
        <v>7500000</v>
      </c>
      <c r="D78" s="251">
        <v>12783000</v>
      </c>
      <c r="E78" s="251">
        <v>15874326</v>
      </c>
      <c r="F78" s="521"/>
      <c r="G78" s="522">
        <f>E78+F78</f>
        <v>15874326</v>
      </c>
    </row>
    <row r="79" spans="1:7" ht="16.5" thickBot="1">
      <c r="A79" s="904" t="s">
        <v>1137</v>
      </c>
      <c r="B79" s="905"/>
      <c r="C79" s="362">
        <f>SUM(C78:C78)</f>
        <v>7500000</v>
      </c>
      <c r="D79" s="362">
        <f t="shared" ref="D79" si="18">SUM(D78:D78)</f>
        <v>12783000</v>
      </c>
      <c r="E79" s="362">
        <v>15874326</v>
      </c>
      <c r="F79" s="362">
        <f t="shared" ref="F79:G79" si="19">F78</f>
        <v>0</v>
      </c>
      <c r="G79" s="362">
        <f t="shared" si="19"/>
        <v>15874326</v>
      </c>
    </row>
    <row r="80" spans="1:7">
      <c r="A80" s="584"/>
      <c r="B80" s="584"/>
      <c r="C80" s="275"/>
      <c r="D80" s="275"/>
      <c r="E80" s="275"/>
      <c r="F80" s="275"/>
      <c r="G80" s="275"/>
    </row>
    <row r="81" spans="2:7">
      <c r="B81" s="524" t="s">
        <v>2184</v>
      </c>
      <c r="C81" s="524"/>
      <c r="D81" s="524"/>
      <c r="E81" s="525">
        <v>129372653.69</v>
      </c>
      <c r="F81" s="525">
        <f>F13+F21+F26+F31+F37+F43+F48+F57+F62+F74+F68+F79</f>
        <v>0</v>
      </c>
      <c r="G81" s="525">
        <f>G13+G21+G26+G31+G37+G43+G48+G57+G62+G74+G68+G79</f>
        <v>129372653.69</v>
      </c>
    </row>
  </sheetData>
  <mergeCells count="67">
    <mergeCell ref="A76:G76"/>
    <mergeCell ref="A77:B77"/>
    <mergeCell ref="A78:B78"/>
    <mergeCell ref="A79:B79"/>
    <mergeCell ref="A72:B72"/>
    <mergeCell ref="A74:B74"/>
    <mergeCell ref="A73:B73"/>
    <mergeCell ref="A61:B61"/>
    <mergeCell ref="A62:B62"/>
    <mergeCell ref="A70:G70"/>
    <mergeCell ref="A71:B71"/>
    <mergeCell ref="A64:G64"/>
    <mergeCell ref="A65:B65"/>
    <mergeCell ref="A66:B66"/>
    <mergeCell ref="A67:B67"/>
    <mergeCell ref="A68:B68"/>
    <mergeCell ref="A55:B55"/>
    <mergeCell ref="A57:B57"/>
    <mergeCell ref="A56:B56"/>
    <mergeCell ref="A59:G59"/>
    <mergeCell ref="A60:B60"/>
    <mergeCell ref="A50:G50"/>
    <mergeCell ref="A51:B51"/>
    <mergeCell ref="A52:B52"/>
    <mergeCell ref="A53:B53"/>
    <mergeCell ref="A54:B54"/>
    <mergeCell ref="A45:G45"/>
    <mergeCell ref="A46:B46"/>
    <mergeCell ref="A47:B47"/>
    <mergeCell ref="A48:B48"/>
    <mergeCell ref="A40:B40"/>
    <mergeCell ref="A41:B41"/>
    <mergeCell ref="A43:B43"/>
    <mergeCell ref="A36:B36"/>
    <mergeCell ref="A42:B42"/>
    <mergeCell ref="A33:G33"/>
    <mergeCell ref="A34:B34"/>
    <mergeCell ref="A35:B35"/>
    <mergeCell ref="A37:B37"/>
    <mergeCell ref="A39:G39"/>
    <mergeCell ref="B1:G1"/>
    <mergeCell ref="A9:B9"/>
    <mergeCell ref="A10:B10"/>
    <mergeCell ref="A13:B13"/>
    <mergeCell ref="A16:B16"/>
    <mergeCell ref="A8:G8"/>
    <mergeCell ref="A7:G7"/>
    <mergeCell ref="B4:G4"/>
    <mergeCell ref="B3:G3"/>
    <mergeCell ref="B2:G2"/>
    <mergeCell ref="A11:B11"/>
    <mergeCell ref="A12:B12"/>
    <mergeCell ref="A17:B17"/>
    <mergeCell ref="A15:G15"/>
    <mergeCell ref="A23:G23"/>
    <mergeCell ref="A24:B24"/>
    <mergeCell ref="A25:B25"/>
    <mergeCell ref="A18:B18"/>
    <mergeCell ref="A19:B19"/>
    <mergeCell ref="A20:B20"/>
    <mergeCell ref="A21:B21"/>
    <mergeCell ref="A22:B22"/>
    <mergeCell ref="A28:G28"/>
    <mergeCell ref="A29:B29"/>
    <mergeCell ref="A30:B30"/>
    <mergeCell ref="A31:B31"/>
    <mergeCell ref="A26:B26"/>
  </mergeCells>
  <pageMargins left="0.70866141732283472" right="0.70866141732283472" top="0.74803149606299213" bottom="0.74803149606299213" header="0.31496062992125984" footer="0.31496062992125984"/>
  <pageSetup paperSize="9" scale="80" fitToHeight="0" orientation="portrait" r:id="rId1"/>
  <headerFooter alignWithMargins="0">
    <oddFooter>&amp;C&amp;P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G27"/>
  <sheetViews>
    <sheetView view="pageBreakPreview" zoomScale="85" zoomScaleSheetLayoutView="85" workbookViewId="0">
      <selection activeCell="K8" sqref="K8"/>
    </sheetView>
  </sheetViews>
  <sheetFormatPr defaultColWidth="9.140625" defaultRowHeight="12.75"/>
  <cols>
    <col min="1" max="1" width="43.140625" style="147" customWidth="1"/>
    <col min="2" max="2" width="12.140625" style="147" customWidth="1"/>
    <col min="3" max="3" width="12.7109375" style="147" customWidth="1"/>
    <col min="4" max="4" width="15.42578125" style="147" customWidth="1"/>
    <col min="5" max="5" width="15.5703125" style="147" customWidth="1"/>
    <col min="6" max="6" width="9.7109375" style="147" customWidth="1"/>
    <col min="7" max="16384" width="9.140625" style="147"/>
  </cols>
  <sheetData>
    <row r="1" spans="1:7" ht="15.75">
      <c r="A1" s="737" t="s">
        <v>2460</v>
      </c>
      <c r="B1" s="737"/>
      <c r="C1" s="737"/>
      <c r="D1" s="737"/>
      <c r="E1" s="737"/>
      <c r="F1" s="737"/>
      <c r="G1" s="737"/>
    </row>
    <row r="2" spans="1:7" ht="15.75">
      <c r="A2" s="737" t="s">
        <v>1058</v>
      </c>
      <c r="B2" s="737"/>
      <c r="C2" s="737"/>
      <c r="D2" s="737"/>
      <c r="E2" s="737"/>
      <c r="F2" s="737"/>
      <c r="G2" s="737"/>
    </row>
    <row r="3" spans="1:7" ht="15.75">
      <c r="A3" s="737" t="s">
        <v>716</v>
      </c>
      <c r="B3" s="737"/>
      <c r="C3" s="737"/>
      <c r="D3" s="737"/>
      <c r="E3" s="737"/>
      <c r="F3" s="737"/>
      <c r="G3" s="737"/>
    </row>
    <row r="4" spans="1:7" ht="15.75">
      <c r="A4" s="737" t="s">
        <v>3095</v>
      </c>
      <c r="B4" s="737"/>
      <c r="C4" s="737"/>
      <c r="D4" s="737"/>
      <c r="E4" s="737"/>
      <c r="F4" s="737"/>
      <c r="G4" s="737"/>
    </row>
    <row r="5" spans="1:7">
      <c r="A5" s="508"/>
      <c r="B5" s="508"/>
      <c r="C5" s="508"/>
      <c r="D5" s="508"/>
      <c r="E5" s="913"/>
      <c r="F5" s="913"/>
      <c r="G5" s="913"/>
    </row>
    <row r="6" spans="1:7">
      <c r="A6"/>
      <c r="B6"/>
      <c r="C6"/>
      <c r="D6"/>
      <c r="E6" s="913"/>
      <c r="F6" s="913"/>
      <c r="G6" s="913"/>
    </row>
    <row r="7" spans="1:7" ht="54.75" customHeight="1">
      <c r="A7" s="738" t="s">
        <v>3143</v>
      </c>
      <c r="B7" s="738"/>
      <c r="C7" s="738"/>
      <c r="D7" s="738"/>
      <c r="E7" s="738"/>
      <c r="F7" s="738"/>
      <c r="G7" s="738"/>
    </row>
    <row r="8" spans="1:7" ht="18.75">
      <c r="A8" s="593"/>
      <c r="B8" s="593"/>
      <c r="C8" s="593"/>
      <c r="D8" s="593"/>
      <c r="E8" s="913"/>
      <c r="F8" s="913"/>
      <c r="G8" s="913"/>
    </row>
    <row r="9" spans="1:7" ht="39.75" customHeight="1">
      <c r="A9" s="738" t="s">
        <v>3144</v>
      </c>
      <c r="B9" s="738"/>
      <c r="C9" s="738"/>
      <c r="D9" s="738"/>
      <c r="E9" s="738"/>
      <c r="F9" s="738"/>
      <c r="G9" s="738"/>
    </row>
    <row r="10" spans="1:7" ht="19.5" thickBot="1">
      <c r="A10" s="22"/>
      <c r="B10" s="22"/>
      <c r="C10" s="22"/>
      <c r="D10" s="22"/>
      <c r="E10" s="914"/>
      <c r="F10" s="914"/>
      <c r="G10" s="914"/>
    </row>
    <row r="11" spans="1:7" ht="63">
      <c r="A11" s="138" t="s">
        <v>1633</v>
      </c>
      <c r="B11" s="139" t="s">
        <v>3177</v>
      </c>
      <c r="C11" s="139" t="s">
        <v>632</v>
      </c>
      <c r="D11" s="520" t="s">
        <v>2496</v>
      </c>
      <c r="E11" s="520" t="s">
        <v>2584</v>
      </c>
      <c r="F11" s="520" t="s">
        <v>3175</v>
      </c>
      <c r="G11" s="520" t="s">
        <v>2584</v>
      </c>
    </row>
    <row r="12" spans="1:7" ht="15.75">
      <c r="A12" s="902" t="s">
        <v>9</v>
      </c>
      <c r="B12" s="903"/>
      <c r="C12" s="227"/>
      <c r="D12" s="529">
        <v>1333685</v>
      </c>
      <c r="E12" s="225">
        <v>0</v>
      </c>
      <c r="F12" s="225">
        <v>0</v>
      </c>
      <c r="G12" s="225">
        <f>SUM(E12:F12)</f>
        <v>0</v>
      </c>
    </row>
    <row r="13" spans="1:7" ht="16.5" thickBot="1">
      <c r="A13" s="141" t="s">
        <v>1137</v>
      </c>
      <c r="B13" s="352">
        <v>1380000</v>
      </c>
      <c r="C13" s="226">
        <f>SUM(C12:C12)</f>
        <v>0</v>
      </c>
      <c r="D13" s="531">
        <f>SUM(D12:D12)</f>
        <v>1333685</v>
      </c>
      <c r="E13" s="352"/>
      <c r="F13" s="352"/>
      <c r="G13" s="225">
        <f>SUM(E13:F13)</f>
        <v>0</v>
      </c>
    </row>
    <row r="14" spans="1:7" ht="40.5" customHeight="1">
      <c r="A14" s="915" t="s">
        <v>2378</v>
      </c>
      <c r="B14" s="915"/>
      <c r="C14" s="915"/>
      <c r="D14" s="915"/>
      <c r="E14" s="915"/>
      <c r="F14" s="915"/>
      <c r="G14" s="915"/>
    </row>
    <row r="15" spans="1:7" ht="21" customHeight="1" thickBot="1">
      <c r="A15" s="22"/>
      <c r="B15" s="916"/>
      <c r="C15" s="916"/>
      <c r="D15" s="916"/>
      <c r="E15" s="916"/>
      <c r="F15" s="916"/>
      <c r="G15" s="916"/>
    </row>
    <row r="16" spans="1:7" ht="63">
      <c r="A16" s="138" t="s">
        <v>1633</v>
      </c>
      <c r="B16" s="139" t="s">
        <v>3177</v>
      </c>
      <c r="C16" s="139" t="s">
        <v>632</v>
      </c>
      <c r="D16" s="520" t="s">
        <v>2496</v>
      </c>
      <c r="E16" s="520" t="s">
        <v>2584</v>
      </c>
      <c r="F16" s="520" t="s">
        <v>3175</v>
      </c>
      <c r="G16" s="520" t="s">
        <v>2584</v>
      </c>
    </row>
    <row r="17" spans="1:7" ht="15.75">
      <c r="A17" s="902" t="s">
        <v>9</v>
      </c>
      <c r="B17" s="903"/>
      <c r="C17" s="227"/>
      <c r="D17" s="529">
        <v>5631697</v>
      </c>
      <c r="E17" s="225">
        <v>0</v>
      </c>
      <c r="F17" s="225">
        <v>0</v>
      </c>
      <c r="G17" s="225">
        <f>SUM(E17:F17)</f>
        <v>0</v>
      </c>
    </row>
    <row r="18" spans="1:7" ht="16.5" thickBot="1">
      <c r="A18" s="141" t="s">
        <v>1137</v>
      </c>
      <c r="B18" s="352">
        <v>1380000</v>
      </c>
      <c r="C18" s="226">
        <f>SUM(C17:C17)</f>
        <v>0</v>
      </c>
      <c r="D18" s="531">
        <f>SUM(D17:D17)</f>
        <v>5631697</v>
      </c>
      <c r="E18" s="352"/>
      <c r="F18" s="352"/>
      <c r="G18" s="225">
        <f>SUM(E18:F18)</f>
        <v>0</v>
      </c>
    </row>
    <row r="19" spans="1:7" ht="50.25" customHeight="1">
      <c r="A19" s="915" t="s">
        <v>3162</v>
      </c>
      <c r="B19" s="915"/>
      <c r="C19" s="915"/>
      <c r="D19" s="915"/>
      <c r="E19" s="915"/>
      <c r="F19" s="915"/>
      <c r="G19" s="915"/>
    </row>
    <row r="20" spans="1:7" ht="19.5" thickBot="1">
      <c r="A20" s="916"/>
      <c r="B20" s="916"/>
      <c r="C20" s="916"/>
      <c r="D20" s="916"/>
      <c r="E20" s="916"/>
      <c r="F20" s="916"/>
      <c r="G20" s="916"/>
    </row>
    <row r="21" spans="1:7" ht="63">
      <c r="A21" s="138" t="s">
        <v>1633</v>
      </c>
      <c r="B21" s="139" t="s">
        <v>3177</v>
      </c>
      <c r="C21" s="139" t="s">
        <v>632</v>
      </c>
      <c r="D21" s="520" t="s">
        <v>2496</v>
      </c>
      <c r="E21" s="520" t="s">
        <v>3176</v>
      </c>
      <c r="F21" s="520" t="s">
        <v>3175</v>
      </c>
      <c r="G21" s="520" t="s">
        <v>2584</v>
      </c>
    </row>
    <row r="22" spans="1:7" ht="15.75">
      <c r="A22" s="644" t="s">
        <v>9</v>
      </c>
      <c r="B22" s="646">
        <v>700000</v>
      </c>
      <c r="C22" s="602"/>
      <c r="D22" s="603">
        <v>700000</v>
      </c>
      <c r="E22" s="604">
        <v>700000</v>
      </c>
      <c r="F22" s="604"/>
      <c r="G22" s="604">
        <f>SUM(E22:F22)</f>
        <v>700000</v>
      </c>
    </row>
    <row r="23" spans="1:7" ht="15.75">
      <c r="A23" s="600" t="s">
        <v>8</v>
      </c>
      <c r="B23" s="601">
        <v>350000</v>
      </c>
      <c r="C23" s="602"/>
      <c r="D23" s="603">
        <v>350000</v>
      </c>
      <c r="E23" s="604">
        <v>350000</v>
      </c>
      <c r="F23" s="604"/>
      <c r="G23" s="604">
        <f t="shared" ref="G23:G25" si="0">SUM(E23:F23)</f>
        <v>350000</v>
      </c>
    </row>
    <row r="24" spans="1:7" ht="15.75">
      <c r="A24" s="645" t="s">
        <v>1383</v>
      </c>
      <c r="B24" s="646">
        <v>350000</v>
      </c>
      <c r="C24" s="227"/>
      <c r="D24" s="529">
        <v>350000</v>
      </c>
      <c r="E24" s="225">
        <v>350000</v>
      </c>
      <c r="F24" s="225"/>
      <c r="G24" s="604">
        <f t="shared" si="0"/>
        <v>350000</v>
      </c>
    </row>
    <row r="25" spans="1:7" ht="15.75">
      <c r="A25" s="610" t="s">
        <v>1137</v>
      </c>
      <c r="B25" s="611">
        <v>1400000</v>
      </c>
      <c r="C25" s="612">
        <f>SUM(C24:C24)</f>
        <v>0</v>
      </c>
      <c r="D25" s="613">
        <f>SUM(D22:D24)</f>
        <v>1400000</v>
      </c>
      <c r="E25" s="613">
        <f>SUM(E22:E24)</f>
        <v>1400000</v>
      </c>
      <c r="F25" s="613">
        <f>SUM(F22:F24)</f>
        <v>0</v>
      </c>
      <c r="G25" s="604">
        <f t="shared" si="0"/>
        <v>1400000</v>
      </c>
    </row>
    <row r="26" spans="1:7">
      <c r="A26" s="235"/>
      <c r="B26" s="235"/>
      <c r="C26" s="235"/>
      <c r="D26" s="235"/>
      <c r="E26" s="235"/>
      <c r="F26" s="235"/>
      <c r="G26" s="235"/>
    </row>
    <row r="27" spans="1:7">
      <c r="A27" s="614" t="s">
        <v>2184</v>
      </c>
      <c r="B27" s="615">
        <v>8365382</v>
      </c>
      <c r="C27" s="615"/>
      <c r="D27" s="616">
        <f>D13+D18+D25</f>
        <v>8365382</v>
      </c>
      <c r="E27" s="616">
        <f>E13+E18+E25</f>
        <v>1400000</v>
      </c>
      <c r="F27" s="616">
        <f>F13+F18+F25</f>
        <v>0</v>
      </c>
      <c r="G27" s="616">
        <f>G13+G18+G25</f>
        <v>1400000</v>
      </c>
    </row>
  </sheetData>
  <mergeCells count="15">
    <mergeCell ref="A17:B17"/>
    <mergeCell ref="A19:G19"/>
    <mergeCell ref="A20:G20"/>
    <mergeCell ref="A14:G14"/>
    <mergeCell ref="B15:G15"/>
    <mergeCell ref="A12:B12"/>
    <mergeCell ref="A9:G9"/>
    <mergeCell ref="E10:G10"/>
    <mergeCell ref="A7:G7"/>
    <mergeCell ref="E8:G8"/>
    <mergeCell ref="A1:G1"/>
    <mergeCell ref="A2:G2"/>
    <mergeCell ref="A3:G3"/>
    <mergeCell ref="A4:G4"/>
    <mergeCell ref="E5:G6"/>
  </mergeCells>
  <pageMargins left="0.70866141732283472" right="0.70866141732283472" top="0.74803149606299213" bottom="0.74803149606299213" header="0.31496062992125984" footer="0.31496062992125984"/>
  <pageSetup paperSize="9" scale="75" fitToHeight="0" orientation="portrait" r:id="rId1"/>
  <headerFooter alignWithMargins="0">
    <oddFooter>&amp;C&amp;P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F17"/>
  <sheetViews>
    <sheetView showGridLines="0" view="pageBreakPreview" zoomScale="115" zoomScaleSheetLayoutView="115" workbookViewId="0">
      <selection activeCell="C13" sqref="C13:C16"/>
    </sheetView>
  </sheetViews>
  <sheetFormatPr defaultColWidth="9.140625" defaultRowHeight="12.75"/>
  <cols>
    <col min="1" max="1" width="59" style="376" customWidth="1"/>
    <col min="2" max="2" width="13.140625" style="376" customWidth="1"/>
    <col min="3" max="3" width="12.7109375" style="376" customWidth="1"/>
    <col min="4" max="4" width="16.140625" style="376" customWidth="1"/>
    <col min="5" max="6" width="9.140625" style="376" hidden="1" customWidth="1"/>
    <col min="7" max="16384" width="9.140625" style="376"/>
  </cols>
  <sheetData>
    <row r="1" spans="1:4" ht="15.75">
      <c r="A1" s="737" t="s">
        <v>52</v>
      </c>
      <c r="B1" s="737"/>
      <c r="C1" s="737"/>
      <c r="D1" s="737"/>
    </row>
    <row r="2" spans="1:4" ht="15.75">
      <c r="A2" s="737" t="s">
        <v>1058</v>
      </c>
      <c r="B2" s="737"/>
      <c r="C2" s="737"/>
      <c r="D2" s="737"/>
    </row>
    <row r="3" spans="1:4" ht="15.75">
      <c r="A3" s="737" t="s">
        <v>716</v>
      </c>
      <c r="B3" s="737"/>
      <c r="C3" s="737"/>
      <c r="D3" s="737"/>
    </row>
    <row r="4" spans="1:4" ht="15.75">
      <c r="A4" s="737" t="s">
        <v>3095</v>
      </c>
      <c r="B4" s="737"/>
      <c r="C4" s="737"/>
      <c r="D4" s="737"/>
    </row>
    <row r="5" spans="1:4">
      <c r="A5" s="372"/>
      <c r="B5" s="508"/>
      <c r="C5"/>
      <c r="D5"/>
    </row>
    <row r="6" spans="1:4">
      <c r="A6"/>
      <c r="B6"/>
      <c r="C6"/>
      <c r="D6"/>
    </row>
    <row r="7" spans="1:4" ht="34.5" customHeight="1">
      <c r="A7" s="738" t="s">
        <v>2599</v>
      </c>
      <c r="B7" s="738"/>
      <c r="C7" s="738"/>
      <c r="D7" s="738"/>
    </row>
    <row r="8" spans="1:4" ht="18.75">
      <c r="A8" s="370"/>
      <c r="B8" s="370"/>
      <c r="C8"/>
      <c r="D8"/>
    </row>
    <row r="9" spans="1:4" ht="56.45" customHeight="1">
      <c r="A9" s="738" t="s">
        <v>735</v>
      </c>
      <c r="B9" s="738"/>
      <c r="C9" s="738"/>
      <c r="D9" s="738"/>
    </row>
    <row r="10" spans="1:4" ht="18.75">
      <c r="A10" s="22"/>
      <c r="B10" s="22"/>
      <c r="C10"/>
      <c r="D10"/>
    </row>
    <row r="11" spans="1:4" ht="19.5" thickBot="1">
      <c r="A11" s="22"/>
      <c r="B11" s="22"/>
      <c r="C11"/>
      <c r="D11"/>
    </row>
    <row r="12" spans="1:4" ht="31.5">
      <c r="A12" s="138" t="s">
        <v>1633</v>
      </c>
      <c r="B12" s="139" t="s">
        <v>3177</v>
      </c>
      <c r="C12" s="507" t="s">
        <v>1129</v>
      </c>
      <c r="D12" s="507" t="s">
        <v>2393</v>
      </c>
    </row>
    <row r="13" spans="1:4" ht="15.75">
      <c r="A13" s="140" t="s">
        <v>1383</v>
      </c>
      <c r="B13" s="227">
        <v>71886</v>
      </c>
      <c r="C13" s="225"/>
      <c r="D13" s="225">
        <f>B13+C13</f>
        <v>71886</v>
      </c>
    </row>
    <row r="14" spans="1:4" ht="15.75">
      <c r="A14" s="140" t="s">
        <v>650</v>
      </c>
      <c r="B14" s="227">
        <v>71886</v>
      </c>
      <c r="C14" s="225"/>
      <c r="D14" s="225">
        <f t="shared" ref="D14:D17" si="0">B14+C14</f>
        <v>71886</v>
      </c>
    </row>
    <row r="15" spans="1:4" ht="15.75">
      <c r="A15" s="140" t="s">
        <v>8</v>
      </c>
      <c r="B15" s="227">
        <v>359420</v>
      </c>
      <c r="C15" s="225"/>
      <c r="D15" s="225">
        <f t="shared" si="0"/>
        <v>359420</v>
      </c>
    </row>
    <row r="16" spans="1:4" ht="15.75">
      <c r="A16" s="140" t="s">
        <v>651</v>
      </c>
      <c r="B16" s="227">
        <v>179710</v>
      </c>
      <c r="C16" s="225"/>
      <c r="D16" s="225">
        <f t="shared" si="0"/>
        <v>179710</v>
      </c>
    </row>
    <row r="17" spans="1:4" ht="16.5" thickBot="1">
      <c r="A17" s="141" t="s">
        <v>1137</v>
      </c>
      <c r="B17" s="226">
        <v>682902</v>
      </c>
      <c r="C17" s="352">
        <f t="shared" ref="C17" si="1">SUM(C13:C16)</f>
        <v>0</v>
      </c>
      <c r="D17" s="340">
        <f t="shared" si="0"/>
        <v>682902</v>
      </c>
    </row>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scale="88" fitToHeight="0" orientation="portrait" r:id="rId1"/>
  <headerFooter alignWithMargins="0">
    <oddFooter>&amp;C&amp;P</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D26"/>
  <sheetViews>
    <sheetView view="pageBreakPreview" zoomScale="115" zoomScaleSheetLayoutView="115" workbookViewId="0">
      <selection activeCell="C20" sqref="C20:C22"/>
    </sheetView>
  </sheetViews>
  <sheetFormatPr defaultColWidth="9.140625" defaultRowHeight="12.75"/>
  <cols>
    <col min="1" max="1" width="39.7109375" style="147" bestFit="1" customWidth="1"/>
    <col min="2" max="2" width="12.28515625" style="147" bestFit="1" customWidth="1"/>
    <col min="3" max="3" width="11.28515625" style="147" bestFit="1" customWidth="1"/>
    <col min="4" max="4" width="12.7109375" style="147" bestFit="1" customWidth="1"/>
    <col min="5" max="16384" width="9.140625" style="147"/>
  </cols>
  <sheetData>
    <row r="1" spans="1:4" ht="15.75">
      <c r="A1" s="737" t="s">
        <v>2267</v>
      </c>
      <c r="B1" s="737"/>
      <c r="C1" s="737"/>
      <c r="D1" s="737"/>
    </row>
    <row r="2" spans="1:4" ht="15.75">
      <c r="A2" s="737" t="s">
        <v>1058</v>
      </c>
      <c r="B2" s="737"/>
      <c r="C2" s="737"/>
      <c r="D2" s="737"/>
    </row>
    <row r="3" spans="1:4" ht="15.75">
      <c r="A3" s="737" t="s">
        <v>716</v>
      </c>
      <c r="B3" s="737"/>
      <c r="C3" s="737"/>
      <c r="D3" s="737"/>
    </row>
    <row r="4" spans="1:4" ht="15.75">
      <c r="A4" s="737" t="s">
        <v>3095</v>
      </c>
      <c r="B4" s="737"/>
      <c r="C4" s="737"/>
      <c r="D4" s="737"/>
    </row>
    <row r="5" spans="1:4">
      <c r="A5" s="508"/>
      <c r="B5" s="508"/>
      <c r="C5" s="508"/>
      <c r="D5"/>
    </row>
    <row r="6" spans="1:4">
      <c r="A6"/>
      <c r="B6"/>
      <c r="C6"/>
      <c r="D6"/>
    </row>
    <row r="7" spans="1:4" ht="45" customHeight="1">
      <c r="A7" s="738" t="s">
        <v>3085</v>
      </c>
      <c r="B7" s="738"/>
      <c r="C7" s="738"/>
      <c r="D7" s="738"/>
    </row>
    <row r="8" spans="1:4" ht="18.75">
      <c r="A8" s="516"/>
      <c r="B8" s="516"/>
      <c r="C8" s="516"/>
      <c r="D8"/>
    </row>
    <row r="9" spans="1:4" ht="48" customHeight="1">
      <c r="A9" s="836" t="s">
        <v>3097</v>
      </c>
      <c r="B9" s="836"/>
      <c r="C9" s="836"/>
      <c r="D9" s="836"/>
    </row>
    <row r="10" spans="1:4" ht="16.5" thickBot="1">
      <c r="A10" s="282"/>
      <c r="B10" s="282"/>
      <c r="C10" s="282"/>
      <c r="D10" s="248"/>
    </row>
    <row r="11" spans="1:4" ht="31.5">
      <c r="A11" s="617" t="s">
        <v>1633</v>
      </c>
      <c r="B11" s="643" t="s">
        <v>3177</v>
      </c>
      <c r="C11" s="618" t="s">
        <v>632</v>
      </c>
      <c r="D11" s="520" t="s">
        <v>2393</v>
      </c>
    </row>
    <row r="12" spans="1:4" ht="15.75" hidden="1">
      <c r="A12" s="279" t="s">
        <v>1383</v>
      </c>
      <c r="B12" s="625"/>
      <c r="C12" s="626"/>
      <c r="D12" s="625">
        <f>B12+C12</f>
        <v>0</v>
      </c>
    </row>
    <row r="13" spans="1:4" ht="15.75">
      <c r="A13" s="279" t="s">
        <v>651</v>
      </c>
      <c r="B13" s="625">
        <v>800000</v>
      </c>
      <c r="C13" s="626"/>
      <c r="D13" s="625">
        <v>800000</v>
      </c>
    </row>
    <row r="14" spans="1:4" ht="15.75">
      <c r="A14" s="624" t="s">
        <v>1383</v>
      </c>
      <c r="B14" s="627">
        <v>580000</v>
      </c>
      <c r="C14" s="628"/>
      <c r="D14" s="627">
        <v>580000</v>
      </c>
    </row>
    <row r="15" spans="1:4" ht="16.5" thickBot="1">
      <c r="A15" s="280" t="s">
        <v>1137</v>
      </c>
      <c r="B15" s="285">
        <v>1380000</v>
      </c>
      <c r="C15" s="629">
        <f>SUM(C13:C14)</f>
        <v>0</v>
      </c>
      <c r="D15" s="285">
        <f>SUM(D12:D14)</f>
        <v>1380000</v>
      </c>
    </row>
    <row r="16" spans="1:4" ht="15.75">
      <c r="A16" s="262"/>
      <c r="B16" s="262"/>
      <c r="C16" s="262"/>
      <c r="D16" s="262"/>
    </row>
    <row r="17" spans="1:4" ht="44.25" customHeight="1">
      <c r="A17" s="917" t="s">
        <v>3174</v>
      </c>
      <c r="B17" s="917"/>
      <c r="C17" s="917"/>
      <c r="D17" s="917"/>
    </row>
    <row r="18" spans="1:4" ht="18" customHeight="1" thickBot="1">
      <c r="A18" s="630"/>
      <c r="B18" s="630"/>
      <c r="C18" s="630"/>
      <c r="D18" s="630"/>
    </row>
    <row r="19" spans="1:4" ht="32.25" thickBot="1">
      <c r="A19" s="631" t="s">
        <v>1633</v>
      </c>
      <c r="B19" s="632" t="s">
        <v>3177</v>
      </c>
      <c r="C19" s="632" t="s">
        <v>632</v>
      </c>
      <c r="D19" s="633" t="s">
        <v>2393</v>
      </c>
    </row>
    <row r="20" spans="1:4" ht="15.75">
      <c r="A20" s="634" t="s">
        <v>9</v>
      </c>
      <c r="B20" s="637">
        <v>290000</v>
      </c>
      <c r="C20" s="637"/>
      <c r="D20" s="638">
        <f>B20+C20</f>
        <v>290000</v>
      </c>
    </row>
    <row r="21" spans="1:4" ht="15.75" hidden="1">
      <c r="A21" s="635" t="s">
        <v>8</v>
      </c>
      <c r="B21" s="639">
        <v>0</v>
      </c>
      <c r="C21" s="639"/>
      <c r="D21" s="638">
        <f t="shared" ref="D21:D22" si="0">B21+C21</f>
        <v>0</v>
      </c>
    </row>
    <row r="22" spans="1:4" ht="15.75">
      <c r="A22" s="635" t="s">
        <v>651</v>
      </c>
      <c r="B22" s="639">
        <v>99850</v>
      </c>
      <c r="C22" s="639"/>
      <c r="D22" s="638">
        <f t="shared" si="0"/>
        <v>99850</v>
      </c>
    </row>
    <row r="23" spans="1:4" s="474" customFormat="1" ht="15.75">
      <c r="A23" s="636" t="s">
        <v>1137</v>
      </c>
      <c r="B23" s="640">
        <v>389850</v>
      </c>
      <c r="C23" s="640">
        <f>C20+C22</f>
        <v>0</v>
      </c>
      <c r="D23" s="640">
        <f>D20+D22</f>
        <v>389850</v>
      </c>
    </row>
    <row r="24" spans="1:4" ht="15.75">
      <c r="A24" s="281"/>
      <c r="B24" s="281"/>
      <c r="C24" s="281"/>
      <c r="D24" s="281"/>
    </row>
    <row r="25" spans="1:4" ht="15.75">
      <c r="A25" s="281"/>
      <c r="B25" s="281"/>
      <c r="C25" s="281"/>
      <c r="D25" s="281"/>
    </row>
    <row r="26" spans="1:4" ht="75" customHeight="1"/>
  </sheetData>
  <mergeCells count="7">
    <mergeCell ref="A17:D17"/>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E15"/>
  <sheetViews>
    <sheetView topLeftCell="A7" workbookViewId="0">
      <selection activeCell="G33" sqref="G33"/>
    </sheetView>
  </sheetViews>
  <sheetFormatPr defaultColWidth="9.140625" defaultRowHeight="12.75"/>
  <cols>
    <col min="1" max="1" width="43.140625" style="147" customWidth="1"/>
    <col min="2" max="2" width="12.140625" style="147" customWidth="1"/>
    <col min="3" max="3" width="12.7109375" style="147" customWidth="1"/>
    <col min="4" max="4" width="15.42578125" style="147" customWidth="1"/>
    <col min="5" max="5" width="15.5703125" style="147" customWidth="1"/>
    <col min="6" max="16384" width="9.140625" style="147"/>
  </cols>
  <sheetData>
    <row r="1" spans="1:5" ht="15.75">
      <c r="A1" s="737" t="s">
        <v>2500</v>
      </c>
      <c r="B1" s="737"/>
      <c r="C1" s="737"/>
      <c r="D1" s="737"/>
      <c r="E1" s="737"/>
    </row>
    <row r="2" spans="1:5" ht="15.75">
      <c r="A2" s="737" t="s">
        <v>1058</v>
      </c>
      <c r="B2" s="737"/>
      <c r="C2" s="737"/>
      <c r="D2" s="737"/>
      <c r="E2" s="737"/>
    </row>
    <row r="3" spans="1:5" ht="15.75">
      <c r="A3" s="737" t="s">
        <v>716</v>
      </c>
      <c r="B3" s="737"/>
      <c r="C3" s="737"/>
      <c r="D3" s="737"/>
      <c r="E3" s="737"/>
    </row>
    <row r="4" spans="1:5" ht="15.75">
      <c r="A4" s="737" t="s">
        <v>3095</v>
      </c>
      <c r="B4" s="737"/>
      <c r="C4" s="737"/>
      <c r="D4" s="737"/>
      <c r="E4" s="737"/>
    </row>
    <row r="5" spans="1:5">
      <c r="A5" s="508"/>
      <c r="B5" s="508"/>
      <c r="C5" s="508"/>
      <c r="D5" s="508"/>
      <c r="E5"/>
    </row>
    <row r="6" spans="1:5">
      <c r="A6"/>
      <c r="B6"/>
      <c r="C6"/>
      <c r="D6"/>
      <c r="E6"/>
    </row>
    <row r="7" spans="1:5" ht="54.75" customHeight="1">
      <c r="A7" s="738" t="s">
        <v>3086</v>
      </c>
      <c r="B7" s="738"/>
      <c r="C7" s="738"/>
      <c r="D7" s="738"/>
      <c r="E7" s="738"/>
    </row>
    <row r="8" spans="1:5" ht="18.75">
      <c r="A8" s="516"/>
      <c r="B8" s="516"/>
      <c r="C8" s="516"/>
      <c r="D8" s="516"/>
      <c r="E8"/>
    </row>
    <row r="9" spans="1:5" ht="39.75" customHeight="1">
      <c r="A9" s="738" t="s">
        <v>3098</v>
      </c>
      <c r="B9" s="738"/>
      <c r="C9" s="738"/>
      <c r="D9" s="738"/>
      <c r="E9" s="738"/>
    </row>
    <row r="10" spans="1:5" ht="18.75">
      <c r="A10" s="22"/>
      <c r="B10" s="22"/>
      <c r="C10" s="22"/>
      <c r="D10" s="22"/>
      <c r="E10"/>
    </row>
    <row r="11" spans="1:5" ht="19.5" thickBot="1">
      <c r="A11" s="22"/>
      <c r="B11" s="22"/>
      <c r="C11" s="22"/>
      <c r="D11" s="22"/>
      <c r="E11"/>
    </row>
    <row r="12" spans="1:5" ht="31.5">
      <c r="A12" s="138" t="s">
        <v>1633</v>
      </c>
      <c r="B12" s="139" t="s">
        <v>3177</v>
      </c>
      <c r="C12" s="139" t="s">
        <v>632</v>
      </c>
      <c r="D12" s="520" t="s">
        <v>2496</v>
      </c>
      <c r="E12" s="520" t="s">
        <v>2584</v>
      </c>
    </row>
    <row r="13" spans="1:5" ht="15.75">
      <c r="A13" s="140" t="s">
        <v>651</v>
      </c>
      <c r="B13" s="225">
        <v>800000</v>
      </c>
      <c r="C13" s="227"/>
      <c r="D13" s="529">
        <v>800000</v>
      </c>
      <c r="E13" s="225">
        <v>0</v>
      </c>
    </row>
    <row r="14" spans="1:5" ht="15.75">
      <c r="A14" s="526" t="s">
        <v>1383</v>
      </c>
      <c r="B14" s="527">
        <v>580000</v>
      </c>
      <c r="C14" s="528"/>
      <c r="D14" s="530">
        <v>580000</v>
      </c>
      <c r="E14" s="527">
        <v>0</v>
      </c>
    </row>
    <row r="15" spans="1:5" ht="16.5" thickBot="1">
      <c r="A15" s="141" t="s">
        <v>1137</v>
      </c>
      <c r="B15" s="352">
        <v>1380000</v>
      </c>
      <c r="C15" s="226">
        <f>SUM(C13:C14)</f>
        <v>0</v>
      </c>
      <c r="D15" s="531">
        <f>SUM(D13:D14)</f>
        <v>1380000</v>
      </c>
      <c r="E15" s="352">
        <f>SUM(E13:E14)</f>
        <v>0</v>
      </c>
    </row>
  </sheetData>
  <mergeCells count="6">
    <mergeCell ref="A9:E9"/>
    <mergeCell ref="A1:E1"/>
    <mergeCell ref="A2:E2"/>
    <mergeCell ref="A3:E3"/>
    <mergeCell ref="A4:E4"/>
    <mergeCell ref="A7:E7"/>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5.xml><?xml version="1.0" encoding="utf-8"?>
<worksheet xmlns="http://schemas.openxmlformats.org/spreadsheetml/2006/main" xmlns:r="http://schemas.openxmlformats.org/officeDocument/2006/relationships">
  <sheetPr codeName="Лист38">
    <pageSetUpPr fitToPage="1"/>
  </sheetPr>
  <dimension ref="A1:B123"/>
  <sheetViews>
    <sheetView topLeftCell="A37" workbookViewId="0">
      <selection activeCell="B46" sqref="B46"/>
    </sheetView>
  </sheetViews>
  <sheetFormatPr defaultColWidth="9.140625" defaultRowHeight="15.75"/>
  <cols>
    <col min="1" max="1" width="19.5703125" style="398" customWidth="1"/>
    <col min="2" max="2" width="80.85546875" style="398" customWidth="1"/>
    <col min="3" max="16384" width="9.140625" style="398"/>
  </cols>
  <sheetData>
    <row r="1" spans="1:2" ht="16.5" thickBot="1">
      <c r="A1" s="409" t="s">
        <v>2268</v>
      </c>
      <c r="B1" s="410" t="s">
        <v>2271</v>
      </c>
    </row>
    <row r="2" spans="1:2" ht="32.25" thickBot="1">
      <c r="A2" s="400" t="s">
        <v>2677</v>
      </c>
      <c r="B2" s="513" t="s">
        <v>2675</v>
      </c>
    </row>
    <row r="3" spans="1:2" s="399" customFormat="1">
      <c r="A3" s="411" t="s">
        <v>2678</v>
      </c>
      <c r="B3" s="412" t="s">
        <v>2525</v>
      </c>
    </row>
    <row r="4" spans="1:2" ht="31.5">
      <c r="A4" s="413" t="s">
        <v>2679</v>
      </c>
      <c r="B4" s="414" t="s">
        <v>2676</v>
      </c>
    </row>
    <row r="5" spans="1:2" s="399" customFormat="1" ht="47.25">
      <c r="A5" s="415" t="s">
        <v>2680</v>
      </c>
      <c r="B5" s="416" t="s">
        <v>2526</v>
      </c>
    </row>
    <row r="6" spans="1:2" ht="47.25">
      <c r="A6" s="413" t="s">
        <v>2681</v>
      </c>
      <c r="B6" s="414" t="s">
        <v>2849</v>
      </c>
    </row>
    <row r="7" spans="1:2">
      <c r="A7" s="413" t="s">
        <v>3091</v>
      </c>
      <c r="B7" s="414" t="s">
        <v>3092</v>
      </c>
    </row>
    <row r="8" spans="1:2" s="399" customFormat="1" ht="31.5">
      <c r="A8" s="415" t="s">
        <v>2682</v>
      </c>
      <c r="B8" s="416" t="s">
        <v>2527</v>
      </c>
    </row>
    <row r="9" spans="1:2">
      <c r="A9" s="413" t="s">
        <v>2683</v>
      </c>
      <c r="B9" s="414" t="s">
        <v>2810</v>
      </c>
    </row>
    <row r="10" spans="1:2" s="399" customFormat="1" ht="31.5">
      <c r="A10" s="415" t="s">
        <v>2684</v>
      </c>
      <c r="B10" s="416" t="s">
        <v>2528</v>
      </c>
    </row>
    <row r="11" spans="1:2">
      <c r="A11" s="413" t="s">
        <v>2685</v>
      </c>
      <c r="B11" s="414" t="s">
        <v>2686</v>
      </c>
    </row>
    <row r="12" spans="1:2">
      <c r="A12" s="413" t="s">
        <v>2687</v>
      </c>
      <c r="B12" s="414" t="s">
        <v>2688</v>
      </c>
    </row>
    <row r="13" spans="1:2">
      <c r="A13" s="413" t="s">
        <v>2690</v>
      </c>
      <c r="B13" s="414" t="s">
        <v>2689</v>
      </c>
    </row>
    <row r="14" spans="1:2">
      <c r="A14" s="413" t="s">
        <v>2691</v>
      </c>
      <c r="B14" s="414" t="s">
        <v>2698</v>
      </c>
    </row>
    <row r="15" spans="1:2" s="399" customFormat="1" ht="31.5">
      <c r="A15" s="415" t="s">
        <v>2692</v>
      </c>
      <c r="B15" s="416" t="s">
        <v>2529</v>
      </c>
    </row>
    <row r="16" spans="1:2" ht="16.5" thickBot="1">
      <c r="A16" s="417" t="s">
        <v>2693</v>
      </c>
      <c r="B16" s="418" t="s">
        <v>2694</v>
      </c>
    </row>
    <row r="17" spans="1:2" ht="32.25" thickBot="1">
      <c r="A17" s="400" t="s">
        <v>2695</v>
      </c>
      <c r="B17" s="402" t="s">
        <v>2850</v>
      </c>
    </row>
    <row r="18" spans="1:2" s="399" customFormat="1" ht="31.5">
      <c r="A18" s="411" t="s">
        <v>2696</v>
      </c>
      <c r="B18" s="412" t="s">
        <v>2530</v>
      </c>
    </row>
    <row r="19" spans="1:2" ht="31.5">
      <c r="A19" s="413" t="s">
        <v>2697</v>
      </c>
      <c r="B19" s="414" t="s">
        <v>2700</v>
      </c>
    </row>
    <row r="20" spans="1:2" ht="31.5">
      <c r="A20" s="413" t="s">
        <v>2702</v>
      </c>
      <c r="B20" s="414" t="s">
        <v>2701</v>
      </c>
    </row>
    <row r="21" spans="1:2" ht="31.5">
      <c r="A21" s="413" t="s">
        <v>2703</v>
      </c>
      <c r="B21" s="414" t="s">
        <v>2704</v>
      </c>
    </row>
    <row r="22" spans="1:2" ht="31.5">
      <c r="A22" s="413" t="s">
        <v>2705</v>
      </c>
      <c r="B22" s="414" t="s">
        <v>2851</v>
      </c>
    </row>
    <row r="23" spans="1:2" ht="31.5">
      <c r="A23" s="413" t="s">
        <v>2706</v>
      </c>
      <c r="B23" s="414" t="s">
        <v>2708</v>
      </c>
    </row>
    <row r="24" spans="1:2">
      <c r="A24" s="413" t="s">
        <v>2707</v>
      </c>
      <c r="B24" s="414" t="s">
        <v>2699</v>
      </c>
    </row>
    <row r="25" spans="1:2" ht="31.5">
      <c r="A25" s="413" t="s">
        <v>2811</v>
      </c>
      <c r="B25" s="416" t="s">
        <v>3021</v>
      </c>
    </row>
    <row r="26" spans="1:2" ht="31.5">
      <c r="A26" s="417" t="s">
        <v>2813</v>
      </c>
      <c r="B26" s="432" t="s">
        <v>2815</v>
      </c>
    </row>
    <row r="27" spans="1:2" ht="31.5">
      <c r="A27" s="417" t="s">
        <v>2812</v>
      </c>
      <c r="B27" s="443" t="s">
        <v>2531</v>
      </c>
    </row>
    <row r="28" spans="1:2" ht="47.25">
      <c r="A28" s="417" t="s">
        <v>2814</v>
      </c>
      <c r="B28" s="432" t="s">
        <v>2817</v>
      </c>
    </row>
    <row r="29" spans="1:2" ht="31.5">
      <c r="A29" s="417" t="s">
        <v>2816</v>
      </c>
      <c r="B29" s="432" t="s">
        <v>2943</v>
      </c>
    </row>
    <row r="30" spans="1:2" ht="32.25" thickBot="1">
      <c r="A30" s="444" t="s">
        <v>2944</v>
      </c>
      <c r="B30" s="445" t="s">
        <v>2951</v>
      </c>
    </row>
    <row r="31" spans="1:2" ht="32.25" thickBot="1">
      <c r="A31" s="400" t="s">
        <v>2765</v>
      </c>
      <c r="B31" s="402" t="s">
        <v>2766</v>
      </c>
    </row>
    <row r="32" spans="1:2" ht="31.5">
      <c r="A32" s="420" t="s">
        <v>2767</v>
      </c>
      <c r="B32" s="412" t="s">
        <v>2532</v>
      </c>
    </row>
    <row r="33" spans="1:2" ht="31.5">
      <c r="A33" s="446" t="s">
        <v>2818</v>
      </c>
      <c r="B33" s="366" t="s">
        <v>2961</v>
      </c>
    </row>
    <row r="34" spans="1:2" ht="31.5">
      <c r="A34" s="446" t="s">
        <v>2819</v>
      </c>
      <c r="B34" s="366" t="s">
        <v>2820</v>
      </c>
    </row>
    <row r="35" spans="1:2" ht="31.5">
      <c r="A35" s="446" t="s">
        <v>2821</v>
      </c>
      <c r="B35" s="366" t="s">
        <v>2822</v>
      </c>
    </row>
    <row r="36" spans="1:2" ht="31.5">
      <c r="A36" s="417" t="s">
        <v>2807</v>
      </c>
      <c r="B36" s="472" t="s">
        <v>2824</v>
      </c>
    </row>
    <row r="37" spans="1:2" ht="32.25" thickBot="1">
      <c r="A37" s="417" t="s">
        <v>2926</v>
      </c>
      <c r="B37" s="473" t="s">
        <v>2918</v>
      </c>
    </row>
    <row r="38" spans="1:2" ht="16.5" thickBot="1">
      <c r="A38" s="400" t="s">
        <v>2823</v>
      </c>
      <c r="B38" s="402" t="s">
        <v>2826</v>
      </c>
    </row>
    <row r="39" spans="1:2" ht="48" thickBot="1">
      <c r="A39" s="421" t="s">
        <v>2825</v>
      </c>
      <c r="B39" s="448" t="s">
        <v>2852</v>
      </c>
    </row>
    <row r="40" spans="1:2" ht="36" customHeight="1" thickBot="1">
      <c r="A40" s="403" t="s">
        <v>2709</v>
      </c>
      <c r="B40" s="404" t="s">
        <v>2710</v>
      </c>
    </row>
    <row r="41" spans="1:2" ht="47.25">
      <c r="A41" s="423" t="s">
        <v>2711</v>
      </c>
      <c r="B41" s="424" t="s">
        <v>2712</v>
      </c>
    </row>
    <row r="42" spans="1:2" ht="31.5">
      <c r="A42" s="425" t="s">
        <v>2713</v>
      </c>
      <c r="B42" s="426" t="s">
        <v>2714</v>
      </c>
    </row>
    <row r="43" spans="1:2">
      <c r="A43" s="425" t="s">
        <v>2775</v>
      </c>
      <c r="B43" s="426" t="s">
        <v>2776</v>
      </c>
    </row>
    <row r="44" spans="1:2" ht="47.25">
      <c r="A44" s="427" t="s">
        <v>2715</v>
      </c>
      <c r="B44" s="428" t="s">
        <v>2716</v>
      </c>
    </row>
    <row r="45" spans="1:2" ht="31.5">
      <c r="A45" s="425" t="s">
        <v>2717</v>
      </c>
      <c r="B45" s="429" t="s">
        <v>2718</v>
      </c>
    </row>
    <row r="46" spans="1:2" ht="47.25">
      <c r="A46" s="425" t="s">
        <v>2719</v>
      </c>
      <c r="B46" s="429" t="s">
        <v>2720</v>
      </c>
    </row>
    <row r="47" spans="1:2" ht="32.25" customHeight="1">
      <c r="A47" s="427" t="s">
        <v>2721</v>
      </c>
      <c r="B47" s="428" t="s">
        <v>2722</v>
      </c>
    </row>
    <row r="48" spans="1:2" ht="31.5">
      <c r="A48" s="427" t="s">
        <v>2723</v>
      </c>
      <c r="B48" s="429" t="s">
        <v>2724</v>
      </c>
    </row>
    <row r="49" spans="1:2" ht="47.25">
      <c r="A49" s="427" t="s">
        <v>2725</v>
      </c>
      <c r="B49" s="429" t="s">
        <v>2726</v>
      </c>
    </row>
    <row r="50" spans="1:2" ht="47.25">
      <c r="A50" s="427" t="s">
        <v>2727</v>
      </c>
      <c r="B50" s="428" t="s">
        <v>2962</v>
      </c>
    </row>
    <row r="51" spans="1:2" ht="31.5">
      <c r="A51" s="425" t="s">
        <v>2728</v>
      </c>
      <c r="B51" s="426" t="s">
        <v>2729</v>
      </c>
    </row>
    <row r="52" spans="1:2" ht="31.5">
      <c r="A52" s="425" t="s">
        <v>2730</v>
      </c>
      <c r="B52" s="426" t="s">
        <v>2731</v>
      </c>
    </row>
    <row r="53" spans="1:2" ht="32.25" thickBot="1">
      <c r="A53" s="430" t="s">
        <v>2732</v>
      </c>
      <c r="B53" s="431" t="s">
        <v>2733</v>
      </c>
    </row>
    <row r="54" spans="1:2" ht="32.25" thickBot="1">
      <c r="A54" s="400" t="s">
        <v>2734</v>
      </c>
      <c r="B54" s="402" t="s">
        <v>2735</v>
      </c>
    </row>
    <row r="55" spans="1:2" ht="48" thickBot="1">
      <c r="A55" s="421" t="s">
        <v>2792</v>
      </c>
      <c r="B55" s="422" t="s">
        <v>2768</v>
      </c>
    </row>
    <row r="56" spans="1:2" ht="32.25" thickBot="1">
      <c r="A56" s="400" t="s">
        <v>2777</v>
      </c>
      <c r="B56" s="402" t="s">
        <v>2778</v>
      </c>
    </row>
    <row r="57" spans="1:2" ht="31.5">
      <c r="A57" s="411" t="s">
        <v>2779</v>
      </c>
      <c r="B57" s="412" t="s">
        <v>2533</v>
      </c>
    </row>
    <row r="58" spans="1:2">
      <c r="A58" s="413" t="s">
        <v>2780</v>
      </c>
      <c r="B58" s="419" t="s">
        <v>2785</v>
      </c>
    </row>
    <row r="59" spans="1:2" ht="31.5">
      <c r="A59" s="415" t="s">
        <v>2781</v>
      </c>
      <c r="B59" s="416" t="s">
        <v>2534</v>
      </c>
    </row>
    <row r="60" spans="1:2" ht="19.5" customHeight="1" thickBot="1">
      <c r="A60" s="417" t="s">
        <v>2782</v>
      </c>
      <c r="B60" s="432" t="s">
        <v>2784</v>
      </c>
    </row>
    <row r="61" spans="1:2" ht="33.75" customHeight="1" thickBot="1">
      <c r="A61" s="405" t="s">
        <v>2736</v>
      </c>
      <c r="B61" s="406" t="s">
        <v>2853</v>
      </c>
    </row>
    <row r="62" spans="1:2" ht="47.25">
      <c r="A62" s="423" t="s">
        <v>2737</v>
      </c>
      <c r="B62" s="433" t="s">
        <v>2860</v>
      </c>
    </row>
    <row r="63" spans="1:2" ht="63">
      <c r="A63" s="425" t="s">
        <v>2738</v>
      </c>
      <c r="B63" s="434" t="s">
        <v>2854</v>
      </c>
    </row>
    <row r="64" spans="1:2" ht="31.5">
      <c r="A64" s="427" t="s">
        <v>2739</v>
      </c>
      <c r="B64" s="435" t="s">
        <v>2861</v>
      </c>
    </row>
    <row r="65" spans="1:2" ht="35.25" customHeight="1">
      <c r="A65" s="425" t="s">
        <v>2740</v>
      </c>
      <c r="B65" s="434" t="s">
        <v>2855</v>
      </c>
    </row>
    <row r="66" spans="1:2" ht="63">
      <c r="A66" s="427" t="s">
        <v>2741</v>
      </c>
      <c r="B66" s="435" t="s">
        <v>2862</v>
      </c>
    </row>
    <row r="67" spans="1:2" ht="31.5">
      <c r="A67" s="425" t="s">
        <v>2742</v>
      </c>
      <c r="B67" s="434" t="s">
        <v>2764</v>
      </c>
    </row>
    <row r="68" spans="1:2" ht="31.5">
      <c r="A68" s="427" t="s">
        <v>2743</v>
      </c>
      <c r="B68" s="435" t="s">
        <v>2863</v>
      </c>
    </row>
    <row r="69" spans="1:2" ht="32.25" thickBot="1">
      <c r="A69" s="436" t="s">
        <v>2744</v>
      </c>
      <c r="B69" s="437" t="s">
        <v>2745</v>
      </c>
    </row>
    <row r="70" spans="1:2" ht="48" thickBot="1">
      <c r="A70" s="400" t="s">
        <v>2769</v>
      </c>
      <c r="B70" s="404" t="s">
        <v>2783</v>
      </c>
    </row>
    <row r="71" spans="1:2" ht="31.5">
      <c r="A71" s="411" t="s">
        <v>2786</v>
      </c>
      <c r="B71" s="424" t="s">
        <v>2535</v>
      </c>
    </row>
    <row r="72" spans="1:2" ht="47.25">
      <c r="A72" s="413" t="s">
        <v>2787</v>
      </c>
      <c r="B72" s="429" t="s">
        <v>2788</v>
      </c>
    </row>
    <row r="73" spans="1:2" ht="31.5">
      <c r="A73" s="413" t="s">
        <v>2789</v>
      </c>
      <c r="B73" s="429" t="s">
        <v>2790</v>
      </c>
    </row>
    <row r="74" spans="1:2" ht="31.5">
      <c r="A74" s="413" t="s">
        <v>2770</v>
      </c>
      <c r="B74" s="435" t="s">
        <v>2865</v>
      </c>
    </row>
    <row r="75" spans="1:2" ht="31.5">
      <c r="A75" s="413" t="s">
        <v>2771</v>
      </c>
      <c r="B75" s="426" t="s">
        <v>2772</v>
      </c>
    </row>
    <row r="76" spans="1:2" ht="31.5">
      <c r="A76" s="413" t="s">
        <v>2773</v>
      </c>
      <c r="B76" s="435" t="s">
        <v>2864</v>
      </c>
    </row>
    <row r="77" spans="1:2" ht="31.5">
      <c r="A77" s="413" t="s">
        <v>2774</v>
      </c>
      <c r="B77" s="426" t="s">
        <v>2802</v>
      </c>
    </row>
    <row r="78" spans="1:2">
      <c r="A78" s="413" t="s">
        <v>2803</v>
      </c>
      <c r="B78" s="426" t="s">
        <v>2804</v>
      </c>
    </row>
    <row r="79" spans="1:2" ht="47.25">
      <c r="A79" s="413" t="s">
        <v>2805</v>
      </c>
      <c r="B79" s="426" t="s">
        <v>2806</v>
      </c>
    </row>
    <row r="80" spans="1:2" ht="47.25">
      <c r="A80" s="421" t="s">
        <v>3103</v>
      </c>
      <c r="B80" s="588" t="s">
        <v>3104</v>
      </c>
    </row>
    <row r="81" spans="1:2" s="397" customFormat="1" ht="32.25" thickBot="1">
      <c r="A81" s="408" t="s">
        <v>2795</v>
      </c>
      <c r="B81" s="447" t="s">
        <v>2827</v>
      </c>
    </row>
    <row r="82" spans="1:2" s="397" customFormat="1">
      <c r="A82" s="420" t="s">
        <v>2796</v>
      </c>
      <c r="B82" s="438" t="s">
        <v>2797</v>
      </c>
    </row>
    <row r="83" spans="1:2" s="397" customFormat="1">
      <c r="A83" s="413" t="s">
        <v>2798</v>
      </c>
      <c r="B83" s="439" t="s">
        <v>2799</v>
      </c>
    </row>
    <row r="84" spans="1:2" ht="31.5">
      <c r="A84" s="413" t="s">
        <v>2800</v>
      </c>
      <c r="B84" s="439" t="s">
        <v>2828</v>
      </c>
    </row>
    <row r="85" spans="1:2">
      <c r="A85" s="413" t="s">
        <v>2829</v>
      </c>
      <c r="B85" s="449" t="s">
        <v>2831</v>
      </c>
    </row>
    <row r="86" spans="1:2" ht="31.5">
      <c r="A86" s="413" t="s">
        <v>2801</v>
      </c>
      <c r="B86" s="439" t="s">
        <v>2536</v>
      </c>
    </row>
    <row r="87" spans="1:2" ht="32.25" thickBot="1">
      <c r="A87" s="417" t="s">
        <v>2830</v>
      </c>
      <c r="B87" s="450" t="s">
        <v>2832</v>
      </c>
    </row>
    <row r="88" spans="1:2" ht="32.25" thickBot="1">
      <c r="A88" s="400" t="s">
        <v>2836</v>
      </c>
      <c r="B88" s="401" t="s">
        <v>2537</v>
      </c>
    </row>
    <row r="89" spans="1:2" ht="16.5" thickBot="1">
      <c r="A89" s="421" t="s">
        <v>2837</v>
      </c>
      <c r="B89" s="451" t="s">
        <v>2880</v>
      </c>
    </row>
    <row r="90" spans="1:2" s="397" customFormat="1" ht="32.25" thickBot="1">
      <c r="A90" s="400" t="s">
        <v>2838</v>
      </c>
      <c r="B90" s="401" t="s">
        <v>2846</v>
      </c>
    </row>
    <row r="91" spans="1:2" s="397" customFormat="1">
      <c r="A91" s="452" t="s">
        <v>2839</v>
      </c>
      <c r="B91" s="453" t="s">
        <v>2848</v>
      </c>
    </row>
    <row r="92" spans="1:2" ht="32.25" thickBot="1">
      <c r="A92" s="421" t="s">
        <v>2847</v>
      </c>
      <c r="B92" s="451" t="s">
        <v>2879</v>
      </c>
    </row>
    <row r="93" spans="1:2" s="397" customFormat="1" ht="48" thickBot="1">
      <c r="A93" s="400" t="s">
        <v>2840</v>
      </c>
      <c r="B93" s="401" t="s">
        <v>2842</v>
      </c>
    </row>
    <row r="94" spans="1:2" s="397" customFormat="1" ht="31.5">
      <c r="A94" s="452" t="s">
        <v>2841</v>
      </c>
      <c r="B94" s="453" t="s">
        <v>2845</v>
      </c>
    </row>
    <row r="95" spans="1:2" ht="32.25" thickBot="1">
      <c r="A95" s="421" t="s">
        <v>2844</v>
      </c>
      <c r="B95" s="451" t="s">
        <v>2843</v>
      </c>
    </row>
    <row r="96" spans="1:2" s="397" customFormat="1" ht="32.25" thickBot="1">
      <c r="A96" s="400" t="s">
        <v>2833</v>
      </c>
      <c r="B96" s="401" t="s">
        <v>2834</v>
      </c>
    </row>
    <row r="97" spans="1:2">
      <c r="A97" s="421" t="s">
        <v>2835</v>
      </c>
      <c r="B97" s="451" t="s">
        <v>2856</v>
      </c>
    </row>
    <row r="98" spans="1:2" ht="16.5" thickBot="1">
      <c r="A98" s="421" t="s">
        <v>3016</v>
      </c>
      <c r="B98" s="451" t="s">
        <v>3017</v>
      </c>
    </row>
    <row r="99" spans="1:2" ht="30" customHeight="1" thickBot="1">
      <c r="A99" s="400" t="s">
        <v>2866</v>
      </c>
      <c r="B99" s="407" t="s">
        <v>2791</v>
      </c>
    </row>
    <row r="100" spans="1:2" ht="47.25">
      <c r="A100" s="420" t="s">
        <v>2867</v>
      </c>
      <c r="B100" s="440" t="s">
        <v>2793</v>
      </c>
    </row>
    <row r="101" spans="1:2" ht="47.25">
      <c r="A101" s="413" t="s">
        <v>2868</v>
      </c>
      <c r="B101" s="429" t="s">
        <v>2794</v>
      </c>
    </row>
    <row r="102" spans="1:2" ht="31.5">
      <c r="A102" s="413" t="s">
        <v>2869</v>
      </c>
      <c r="B102" s="429" t="s">
        <v>2859</v>
      </c>
    </row>
    <row r="103" spans="1:2" ht="32.25" thickBot="1">
      <c r="A103" s="421" t="s">
        <v>3022</v>
      </c>
      <c r="B103" s="532" t="s">
        <v>3093</v>
      </c>
    </row>
    <row r="104" spans="1:2" ht="32.25" thickBot="1">
      <c r="A104" s="403" t="s">
        <v>2746</v>
      </c>
      <c r="B104" s="407" t="s">
        <v>2747</v>
      </c>
    </row>
    <row r="105" spans="1:2" ht="34.5" customHeight="1">
      <c r="A105" s="423" t="s">
        <v>2748</v>
      </c>
      <c r="B105" s="433" t="s">
        <v>2749</v>
      </c>
    </row>
    <row r="106" spans="1:2" ht="31.5">
      <c r="A106" s="456" t="s">
        <v>2760</v>
      </c>
      <c r="B106" s="457" t="s">
        <v>2761</v>
      </c>
    </row>
    <row r="107" spans="1:2" ht="30.75" customHeight="1">
      <c r="A107" s="423" t="s">
        <v>2870</v>
      </c>
      <c r="B107" s="433" t="s">
        <v>2874</v>
      </c>
    </row>
    <row r="108" spans="1:2" ht="34.5" customHeight="1">
      <c r="A108" s="423" t="s">
        <v>2871</v>
      </c>
      <c r="B108" s="458" t="s">
        <v>2957</v>
      </c>
    </row>
    <row r="109" spans="1:2" ht="17.25" customHeight="1">
      <c r="A109" s="423" t="s">
        <v>2872</v>
      </c>
      <c r="B109" s="458" t="s">
        <v>2875</v>
      </c>
    </row>
    <row r="110" spans="1:2">
      <c r="A110" s="423" t="s">
        <v>2873</v>
      </c>
      <c r="B110" s="457" t="s">
        <v>2876</v>
      </c>
    </row>
    <row r="111" spans="1:2" ht="32.25" thickBot="1">
      <c r="A111" s="454" t="s">
        <v>2750</v>
      </c>
      <c r="B111" s="455" t="s">
        <v>2759</v>
      </c>
    </row>
    <row r="112" spans="1:2" ht="31.5">
      <c r="A112" s="423" t="s">
        <v>2751</v>
      </c>
      <c r="B112" s="424" t="s">
        <v>2752</v>
      </c>
    </row>
    <row r="113" spans="1:2" ht="31.5">
      <c r="A113" s="425" t="s">
        <v>2753</v>
      </c>
      <c r="B113" s="426" t="s">
        <v>2857</v>
      </c>
    </row>
    <row r="114" spans="1:2" ht="31.5">
      <c r="A114" s="427" t="s">
        <v>2754</v>
      </c>
      <c r="B114" s="428" t="s">
        <v>2858</v>
      </c>
    </row>
    <row r="115" spans="1:2" ht="31.5">
      <c r="A115" s="425" t="s">
        <v>2755</v>
      </c>
      <c r="B115" s="434" t="s">
        <v>2756</v>
      </c>
    </row>
    <row r="116" spans="1:2" ht="31.5">
      <c r="A116" s="425" t="s">
        <v>2757</v>
      </c>
      <c r="B116" s="434" t="s">
        <v>2762</v>
      </c>
    </row>
    <row r="117" spans="1:2" ht="16.5" thickBot="1">
      <c r="A117" s="463" t="s">
        <v>2758</v>
      </c>
      <c r="B117" s="464" t="s">
        <v>2763</v>
      </c>
    </row>
    <row r="118" spans="1:2" ht="32.25" thickBot="1">
      <c r="A118" s="400" t="s">
        <v>2877</v>
      </c>
      <c r="B118" s="465" t="s">
        <v>2881</v>
      </c>
    </row>
    <row r="119" spans="1:2" ht="20.25" customHeight="1">
      <c r="A119" s="456" t="s">
        <v>2878</v>
      </c>
      <c r="B119" s="460" t="s">
        <v>2882</v>
      </c>
    </row>
    <row r="120" spans="1:2" ht="20.25" customHeight="1">
      <c r="A120" s="456"/>
      <c r="B120" s="460"/>
    </row>
    <row r="121" spans="1:2">
      <c r="A121" s="462" t="s">
        <v>2808</v>
      </c>
      <c r="B121" s="385" t="s">
        <v>2383</v>
      </c>
    </row>
    <row r="122" spans="1:2" ht="16.5" thickBot="1">
      <c r="A122" s="461" t="s">
        <v>2809</v>
      </c>
      <c r="B122" s="459" t="s">
        <v>2375</v>
      </c>
    </row>
    <row r="123" spans="1:2">
      <c r="A123" s="441"/>
      <c r="B123" s="442"/>
    </row>
  </sheetData>
  <pageMargins left="0.70866141732283472" right="0.70866141732283472" top="0.74803149606299213" bottom="0.74803149606299213" header="0.31496062992125984" footer="0.31496062992125984"/>
  <pageSetup paperSize="9" scale="81" fitToHeight="4" orientation="portrait" r:id="rId1"/>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D15"/>
  <sheetViews>
    <sheetView showGridLines="0" workbookViewId="0">
      <selection activeCell="A24" sqref="A24"/>
    </sheetView>
  </sheetViews>
  <sheetFormatPr defaultColWidth="9.140625" defaultRowHeight="12.75"/>
  <cols>
    <col min="1" max="1" width="50.42578125" style="147" customWidth="1"/>
    <col min="2" max="2" width="18" style="147" customWidth="1"/>
    <col min="3" max="3" width="14.85546875" style="147" customWidth="1"/>
    <col min="4" max="4" width="0.28515625" style="147" customWidth="1"/>
    <col min="5" max="16384" width="9.140625" style="147"/>
  </cols>
  <sheetData>
    <row r="1" spans="1:4" ht="15.75">
      <c r="A1" s="839" t="s">
        <v>3083</v>
      </c>
      <c r="B1" s="839"/>
      <c r="C1" s="839"/>
      <c r="D1" s="839"/>
    </row>
    <row r="2" spans="1:4" ht="15.75">
      <c r="A2" s="839" t="s">
        <v>1058</v>
      </c>
      <c r="B2" s="839"/>
      <c r="C2" s="839"/>
      <c r="D2" s="839"/>
    </row>
    <row r="3" spans="1:4" ht="15.75">
      <c r="A3" s="839" t="s">
        <v>716</v>
      </c>
      <c r="B3" s="839"/>
      <c r="C3" s="839"/>
      <c r="D3" s="839"/>
    </row>
    <row r="4" spans="1:4" ht="15.75">
      <c r="A4" s="839" t="s">
        <v>3238</v>
      </c>
      <c r="B4" s="839"/>
      <c r="C4" s="839"/>
      <c r="D4" s="839"/>
    </row>
    <row r="5" spans="1:4" ht="15.75">
      <c r="A5" s="680"/>
      <c r="B5" s="680"/>
      <c r="C5" s="680"/>
      <c r="D5" s="248"/>
    </row>
    <row r="6" spans="1:4" ht="15.75">
      <c r="A6" s="248"/>
      <c r="B6" s="248"/>
      <c r="C6" s="248"/>
      <c r="D6" s="248"/>
    </row>
    <row r="7" spans="1:4" ht="36" customHeight="1">
      <c r="A7" s="836" t="s">
        <v>3252</v>
      </c>
      <c r="B7" s="836"/>
      <c r="C7" s="836"/>
      <c r="D7" s="836"/>
    </row>
    <row r="8" spans="1:4" ht="15.75">
      <c r="A8" s="681"/>
      <c r="B8" s="681"/>
      <c r="C8" s="681"/>
      <c r="D8" s="681"/>
    </row>
    <row r="9" spans="1:4" ht="15.75">
      <c r="A9" s="837" t="s">
        <v>1632</v>
      </c>
      <c r="B9" s="837"/>
      <c r="C9" s="837"/>
      <c r="D9" s="838"/>
    </row>
    <row r="10" spans="1:4" ht="94.5">
      <c r="A10" s="678" t="s">
        <v>1633</v>
      </c>
      <c r="B10" s="692" t="s">
        <v>3254</v>
      </c>
      <c r="C10" s="678" t="s">
        <v>2093</v>
      </c>
      <c r="D10" s="379"/>
    </row>
    <row r="11" spans="1:4" ht="15.75">
      <c r="A11" s="486" t="s">
        <v>9</v>
      </c>
      <c r="B11" s="381">
        <v>8660250</v>
      </c>
      <c r="C11" s="380">
        <v>0</v>
      </c>
      <c r="D11" s="379"/>
    </row>
    <row r="12" spans="1:4" ht="15.75">
      <c r="A12" s="250" t="s">
        <v>1383</v>
      </c>
      <c r="B12" s="251">
        <f>3014750+C12</f>
        <v>3074750</v>
      </c>
      <c r="C12" s="247">
        <v>60000</v>
      </c>
      <c r="D12" s="252"/>
    </row>
    <row r="13" spans="1:4" ht="15.75">
      <c r="A13" s="250" t="s">
        <v>8</v>
      </c>
      <c r="B13" s="251">
        <f>2916250+C13</f>
        <v>3101250</v>
      </c>
      <c r="C13" s="247">
        <v>185000</v>
      </c>
      <c r="D13" s="252"/>
    </row>
    <row r="14" spans="1:4" ht="15.75">
      <c r="A14" s="250" t="s">
        <v>651</v>
      </c>
      <c r="B14" s="251">
        <f>5015750+C14</f>
        <v>5170750</v>
      </c>
      <c r="C14" s="247">
        <v>155000</v>
      </c>
      <c r="D14" s="252"/>
    </row>
    <row r="15" spans="1:4" ht="15.75">
      <c r="A15" s="253" t="s">
        <v>1137</v>
      </c>
      <c r="B15" s="254">
        <f>SUM(B11:B14)</f>
        <v>20007000</v>
      </c>
      <c r="C15" s="254">
        <f>SUM(C11:C14)</f>
        <v>400000</v>
      </c>
      <c r="D15" s="255"/>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dimension ref="A1:I87"/>
  <sheetViews>
    <sheetView showGridLines="0" view="pageBreakPreview" zoomScale="130" zoomScaleSheetLayoutView="130" workbookViewId="0">
      <selection activeCell="A65" sqref="A65:B65"/>
    </sheetView>
  </sheetViews>
  <sheetFormatPr defaultColWidth="9.140625" defaultRowHeight="15.75"/>
  <cols>
    <col min="1" max="1" width="4.140625" style="248" customWidth="1"/>
    <col min="2" max="2" width="56.85546875" style="248" customWidth="1"/>
    <col min="3" max="3" width="15.42578125" style="248" hidden="1" customWidth="1"/>
    <col min="4" max="4" width="12.85546875" style="248" hidden="1" customWidth="1"/>
    <col min="5" max="5" width="14" style="248" hidden="1" customWidth="1"/>
    <col min="6" max="6" width="16.5703125" style="248" hidden="1" customWidth="1"/>
    <col min="7" max="7" width="17" style="248" hidden="1" customWidth="1"/>
    <col min="8" max="8" width="17.140625" style="248" customWidth="1"/>
    <col min="9" max="16384" width="9.140625" style="248"/>
  </cols>
  <sheetData>
    <row r="1" spans="1:9">
      <c r="B1" s="839" t="s">
        <v>393</v>
      </c>
      <c r="C1" s="839"/>
      <c r="D1" s="839"/>
      <c r="E1" s="839"/>
      <c r="F1" s="839"/>
      <c r="G1" s="839"/>
      <c r="H1" s="839"/>
    </row>
    <row r="2" spans="1:9">
      <c r="B2" s="839" t="s">
        <v>1058</v>
      </c>
      <c r="C2" s="839"/>
      <c r="D2" s="839"/>
      <c r="E2" s="839"/>
      <c r="F2" s="839"/>
      <c r="G2" s="839"/>
      <c r="H2" s="839"/>
    </row>
    <row r="3" spans="1:9">
      <c r="B3" s="839" t="s">
        <v>716</v>
      </c>
      <c r="C3" s="839"/>
      <c r="D3" s="839"/>
      <c r="E3" s="839"/>
      <c r="F3" s="839"/>
      <c r="G3" s="839"/>
      <c r="H3" s="839"/>
    </row>
    <row r="4" spans="1:9" ht="14.25" customHeight="1">
      <c r="B4" s="839" t="s">
        <v>3095</v>
      </c>
      <c r="C4" s="839"/>
      <c r="D4" s="839"/>
      <c r="E4" s="839"/>
      <c r="F4" s="839"/>
      <c r="G4" s="839"/>
      <c r="H4" s="839"/>
    </row>
    <row r="5" spans="1:9" ht="2.25" customHeight="1">
      <c r="B5" s="647"/>
      <c r="C5" s="647"/>
    </row>
    <row r="6" spans="1:9" ht="0.75" customHeight="1"/>
    <row r="7" spans="1:9" ht="34.5" customHeight="1">
      <c r="A7" s="836" t="s">
        <v>3250</v>
      </c>
      <c r="B7" s="836"/>
      <c r="C7" s="836"/>
      <c r="D7" s="836"/>
      <c r="E7" s="836"/>
      <c r="F7" s="836"/>
      <c r="G7" s="836"/>
      <c r="H7" s="836"/>
    </row>
    <row r="8" spans="1:9" ht="30.75" customHeight="1" thickBot="1">
      <c r="A8" s="899" t="s">
        <v>2573</v>
      </c>
      <c r="B8" s="899"/>
      <c r="C8" s="899"/>
      <c r="D8" s="899"/>
      <c r="E8" s="899"/>
      <c r="F8" s="899"/>
      <c r="G8" s="899"/>
      <c r="H8" s="899"/>
    </row>
    <row r="9" spans="1:9" ht="19.5" customHeight="1">
      <c r="A9" s="900" t="s">
        <v>1633</v>
      </c>
      <c r="B9" s="901"/>
      <c r="C9" s="696" t="s">
        <v>3178</v>
      </c>
      <c r="D9" s="696" t="s">
        <v>1129</v>
      </c>
      <c r="E9" s="139" t="s">
        <v>3221</v>
      </c>
      <c r="F9" s="696" t="s">
        <v>1129</v>
      </c>
      <c r="G9" s="696" t="s">
        <v>2393</v>
      </c>
      <c r="H9" s="699" t="s">
        <v>3247</v>
      </c>
      <c r="I9" s="276"/>
    </row>
    <row r="10" spans="1:9" ht="17.25" customHeight="1">
      <c r="A10" s="902" t="s">
        <v>9</v>
      </c>
      <c r="B10" s="903"/>
      <c r="C10" s="251">
        <v>7500000</v>
      </c>
      <c r="D10" s="251">
        <v>12783000</v>
      </c>
      <c r="E10" s="251">
        <v>8007420</v>
      </c>
      <c r="F10" s="580"/>
      <c r="G10" s="580">
        <f>SUM(E10:F10)</f>
        <v>8007420</v>
      </c>
      <c r="H10" s="702">
        <v>6062379.3600000003</v>
      </c>
      <c r="I10" s="276"/>
    </row>
    <row r="11" spans="1:9" ht="17.25" customHeight="1">
      <c r="A11" s="902" t="s">
        <v>1383</v>
      </c>
      <c r="B11" s="903"/>
      <c r="C11" s="251"/>
      <c r="D11" s="251"/>
      <c r="E11" s="251">
        <v>1000000</v>
      </c>
      <c r="F11" s="580"/>
      <c r="G11" s="580">
        <f t="shared" ref="G11:G12" si="0">SUM(E11:F11)</f>
        <v>1000000</v>
      </c>
      <c r="H11" s="522">
        <v>1000000</v>
      </c>
      <c r="I11" s="276"/>
    </row>
    <row r="12" spans="1:9" ht="17.25" customHeight="1">
      <c r="A12" s="902" t="s">
        <v>651</v>
      </c>
      <c r="B12" s="903"/>
      <c r="C12" s="251"/>
      <c r="D12" s="251"/>
      <c r="E12" s="251">
        <v>1000000</v>
      </c>
      <c r="F12" s="580"/>
      <c r="G12" s="580">
        <f t="shared" si="0"/>
        <v>1000000</v>
      </c>
      <c r="H12" s="522">
        <v>1000000</v>
      </c>
      <c r="I12" s="276"/>
    </row>
    <row r="13" spans="1:9" ht="21.75" customHeight="1" thickBot="1">
      <c r="A13" s="904" t="s">
        <v>1137</v>
      </c>
      <c r="B13" s="905"/>
      <c r="C13" s="362">
        <f>SUM(C10:C10)</f>
        <v>7500000</v>
      </c>
      <c r="D13" s="362">
        <f t="shared" ref="D13" si="1">SUM(D10:D10)</f>
        <v>12783000</v>
      </c>
      <c r="E13" s="362">
        <v>10007420</v>
      </c>
      <c r="F13" s="583">
        <f>F10+F11+F12</f>
        <v>0</v>
      </c>
      <c r="G13" s="700">
        <f>SUM(G10:G12)</f>
        <v>10007420</v>
      </c>
      <c r="H13" s="523">
        <f>SUM(H10:H12)</f>
        <v>8062379.3600000003</v>
      </c>
    </row>
    <row r="14" spans="1:9" ht="15" hidden="1" customHeight="1">
      <c r="A14" s="584"/>
      <c r="B14" s="584"/>
      <c r="C14" s="275"/>
      <c r="D14" s="275"/>
      <c r="E14" s="275"/>
      <c r="F14" s="275"/>
      <c r="G14" s="275"/>
      <c r="H14" s="703"/>
    </row>
    <row r="15" spans="1:9" ht="60" customHeight="1">
      <c r="A15" s="837" t="s">
        <v>2958</v>
      </c>
      <c r="B15" s="837"/>
      <c r="C15" s="837"/>
      <c r="D15" s="837"/>
      <c r="E15" s="837"/>
      <c r="F15" s="837"/>
      <c r="G15" s="837"/>
      <c r="H15" s="837"/>
    </row>
    <row r="16" spans="1:9" ht="18.75" customHeight="1">
      <c r="A16" s="736" t="s">
        <v>1633</v>
      </c>
      <c r="B16" s="736"/>
      <c r="C16" s="692" t="s">
        <v>3178</v>
      </c>
      <c r="D16" s="692" t="s">
        <v>1129</v>
      </c>
      <c r="E16" s="695" t="s">
        <v>3221</v>
      </c>
      <c r="F16" s="692" t="s">
        <v>1129</v>
      </c>
      <c r="G16" s="692" t="s">
        <v>2393</v>
      </c>
      <c r="H16" s="704" t="s">
        <v>3247</v>
      </c>
    </row>
    <row r="17" spans="1:8">
      <c r="A17" s="903" t="s">
        <v>9</v>
      </c>
      <c r="B17" s="903"/>
      <c r="C17" s="251">
        <v>19247000</v>
      </c>
      <c r="D17" s="251">
        <v>1000000</v>
      </c>
      <c r="E17" s="251">
        <v>19399159</v>
      </c>
      <c r="F17" s="580"/>
      <c r="G17" s="521">
        <f>SUM(E17:F17)</f>
        <v>19399159</v>
      </c>
      <c r="H17" s="704">
        <v>9713963</v>
      </c>
    </row>
    <row r="18" spans="1:8">
      <c r="A18" s="903" t="s">
        <v>1383</v>
      </c>
      <c r="B18" s="903"/>
      <c r="C18" s="251">
        <v>500000</v>
      </c>
      <c r="D18" s="251"/>
      <c r="E18" s="251">
        <v>500000</v>
      </c>
      <c r="F18" s="469"/>
      <c r="G18" s="521">
        <f t="shared" ref="G18:G20" si="2">SUM(E18:F18)</f>
        <v>500000</v>
      </c>
      <c r="H18" s="521">
        <v>168772</v>
      </c>
    </row>
    <row r="19" spans="1:8">
      <c r="A19" s="903" t="s">
        <v>2171</v>
      </c>
      <c r="B19" s="903"/>
      <c r="C19" s="251">
        <v>1000000</v>
      </c>
      <c r="D19" s="251">
        <v>-1000000</v>
      </c>
      <c r="E19" s="251">
        <v>847841</v>
      </c>
      <c r="F19" s="580"/>
      <c r="G19" s="521">
        <f t="shared" si="2"/>
        <v>847841</v>
      </c>
      <c r="H19" s="521">
        <v>847841</v>
      </c>
    </row>
    <row r="20" spans="1:8">
      <c r="A20" s="903" t="s">
        <v>8</v>
      </c>
      <c r="B20" s="903"/>
      <c r="C20" s="251">
        <v>1500000</v>
      </c>
      <c r="D20" s="251"/>
      <c r="E20" s="251">
        <v>1500000</v>
      </c>
      <c r="F20" s="469"/>
      <c r="G20" s="521">
        <f t="shared" si="2"/>
        <v>1500000</v>
      </c>
      <c r="H20" s="521">
        <v>1473558</v>
      </c>
    </row>
    <row r="21" spans="1:8" ht="15" customHeight="1">
      <c r="A21" s="919" t="s">
        <v>1137</v>
      </c>
      <c r="B21" s="919"/>
      <c r="C21" s="272">
        <f>C17+C18+C19+C20</f>
        <v>22247000</v>
      </c>
      <c r="D21" s="272">
        <f t="shared" ref="D21" si="3">D17+D18+D19+D20</f>
        <v>0</v>
      </c>
      <c r="E21" s="272">
        <v>22247000</v>
      </c>
      <c r="F21" s="272">
        <f>SUM(F17:F20)</f>
        <v>0</v>
      </c>
      <c r="G21" s="701">
        <f>SUM(G17:G20)</f>
        <v>22247000</v>
      </c>
      <c r="H21" s="701">
        <f>SUM(H17:H20)</f>
        <v>12204134</v>
      </c>
    </row>
    <row r="22" spans="1:8" hidden="1">
      <c r="A22" s="908"/>
      <c r="B22" s="908"/>
      <c r="C22" s="275"/>
      <c r="D22" s="275"/>
      <c r="E22" s="275"/>
      <c r="H22" s="703"/>
    </row>
    <row r="23" spans="1:8" ht="42" customHeight="1" thickBot="1">
      <c r="A23" s="838" t="s">
        <v>3084</v>
      </c>
      <c r="B23" s="838"/>
      <c r="C23" s="838"/>
      <c r="D23" s="838"/>
      <c r="E23" s="838"/>
      <c r="F23" s="838"/>
      <c r="G23" s="838"/>
      <c r="H23" s="838"/>
    </row>
    <row r="24" spans="1:8" ht="18.75" customHeight="1">
      <c r="A24" s="900" t="s">
        <v>1633</v>
      </c>
      <c r="B24" s="901"/>
      <c r="C24" s="648" t="s">
        <v>3178</v>
      </c>
      <c r="D24" s="648" t="s">
        <v>1129</v>
      </c>
      <c r="E24" s="139" t="s">
        <v>3221</v>
      </c>
      <c r="F24" s="648" t="s">
        <v>1129</v>
      </c>
      <c r="G24" s="520" t="s">
        <v>2393</v>
      </c>
      <c r="H24" s="705" t="s">
        <v>3247</v>
      </c>
    </row>
    <row r="25" spans="1:8">
      <c r="A25" s="902" t="s">
        <v>9</v>
      </c>
      <c r="B25" s="903"/>
      <c r="C25" s="251">
        <v>7500000</v>
      </c>
      <c r="D25" s="251">
        <v>12783000</v>
      </c>
      <c r="E25" s="251">
        <v>13115001</v>
      </c>
      <c r="F25" s="521"/>
      <c r="G25" s="684">
        <f>E25+F25</f>
        <v>13115001</v>
      </c>
      <c r="H25" s="704">
        <v>10512315.060000001</v>
      </c>
    </row>
    <row r="26" spans="1:8" ht="16.5" thickBot="1">
      <c r="A26" s="904" t="s">
        <v>1137</v>
      </c>
      <c r="B26" s="905"/>
      <c r="C26" s="362">
        <f>SUM(C25:C25)</f>
        <v>7500000</v>
      </c>
      <c r="D26" s="362">
        <f t="shared" ref="D26" si="4">SUM(D25:D25)</f>
        <v>12783000</v>
      </c>
      <c r="E26" s="362">
        <v>13115001</v>
      </c>
      <c r="F26" s="362">
        <f t="shared" ref="F26:G26" si="5">F25</f>
        <v>0</v>
      </c>
      <c r="G26" s="578">
        <f t="shared" si="5"/>
        <v>13115001</v>
      </c>
      <c r="H26" s="578">
        <f>H25</f>
        <v>10512315.060000001</v>
      </c>
    </row>
    <row r="27" spans="1:8" hidden="1">
      <c r="B27" s="524"/>
      <c r="C27" s="524"/>
      <c r="D27" s="524"/>
      <c r="E27" s="524"/>
      <c r="F27" s="524"/>
      <c r="G27" s="525"/>
      <c r="H27" s="703"/>
    </row>
    <row r="28" spans="1:8" ht="59.25" customHeight="1" thickBot="1">
      <c r="A28" s="838" t="s">
        <v>3099</v>
      </c>
      <c r="B28" s="838"/>
      <c r="C28" s="838"/>
      <c r="D28" s="838"/>
      <c r="E28" s="838"/>
      <c r="F28" s="838"/>
      <c r="G28" s="838"/>
      <c r="H28" s="838"/>
    </row>
    <row r="29" spans="1:8" ht="20.25" customHeight="1">
      <c r="A29" s="900" t="s">
        <v>1633</v>
      </c>
      <c r="B29" s="901"/>
      <c r="C29" s="648" t="s">
        <v>3178</v>
      </c>
      <c r="D29" s="648" t="s">
        <v>1129</v>
      </c>
      <c r="E29" s="139" t="s">
        <v>3221</v>
      </c>
      <c r="F29" s="648" t="s">
        <v>1129</v>
      </c>
      <c r="G29" s="520" t="s">
        <v>2393</v>
      </c>
      <c r="H29" s="705" t="s">
        <v>3247</v>
      </c>
    </row>
    <row r="30" spans="1:8">
      <c r="A30" s="902" t="s">
        <v>9</v>
      </c>
      <c r="B30" s="903"/>
      <c r="C30" s="251">
        <v>7500000</v>
      </c>
      <c r="D30" s="251">
        <v>12783000</v>
      </c>
      <c r="E30" s="251">
        <v>2129615.88</v>
      </c>
      <c r="F30" s="521"/>
      <c r="G30" s="684">
        <f>E30+F30</f>
        <v>2129615.88</v>
      </c>
      <c r="H30" s="704">
        <v>1818873.06</v>
      </c>
    </row>
    <row r="31" spans="1:8" ht="16.5" thickBot="1">
      <c r="A31" s="904" t="s">
        <v>1137</v>
      </c>
      <c r="B31" s="905"/>
      <c r="C31" s="362">
        <f>SUM(C30:C30)</f>
        <v>7500000</v>
      </c>
      <c r="D31" s="362">
        <f t="shared" ref="D31" si="6">SUM(D30:D30)</f>
        <v>12783000</v>
      </c>
      <c r="E31" s="362">
        <v>2129615.88</v>
      </c>
      <c r="F31" s="362">
        <f t="shared" ref="F31:G31" si="7">F30</f>
        <v>0</v>
      </c>
      <c r="G31" s="578">
        <f t="shared" si="7"/>
        <v>2129615.88</v>
      </c>
      <c r="H31" s="578">
        <f>H30</f>
        <v>1818873.06</v>
      </c>
    </row>
    <row r="32" spans="1:8" hidden="1">
      <c r="B32" s="524"/>
      <c r="C32" s="524"/>
      <c r="D32" s="524"/>
      <c r="E32" s="525"/>
      <c r="F32" s="525"/>
      <c r="G32" s="525"/>
      <c r="H32" s="703"/>
    </row>
    <row r="33" spans="1:8" ht="95.25" customHeight="1" thickBot="1">
      <c r="A33" s="838" t="s">
        <v>3100</v>
      </c>
      <c r="B33" s="838"/>
      <c r="C33" s="838"/>
      <c r="D33" s="838"/>
      <c r="E33" s="838"/>
      <c r="F33" s="838"/>
      <c r="G33" s="838"/>
      <c r="H33" s="838"/>
    </row>
    <row r="34" spans="1:8" ht="19.5" customHeight="1">
      <c r="A34" s="900" t="s">
        <v>1633</v>
      </c>
      <c r="B34" s="901"/>
      <c r="C34" s="648" t="s">
        <v>3178</v>
      </c>
      <c r="D34" s="648" t="s">
        <v>1129</v>
      </c>
      <c r="E34" s="139" t="s">
        <v>3221</v>
      </c>
      <c r="F34" s="648" t="s">
        <v>1129</v>
      </c>
      <c r="G34" s="683" t="s">
        <v>2393</v>
      </c>
      <c r="H34" s="706" t="s">
        <v>3247</v>
      </c>
    </row>
    <row r="35" spans="1:8">
      <c r="A35" s="902" t="s">
        <v>9</v>
      </c>
      <c r="B35" s="903"/>
      <c r="C35" s="251">
        <v>7500000</v>
      </c>
      <c r="D35" s="251">
        <v>12783000</v>
      </c>
      <c r="E35" s="251">
        <v>9255747</v>
      </c>
      <c r="F35" s="521">
        <v>3102445</v>
      </c>
      <c r="G35" s="684">
        <f>E35+F35</f>
        <v>12358192</v>
      </c>
      <c r="H35" s="704">
        <v>9255747</v>
      </c>
    </row>
    <row r="36" spans="1:8">
      <c r="A36" s="902" t="s">
        <v>8</v>
      </c>
      <c r="B36" s="903"/>
      <c r="C36" s="497"/>
      <c r="D36" s="497"/>
      <c r="E36" s="497">
        <v>26441429.399999999</v>
      </c>
      <c r="F36" s="587">
        <v>17111739.600000001</v>
      </c>
      <c r="G36" s="684">
        <f>E36+F36</f>
        <v>43553169</v>
      </c>
      <c r="H36" s="521">
        <v>24951472.02</v>
      </c>
    </row>
    <row r="37" spans="1:8" ht="15.75" customHeight="1" thickBot="1">
      <c r="A37" s="904" t="s">
        <v>1137</v>
      </c>
      <c r="B37" s="905"/>
      <c r="C37" s="362">
        <f>SUM(C35:C35)</f>
        <v>7500000</v>
      </c>
      <c r="D37" s="362">
        <f t="shared" ref="D37" si="8">SUM(D35:D35)</f>
        <v>12783000</v>
      </c>
      <c r="E37" s="362">
        <v>35697176.399999999</v>
      </c>
      <c r="F37" s="362">
        <f>SUM(F35:F36)</f>
        <v>20214184.600000001</v>
      </c>
      <c r="G37" s="685">
        <f>SUM(G35:G36)</f>
        <v>55911361</v>
      </c>
      <c r="H37" s="685">
        <f>SUM(H35:H36)</f>
        <v>34207219.019999996</v>
      </c>
    </row>
    <row r="38" spans="1:8" hidden="1">
      <c r="H38" s="703"/>
    </row>
    <row r="39" spans="1:8" ht="75.75" customHeight="1" thickBot="1">
      <c r="A39" s="838" t="s">
        <v>3101</v>
      </c>
      <c r="B39" s="838"/>
      <c r="C39" s="838"/>
      <c r="D39" s="838"/>
      <c r="E39" s="838"/>
      <c r="F39" s="838"/>
      <c r="G39" s="838"/>
      <c r="H39" s="838"/>
    </row>
    <row r="40" spans="1:8" ht="20.25" customHeight="1">
      <c r="A40" s="900" t="s">
        <v>1633</v>
      </c>
      <c r="B40" s="901"/>
      <c r="C40" s="648" t="s">
        <v>3178</v>
      </c>
      <c r="D40" s="648" t="s">
        <v>1129</v>
      </c>
      <c r="E40" s="139" t="s">
        <v>3221</v>
      </c>
      <c r="F40" s="648" t="s">
        <v>1129</v>
      </c>
      <c r="G40" s="683" t="s">
        <v>2393</v>
      </c>
      <c r="H40" s="706" t="s">
        <v>3247</v>
      </c>
    </row>
    <row r="41" spans="1:8">
      <c r="A41" s="902" t="s">
        <v>9</v>
      </c>
      <c r="B41" s="903"/>
      <c r="C41" s="251">
        <v>7500000</v>
      </c>
      <c r="D41" s="251">
        <v>12783000</v>
      </c>
      <c r="E41" s="251">
        <v>4627873.5</v>
      </c>
      <c r="F41" s="521">
        <v>-2619667.29</v>
      </c>
      <c r="G41" s="684">
        <f>E41+F41</f>
        <v>2008206.21</v>
      </c>
      <c r="H41" s="704">
        <v>1558595.29</v>
      </c>
    </row>
    <row r="42" spans="1:8">
      <c r="A42" s="902" t="s">
        <v>8</v>
      </c>
      <c r="B42" s="903"/>
      <c r="C42" s="497"/>
      <c r="D42" s="497"/>
      <c r="E42" s="497">
        <v>8541933.8699999992</v>
      </c>
      <c r="F42" s="587">
        <v>-6122313.3600000003</v>
      </c>
      <c r="G42" s="684">
        <f>E42+F42</f>
        <v>2419620.5099999988</v>
      </c>
      <c r="H42" s="521">
        <v>2419620.5099999998</v>
      </c>
    </row>
    <row r="43" spans="1:8" ht="15.75" customHeight="1" thickBot="1">
      <c r="A43" s="904" t="s">
        <v>1137</v>
      </c>
      <c r="B43" s="905"/>
      <c r="C43" s="362">
        <f>SUM(C41:C41)</f>
        <v>7500000</v>
      </c>
      <c r="D43" s="362">
        <f t="shared" ref="D43" si="9">SUM(D41:D41)</f>
        <v>12783000</v>
      </c>
      <c r="E43" s="362">
        <v>13169807.369999999</v>
      </c>
      <c r="F43" s="362">
        <f>SUM(F41:F42)</f>
        <v>-8741980.6500000004</v>
      </c>
      <c r="G43" s="685">
        <f>SUM(G41:G42)</f>
        <v>4427826.7199999988</v>
      </c>
      <c r="H43" s="685">
        <f>SUM(H41:H42)</f>
        <v>3978215.8</v>
      </c>
    </row>
    <row r="44" spans="1:8" hidden="1">
      <c r="H44" s="703"/>
    </row>
    <row r="45" spans="1:8" ht="32.25" customHeight="1" thickBot="1">
      <c r="A45" s="838" t="s">
        <v>3102</v>
      </c>
      <c r="B45" s="838"/>
      <c r="C45" s="838"/>
      <c r="D45" s="838"/>
      <c r="E45" s="838"/>
      <c r="F45" s="838"/>
      <c r="G45" s="838"/>
      <c r="H45" s="838"/>
    </row>
    <row r="46" spans="1:8" ht="15.75" customHeight="1">
      <c r="A46" s="900" t="s">
        <v>1633</v>
      </c>
      <c r="B46" s="901"/>
      <c r="C46" s="648" t="s">
        <v>3178</v>
      </c>
      <c r="D46" s="648" t="s">
        <v>1129</v>
      </c>
      <c r="E46" s="139" t="s">
        <v>3221</v>
      </c>
      <c r="F46" s="648" t="s">
        <v>1129</v>
      </c>
      <c r="G46" s="683" t="s">
        <v>2393</v>
      </c>
      <c r="H46" s="706" t="s">
        <v>3247</v>
      </c>
    </row>
    <row r="47" spans="1:8">
      <c r="A47" s="902" t="s">
        <v>2172</v>
      </c>
      <c r="B47" s="903"/>
      <c r="C47" s="497"/>
      <c r="D47" s="497"/>
      <c r="E47" s="497">
        <v>1696999.72</v>
      </c>
      <c r="F47" s="587"/>
      <c r="G47" s="684">
        <f>E47+F47</f>
        <v>1696999.72</v>
      </c>
      <c r="H47" s="704">
        <v>683999.72</v>
      </c>
    </row>
    <row r="48" spans="1:8" ht="16.5" thickBot="1">
      <c r="A48" s="904" t="s">
        <v>1137</v>
      </c>
      <c r="B48" s="905"/>
      <c r="C48" s="362" t="e">
        <f>SUM(#REF!)</f>
        <v>#REF!</v>
      </c>
      <c r="D48" s="362" t="e">
        <f>SUM(#REF!)</f>
        <v>#REF!</v>
      </c>
      <c r="E48" s="362">
        <v>1696999.72</v>
      </c>
      <c r="F48" s="362">
        <f>SUM(F47:F47)</f>
        <v>0</v>
      </c>
      <c r="G48" s="685">
        <f>SUM(G47:G47)</f>
        <v>1696999.72</v>
      </c>
      <c r="H48" s="685">
        <f>H47</f>
        <v>683999.72</v>
      </c>
    </row>
    <row r="49" spans="1:8" hidden="1">
      <c r="H49" s="703"/>
    </row>
    <row r="50" spans="1:8" ht="26.25" customHeight="1" thickBot="1">
      <c r="A50" s="838" t="s">
        <v>3138</v>
      </c>
      <c r="B50" s="838"/>
      <c r="C50" s="838"/>
      <c r="D50" s="838"/>
      <c r="E50" s="838"/>
      <c r="F50" s="838"/>
      <c r="G50" s="838"/>
      <c r="H50" s="838"/>
    </row>
    <row r="51" spans="1:8" ht="20.25" customHeight="1">
      <c r="A51" s="900" t="s">
        <v>1633</v>
      </c>
      <c r="B51" s="901"/>
      <c r="C51" s="648" t="s">
        <v>3178</v>
      </c>
      <c r="D51" s="648" t="s">
        <v>1129</v>
      </c>
      <c r="E51" s="139" t="s">
        <v>3221</v>
      </c>
      <c r="F51" s="648" t="s">
        <v>1129</v>
      </c>
      <c r="G51" s="683" t="s">
        <v>2393</v>
      </c>
      <c r="H51" s="706" t="s">
        <v>3247</v>
      </c>
    </row>
    <row r="52" spans="1:8">
      <c r="A52" s="902" t="s">
        <v>9</v>
      </c>
      <c r="B52" s="903"/>
      <c r="C52" s="251">
        <v>19247000</v>
      </c>
      <c r="D52" s="251">
        <v>1000000</v>
      </c>
      <c r="E52" s="251">
        <v>12134900</v>
      </c>
      <c r="F52" s="521"/>
      <c r="G52" s="684">
        <f>SUM(E52:F52)</f>
        <v>12134900</v>
      </c>
      <c r="H52" s="704">
        <v>1863000</v>
      </c>
    </row>
    <row r="53" spans="1:8">
      <c r="A53" s="902" t="s">
        <v>1383</v>
      </c>
      <c r="B53" s="903"/>
      <c r="C53" s="251">
        <v>500000</v>
      </c>
      <c r="D53" s="251"/>
      <c r="E53" s="251">
        <v>823000</v>
      </c>
      <c r="F53" s="521"/>
      <c r="G53" s="684">
        <f t="shared" ref="G53:G56" si="10">SUM(E53:F53)</f>
        <v>823000</v>
      </c>
      <c r="H53" s="521">
        <v>372066</v>
      </c>
    </row>
    <row r="54" spans="1:8">
      <c r="A54" s="902" t="s">
        <v>2171</v>
      </c>
      <c r="B54" s="903"/>
      <c r="C54" s="251">
        <v>1000000</v>
      </c>
      <c r="D54" s="251">
        <v>-1000000</v>
      </c>
      <c r="E54" s="251">
        <v>538300</v>
      </c>
      <c r="F54" s="521"/>
      <c r="G54" s="684">
        <f t="shared" si="10"/>
        <v>538300</v>
      </c>
      <c r="H54" s="521">
        <v>324227</v>
      </c>
    </row>
    <row r="55" spans="1:8">
      <c r="A55" s="902" t="s">
        <v>8</v>
      </c>
      <c r="B55" s="903"/>
      <c r="C55" s="251">
        <v>1500000</v>
      </c>
      <c r="D55" s="251"/>
      <c r="E55" s="251">
        <v>1959800</v>
      </c>
      <c r="F55" s="521"/>
      <c r="G55" s="684">
        <f t="shared" si="10"/>
        <v>1959800</v>
      </c>
      <c r="H55" s="521">
        <v>956795.95</v>
      </c>
    </row>
    <row r="56" spans="1:8">
      <c r="A56" s="902" t="s">
        <v>2172</v>
      </c>
      <c r="B56" s="903"/>
      <c r="C56" s="497"/>
      <c r="D56" s="497"/>
      <c r="E56" s="497">
        <v>1121900</v>
      </c>
      <c r="F56" s="587"/>
      <c r="G56" s="596">
        <f t="shared" si="10"/>
        <v>1121900</v>
      </c>
      <c r="H56" s="521">
        <v>843914.26</v>
      </c>
    </row>
    <row r="57" spans="1:8" ht="16.5" thickBot="1">
      <c r="A57" s="904" t="s">
        <v>1137</v>
      </c>
      <c r="B57" s="905"/>
      <c r="C57" s="362">
        <f>C52+C53+C54+C55</f>
        <v>22247000</v>
      </c>
      <c r="D57" s="362">
        <f t="shared" ref="D57" si="11">D52+D53+D54+D55</f>
        <v>0</v>
      </c>
      <c r="E57" s="362">
        <v>16577900</v>
      </c>
      <c r="F57" s="362">
        <f>SUM(F52:F56)</f>
        <v>0</v>
      </c>
      <c r="G57" s="685">
        <f>SUM(G52:G56)</f>
        <v>16577900</v>
      </c>
      <c r="H57" s="685">
        <f>SUM(H52:H56)</f>
        <v>4360003.21</v>
      </c>
    </row>
    <row r="58" spans="1:8" hidden="1">
      <c r="H58" s="703"/>
    </row>
    <row r="59" spans="1:8" ht="54" customHeight="1" thickBot="1">
      <c r="A59" s="899" t="s">
        <v>3280</v>
      </c>
      <c r="B59" s="899"/>
      <c r="C59" s="899"/>
      <c r="D59" s="899"/>
      <c r="E59" s="899"/>
      <c r="F59" s="899"/>
      <c r="G59" s="899"/>
      <c r="H59" s="899"/>
    </row>
    <row r="60" spans="1:8" ht="19.5" customHeight="1">
      <c r="A60" s="900" t="s">
        <v>1633</v>
      </c>
      <c r="B60" s="901"/>
      <c r="C60" s="696" t="s">
        <v>3178</v>
      </c>
      <c r="D60" s="696" t="s">
        <v>1129</v>
      </c>
      <c r="E60" s="139" t="s">
        <v>3221</v>
      </c>
      <c r="F60" s="696" t="s">
        <v>1129</v>
      </c>
      <c r="G60" s="683" t="s">
        <v>2393</v>
      </c>
      <c r="H60" s="717" t="s">
        <v>3247</v>
      </c>
    </row>
    <row r="61" spans="1:8">
      <c r="A61" s="902" t="s">
        <v>9</v>
      </c>
      <c r="B61" s="903"/>
      <c r="C61" s="251">
        <v>7500000</v>
      </c>
      <c r="D61" s="251">
        <v>12783000</v>
      </c>
      <c r="E61" s="251">
        <v>8994676</v>
      </c>
      <c r="F61" s="521"/>
      <c r="G61" s="684">
        <f>E61+F61</f>
        <v>8994676</v>
      </c>
      <c r="H61" s="702">
        <v>8994676</v>
      </c>
    </row>
    <row r="62" spans="1:8" ht="16.5" thickBot="1">
      <c r="A62" s="904" t="s">
        <v>1137</v>
      </c>
      <c r="B62" s="905"/>
      <c r="C62" s="362">
        <f>SUM(C61:C61)</f>
        <v>7500000</v>
      </c>
      <c r="D62" s="362">
        <f t="shared" ref="D62" si="12">SUM(D61:D61)</f>
        <v>12783000</v>
      </c>
      <c r="E62" s="362">
        <v>8994676</v>
      </c>
      <c r="F62" s="362">
        <f t="shared" ref="F62:G62" si="13">F61</f>
        <v>0</v>
      </c>
      <c r="G62" s="685">
        <f t="shared" si="13"/>
        <v>8994676</v>
      </c>
      <c r="H62" s="578">
        <f>H61</f>
        <v>8994676</v>
      </c>
    </row>
    <row r="63" spans="1:8" hidden="1">
      <c r="H63" s="703"/>
    </row>
    <row r="64" spans="1:8" ht="52.5" customHeight="1" thickBot="1">
      <c r="A64" s="899" t="s">
        <v>3159</v>
      </c>
      <c r="B64" s="899"/>
      <c r="C64" s="899"/>
      <c r="D64" s="899"/>
      <c r="E64" s="899"/>
      <c r="F64" s="899"/>
      <c r="G64" s="899"/>
      <c r="H64" s="899"/>
    </row>
    <row r="65" spans="1:8" ht="18" customHeight="1">
      <c r="A65" s="900" t="s">
        <v>1633</v>
      </c>
      <c r="B65" s="901"/>
      <c r="C65" s="696" t="s">
        <v>3178</v>
      </c>
      <c r="D65" s="696" t="s">
        <v>1129</v>
      </c>
      <c r="E65" s="139" t="s">
        <v>3221</v>
      </c>
      <c r="F65" s="696" t="s">
        <v>1129</v>
      </c>
      <c r="G65" s="683" t="s">
        <v>2393</v>
      </c>
      <c r="H65" s="717" t="s">
        <v>3247</v>
      </c>
    </row>
    <row r="66" spans="1:8">
      <c r="A66" s="902" t="s">
        <v>9</v>
      </c>
      <c r="B66" s="903"/>
      <c r="C66" s="251">
        <v>7500000</v>
      </c>
      <c r="D66" s="251">
        <v>12783000</v>
      </c>
      <c r="E66" s="251">
        <v>1500000</v>
      </c>
      <c r="F66" s="521">
        <v>32245</v>
      </c>
      <c r="G66" s="684">
        <f>E66+F66</f>
        <v>1532245</v>
      </c>
      <c r="H66" s="702">
        <v>1532244.23</v>
      </c>
    </row>
    <row r="67" spans="1:8">
      <c r="A67" s="902" t="s">
        <v>1383</v>
      </c>
      <c r="B67" s="903"/>
      <c r="C67" s="497"/>
      <c r="D67" s="497"/>
      <c r="E67" s="497">
        <v>300000</v>
      </c>
      <c r="F67" s="587">
        <v>-32245</v>
      </c>
      <c r="G67" s="596">
        <f>SUM(E67:F67)</f>
        <v>267755</v>
      </c>
      <c r="H67" s="522">
        <v>182692.54</v>
      </c>
    </row>
    <row r="68" spans="1:8" ht="15.75" customHeight="1" thickBot="1">
      <c r="A68" s="904" t="s">
        <v>1137</v>
      </c>
      <c r="B68" s="905"/>
      <c r="C68" s="362">
        <f>SUM(C66:C66)</f>
        <v>7500000</v>
      </c>
      <c r="D68" s="362">
        <f t="shared" ref="D68" si="14">SUM(D66:D66)</f>
        <v>12783000</v>
      </c>
      <c r="E68" s="362">
        <v>1800000</v>
      </c>
      <c r="F68" s="362">
        <f t="shared" ref="F68" si="15">SUM(F66:F67)</f>
        <v>0</v>
      </c>
      <c r="G68" s="685">
        <f>SUM(G66:G67)</f>
        <v>1800000</v>
      </c>
      <c r="H68" s="578">
        <f>SUM(H66:H67)</f>
        <v>1714936.77</v>
      </c>
    </row>
    <row r="69" spans="1:8" hidden="1">
      <c r="H69" s="703"/>
    </row>
    <row r="70" spans="1:8" ht="54.75" customHeight="1">
      <c r="A70" s="837" t="s">
        <v>3160</v>
      </c>
      <c r="B70" s="837"/>
      <c r="C70" s="837"/>
      <c r="D70" s="837"/>
      <c r="E70" s="837"/>
      <c r="F70" s="837"/>
      <c r="G70" s="837"/>
      <c r="H70" s="837"/>
    </row>
    <row r="71" spans="1:8" ht="20.25" customHeight="1">
      <c r="A71" s="736" t="s">
        <v>1633</v>
      </c>
      <c r="B71" s="736"/>
      <c r="C71" s="692" t="s">
        <v>3178</v>
      </c>
      <c r="D71" s="692" t="s">
        <v>1129</v>
      </c>
      <c r="E71" s="695" t="s">
        <v>3221</v>
      </c>
      <c r="F71" s="692" t="s">
        <v>1129</v>
      </c>
      <c r="G71" s="692" t="s">
        <v>2393</v>
      </c>
      <c r="H71" s="704" t="s">
        <v>3247</v>
      </c>
    </row>
    <row r="72" spans="1:8">
      <c r="A72" s="903" t="s">
        <v>9</v>
      </c>
      <c r="B72" s="903"/>
      <c r="C72" s="251">
        <v>7500000</v>
      </c>
      <c r="D72" s="251">
        <v>12783000</v>
      </c>
      <c r="E72" s="251">
        <v>1295456.2</v>
      </c>
      <c r="F72" s="521"/>
      <c r="G72" s="521">
        <f>E72+F72</f>
        <v>1295456.2</v>
      </c>
      <c r="H72" s="704">
        <v>1295456.2</v>
      </c>
    </row>
    <row r="73" spans="1:8">
      <c r="A73" s="903" t="s">
        <v>1383</v>
      </c>
      <c r="B73" s="903"/>
      <c r="C73" s="251"/>
      <c r="D73" s="251"/>
      <c r="E73" s="251">
        <v>215909.37</v>
      </c>
      <c r="F73" s="521"/>
      <c r="G73" s="521">
        <v>215909.37</v>
      </c>
      <c r="H73" s="521">
        <v>215909.37</v>
      </c>
    </row>
    <row r="74" spans="1:8">
      <c r="A74" s="919" t="s">
        <v>1137</v>
      </c>
      <c r="B74" s="919"/>
      <c r="C74" s="272">
        <f>SUM(C72:C72)</f>
        <v>7500000</v>
      </c>
      <c r="D74" s="272">
        <f t="shared" ref="D74" si="16">SUM(D72:D72)</f>
        <v>12783000</v>
      </c>
      <c r="E74" s="272">
        <v>1511365.5699999998</v>
      </c>
      <c r="F74" s="272">
        <f t="shared" ref="F74:G74" si="17">SUM(F72:F73)</f>
        <v>0</v>
      </c>
      <c r="G74" s="272">
        <f t="shared" si="17"/>
        <v>1511365.5699999998</v>
      </c>
      <c r="H74" s="272">
        <f>SUM(H72:H73)</f>
        <v>1511365.5699999998</v>
      </c>
    </row>
    <row r="75" spans="1:8" hidden="1">
      <c r="A75" s="584"/>
      <c r="B75" s="584"/>
      <c r="C75" s="275"/>
      <c r="D75" s="275"/>
      <c r="E75" s="275"/>
      <c r="F75" s="275"/>
      <c r="G75" s="275"/>
      <c r="H75" s="703"/>
    </row>
    <row r="76" spans="1:8" ht="50.25" customHeight="1" thickBot="1">
      <c r="A76" s="838" t="s">
        <v>3161</v>
      </c>
      <c r="B76" s="838"/>
      <c r="C76" s="838"/>
      <c r="D76" s="838"/>
      <c r="E76" s="838"/>
      <c r="F76" s="838"/>
      <c r="G76" s="838"/>
      <c r="H76" s="838"/>
    </row>
    <row r="77" spans="1:8" ht="18.75" customHeight="1">
      <c r="A77" s="900" t="s">
        <v>1633</v>
      </c>
      <c r="B77" s="901"/>
      <c r="C77" s="648" t="s">
        <v>3178</v>
      </c>
      <c r="D77" s="648" t="s">
        <v>1129</v>
      </c>
      <c r="E77" s="139" t="s">
        <v>3221</v>
      </c>
      <c r="F77" s="648" t="s">
        <v>1129</v>
      </c>
      <c r="G77" s="520" t="s">
        <v>2393</v>
      </c>
      <c r="H77" s="705" t="s">
        <v>3247</v>
      </c>
    </row>
    <row r="78" spans="1:8">
      <c r="A78" s="902" t="s">
        <v>9</v>
      </c>
      <c r="B78" s="903"/>
      <c r="C78" s="251">
        <v>7500000</v>
      </c>
      <c r="D78" s="251">
        <v>12783000</v>
      </c>
      <c r="E78" s="251">
        <v>15874326</v>
      </c>
      <c r="F78" s="521"/>
      <c r="G78" s="684">
        <f>E78+F78</f>
        <v>15874326</v>
      </c>
      <c r="H78" s="704">
        <v>15874325.26</v>
      </c>
    </row>
    <row r="79" spans="1:8" ht="16.5" thickBot="1">
      <c r="A79" s="904" t="s">
        <v>1137</v>
      </c>
      <c r="B79" s="905"/>
      <c r="C79" s="362">
        <f>SUM(C78:C78)</f>
        <v>7500000</v>
      </c>
      <c r="D79" s="362">
        <f t="shared" ref="D79" si="18">SUM(D78:D78)</f>
        <v>12783000</v>
      </c>
      <c r="E79" s="362">
        <v>15874326</v>
      </c>
      <c r="F79" s="362">
        <f t="shared" ref="F79:G79" si="19">F78</f>
        <v>0</v>
      </c>
      <c r="G79" s="362">
        <f t="shared" si="19"/>
        <v>15874326</v>
      </c>
      <c r="H79" s="686">
        <f>H78</f>
        <v>15874325.26</v>
      </c>
    </row>
    <row r="80" spans="1:8" hidden="1">
      <c r="A80" s="584"/>
      <c r="B80" s="584"/>
      <c r="C80" s="275"/>
      <c r="D80" s="275"/>
      <c r="E80" s="275"/>
      <c r="F80" s="275"/>
      <c r="G80" s="275"/>
      <c r="H80" s="703"/>
    </row>
    <row r="81" spans="1:8" ht="46.5" hidden="1" customHeight="1" thickBot="1">
      <c r="A81" s="918" t="s">
        <v>3235</v>
      </c>
      <c r="B81" s="918"/>
      <c r="C81" s="918"/>
      <c r="D81" s="918"/>
      <c r="E81" s="918"/>
      <c r="F81" s="918"/>
      <c r="G81" s="918"/>
      <c r="H81" s="918"/>
    </row>
    <row r="82" spans="1:8" ht="31.5" hidden="1">
      <c r="A82" s="900" t="s">
        <v>1633</v>
      </c>
      <c r="B82" s="901"/>
      <c r="C82" s="648" t="s">
        <v>3178</v>
      </c>
      <c r="D82" s="648" t="s">
        <v>1129</v>
      </c>
      <c r="E82" s="139" t="s">
        <v>3221</v>
      </c>
      <c r="F82" s="648" t="s">
        <v>1129</v>
      </c>
      <c r="G82" s="520" t="s">
        <v>2393</v>
      </c>
      <c r="H82" s="705" t="s">
        <v>3247</v>
      </c>
    </row>
    <row r="83" spans="1:8" hidden="1">
      <c r="A83" s="902" t="s">
        <v>9</v>
      </c>
      <c r="B83" s="903"/>
      <c r="C83" s="251">
        <v>7500000</v>
      </c>
      <c r="D83" s="251">
        <v>12783000</v>
      </c>
      <c r="E83" s="251">
        <v>2102105</v>
      </c>
      <c r="F83" s="521">
        <v>-346491</v>
      </c>
      <c r="G83" s="684">
        <f>E83+F83</f>
        <v>1755614</v>
      </c>
      <c r="H83" s="704">
        <v>0</v>
      </c>
    </row>
    <row r="84" spans="1:8" ht="16.5" hidden="1" thickBot="1">
      <c r="A84" s="904" t="s">
        <v>1137</v>
      </c>
      <c r="B84" s="905"/>
      <c r="C84" s="362">
        <f>SUM(C83:C83)</f>
        <v>7500000</v>
      </c>
      <c r="D84" s="362">
        <f t="shared" ref="D84" si="20">SUM(D83:D83)</f>
        <v>12783000</v>
      </c>
      <c r="E84" s="362">
        <v>2102105</v>
      </c>
      <c r="F84" s="362">
        <f t="shared" ref="F84:G84" si="21">F83</f>
        <v>-346491</v>
      </c>
      <c r="G84" s="362">
        <f t="shared" si="21"/>
        <v>1755614</v>
      </c>
      <c r="H84" s="686">
        <f>H83</f>
        <v>0</v>
      </c>
    </row>
    <row r="85" spans="1:8" hidden="1">
      <c r="A85" s="584"/>
      <c r="B85" s="584"/>
      <c r="C85" s="275"/>
      <c r="D85" s="275"/>
      <c r="E85" s="275"/>
      <c r="F85" s="275"/>
      <c r="G85" s="275"/>
      <c r="H85" s="703"/>
    </row>
    <row r="86" spans="1:8">
      <c r="B86" s="524" t="s">
        <v>2184</v>
      </c>
      <c r="C86" s="524"/>
      <c r="D86" s="524"/>
      <c r="E86" s="525">
        <f>E13+E21+E26+E31+E37+E43+E48+E57+E62+E74+E68+E79+E84</f>
        <v>144923392.94</v>
      </c>
      <c r="F86" s="525">
        <f>F13+F21+F26+F31+F37+F43+F48+F57+F62+F74+F68+F79+F84</f>
        <v>11125712.950000001</v>
      </c>
      <c r="G86" s="525">
        <f>G13+G21+G26+G31+G37+G43+G48+G57+G62+G74+G68+G79+G84</f>
        <v>156049105.88999999</v>
      </c>
      <c r="H86" s="525">
        <f>H13+H21+H26+H31+H37+H43+H48+H57+H62+H68+H74+H79+H84</f>
        <v>103922442.82999998</v>
      </c>
    </row>
    <row r="87" spans="1:8">
      <c r="H87" s="698"/>
    </row>
  </sheetData>
  <mergeCells count="71">
    <mergeCell ref="B1:H1"/>
    <mergeCell ref="B2:H2"/>
    <mergeCell ref="B3:H3"/>
    <mergeCell ref="B4:H4"/>
    <mergeCell ref="A7:H7"/>
    <mergeCell ref="A8:H8"/>
    <mergeCell ref="A21:B21"/>
    <mergeCell ref="A9:B9"/>
    <mergeCell ref="A10:B10"/>
    <mergeCell ref="A11:B11"/>
    <mergeCell ref="A12:B12"/>
    <mergeCell ref="A13:B13"/>
    <mergeCell ref="A16:B16"/>
    <mergeCell ref="A17:B17"/>
    <mergeCell ref="A18:B18"/>
    <mergeCell ref="A19:B19"/>
    <mergeCell ref="A20:B20"/>
    <mergeCell ref="A15:H15"/>
    <mergeCell ref="A35:B35"/>
    <mergeCell ref="A22:B22"/>
    <mergeCell ref="A24:B24"/>
    <mergeCell ref="A25:B25"/>
    <mergeCell ref="A26:B26"/>
    <mergeCell ref="A29:B29"/>
    <mergeCell ref="A30:B30"/>
    <mergeCell ref="A31:B31"/>
    <mergeCell ref="A34:B34"/>
    <mergeCell ref="A23:H23"/>
    <mergeCell ref="A28:H28"/>
    <mergeCell ref="A33:H33"/>
    <mergeCell ref="A36:B36"/>
    <mergeCell ref="A37:B37"/>
    <mergeCell ref="A40:B40"/>
    <mergeCell ref="A41:B41"/>
    <mergeCell ref="A42:B42"/>
    <mergeCell ref="A43:B43"/>
    <mergeCell ref="A46:B46"/>
    <mergeCell ref="A47:B47"/>
    <mergeCell ref="A48:B48"/>
    <mergeCell ref="A39:H39"/>
    <mergeCell ref="A45:H45"/>
    <mergeCell ref="A50:H50"/>
    <mergeCell ref="A51:B51"/>
    <mergeCell ref="A52:B52"/>
    <mergeCell ref="A53:B53"/>
    <mergeCell ref="A54:B54"/>
    <mergeCell ref="A55:B55"/>
    <mergeCell ref="A56:B56"/>
    <mergeCell ref="A57:B57"/>
    <mergeCell ref="A60:B60"/>
    <mergeCell ref="A61:B61"/>
    <mergeCell ref="A62:B62"/>
    <mergeCell ref="A59:H59"/>
    <mergeCell ref="A64:H64"/>
    <mergeCell ref="A78:B78"/>
    <mergeCell ref="A65:B65"/>
    <mergeCell ref="A66:B66"/>
    <mergeCell ref="A67:B67"/>
    <mergeCell ref="A68:B68"/>
    <mergeCell ref="A71:B71"/>
    <mergeCell ref="A72:B72"/>
    <mergeCell ref="A73:B73"/>
    <mergeCell ref="A74:B74"/>
    <mergeCell ref="A77:B77"/>
    <mergeCell ref="A70:H70"/>
    <mergeCell ref="A76:H76"/>
    <mergeCell ref="A79:B79"/>
    <mergeCell ref="A82:B82"/>
    <mergeCell ref="A83:B83"/>
    <mergeCell ref="A84:B84"/>
    <mergeCell ref="A81:H81"/>
  </mergeCells>
  <pageMargins left="0.70866141732283472" right="0.70866141732283472" top="0.74803149606299213" bottom="0.74803149606299213" header="0.31496062992125984" footer="0.31496062992125984"/>
  <pageSetup paperSize="9" scale="91" fitToHeight="18" orientation="portrait" r:id="rId1"/>
  <headerFooter>
    <oddFooter>&amp;C&amp;P</oddFooter>
  </headerFooter>
  <rowBreaks count="1" manualBreakCount="1">
    <brk id="38" max="7" man="1"/>
  </rowBreaks>
</worksheet>
</file>

<file path=xl/worksheets/sheet59.xml><?xml version="1.0" encoding="utf-8"?>
<worksheet xmlns="http://schemas.openxmlformats.org/spreadsheetml/2006/main" xmlns:r="http://schemas.openxmlformats.org/officeDocument/2006/relationships">
  <sheetPr>
    <pageSetUpPr fitToPage="1"/>
  </sheetPr>
  <dimension ref="A1:E42"/>
  <sheetViews>
    <sheetView view="pageBreakPreview" zoomScale="115" zoomScaleSheetLayoutView="115" workbookViewId="0">
      <selection activeCell="A22" sqref="A22:E22"/>
    </sheetView>
  </sheetViews>
  <sheetFormatPr defaultColWidth="9.140625" defaultRowHeight="12.75"/>
  <cols>
    <col min="1" max="1" width="54" style="147" customWidth="1"/>
    <col min="2" max="2" width="12.140625" style="147" hidden="1" customWidth="1"/>
    <col min="3" max="3" width="12.7109375" style="147" hidden="1" customWidth="1"/>
    <col min="4" max="4" width="15.42578125" style="147" customWidth="1"/>
    <col min="5" max="5" width="15.5703125" style="147" customWidth="1"/>
    <col min="6" max="16384" width="9.140625" style="147"/>
  </cols>
  <sheetData>
    <row r="1" spans="1:5" ht="15.75">
      <c r="A1" s="737" t="s">
        <v>2460</v>
      </c>
      <c r="B1" s="737"/>
      <c r="C1" s="737"/>
      <c r="D1" s="737"/>
      <c r="E1" s="737"/>
    </row>
    <row r="2" spans="1:5" ht="15.75">
      <c r="A2" s="737" t="s">
        <v>1058</v>
      </c>
      <c r="B2" s="737"/>
      <c r="C2" s="737"/>
      <c r="D2" s="737"/>
      <c r="E2" s="737"/>
    </row>
    <row r="3" spans="1:5" ht="15.75">
      <c r="A3" s="737" t="s">
        <v>716</v>
      </c>
      <c r="B3" s="737"/>
      <c r="C3" s="737"/>
      <c r="D3" s="737"/>
      <c r="E3" s="737"/>
    </row>
    <row r="4" spans="1:5" ht="15.75">
      <c r="A4" s="737" t="s">
        <v>3095</v>
      </c>
      <c r="B4" s="737"/>
      <c r="C4" s="737"/>
      <c r="D4" s="737"/>
      <c r="E4" s="737"/>
    </row>
    <row r="5" spans="1:5">
      <c r="A5" s="649"/>
      <c r="B5" s="649"/>
      <c r="C5" s="649"/>
      <c r="D5" s="649"/>
      <c r="E5"/>
    </row>
    <row r="6" spans="1:5">
      <c r="A6"/>
      <c r="B6"/>
      <c r="C6"/>
      <c r="D6"/>
      <c r="E6"/>
    </row>
    <row r="7" spans="1:5" ht="54.75" customHeight="1">
      <c r="A7" s="738" t="s">
        <v>3143</v>
      </c>
      <c r="B7" s="738"/>
      <c r="C7" s="738"/>
      <c r="D7" s="738"/>
      <c r="E7" s="738"/>
    </row>
    <row r="8" spans="1:5" ht="39.75" customHeight="1">
      <c r="A8" s="738" t="s">
        <v>3144</v>
      </c>
      <c r="B8" s="738"/>
      <c r="C8" s="738"/>
      <c r="D8" s="738"/>
      <c r="E8" s="738"/>
    </row>
    <row r="9" spans="1:5" ht="19.5" thickBot="1">
      <c r="A9" s="22"/>
      <c r="B9" s="22"/>
      <c r="C9" s="22"/>
      <c r="D9" s="22"/>
      <c r="E9"/>
    </row>
    <row r="10" spans="1:5" ht="31.5">
      <c r="A10" s="138" t="s">
        <v>1633</v>
      </c>
      <c r="B10" s="139" t="s">
        <v>3179</v>
      </c>
      <c r="C10" s="139" t="s">
        <v>632</v>
      </c>
      <c r="D10" s="520" t="s">
        <v>2496</v>
      </c>
      <c r="E10" s="520" t="s">
        <v>2584</v>
      </c>
    </row>
    <row r="11" spans="1:5" ht="15.75">
      <c r="A11" s="920" t="s">
        <v>9</v>
      </c>
      <c r="B11" s="921"/>
      <c r="C11" s="227"/>
      <c r="D11" s="529">
        <v>1333685</v>
      </c>
      <c r="E11" s="225">
        <v>0</v>
      </c>
    </row>
    <row r="12" spans="1:5" ht="16.5" thickBot="1">
      <c r="A12" s="655" t="s">
        <v>1137</v>
      </c>
      <c r="B12" s="352">
        <v>1380000</v>
      </c>
      <c r="C12" s="226">
        <f>SUM(C11:C11)</f>
        <v>0</v>
      </c>
      <c r="D12" s="531">
        <f>SUM(D11:D11)</f>
        <v>1333685</v>
      </c>
      <c r="E12" s="352"/>
    </row>
    <row r="13" spans="1:5" ht="40.5" customHeight="1">
      <c r="A13" s="738" t="s">
        <v>2378</v>
      </c>
      <c r="B13" s="738"/>
      <c r="C13" s="738"/>
      <c r="D13" s="738"/>
      <c r="E13" s="738"/>
    </row>
    <row r="14" spans="1:5" ht="21" customHeight="1" thickBot="1">
      <c r="A14" s="22"/>
      <c r="B14" s="22"/>
      <c r="C14" s="22"/>
      <c r="D14" s="22"/>
      <c r="E14" s="510"/>
    </row>
    <row r="15" spans="1:5" ht="31.5">
      <c r="A15" s="138" t="s">
        <v>1633</v>
      </c>
      <c r="B15" s="139" t="s">
        <v>3179</v>
      </c>
      <c r="C15" s="139" t="s">
        <v>632</v>
      </c>
      <c r="D15" s="520" t="s">
        <v>2496</v>
      </c>
      <c r="E15" s="520" t="s">
        <v>2584</v>
      </c>
    </row>
    <row r="16" spans="1:5" ht="15.75">
      <c r="A16" s="664" t="s">
        <v>650</v>
      </c>
      <c r="B16" s="665"/>
      <c r="C16" s="124"/>
      <c r="D16" s="666">
        <v>500000</v>
      </c>
      <c r="E16" s="667">
        <v>500000</v>
      </c>
    </row>
    <row r="17" spans="1:5" ht="15.75">
      <c r="A17" s="664" t="s">
        <v>8</v>
      </c>
      <c r="B17" s="665"/>
      <c r="C17" s="124"/>
      <c r="D17" s="666">
        <v>1500000</v>
      </c>
      <c r="E17" s="667">
        <v>1500000</v>
      </c>
    </row>
    <row r="18" spans="1:5" ht="15.75">
      <c r="A18" s="664" t="s">
        <v>651</v>
      </c>
      <c r="B18" s="665"/>
      <c r="C18" s="124"/>
      <c r="D18" s="666">
        <v>1000000</v>
      </c>
      <c r="E18" s="667">
        <v>1000000</v>
      </c>
    </row>
    <row r="19" spans="1:5" ht="15.75">
      <c r="A19" s="664" t="s">
        <v>1383</v>
      </c>
      <c r="B19" s="665"/>
      <c r="C19" s="124"/>
      <c r="D19" s="666">
        <v>500000</v>
      </c>
      <c r="E19" s="667">
        <v>500000</v>
      </c>
    </row>
    <row r="20" spans="1:5" ht="15.75">
      <c r="A20" s="924" t="s">
        <v>9</v>
      </c>
      <c r="B20" s="925"/>
      <c r="C20" s="227"/>
      <c r="D20" s="529">
        <v>10131697</v>
      </c>
      <c r="E20" s="225">
        <v>6783000</v>
      </c>
    </row>
    <row r="21" spans="1:5" ht="16.5" thickBot="1">
      <c r="A21" s="655" t="s">
        <v>1137</v>
      </c>
      <c r="B21" s="352">
        <v>1380000</v>
      </c>
      <c r="C21" s="226">
        <f>SUM(C20:C20)</f>
        <v>0</v>
      </c>
      <c r="D21" s="531">
        <f>D16+D17+D18+D19+D20</f>
        <v>13631697</v>
      </c>
      <c r="E21" s="531">
        <f>E16+E17+E18+E19+E20</f>
        <v>10283000</v>
      </c>
    </row>
    <row r="22" spans="1:5" ht="50.25" customHeight="1">
      <c r="A22" s="738" t="s">
        <v>3162</v>
      </c>
      <c r="B22" s="738"/>
      <c r="C22" s="738"/>
      <c r="D22" s="738"/>
      <c r="E22" s="738"/>
    </row>
    <row r="23" spans="1:5" ht="19.5" thickBot="1">
      <c r="A23" s="22"/>
      <c r="B23" s="22"/>
      <c r="C23" s="22"/>
      <c r="D23" s="22"/>
      <c r="E23" s="510"/>
    </row>
    <row r="24" spans="1:5" ht="31.5">
      <c r="A24" s="138" t="s">
        <v>1633</v>
      </c>
      <c r="B24" s="139" t="s">
        <v>3179</v>
      </c>
      <c r="C24" s="139" t="s">
        <v>632</v>
      </c>
      <c r="D24" s="520" t="s">
        <v>2496</v>
      </c>
      <c r="E24" s="520" t="s">
        <v>2584</v>
      </c>
    </row>
    <row r="25" spans="1:5" ht="15.75">
      <c r="A25" s="920" t="s">
        <v>9</v>
      </c>
      <c r="B25" s="921"/>
      <c r="C25" s="602"/>
      <c r="D25" s="603">
        <v>700000</v>
      </c>
      <c r="E25" s="604">
        <v>700000</v>
      </c>
    </row>
    <row r="26" spans="1:5" ht="15.75">
      <c r="A26" s="656" t="s">
        <v>8</v>
      </c>
      <c r="B26" s="657"/>
      <c r="C26" s="602"/>
      <c r="D26" s="603">
        <v>350000</v>
      </c>
      <c r="E26" s="604">
        <v>350000</v>
      </c>
    </row>
    <row r="27" spans="1:5" ht="15.75">
      <c r="A27" s="920" t="s">
        <v>1383</v>
      </c>
      <c r="B27" s="921"/>
      <c r="C27" s="227"/>
      <c r="D27" s="529">
        <v>350000</v>
      </c>
      <c r="E27" s="225">
        <v>350000</v>
      </c>
    </row>
    <row r="28" spans="1:5" ht="15.75">
      <c r="A28" s="658" t="s">
        <v>1137</v>
      </c>
      <c r="B28" s="611">
        <v>1380000</v>
      </c>
      <c r="C28" s="612">
        <f>SUM(C27:C27)</f>
        <v>0</v>
      </c>
      <c r="D28" s="613">
        <f>SUM(D25:D27)</f>
        <v>1400000</v>
      </c>
      <c r="E28" s="613">
        <f>SUM(E25:E27)</f>
        <v>1400000</v>
      </c>
    </row>
    <row r="29" spans="1:5" ht="15.75">
      <c r="A29" s="659"/>
      <c r="B29" s="652"/>
      <c r="C29" s="612"/>
      <c r="D29" s="613"/>
      <c r="E29" s="613"/>
    </row>
    <row r="30" spans="1:5" ht="84" customHeight="1" thickBot="1">
      <c r="A30" s="899" t="s">
        <v>3180</v>
      </c>
      <c r="B30" s="899"/>
      <c r="C30" s="899"/>
      <c r="D30" s="899"/>
      <c r="E30" s="899"/>
    </row>
    <row r="31" spans="1:5" ht="31.5">
      <c r="A31" s="900" t="s">
        <v>1633</v>
      </c>
      <c r="B31" s="901"/>
      <c r="C31" s="648" t="s">
        <v>3178</v>
      </c>
      <c r="D31" s="520" t="s">
        <v>2496</v>
      </c>
      <c r="E31" s="520" t="s">
        <v>2584</v>
      </c>
    </row>
    <row r="32" spans="1:5" ht="15.75" hidden="1">
      <c r="A32" s="920" t="s">
        <v>9</v>
      </c>
      <c r="B32" s="921"/>
      <c r="C32" s="251">
        <v>7500000</v>
      </c>
      <c r="D32" s="251">
        <v>0</v>
      </c>
      <c r="E32" s="251">
        <v>0</v>
      </c>
    </row>
    <row r="33" spans="1:5" ht="15.75">
      <c r="A33" s="920" t="s">
        <v>8</v>
      </c>
      <c r="B33" s="921"/>
      <c r="C33" s="497"/>
      <c r="D33" s="497">
        <v>8541933.4700000007</v>
      </c>
      <c r="E33" s="497">
        <v>0</v>
      </c>
    </row>
    <row r="34" spans="1:5" ht="16.5" thickBot="1">
      <c r="A34" s="922" t="s">
        <v>1137</v>
      </c>
      <c r="B34" s="923"/>
      <c r="C34" s="362">
        <f>SUM(C32:C32)</f>
        <v>7500000</v>
      </c>
      <c r="D34" s="362">
        <f>D33</f>
        <v>8541933.4700000007</v>
      </c>
      <c r="E34" s="362">
        <f>E33</f>
        <v>0</v>
      </c>
    </row>
    <row r="35" spans="1:5" ht="15.75">
      <c r="A35" s="660"/>
      <c r="B35" s="661"/>
      <c r="C35" s="653"/>
      <c r="D35" s="653"/>
      <c r="E35" s="653"/>
    </row>
    <row r="36" spans="1:5" ht="94.5" customHeight="1" thickBot="1">
      <c r="A36" s="899" t="s">
        <v>3100</v>
      </c>
      <c r="B36" s="899"/>
      <c r="C36" s="899"/>
      <c r="D36" s="899"/>
      <c r="E36" s="899"/>
    </row>
    <row r="37" spans="1:5" ht="31.5">
      <c r="A37" s="900" t="s">
        <v>1633</v>
      </c>
      <c r="B37" s="901"/>
      <c r="C37" s="648" t="s">
        <v>3178</v>
      </c>
      <c r="D37" s="520" t="s">
        <v>2496</v>
      </c>
      <c r="E37" s="520" t="s">
        <v>2584</v>
      </c>
    </row>
    <row r="38" spans="1:5" ht="15.75" hidden="1">
      <c r="A38" s="920" t="s">
        <v>9</v>
      </c>
      <c r="B38" s="921"/>
      <c r="C38" s="251">
        <v>7500000</v>
      </c>
      <c r="D38" s="251">
        <v>0</v>
      </c>
      <c r="E38" s="251">
        <v>0</v>
      </c>
    </row>
    <row r="39" spans="1:5" ht="15.75">
      <c r="A39" s="920" t="s">
        <v>8</v>
      </c>
      <c r="B39" s="921"/>
      <c r="C39" s="497"/>
      <c r="D39" s="497">
        <v>2937936</v>
      </c>
      <c r="E39" s="497">
        <v>0</v>
      </c>
    </row>
    <row r="40" spans="1:5" ht="16.5" thickBot="1">
      <c r="A40" s="922" t="s">
        <v>1137</v>
      </c>
      <c r="B40" s="923"/>
      <c r="C40" s="362">
        <f>SUM(C38:C38)</f>
        <v>7500000</v>
      </c>
      <c r="D40" s="362">
        <f>SUM(D38:D39)</f>
        <v>2937936</v>
      </c>
      <c r="E40" s="362">
        <f>SUM(E38:E39)</f>
        <v>0</v>
      </c>
    </row>
    <row r="41" spans="1:5" ht="15.75">
      <c r="A41" s="660"/>
      <c r="B41" s="661"/>
      <c r="C41" s="653"/>
      <c r="D41" s="653"/>
      <c r="E41" s="653"/>
    </row>
    <row r="42" spans="1:5" ht="21" customHeight="1">
      <c r="A42" s="614" t="s">
        <v>2184</v>
      </c>
      <c r="B42" s="615"/>
      <c r="C42" s="615"/>
      <c r="D42" s="616">
        <f>D12+D21+D28+D34+D40</f>
        <v>27845251.469999999</v>
      </c>
      <c r="E42" s="616">
        <f>E12+E21+E28+E34+E40</f>
        <v>11683000</v>
      </c>
    </row>
  </sheetData>
  <mergeCells count="22">
    <mergeCell ref="A27:B27"/>
    <mergeCell ref="A1:E1"/>
    <mergeCell ref="A2:E2"/>
    <mergeCell ref="A3:E3"/>
    <mergeCell ref="A4:E4"/>
    <mergeCell ref="A7:E7"/>
    <mergeCell ref="A8:E8"/>
    <mergeCell ref="A11:B11"/>
    <mergeCell ref="A13:E13"/>
    <mergeCell ref="A20:B20"/>
    <mergeCell ref="A22:E22"/>
    <mergeCell ref="A25:B25"/>
    <mergeCell ref="A31:B31"/>
    <mergeCell ref="A32:B32"/>
    <mergeCell ref="A33:B33"/>
    <mergeCell ref="A34:B34"/>
    <mergeCell ref="A30:E30"/>
    <mergeCell ref="A37:B37"/>
    <mergeCell ref="A38:B38"/>
    <mergeCell ref="A39:B39"/>
    <mergeCell ref="A40:B40"/>
    <mergeCell ref="A36:E36"/>
  </mergeCells>
  <pageMargins left="0.70866141732283472" right="0.70866141732283472" top="0.74803149606299213" bottom="0.74803149606299213" header="0.31496062992125984" footer="0.31496062992125984"/>
  <pageSetup paperSize="9" fitToHeight="16"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codeName="Лист10"/>
  <dimension ref="A1:C19"/>
  <sheetViews>
    <sheetView showGridLines="0" view="pageBreakPreview" zoomScaleSheetLayoutView="100" workbookViewId="0">
      <selection activeCell="A4" sqref="A4:C4"/>
    </sheetView>
  </sheetViews>
  <sheetFormatPr defaultRowHeight="12.75"/>
  <cols>
    <col min="2" max="2" width="28.5703125" customWidth="1"/>
    <col min="3" max="3" width="47.5703125" customWidth="1"/>
    <col min="8" max="8" width="43.42578125" customWidth="1"/>
  </cols>
  <sheetData>
    <row r="1" spans="1:3" ht="15.75">
      <c r="A1" s="737" t="s">
        <v>1578</v>
      </c>
      <c r="B1" s="737"/>
      <c r="C1" s="737"/>
    </row>
    <row r="2" spans="1:3" ht="15.75">
      <c r="A2" s="737" t="s">
        <v>1058</v>
      </c>
      <c r="B2" s="737"/>
      <c r="C2" s="737"/>
    </row>
    <row r="3" spans="1:3" ht="15.75">
      <c r="A3" s="737" t="s">
        <v>716</v>
      </c>
      <c r="B3" s="737"/>
      <c r="C3" s="737"/>
    </row>
    <row r="4" spans="1:3" ht="15.75">
      <c r="A4" s="737" t="s">
        <v>2456</v>
      </c>
      <c r="B4" s="737"/>
      <c r="C4" s="737"/>
    </row>
    <row r="5" spans="1:3" ht="15.75">
      <c r="A5" s="127"/>
      <c r="B5" s="1"/>
      <c r="C5" s="1"/>
    </row>
    <row r="6" spans="1:3" ht="39" customHeight="1">
      <c r="A6" s="792" t="s">
        <v>2071</v>
      </c>
      <c r="B6" s="792"/>
      <c r="C6" s="792"/>
    </row>
    <row r="7" spans="1:3" ht="18.75">
      <c r="A7" s="806"/>
      <c r="B7" s="806"/>
      <c r="C7" s="806"/>
    </row>
    <row r="8" spans="1:3" ht="15.75">
      <c r="A8" s="793" t="s">
        <v>1082</v>
      </c>
      <c r="B8" s="793"/>
      <c r="C8" s="793"/>
    </row>
    <row r="9" spans="1:3" ht="47.25">
      <c r="A9" s="129">
        <v>955</v>
      </c>
      <c r="B9" s="129" t="s">
        <v>1088</v>
      </c>
      <c r="C9" s="95" t="s">
        <v>1523</v>
      </c>
    </row>
    <row r="10" spans="1:3" ht="47.25">
      <c r="A10" s="129">
        <v>955</v>
      </c>
      <c r="B10" s="129" t="s">
        <v>1089</v>
      </c>
      <c r="C10" s="95" t="s">
        <v>1610</v>
      </c>
    </row>
    <row r="11" spans="1:3" ht="63">
      <c r="A11" s="129">
        <v>955</v>
      </c>
      <c r="B11" s="129" t="s">
        <v>2215</v>
      </c>
      <c r="C11" s="95" t="s">
        <v>1090</v>
      </c>
    </row>
    <row r="12" spans="1:3" ht="63">
      <c r="A12" s="129">
        <v>955</v>
      </c>
      <c r="B12" s="129" t="s">
        <v>2216</v>
      </c>
      <c r="C12" s="95" t="s">
        <v>1091</v>
      </c>
    </row>
    <row r="13" spans="1:3" ht="31.5">
      <c r="A13" s="129">
        <v>955</v>
      </c>
      <c r="B13" s="129" t="s">
        <v>1981</v>
      </c>
      <c r="C13" s="95" t="s">
        <v>1025</v>
      </c>
    </row>
    <row r="14" spans="1:3" ht="31.5">
      <c r="A14" s="129">
        <v>955</v>
      </c>
      <c r="B14" s="129" t="s">
        <v>1982</v>
      </c>
      <c r="C14" s="95" t="s">
        <v>378</v>
      </c>
    </row>
    <row r="15" spans="1:3" ht="130.5" customHeight="1">
      <c r="A15" s="129">
        <v>955</v>
      </c>
      <c r="B15" s="129" t="s">
        <v>2146</v>
      </c>
      <c r="C15" s="95" t="s">
        <v>2147</v>
      </c>
    </row>
    <row r="16" spans="1:3" ht="63">
      <c r="A16" s="129">
        <v>955</v>
      </c>
      <c r="B16" s="129" t="s">
        <v>2148</v>
      </c>
      <c r="C16" s="95" t="s">
        <v>2149</v>
      </c>
    </row>
    <row r="17" spans="1:3" ht="78.75">
      <c r="A17" s="129">
        <v>955</v>
      </c>
      <c r="B17" s="129" t="s">
        <v>2150</v>
      </c>
      <c r="C17" s="95" t="s">
        <v>2151</v>
      </c>
    </row>
    <row r="18" spans="1:3" ht="63">
      <c r="A18" s="130">
        <v>955</v>
      </c>
      <c r="B18" s="130" t="s">
        <v>2152</v>
      </c>
      <c r="C18" s="45" t="s">
        <v>2153</v>
      </c>
    </row>
    <row r="19" spans="1:3" ht="63">
      <c r="A19" s="130">
        <v>955</v>
      </c>
      <c r="B19" s="130" t="s">
        <v>2154</v>
      </c>
      <c r="C19" s="45" t="s">
        <v>2155</v>
      </c>
    </row>
  </sheetData>
  <mergeCells count="7">
    <mergeCell ref="A8:C8"/>
    <mergeCell ref="A1:C1"/>
    <mergeCell ref="A2:C2"/>
    <mergeCell ref="A3:C3"/>
    <mergeCell ref="A4:C4"/>
    <mergeCell ref="A6:C6"/>
    <mergeCell ref="A7:C7"/>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60.xml><?xml version="1.0" encoding="utf-8"?>
<worksheet xmlns="http://schemas.openxmlformats.org/spreadsheetml/2006/main" xmlns:r="http://schemas.openxmlformats.org/officeDocument/2006/relationships">
  <sheetPr codeName="Лист41"/>
  <dimension ref="A1:B290"/>
  <sheetViews>
    <sheetView topLeftCell="A130" workbookViewId="0">
      <selection activeCell="B149" sqref="B149"/>
    </sheetView>
  </sheetViews>
  <sheetFormatPr defaultColWidth="9.140625" defaultRowHeight="12.75"/>
  <cols>
    <col min="1" max="1" width="19.42578125" style="623" customWidth="1"/>
    <col min="2" max="2" width="107.85546875" style="471" customWidth="1"/>
    <col min="3" max="16384" width="9.140625" style="471"/>
  </cols>
  <sheetData>
    <row r="1" spans="1:2">
      <c r="A1" s="619" t="s">
        <v>2270</v>
      </c>
      <c r="B1" s="235" t="s">
        <v>2269</v>
      </c>
    </row>
    <row r="2" spans="1:2" ht="63">
      <c r="A2" s="669">
        <v>9502</v>
      </c>
      <c r="B2" s="45" t="s">
        <v>3080</v>
      </c>
    </row>
    <row r="3" spans="1:2" ht="53.25" customHeight="1">
      <c r="A3" s="674" t="s">
        <v>3207</v>
      </c>
      <c r="B3" s="673" t="s">
        <v>3081</v>
      </c>
    </row>
    <row r="4" spans="1:2" ht="15.75">
      <c r="A4" s="609">
        <v>10010</v>
      </c>
      <c r="B4" s="45" t="s">
        <v>2272</v>
      </c>
    </row>
    <row r="5" spans="1:2" ht="15.75">
      <c r="A5" s="609">
        <v>10020</v>
      </c>
      <c r="B5" s="45" t="s">
        <v>2273</v>
      </c>
    </row>
    <row r="6" spans="1:2" ht="15.75">
      <c r="A6" s="609">
        <v>10030</v>
      </c>
      <c r="B6" s="45" t="s">
        <v>2274</v>
      </c>
    </row>
    <row r="7" spans="1:2" ht="15.75">
      <c r="A7" s="609">
        <v>10040</v>
      </c>
      <c r="B7" s="45" t="s">
        <v>2275</v>
      </c>
    </row>
    <row r="8" spans="1:2" ht="15.75">
      <c r="A8" s="609">
        <v>10050</v>
      </c>
      <c r="B8" s="45" t="s">
        <v>2276</v>
      </c>
    </row>
    <row r="9" spans="1:2" ht="15.75">
      <c r="A9" s="609">
        <v>10060</v>
      </c>
      <c r="B9" s="45" t="s">
        <v>2277</v>
      </c>
    </row>
    <row r="10" spans="1:2" ht="15.75">
      <c r="A10" s="609">
        <v>10070</v>
      </c>
      <c r="B10" s="466"/>
    </row>
    <row r="11" spans="1:2" ht="15.75">
      <c r="A11" s="609">
        <v>10080</v>
      </c>
      <c r="B11" s="466"/>
    </row>
    <row r="12" spans="1:2" ht="31.5">
      <c r="A12" s="609">
        <v>10090</v>
      </c>
      <c r="B12" s="45" t="s">
        <v>2572</v>
      </c>
    </row>
    <row r="13" spans="1:2" ht="31.5">
      <c r="A13" s="609">
        <v>10100</v>
      </c>
      <c r="B13" s="478" t="s">
        <v>2927</v>
      </c>
    </row>
    <row r="14" spans="1:2" ht="31.5">
      <c r="A14" s="609">
        <v>10110</v>
      </c>
      <c r="B14" s="45" t="s">
        <v>2549</v>
      </c>
    </row>
    <row r="15" spans="1:2" ht="15.75">
      <c r="A15" s="609">
        <v>10200</v>
      </c>
      <c r="B15" s="478" t="s">
        <v>2390</v>
      </c>
    </row>
    <row r="16" spans="1:2" ht="31.5">
      <c r="A16" s="609">
        <v>10210</v>
      </c>
      <c r="B16" s="45" t="s">
        <v>2278</v>
      </c>
    </row>
    <row r="17" spans="1:2" ht="15.75">
      <c r="A17" s="609">
        <v>10220</v>
      </c>
      <c r="B17" s="45" t="s">
        <v>2279</v>
      </c>
    </row>
    <row r="18" spans="1:2" ht="15.75">
      <c r="A18" s="609">
        <v>10230</v>
      </c>
      <c r="B18" s="466"/>
    </row>
    <row r="19" spans="1:2" ht="15.75">
      <c r="A19" s="609">
        <v>10240</v>
      </c>
      <c r="B19" s="45" t="s">
        <v>2280</v>
      </c>
    </row>
    <row r="20" spans="1:2" ht="15.75">
      <c r="A20" s="609">
        <v>10300</v>
      </c>
      <c r="B20" s="45" t="s">
        <v>2281</v>
      </c>
    </row>
    <row r="21" spans="1:2" ht="15.75">
      <c r="A21" s="609">
        <v>10360</v>
      </c>
      <c r="B21" s="45" t="s">
        <v>2955</v>
      </c>
    </row>
    <row r="22" spans="1:2" ht="15.75">
      <c r="A22" s="609">
        <v>10370</v>
      </c>
      <c r="B22" s="45" t="s">
        <v>2954</v>
      </c>
    </row>
    <row r="23" spans="1:2" ht="15.75">
      <c r="A23" s="609">
        <v>10400</v>
      </c>
      <c r="B23" s="45" t="s">
        <v>2282</v>
      </c>
    </row>
    <row r="24" spans="1:2" ht="15.75">
      <c r="A24" s="609">
        <v>10500</v>
      </c>
      <c r="B24" s="45" t="s">
        <v>2283</v>
      </c>
    </row>
    <row r="25" spans="1:2" ht="15.75">
      <c r="A25" s="609">
        <v>10510</v>
      </c>
      <c r="B25" s="45" t="s">
        <v>1115</v>
      </c>
    </row>
    <row r="26" spans="1:2" ht="15.75">
      <c r="A26" s="609">
        <v>10600</v>
      </c>
      <c r="B26" s="45" t="s">
        <v>2284</v>
      </c>
    </row>
    <row r="27" spans="1:2" ht="15.75">
      <c r="A27" s="609">
        <v>10700</v>
      </c>
      <c r="B27" s="45" t="s">
        <v>2285</v>
      </c>
    </row>
    <row r="28" spans="1:2" ht="31.5">
      <c r="A28" s="609">
        <v>10710</v>
      </c>
      <c r="B28" s="45" t="s">
        <v>2286</v>
      </c>
    </row>
    <row r="29" spans="1:2" ht="15.75">
      <c r="A29" s="609">
        <v>10800</v>
      </c>
      <c r="B29" s="45" t="s">
        <v>2287</v>
      </c>
    </row>
    <row r="30" spans="1:2" ht="15.75">
      <c r="A30" s="609">
        <v>10880</v>
      </c>
      <c r="B30" s="45" t="s">
        <v>2956</v>
      </c>
    </row>
    <row r="31" spans="1:2" ht="15.75">
      <c r="A31" s="609">
        <v>10900</v>
      </c>
      <c r="B31" s="45" t="s">
        <v>2288</v>
      </c>
    </row>
    <row r="32" spans="1:2" ht="15.75">
      <c r="A32" s="609">
        <v>12010</v>
      </c>
      <c r="B32" s="45" t="s">
        <v>2289</v>
      </c>
    </row>
    <row r="33" spans="1:2" ht="15.75">
      <c r="A33" s="609">
        <v>12020</v>
      </c>
      <c r="B33" s="45" t="s">
        <v>2290</v>
      </c>
    </row>
    <row r="34" spans="1:2" ht="15.75">
      <c r="A34" s="609">
        <v>12030</v>
      </c>
      <c r="B34" s="45" t="s">
        <v>2291</v>
      </c>
    </row>
    <row r="35" spans="1:2" ht="15.75">
      <c r="A35" s="609">
        <v>12040</v>
      </c>
      <c r="B35" s="45" t="s">
        <v>3088</v>
      </c>
    </row>
    <row r="36" spans="1:2" ht="15.75">
      <c r="A36" s="609">
        <v>12080</v>
      </c>
      <c r="B36" s="45" t="s">
        <v>2292</v>
      </c>
    </row>
    <row r="37" spans="1:2" ht="15.75">
      <c r="A37" s="609">
        <v>12090</v>
      </c>
      <c r="B37" s="45" t="s">
        <v>2293</v>
      </c>
    </row>
    <row r="38" spans="1:2" ht="15.75">
      <c r="A38" s="609">
        <v>12100</v>
      </c>
      <c r="B38" s="45" t="s">
        <v>2294</v>
      </c>
    </row>
    <row r="39" spans="1:2" ht="15.75">
      <c r="A39" s="609">
        <v>12130</v>
      </c>
      <c r="B39" s="45" t="s">
        <v>2295</v>
      </c>
    </row>
    <row r="40" spans="1:2" ht="15.75">
      <c r="A40" s="609">
        <v>12200</v>
      </c>
      <c r="B40" s="45" t="s">
        <v>2296</v>
      </c>
    </row>
    <row r="41" spans="1:2" ht="15.75">
      <c r="A41" s="609">
        <v>12210</v>
      </c>
      <c r="B41" s="45" t="s">
        <v>2297</v>
      </c>
    </row>
    <row r="42" spans="1:2" ht="15.75">
      <c r="A42" s="609">
        <v>12220</v>
      </c>
      <c r="B42" s="45" t="s">
        <v>2298</v>
      </c>
    </row>
    <row r="43" spans="1:2" ht="15.75">
      <c r="A43" s="609">
        <v>12240</v>
      </c>
      <c r="B43" s="45" t="s">
        <v>2299</v>
      </c>
    </row>
    <row r="44" spans="1:2" ht="15.75">
      <c r="A44" s="609">
        <v>12250</v>
      </c>
      <c r="B44" s="45" t="s">
        <v>2467</v>
      </c>
    </row>
    <row r="45" spans="1:2" ht="15.75">
      <c r="A45" s="609">
        <v>12260</v>
      </c>
      <c r="B45" s="466" t="s">
        <v>2477</v>
      </c>
    </row>
    <row r="46" spans="1:2" ht="15.75">
      <c r="A46" s="609">
        <v>12310</v>
      </c>
      <c r="B46" s="466" t="s">
        <v>1823</v>
      </c>
    </row>
    <row r="47" spans="1:2" ht="15.75">
      <c r="A47" s="609">
        <v>12320</v>
      </c>
      <c r="B47" s="466" t="s">
        <v>796</v>
      </c>
    </row>
    <row r="48" spans="1:2" ht="15.75">
      <c r="A48" s="609">
        <v>12600</v>
      </c>
      <c r="B48" s="466"/>
    </row>
    <row r="49" spans="1:2" ht="15.75">
      <c r="A49" s="609">
        <v>12700</v>
      </c>
      <c r="B49" s="45" t="s">
        <v>2941</v>
      </c>
    </row>
    <row r="50" spans="1:2" ht="15.75">
      <c r="A50" s="609">
        <v>12710</v>
      </c>
      <c r="B50" s="45" t="s">
        <v>2942</v>
      </c>
    </row>
    <row r="51" spans="1:2" ht="15.75">
      <c r="A51" s="609">
        <v>12750</v>
      </c>
      <c r="B51" s="45" t="s">
        <v>2300</v>
      </c>
    </row>
    <row r="52" spans="1:2" ht="15.75">
      <c r="A52" s="609">
        <v>12800</v>
      </c>
      <c r="B52" s="45" t="s">
        <v>2301</v>
      </c>
    </row>
    <row r="53" spans="1:2" ht="15.75">
      <c r="A53" s="609">
        <v>12900</v>
      </c>
      <c r="B53" s="45" t="s">
        <v>2107</v>
      </c>
    </row>
    <row r="54" spans="1:2" ht="15.75">
      <c r="A54" s="609">
        <v>13010</v>
      </c>
      <c r="B54" s="45" t="s">
        <v>2302</v>
      </c>
    </row>
    <row r="55" spans="1:2" ht="15.75">
      <c r="A55" s="609">
        <v>13050</v>
      </c>
      <c r="B55" s="466" t="s">
        <v>2303</v>
      </c>
    </row>
    <row r="56" spans="1:2" ht="15.75">
      <c r="A56" s="609">
        <v>13110</v>
      </c>
      <c r="B56" s="45" t="s">
        <v>2304</v>
      </c>
    </row>
    <row r="57" spans="1:2" ht="15.75">
      <c r="A57" s="609">
        <v>13210</v>
      </c>
      <c r="B57" s="45" t="s">
        <v>2305</v>
      </c>
    </row>
    <row r="58" spans="1:2" ht="15.75">
      <c r="A58" s="609">
        <v>13310</v>
      </c>
      <c r="B58" s="45" t="s">
        <v>2306</v>
      </c>
    </row>
    <row r="59" spans="1:2" ht="15.75">
      <c r="A59" s="609">
        <v>13320</v>
      </c>
      <c r="B59" s="45" t="s">
        <v>2307</v>
      </c>
    </row>
    <row r="60" spans="1:2" ht="15.75">
      <c r="A60" s="609">
        <v>13330</v>
      </c>
      <c r="B60" s="466" t="s">
        <v>2308</v>
      </c>
    </row>
    <row r="61" spans="1:2" ht="15.75">
      <c r="A61" s="609">
        <v>13340</v>
      </c>
      <c r="B61" s="466"/>
    </row>
    <row r="62" spans="1:2" ht="15.75">
      <c r="A62" s="609">
        <v>13380</v>
      </c>
      <c r="B62" s="45" t="s">
        <v>2310</v>
      </c>
    </row>
    <row r="63" spans="1:2" ht="31.5">
      <c r="A63" s="609">
        <v>13390</v>
      </c>
      <c r="B63" s="466" t="s">
        <v>2389</v>
      </c>
    </row>
    <row r="64" spans="1:2" ht="15.75">
      <c r="A64" s="609">
        <v>13400</v>
      </c>
      <c r="B64" s="466"/>
    </row>
    <row r="65" spans="1:2" ht="31.5">
      <c r="A65" s="609">
        <v>13510</v>
      </c>
      <c r="B65" s="466" t="s">
        <v>2311</v>
      </c>
    </row>
    <row r="66" spans="1:2" ht="15.75">
      <c r="A66" s="609">
        <v>13710</v>
      </c>
      <c r="B66" s="466" t="s">
        <v>247</v>
      </c>
    </row>
    <row r="67" spans="1:2" ht="15.75">
      <c r="A67" s="609">
        <v>13750</v>
      </c>
      <c r="B67" s="466" t="s">
        <v>2578</v>
      </c>
    </row>
    <row r="68" spans="1:2" ht="15.75">
      <c r="A68" s="609">
        <v>13810</v>
      </c>
      <c r="B68" s="45" t="s">
        <v>2550</v>
      </c>
    </row>
    <row r="69" spans="1:2" ht="31.5">
      <c r="A69" s="609">
        <v>13820</v>
      </c>
      <c r="B69" s="45" t="s">
        <v>2966</v>
      </c>
    </row>
    <row r="70" spans="1:2" ht="15.75">
      <c r="A70" s="609">
        <v>14010</v>
      </c>
      <c r="B70" s="45" t="s">
        <v>2312</v>
      </c>
    </row>
    <row r="71" spans="1:2" ht="15.75">
      <c r="A71" s="609">
        <v>14100</v>
      </c>
      <c r="B71" s="45" t="s">
        <v>2946</v>
      </c>
    </row>
    <row r="72" spans="1:2" ht="15.75">
      <c r="A72" s="609">
        <v>14510</v>
      </c>
      <c r="B72" s="45" t="s">
        <v>2313</v>
      </c>
    </row>
    <row r="73" spans="1:2" ht="15.75">
      <c r="A73" s="609">
        <v>14530</v>
      </c>
      <c r="B73" s="45" t="s">
        <v>2314</v>
      </c>
    </row>
    <row r="74" spans="1:2" ht="15.75">
      <c r="A74" s="609">
        <v>14550</v>
      </c>
      <c r="B74" s="466"/>
    </row>
    <row r="75" spans="1:2" ht="15.75">
      <c r="A75" s="609">
        <v>14560</v>
      </c>
      <c r="B75" s="45" t="s">
        <v>2315</v>
      </c>
    </row>
    <row r="76" spans="1:2" ht="15.75">
      <c r="A76" s="609">
        <v>14570</v>
      </c>
      <c r="B76" s="466" t="s">
        <v>2316</v>
      </c>
    </row>
    <row r="77" spans="1:2" ht="15.75">
      <c r="A77" s="609">
        <v>14580</v>
      </c>
      <c r="B77" s="466"/>
    </row>
    <row r="78" spans="1:2" ht="15.75">
      <c r="A78" s="609">
        <v>15010</v>
      </c>
      <c r="B78" s="45" t="s">
        <v>2317</v>
      </c>
    </row>
    <row r="79" spans="1:2" ht="31.5">
      <c r="A79" s="609">
        <v>15030</v>
      </c>
      <c r="B79" s="466" t="s">
        <v>2318</v>
      </c>
    </row>
    <row r="80" spans="1:2" ht="15.75">
      <c r="A80" s="609">
        <v>15110</v>
      </c>
      <c r="B80" s="45" t="s">
        <v>2319</v>
      </c>
    </row>
    <row r="81" spans="1:2" ht="15.75">
      <c r="A81" s="609">
        <v>15130</v>
      </c>
      <c r="B81" s="45" t="s">
        <v>2579</v>
      </c>
    </row>
    <row r="82" spans="1:2" ht="15.75">
      <c r="A82" s="609">
        <v>15210</v>
      </c>
      <c r="B82" s="45" t="s">
        <v>2320</v>
      </c>
    </row>
    <row r="83" spans="1:2" ht="15.75">
      <c r="A83" s="609">
        <v>15220</v>
      </c>
      <c r="B83" s="45" t="s">
        <v>2321</v>
      </c>
    </row>
    <row r="84" spans="1:2" ht="15.75">
      <c r="A84" s="609">
        <v>15250</v>
      </c>
      <c r="B84" s="466"/>
    </row>
    <row r="85" spans="1:2" ht="15.75">
      <c r="A85" s="609">
        <v>15260</v>
      </c>
      <c r="B85" s="466" t="s">
        <v>2322</v>
      </c>
    </row>
    <row r="86" spans="1:2" ht="15.75">
      <c r="A86" s="609">
        <v>16010</v>
      </c>
      <c r="B86" s="45" t="s">
        <v>2323</v>
      </c>
    </row>
    <row r="87" spans="1:2" ht="15.75">
      <c r="A87" s="609">
        <v>16050</v>
      </c>
      <c r="B87" s="45" t="s">
        <v>2465</v>
      </c>
    </row>
    <row r="88" spans="1:2" ht="15.75">
      <c r="A88" s="609">
        <v>16110</v>
      </c>
      <c r="B88" s="466"/>
    </row>
    <row r="89" spans="1:2" ht="15.75">
      <c r="A89" s="609">
        <v>16150</v>
      </c>
      <c r="B89" s="45" t="s">
        <v>2931</v>
      </c>
    </row>
    <row r="90" spans="1:2" ht="15.75">
      <c r="A90" s="609">
        <v>16210</v>
      </c>
      <c r="B90" s="45" t="s">
        <v>2441</v>
      </c>
    </row>
    <row r="91" spans="1:2" ht="15.75">
      <c r="A91" s="609">
        <v>16220</v>
      </c>
      <c r="B91" s="45" t="s">
        <v>2965</v>
      </c>
    </row>
    <row r="92" spans="1:2" ht="21" customHeight="1">
      <c r="A92" s="609">
        <v>16250</v>
      </c>
      <c r="B92" s="45" t="s">
        <v>2551</v>
      </c>
    </row>
    <row r="93" spans="1:2" ht="18.75" customHeight="1">
      <c r="A93" s="609">
        <v>29016</v>
      </c>
      <c r="B93" s="467" t="s">
        <v>2571</v>
      </c>
    </row>
    <row r="94" spans="1:2" ht="31.5">
      <c r="A94" s="609">
        <v>29026</v>
      </c>
      <c r="B94" s="45" t="s">
        <v>2894</v>
      </c>
    </row>
    <row r="95" spans="1:2" ht="31.5">
      <c r="A95" s="609">
        <v>29036</v>
      </c>
      <c r="B95" s="45" t="s">
        <v>2895</v>
      </c>
    </row>
    <row r="96" spans="1:2" ht="15.75">
      <c r="A96" s="609">
        <v>29046</v>
      </c>
      <c r="B96" s="469" t="s">
        <v>2896</v>
      </c>
    </row>
    <row r="97" spans="1:2" ht="15.75">
      <c r="A97" s="609">
        <v>29056</v>
      </c>
      <c r="B97" s="469" t="s">
        <v>2897</v>
      </c>
    </row>
    <row r="98" spans="1:2" ht="15.75">
      <c r="A98" s="609">
        <v>29066</v>
      </c>
      <c r="B98" s="469" t="s">
        <v>2898</v>
      </c>
    </row>
    <row r="99" spans="1:2" ht="31.5">
      <c r="A99" s="609">
        <v>29076</v>
      </c>
      <c r="B99" s="7" t="s">
        <v>2577</v>
      </c>
    </row>
    <row r="100" spans="1:2" ht="23.25" customHeight="1">
      <c r="A100" s="609">
        <v>29086</v>
      </c>
      <c r="B100" s="7" t="s">
        <v>2576</v>
      </c>
    </row>
    <row r="101" spans="1:2" ht="31.5">
      <c r="A101" s="609">
        <v>29096</v>
      </c>
      <c r="B101" s="7" t="s">
        <v>2575</v>
      </c>
    </row>
    <row r="102" spans="1:2" ht="15.75">
      <c r="A102" s="609">
        <v>29106</v>
      </c>
      <c r="B102" s="248" t="s">
        <v>2919</v>
      </c>
    </row>
    <row r="103" spans="1:2" ht="31.5">
      <c r="A103" s="609">
        <v>29116</v>
      </c>
      <c r="B103" s="45" t="s">
        <v>2899</v>
      </c>
    </row>
    <row r="104" spans="1:2" ht="31.5">
      <c r="A104" s="609">
        <v>29126</v>
      </c>
      <c r="B104" s="7" t="s">
        <v>2900</v>
      </c>
    </row>
    <row r="105" spans="1:2" ht="31.5">
      <c r="A105" s="609">
        <v>29136</v>
      </c>
      <c r="B105" s="7" t="s">
        <v>2901</v>
      </c>
    </row>
    <row r="106" spans="1:2" ht="31.5">
      <c r="A106" s="609">
        <v>29146</v>
      </c>
      <c r="B106" s="7" t="s">
        <v>3011</v>
      </c>
    </row>
    <row r="107" spans="1:2" ht="15.75">
      <c r="A107" s="609">
        <v>29156</v>
      </c>
      <c r="B107" s="231" t="s">
        <v>2902</v>
      </c>
    </row>
    <row r="108" spans="1:2" ht="15.75">
      <c r="A108" s="609">
        <v>29166</v>
      </c>
      <c r="B108" s="7" t="s">
        <v>2928</v>
      </c>
    </row>
    <row r="109" spans="1:2" ht="15.75">
      <c r="A109" s="609">
        <v>29176</v>
      </c>
      <c r="B109" s="7" t="s">
        <v>2574</v>
      </c>
    </row>
    <row r="110" spans="1:2" ht="31.5">
      <c r="A110" s="609">
        <v>29186</v>
      </c>
      <c r="B110" s="7" t="s">
        <v>2903</v>
      </c>
    </row>
    <row r="111" spans="1:2" ht="15.75">
      <c r="A111" s="609">
        <v>29196</v>
      </c>
      <c r="B111" s="7" t="s">
        <v>2904</v>
      </c>
    </row>
    <row r="112" spans="1:2" ht="15.75">
      <c r="A112" s="609">
        <v>29206</v>
      </c>
      <c r="B112" s="7" t="s">
        <v>2905</v>
      </c>
    </row>
    <row r="113" spans="1:2" ht="19.5" customHeight="1">
      <c r="A113" s="609">
        <v>29216</v>
      </c>
      <c r="B113" s="7" t="s">
        <v>2906</v>
      </c>
    </row>
    <row r="114" spans="1:2" ht="15.75">
      <c r="A114" s="609">
        <v>29226</v>
      </c>
      <c r="B114" s="7" t="s">
        <v>2907</v>
      </c>
    </row>
    <row r="115" spans="1:2" ht="15.75">
      <c r="A115" s="609">
        <v>29236</v>
      </c>
      <c r="B115" s="171" t="s">
        <v>2908</v>
      </c>
    </row>
    <row r="116" spans="1:2" ht="31.5">
      <c r="A116" s="609">
        <v>29246</v>
      </c>
      <c r="B116" s="171" t="s">
        <v>2909</v>
      </c>
    </row>
    <row r="117" spans="1:2" ht="15.75">
      <c r="A117" s="609">
        <v>29256</v>
      </c>
      <c r="B117" s="171" t="s">
        <v>2910</v>
      </c>
    </row>
    <row r="118" spans="1:2" ht="15.75">
      <c r="A118" s="609">
        <v>29266</v>
      </c>
      <c r="B118" s="171" t="s">
        <v>2911</v>
      </c>
    </row>
    <row r="119" spans="1:2" ht="31.5">
      <c r="A119" s="609">
        <v>29276</v>
      </c>
      <c r="B119" s="171" t="s">
        <v>2912</v>
      </c>
    </row>
    <row r="120" spans="1:2" ht="15.75">
      <c r="A120" s="609">
        <v>29286</v>
      </c>
      <c r="B120" s="470" t="s">
        <v>2913</v>
      </c>
    </row>
    <row r="121" spans="1:2" ht="30" customHeight="1">
      <c r="A121" s="609">
        <v>29296</v>
      </c>
      <c r="B121" s="470" t="s">
        <v>2914</v>
      </c>
    </row>
    <row r="122" spans="1:2" ht="15.75">
      <c r="A122" s="609">
        <v>29306</v>
      </c>
      <c r="B122" s="248" t="s">
        <v>2920</v>
      </c>
    </row>
    <row r="123" spans="1:2" ht="15.75">
      <c r="A123" s="609">
        <v>29316</v>
      </c>
      <c r="B123" s="7" t="s">
        <v>2923</v>
      </c>
    </row>
    <row r="124" spans="1:2" ht="31.5">
      <c r="A124" s="609">
        <v>29326</v>
      </c>
      <c r="B124" s="7" t="s">
        <v>2915</v>
      </c>
    </row>
    <row r="125" spans="1:2" ht="15.75">
      <c r="A125" s="609">
        <v>29336</v>
      </c>
      <c r="B125" s="469" t="s">
        <v>2889</v>
      </c>
    </row>
    <row r="126" spans="1:2" ht="15.75">
      <c r="A126" s="609">
        <v>29346</v>
      </c>
      <c r="B126" s="7" t="s">
        <v>2883</v>
      </c>
    </row>
    <row r="127" spans="1:2" ht="15.75">
      <c r="A127" s="609">
        <v>29356</v>
      </c>
      <c r="B127" s="469" t="s">
        <v>2890</v>
      </c>
    </row>
    <row r="128" spans="1:2" ht="15.75">
      <c r="A128" s="609">
        <v>29366</v>
      </c>
      <c r="B128" s="7" t="s">
        <v>2916</v>
      </c>
    </row>
    <row r="129" spans="1:2" ht="31.5">
      <c r="A129" s="609">
        <v>29376</v>
      </c>
      <c r="B129" s="45" t="s">
        <v>3087</v>
      </c>
    </row>
    <row r="130" spans="1:2" ht="15.75">
      <c r="A130" s="609">
        <v>29386</v>
      </c>
      <c r="B130" s="468" t="s">
        <v>2884</v>
      </c>
    </row>
    <row r="131" spans="1:2" ht="31.5">
      <c r="A131" s="609">
        <v>29396</v>
      </c>
      <c r="B131" s="45" t="s">
        <v>2885</v>
      </c>
    </row>
    <row r="132" spans="1:2" ht="31.5">
      <c r="A132" s="609">
        <v>29406</v>
      </c>
      <c r="B132" s="470" t="s">
        <v>2892</v>
      </c>
    </row>
    <row r="133" spans="1:2" ht="44.25" customHeight="1">
      <c r="A133" s="609">
        <v>29416</v>
      </c>
      <c r="B133" s="45" t="s">
        <v>2924</v>
      </c>
    </row>
    <row r="134" spans="1:2" ht="15.75">
      <c r="A134" s="609">
        <v>29426</v>
      </c>
      <c r="B134" s="469" t="s">
        <v>2886</v>
      </c>
    </row>
    <row r="135" spans="1:2" ht="15.75">
      <c r="A135" s="609">
        <v>29436</v>
      </c>
      <c r="B135" s="45" t="s">
        <v>2891</v>
      </c>
    </row>
    <row r="136" spans="1:2" ht="31.5">
      <c r="A136" s="609">
        <v>29446</v>
      </c>
      <c r="B136" s="45" t="s">
        <v>2917</v>
      </c>
    </row>
    <row r="137" spans="1:2" ht="15.75">
      <c r="A137" s="609">
        <v>29456</v>
      </c>
      <c r="B137" s="467" t="s">
        <v>2887</v>
      </c>
    </row>
    <row r="138" spans="1:2" ht="15.75">
      <c r="A138" s="609">
        <v>29466</v>
      </c>
      <c r="B138" s="467" t="s">
        <v>2888</v>
      </c>
    </row>
    <row r="139" spans="1:2" ht="15.75">
      <c r="A139" s="609">
        <v>29476</v>
      </c>
      <c r="B139" s="469" t="s">
        <v>2921</v>
      </c>
    </row>
    <row r="140" spans="1:2" ht="15.75">
      <c r="A140" s="609">
        <v>29486</v>
      </c>
      <c r="B140" s="469" t="s">
        <v>3018</v>
      </c>
    </row>
    <row r="141" spans="1:2" ht="15.75">
      <c r="A141" s="609">
        <v>29496</v>
      </c>
      <c r="B141" s="248" t="s">
        <v>2922</v>
      </c>
    </row>
    <row r="142" spans="1:2" ht="15.75">
      <c r="A142" s="609">
        <v>29506</v>
      </c>
      <c r="B142" s="470" t="s">
        <v>2925</v>
      </c>
    </row>
    <row r="143" spans="1:2" ht="15.75">
      <c r="A143" s="609">
        <v>29516</v>
      </c>
      <c r="B143" s="470" t="s">
        <v>3089</v>
      </c>
    </row>
    <row r="144" spans="1:2" ht="15.75">
      <c r="A144" s="609">
        <v>29526</v>
      </c>
      <c r="B144" s="469" t="s">
        <v>3110</v>
      </c>
    </row>
    <row r="145" spans="1:2" ht="15.75">
      <c r="A145" s="609">
        <v>29536</v>
      </c>
      <c r="B145" s="469" t="s">
        <v>3111</v>
      </c>
    </row>
    <row r="146" spans="1:2" ht="15.75">
      <c r="A146" s="609">
        <v>29546</v>
      </c>
      <c r="B146" s="469" t="s">
        <v>3112</v>
      </c>
    </row>
    <row r="147" spans="1:2" ht="31.5">
      <c r="A147" s="609">
        <v>29556</v>
      </c>
      <c r="B147" s="45" t="s">
        <v>3171</v>
      </c>
    </row>
    <row r="148" spans="1:2" ht="15.75">
      <c r="A148" s="609">
        <v>29566</v>
      </c>
      <c r="B148" s="45" t="s">
        <v>3231</v>
      </c>
    </row>
    <row r="149" spans="1:2" ht="25.9" customHeight="1">
      <c r="A149" s="609">
        <v>29586</v>
      </c>
      <c r="B149" s="677" t="s">
        <v>3234</v>
      </c>
    </row>
    <row r="150" spans="1:2" ht="31.5">
      <c r="A150" s="609">
        <v>50130</v>
      </c>
      <c r="B150" s="466" t="s">
        <v>2475</v>
      </c>
    </row>
    <row r="151" spans="1:2" ht="31.5">
      <c r="A151" s="609">
        <v>50200</v>
      </c>
      <c r="B151" s="45" t="s">
        <v>3158</v>
      </c>
    </row>
    <row r="152" spans="1:2" ht="31.5">
      <c r="A152" s="609">
        <v>50206</v>
      </c>
      <c r="B152" s="45" t="s">
        <v>3157</v>
      </c>
    </row>
    <row r="153" spans="1:2" ht="15.75">
      <c r="A153" s="609">
        <v>50270</v>
      </c>
      <c r="B153" s="45" t="s">
        <v>3197</v>
      </c>
    </row>
    <row r="154" spans="1:2" ht="47.25">
      <c r="A154" s="609">
        <v>50640</v>
      </c>
      <c r="B154" s="45" t="s">
        <v>3229</v>
      </c>
    </row>
    <row r="155" spans="1:2" ht="47.25">
      <c r="A155" s="609">
        <v>50650</v>
      </c>
      <c r="B155" s="466" t="s">
        <v>2324</v>
      </c>
    </row>
    <row r="156" spans="1:2" ht="31.5">
      <c r="A156" s="609">
        <v>50840</v>
      </c>
      <c r="B156" s="466" t="s">
        <v>2454</v>
      </c>
    </row>
    <row r="157" spans="1:2" ht="31.5">
      <c r="A157" s="609">
        <v>51180</v>
      </c>
      <c r="B157" s="45" t="s">
        <v>2930</v>
      </c>
    </row>
    <row r="158" spans="1:2" ht="31.5">
      <c r="A158" s="609">
        <v>51190</v>
      </c>
      <c r="B158" s="466" t="s">
        <v>2325</v>
      </c>
    </row>
    <row r="159" spans="1:2" ht="31.5">
      <c r="A159" s="609">
        <v>51200</v>
      </c>
      <c r="B159" s="45" t="s">
        <v>2386</v>
      </c>
    </row>
    <row r="160" spans="1:2" ht="15.75">
      <c r="A160" s="609">
        <v>51370</v>
      </c>
      <c r="B160" s="45" t="s">
        <v>2583</v>
      </c>
    </row>
    <row r="161" spans="1:2" ht="31.5">
      <c r="A161" s="609">
        <v>51440</v>
      </c>
      <c r="B161" s="45" t="s">
        <v>3205</v>
      </c>
    </row>
    <row r="162" spans="1:2" ht="47.25">
      <c r="A162" s="609">
        <v>51460</v>
      </c>
      <c r="B162" s="45" t="s">
        <v>3204</v>
      </c>
    </row>
    <row r="163" spans="1:2" ht="15.75">
      <c r="A163" s="609">
        <v>51470</v>
      </c>
      <c r="B163" s="45" t="s">
        <v>3202</v>
      </c>
    </row>
    <row r="164" spans="1:2" ht="31.5">
      <c r="A164" s="609">
        <v>51480</v>
      </c>
      <c r="B164" s="45" t="s">
        <v>3203</v>
      </c>
    </row>
    <row r="165" spans="1:2" ht="47.25">
      <c r="A165" s="609">
        <v>52200</v>
      </c>
      <c r="B165" s="45" t="s">
        <v>2326</v>
      </c>
    </row>
    <row r="166" spans="1:2" ht="31.5">
      <c r="A166" s="609">
        <v>52400</v>
      </c>
      <c r="B166" s="45" t="s">
        <v>2453</v>
      </c>
    </row>
    <row r="167" spans="1:2" ht="31.5">
      <c r="A167" s="609">
        <v>52500</v>
      </c>
      <c r="B167" s="45" t="s">
        <v>2327</v>
      </c>
    </row>
    <row r="168" spans="1:2" ht="31.5">
      <c r="A168" s="609">
        <v>52600</v>
      </c>
      <c r="B168" s="466" t="s">
        <v>2328</v>
      </c>
    </row>
    <row r="169" spans="1:2" ht="47.25">
      <c r="A169" s="609">
        <v>52700</v>
      </c>
      <c r="B169" s="466" t="s">
        <v>2329</v>
      </c>
    </row>
    <row r="170" spans="1:2" ht="47.25">
      <c r="A170" s="609">
        <v>53800</v>
      </c>
      <c r="B170" s="466" t="s">
        <v>2385</v>
      </c>
    </row>
    <row r="171" spans="1:2" ht="47.25">
      <c r="A171" s="609">
        <v>53810</v>
      </c>
      <c r="B171" s="45" t="s">
        <v>2330</v>
      </c>
    </row>
    <row r="172" spans="1:2" ht="31.5">
      <c r="A172" s="609">
        <v>53850</v>
      </c>
      <c r="B172" s="45" t="s">
        <v>2331</v>
      </c>
    </row>
    <row r="173" spans="1:2" ht="15.75">
      <c r="A173" s="609">
        <v>53910</v>
      </c>
      <c r="B173" s="45" t="s">
        <v>2612</v>
      </c>
    </row>
    <row r="174" spans="1:2" ht="47.25">
      <c r="A174" s="609">
        <v>54570</v>
      </c>
      <c r="B174" s="45" t="s">
        <v>3172</v>
      </c>
    </row>
    <row r="175" spans="1:2" ht="31.5">
      <c r="A175" s="609">
        <v>54620</v>
      </c>
      <c r="B175" s="45" t="s">
        <v>3219</v>
      </c>
    </row>
    <row r="176" spans="1:2" ht="15.75">
      <c r="A176" s="609">
        <v>59300</v>
      </c>
      <c r="B176" s="45" t="s">
        <v>2452</v>
      </c>
    </row>
    <row r="177" spans="1:2" ht="31.5">
      <c r="A177" s="609">
        <v>70430</v>
      </c>
      <c r="B177" s="466" t="s">
        <v>2582</v>
      </c>
    </row>
    <row r="178" spans="1:2" ht="31.5">
      <c r="A178" s="609">
        <v>70460</v>
      </c>
      <c r="B178" s="466" t="s">
        <v>2332</v>
      </c>
    </row>
    <row r="179" spans="1:2" ht="31.5">
      <c r="A179" s="609">
        <v>70470</v>
      </c>
      <c r="B179" s="466" t="s">
        <v>2333</v>
      </c>
    </row>
    <row r="180" spans="1:2" ht="15.75">
      <c r="A180" s="609">
        <v>70480</v>
      </c>
      <c r="B180" s="466" t="s">
        <v>2463</v>
      </c>
    </row>
    <row r="181" spans="1:2" ht="15.75">
      <c r="A181" s="609">
        <v>70500</v>
      </c>
      <c r="B181" s="466" t="s">
        <v>2334</v>
      </c>
    </row>
    <row r="182" spans="1:2" ht="47.25">
      <c r="A182" s="609">
        <v>70510</v>
      </c>
      <c r="B182" s="466" t="s">
        <v>2335</v>
      </c>
    </row>
    <row r="183" spans="1:2" ht="31.5">
      <c r="A183" s="609">
        <v>70520</v>
      </c>
      <c r="B183" s="466" t="s">
        <v>2336</v>
      </c>
    </row>
    <row r="184" spans="1:2" ht="31.5">
      <c r="A184" s="609">
        <v>70530</v>
      </c>
      <c r="B184" s="466" t="s">
        <v>2337</v>
      </c>
    </row>
    <row r="185" spans="1:2" ht="31.5">
      <c r="A185" s="609">
        <v>70550</v>
      </c>
      <c r="B185" s="466" t="s">
        <v>2338</v>
      </c>
    </row>
    <row r="186" spans="1:2" ht="31.5">
      <c r="A186" s="609">
        <v>70560</v>
      </c>
      <c r="B186" s="466" t="s">
        <v>2387</v>
      </c>
    </row>
    <row r="187" spans="1:2" ht="31.5">
      <c r="A187" s="609">
        <v>70570</v>
      </c>
      <c r="B187" s="466" t="s">
        <v>2339</v>
      </c>
    </row>
    <row r="188" spans="1:2" ht="31.5">
      <c r="A188" s="609">
        <v>70650</v>
      </c>
      <c r="B188" s="45" t="s">
        <v>2340</v>
      </c>
    </row>
    <row r="189" spans="1:2" ht="31.5">
      <c r="A189" s="609">
        <v>70660</v>
      </c>
      <c r="B189" s="466" t="s">
        <v>2341</v>
      </c>
    </row>
    <row r="190" spans="1:2" ht="15.75">
      <c r="A190" s="609">
        <v>70670</v>
      </c>
      <c r="B190" s="466" t="s">
        <v>2464</v>
      </c>
    </row>
    <row r="191" spans="1:2" ht="31.5">
      <c r="A191" s="609">
        <v>70740</v>
      </c>
      <c r="B191" s="45" t="s">
        <v>2342</v>
      </c>
    </row>
    <row r="192" spans="1:2" ht="31.5">
      <c r="A192" s="609">
        <v>70750</v>
      </c>
      <c r="B192" s="45" t="s">
        <v>2343</v>
      </c>
    </row>
    <row r="193" spans="1:2" ht="31.5">
      <c r="A193" s="609">
        <v>70830</v>
      </c>
      <c r="B193" s="466" t="s">
        <v>2344</v>
      </c>
    </row>
    <row r="194" spans="1:2" ht="47.25">
      <c r="A194" s="609">
        <v>70840</v>
      </c>
      <c r="B194" s="45" t="s">
        <v>2345</v>
      </c>
    </row>
    <row r="195" spans="1:2" ht="47.25">
      <c r="A195" s="609">
        <v>70850</v>
      </c>
      <c r="B195" s="45" t="s">
        <v>2346</v>
      </c>
    </row>
    <row r="196" spans="1:2" ht="15.75">
      <c r="A196" s="609">
        <v>70860</v>
      </c>
      <c r="B196" s="45" t="s">
        <v>2347</v>
      </c>
    </row>
    <row r="197" spans="1:2" ht="31.5">
      <c r="A197" s="609">
        <v>70870</v>
      </c>
      <c r="B197" s="466" t="s">
        <v>2348</v>
      </c>
    </row>
    <row r="198" spans="1:2" ht="15.75">
      <c r="A198" s="609">
        <v>70890</v>
      </c>
      <c r="B198" s="45" t="s">
        <v>2349</v>
      </c>
    </row>
    <row r="199" spans="1:2" ht="15.75">
      <c r="A199" s="609">
        <v>70920</v>
      </c>
      <c r="B199" s="466" t="s">
        <v>2316</v>
      </c>
    </row>
    <row r="200" spans="1:2" ht="31.5">
      <c r="A200" s="609">
        <v>70930</v>
      </c>
      <c r="B200" s="466" t="s">
        <v>2350</v>
      </c>
    </row>
    <row r="201" spans="1:2" ht="31.5">
      <c r="A201" s="609">
        <v>70970</v>
      </c>
      <c r="B201" s="466" t="s">
        <v>2351</v>
      </c>
    </row>
    <row r="202" spans="1:2" ht="15.75">
      <c r="A202" s="609">
        <v>70990</v>
      </c>
      <c r="B202" s="466" t="s">
        <v>2352</v>
      </c>
    </row>
    <row r="203" spans="1:2" ht="31.5">
      <c r="A203" s="609">
        <v>71000</v>
      </c>
      <c r="B203" s="466" t="s">
        <v>2353</v>
      </c>
    </row>
    <row r="204" spans="1:2" ht="15.75">
      <c r="A204" s="609">
        <v>71010</v>
      </c>
      <c r="B204" s="466" t="s">
        <v>2354</v>
      </c>
    </row>
    <row r="205" spans="1:2" ht="47.25">
      <c r="A205" s="609">
        <v>71060</v>
      </c>
      <c r="B205" s="466" t="s">
        <v>2355</v>
      </c>
    </row>
    <row r="206" spans="1:2" ht="31.5">
      <c r="A206" s="609">
        <v>71160</v>
      </c>
      <c r="B206" s="466" t="s">
        <v>2462</v>
      </c>
    </row>
    <row r="207" spans="1:2" ht="31.5">
      <c r="A207" s="609">
        <v>71170</v>
      </c>
      <c r="B207" s="466" t="s">
        <v>2356</v>
      </c>
    </row>
    <row r="208" spans="1:2" ht="31.5">
      <c r="A208" s="609">
        <v>71180</v>
      </c>
      <c r="B208" s="466" t="s">
        <v>2357</v>
      </c>
    </row>
    <row r="209" spans="1:2" ht="31.5">
      <c r="A209" s="609">
        <v>71190</v>
      </c>
      <c r="B209" s="45" t="s">
        <v>3156</v>
      </c>
    </row>
    <row r="210" spans="1:2" ht="31.5">
      <c r="A210" s="609">
        <v>71210</v>
      </c>
      <c r="B210" s="519" t="s">
        <v>3076</v>
      </c>
    </row>
    <row r="211" spans="1:2" ht="31.5">
      <c r="A211" s="609">
        <v>71216</v>
      </c>
      <c r="B211" s="519" t="s">
        <v>3107</v>
      </c>
    </row>
    <row r="212" spans="1:2" ht="31.5">
      <c r="A212" s="609">
        <v>71230</v>
      </c>
      <c r="B212" s="45" t="s">
        <v>2476</v>
      </c>
    </row>
    <row r="213" spans="1:2" ht="31.5">
      <c r="A213" s="609" t="s">
        <v>3147</v>
      </c>
      <c r="B213" s="45" t="s">
        <v>3148</v>
      </c>
    </row>
    <row r="214" spans="1:2" ht="31.5">
      <c r="A214" s="609">
        <v>71430</v>
      </c>
      <c r="B214" s="466" t="s">
        <v>2358</v>
      </c>
    </row>
    <row r="215" spans="1:2" ht="15.75">
      <c r="A215" s="609">
        <v>71450</v>
      </c>
      <c r="B215" s="466" t="s">
        <v>2359</v>
      </c>
    </row>
    <row r="216" spans="1:2" ht="15.75">
      <c r="A216" s="609">
        <v>71690</v>
      </c>
      <c r="B216" s="45" t="s">
        <v>2322</v>
      </c>
    </row>
    <row r="217" spans="1:2" ht="15.75">
      <c r="A217" s="609">
        <v>71700</v>
      </c>
      <c r="B217" s="466" t="s">
        <v>2466</v>
      </c>
    </row>
    <row r="218" spans="1:2" ht="31.5">
      <c r="A218" s="609">
        <v>71750</v>
      </c>
      <c r="B218" s="466" t="s">
        <v>3210</v>
      </c>
    </row>
    <row r="219" spans="1:2" ht="47.25">
      <c r="A219" s="609">
        <v>71860</v>
      </c>
      <c r="B219" s="45" t="s">
        <v>2360</v>
      </c>
    </row>
    <row r="220" spans="1:2" ht="15.75">
      <c r="A220" s="609">
        <v>71970</v>
      </c>
      <c r="B220" s="45" t="s">
        <v>2950</v>
      </c>
    </row>
    <row r="221" spans="1:2" ht="31.5">
      <c r="A221" s="609">
        <v>72010</v>
      </c>
      <c r="B221" s="45" t="s">
        <v>2211</v>
      </c>
    </row>
    <row r="222" spans="1:2" ht="31.5">
      <c r="A222" s="609">
        <v>72040</v>
      </c>
      <c r="B222" s="605" t="s">
        <v>3169</v>
      </c>
    </row>
    <row r="223" spans="1:2" ht="31.5">
      <c r="A223" s="609">
        <v>72150</v>
      </c>
      <c r="B223" s="45" t="s">
        <v>2929</v>
      </c>
    </row>
    <row r="224" spans="1:2" ht="31.5">
      <c r="A224" s="609">
        <v>72170</v>
      </c>
      <c r="B224" s="45" t="s">
        <v>2929</v>
      </c>
    </row>
    <row r="225" spans="1:2" ht="15.75">
      <c r="A225" s="609">
        <v>72280</v>
      </c>
      <c r="B225" s="45" t="s">
        <v>2478</v>
      </c>
    </row>
    <row r="226" spans="1:2" ht="15.75">
      <c r="A226" s="609">
        <v>72290</v>
      </c>
      <c r="B226" s="466" t="s">
        <v>2479</v>
      </c>
    </row>
    <row r="227" spans="1:2" ht="15.75">
      <c r="A227" s="609">
        <v>72440</v>
      </c>
      <c r="B227" s="45" t="s">
        <v>2361</v>
      </c>
    </row>
    <row r="228" spans="1:2" ht="31.5">
      <c r="A228" s="609">
        <v>72446</v>
      </c>
      <c r="B228" s="45" t="s">
        <v>3025</v>
      </c>
    </row>
    <row r="229" spans="1:2" ht="31.5">
      <c r="A229" s="609">
        <v>72470</v>
      </c>
      <c r="B229" s="45" t="s">
        <v>2362</v>
      </c>
    </row>
    <row r="230" spans="1:2" ht="31.5">
      <c r="A230" s="609">
        <v>72550</v>
      </c>
      <c r="B230" s="45" t="s">
        <v>2363</v>
      </c>
    </row>
    <row r="231" spans="1:2" ht="31.5">
      <c r="A231" s="609">
        <v>72560</v>
      </c>
      <c r="B231" s="45" t="s">
        <v>2364</v>
      </c>
    </row>
    <row r="232" spans="1:2" ht="47.25">
      <c r="A232" s="609">
        <v>72610</v>
      </c>
      <c r="B232" s="466" t="s">
        <v>2061</v>
      </c>
    </row>
    <row r="233" spans="1:2" ht="47.25">
      <c r="A233" s="609">
        <v>72880</v>
      </c>
      <c r="B233" s="466" t="s">
        <v>2365</v>
      </c>
    </row>
    <row r="234" spans="1:2" ht="31.5">
      <c r="A234" s="609">
        <v>72940</v>
      </c>
      <c r="B234" s="466" t="s">
        <v>2366</v>
      </c>
    </row>
    <row r="235" spans="1:2" ht="15.75">
      <c r="A235" s="609">
        <v>72970</v>
      </c>
      <c r="B235" s="45" t="s">
        <v>2367</v>
      </c>
    </row>
    <row r="236" spans="1:2" ht="31.5">
      <c r="A236" s="609">
        <v>73000</v>
      </c>
      <c r="B236" s="466" t="s">
        <v>2368</v>
      </c>
    </row>
    <row r="237" spans="1:2" ht="31.5">
      <c r="A237" s="609">
        <v>73040</v>
      </c>
      <c r="B237" s="45" t="s">
        <v>2369</v>
      </c>
    </row>
    <row r="238" spans="1:2" ht="31.5">
      <c r="A238" s="609">
        <v>73110</v>
      </c>
      <c r="B238" s="466" t="s">
        <v>2370</v>
      </c>
    </row>
    <row r="239" spans="1:2" ht="31.5">
      <c r="A239" s="609">
        <v>73140</v>
      </c>
      <c r="B239" s="466" t="s">
        <v>3196</v>
      </c>
    </row>
    <row r="240" spans="1:2" ht="15.75">
      <c r="A240" s="609">
        <v>73230</v>
      </c>
      <c r="B240" s="466" t="s">
        <v>2371</v>
      </c>
    </row>
    <row r="241" spans="1:2" ht="31.5">
      <c r="A241" s="609">
        <v>73260</v>
      </c>
      <c r="B241" s="45" t="s">
        <v>3209</v>
      </c>
    </row>
    <row r="242" spans="1:2" ht="15.75">
      <c r="A242" s="609">
        <v>73280</v>
      </c>
      <c r="B242" s="466" t="s">
        <v>2296</v>
      </c>
    </row>
    <row r="243" spans="1:2" ht="15.75">
      <c r="A243" s="609">
        <v>74390</v>
      </c>
      <c r="B243" s="45" t="s">
        <v>2960</v>
      </c>
    </row>
    <row r="244" spans="1:2" ht="28.5" customHeight="1">
      <c r="A244" s="609">
        <v>74420</v>
      </c>
      <c r="B244" s="45" t="s">
        <v>2615</v>
      </c>
    </row>
    <row r="245" spans="1:2" ht="28.5" customHeight="1">
      <c r="A245" s="609">
        <v>74430</v>
      </c>
      <c r="B245" s="45" t="s">
        <v>3173</v>
      </c>
    </row>
    <row r="246" spans="1:2" ht="27" customHeight="1">
      <c r="A246" s="609">
        <v>74436</v>
      </c>
      <c r="B246" s="45" t="s">
        <v>3142</v>
      </c>
    </row>
    <row r="247" spans="1:2" ht="31.5">
      <c r="A247" s="609">
        <v>74450</v>
      </c>
      <c r="B247" s="45" t="s">
        <v>2614</v>
      </c>
    </row>
    <row r="248" spans="1:2" ht="15.75">
      <c r="A248" s="609">
        <v>74510</v>
      </c>
      <c r="B248" s="45" t="s">
        <v>3206</v>
      </c>
    </row>
    <row r="249" spans="1:2" ht="15.75">
      <c r="A249" s="609">
        <v>74770</v>
      </c>
      <c r="B249" s="45" t="s">
        <v>2893</v>
      </c>
    </row>
    <row r="250" spans="1:2" ht="31.5">
      <c r="A250" s="609">
        <v>74790</v>
      </c>
      <c r="B250" s="45" t="s">
        <v>2605</v>
      </c>
    </row>
    <row r="251" spans="1:2" ht="31.5">
      <c r="A251" s="609">
        <v>74796</v>
      </c>
      <c r="B251" s="45" t="s">
        <v>3026</v>
      </c>
    </row>
    <row r="252" spans="1:2" ht="15.75">
      <c r="A252" s="609">
        <v>74880</v>
      </c>
      <c r="B252" s="45" t="s">
        <v>3201</v>
      </c>
    </row>
    <row r="253" spans="1:2" ht="31.5">
      <c r="A253" s="609">
        <v>74920</v>
      </c>
      <c r="B253" s="45" t="s">
        <v>3233</v>
      </c>
    </row>
    <row r="254" spans="1:2" ht="31.5">
      <c r="A254" s="654">
        <v>75200</v>
      </c>
      <c r="B254" s="478" t="s">
        <v>3168</v>
      </c>
    </row>
    <row r="255" spans="1:2" ht="31.5">
      <c r="A255" s="609" t="s">
        <v>3163</v>
      </c>
      <c r="B255" s="45" t="s">
        <v>3170</v>
      </c>
    </row>
    <row r="256" spans="1:2" ht="15.75">
      <c r="A256" s="609">
        <v>80120</v>
      </c>
      <c r="B256" s="466" t="s">
        <v>2372</v>
      </c>
    </row>
    <row r="257" spans="1:2" ht="31.5">
      <c r="A257" s="609">
        <v>80190</v>
      </c>
      <c r="B257" s="466" t="s">
        <v>2373</v>
      </c>
    </row>
    <row r="258" spans="1:2" ht="31.5">
      <c r="A258" s="609">
        <v>80200</v>
      </c>
      <c r="B258" s="466" t="s">
        <v>2374</v>
      </c>
    </row>
    <row r="259" spans="1:2" ht="31.5">
      <c r="A259" s="620" t="s">
        <v>3154</v>
      </c>
      <c r="B259" s="45" t="s">
        <v>3155</v>
      </c>
    </row>
    <row r="260" spans="1:2" ht="15.75">
      <c r="A260" s="620" t="s">
        <v>3198</v>
      </c>
      <c r="B260" s="45" t="s">
        <v>3197</v>
      </c>
    </row>
    <row r="261" spans="1:2" ht="15.75">
      <c r="A261" s="620" t="s">
        <v>3230</v>
      </c>
      <c r="B261" s="45" t="s">
        <v>2281</v>
      </c>
    </row>
    <row r="262" spans="1:2" ht="31.5">
      <c r="A262" s="609" t="s">
        <v>3149</v>
      </c>
      <c r="B262" s="45" t="s">
        <v>3150</v>
      </c>
    </row>
    <row r="263" spans="1:2" ht="31.5">
      <c r="A263" s="609" t="s">
        <v>3151</v>
      </c>
      <c r="B263" s="45" t="s">
        <v>3152</v>
      </c>
    </row>
    <row r="264" spans="1:2" ht="15.75">
      <c r="A264" s="609" t="s">
        <v>3199</v>
      </c>
      <c r="B264" s="45" t="s">
        <v>3197</v>
      </c>
    </row>
    <row r="265" spans="1:2" ht="31.5">
      <c r="A265" s="609" t="s">
        <v>3090</v>
      </c>
      <c r="B265" s="45" t="s">
        <v>2454</v>
      </c>
    </row>
    <row r="266" spans="1:2" ht="31.5">
      <c r="A266" s="609" t="s">
        <v>2945</v>
      </c>
      <c r="B266" s="45" t="s">
        <v>2333</v>
      </c>
    </row>
    <row r="267" spans="1:2" ht="31.5">
      <c r="A267" s="609" t="s">
        <v>2964</v>
      </c>
      <c r="B267" s="45" t="s">
        <v>2340</v>
      </c>
    </row>
    <row r="268" spans="1:2" ht="31.5">
      <c r="A268" s="609" t="s">
        <v>2952</v>
      </c>
      <c r="B268" s="45" t="s">
        <v>2953</v>
      </c>
    </row>
    <row r="269" spans="1:2" ht="15.75">
      <c r="A269" s="609" t="s">
        <v>2938</v>
      </c>
      <c r="B269" s="45" t="s">
        <v>2309</v>
      </c>
    </row>
    <row r="270" spans="1:2" ht="31.5">
      <c r="A270" s="609" t="s">
        <v>3106</v>
      </c>
      <c r="B270" s="519" t="s">
        <v>3077</v>
      </c>
    </row>
    <row r="271" spans="1:2" ht="15.75">
      <c r="A271" s="609" t="s">
        <v>3153</v>
      </c>
      <c r="B271" s="519" t="s">
        <v>2902</v>
      </c>
    </row>
    <row r="272" spans="1:2" ht="31.5">
      <c r="A272" s="609" t="s">
        <v>2939</v>
      </c>
      <c r="B272" s="45" t="s">
        <v>2940</v>
      </c>
    </row>
    <row r="273" spans="1:2" ht="15.75">
      <c r="A273" s="609" t="s">
        <v>2963</v>
      </c>
      <c r="B273" s="45" t="s">
        <v>2322</v>
      </c>
    </row>
    <row r="274" spans="1:2" ht="15.75">
      <c r="A274" s="609" t="s">
        <v>2948</v>
      </c>
      <c r="B274" s="45" t="s">
        <v>2950</v>
      </c>
    </row>
    <row r="275" spans="1:2" ht="31.5">
      <c r="A275" s="609" t="s">
        <v>3078</v>
      </c>
      <c r="B275" s="45" t="s">
        <v>3079</v>
      </c>
    </row>
    <row r="276" spans="1:2" ht="15.75">
      <c r="A276" s="609" t="s">
        <v>3211</v>
      </c>
      <c r="B276" s="45" t="s">
        <v>2281</v>
      </c>
    </row>
    <row r="277" spans="1:2" ht="31.5">
      <c r="A277" s="609" t="s">
        <v>3146</v>
      </c>
      <c r="B277" s="45" t="s">
        <v>3027</v>
      </c>
    </row>
    <row r="278" spans="1:2" ht="31.5">
      <c r="A278" s="609" t="s">
        <v>3023</v>
      </c>
      <c r="B278" s="45" t="s">
        <v>3027</v>
      </c>
    </row>
    <row r="279" spans="1:2" ht="47.25">
      <c r="A279" s="609" t="s">
        <v>2959</v>
      </c>
      <c r="B279" s="498" t="s">
        <v>2365</v>
      </c>
    </row>
    <row r="280" spans="1:2" ht="15.75">
      <c r="A280" s="609" t="s">
        <v>2947</v>
      </c>
      <c r="B280" s="45" t="s">
        <v>2949</v>
      </c>
    </row>
    <row r="281" spans="1:2" ht="15.75">
      <c r="A281" s="609" t="s">
        <v>3140</v>
      </c>
      <c r="B281" s="45" t="s">
        <v>3141</v>
      </c>
    </row>
    <row r="282" spans="1:2" ht="15.75">
      <c r="A282" s="609" t="s">
        <v>3024</v>
      </c>
      <c r="B282" s="45" t="s">
        <v>3028</v>
      </c>
    </row>
    <row r="283" spans="1:2" ht="15.75">
      <c r="A283" s="609" t="s">
        <v>3200</v>
      </c>
      <c r="B283" s="45" t="s">
        <v>3201</v>
      </c>
    </row>
    <row r="284" spans="1:2" ht="31.5">
      <c r="A284" s="609" t="s">
        <v>3232</v>
      </c>
      <c r="B284" s="45" t="s">
        <v>3233</v>
      </c>
    </row>
    <row r="285" spans="1:2" ht="31.5">
      <c r="A285" s="609" t="s">
        <v>3167</v>
      </c>
      <c r="B285" s="45" t="s">
        <v>3166</v>
      </c>
    </row>
    <row r="286" spans="1:2" ht="31.5">
      <c r="A286" s="609" t="s">
        <v>3164</v>
      </c>
      <c r="B286" s="45" t="s">
        <v>3165</v>
      </c>
    </row>
    <row r="287" spans="1:2" ht="47.25">
      <c r="A287" s="620" t="s">
        <v>3012</v>
      </c>
      <c r="B287" s="45" t="s">
        <v>3082</v>
      </c>
    </row>
    <row r="289" spans="1:2" ht="15">
      <c r="A289" s="621"/>
      <c r="B289" s="132"/>
    </row>
    <row r="290" spans="1:2">
      <c r="A290" s="622"/>
      <c r="B290" s="132"/>
    </row>
  </sheetData>
  <pageMargins left="0.70866141732283472" right="0.70866141732283472" top="0.74803149606299213" bottom="0.74803149606299213" header="0.31496062992125984" footer="0.31496062992125984"/>
  <pageSetup paperSize="9" scale="75" orientation="portrait" r:id="rId1"/>
  <legacyDrawing r:id="rId2"/>
</worksheet>
</file>

<file path=xl/worksheets/sheet6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G17"/>
  <sheetViews>
    <sheetView showGridLines="0" workbookViewId="0">
      <selection activeCell="A2" sqref="A2:G2"/>
    </sheetView>
  </sheetViews>
  <sheetFormatPr defaultColWidth="9.140625" defaultRowHeight="12.75"/>
  <cols>
    <col min="1" max="1" width="64" style="147" customWidth="1"/>
    <col min="2" max="5" width="0" style="147" hidden="1" customWidth="1"/>
    <col min="6" max="6" width="12.140625" style="147" hidden="1" customWidth="1"/>
    <col min="7" max="7" width="20.85546875" style="147" customWidth="1"/>
    <col min="8" max="16384" width="9.140625" style="147"/>
  </cols>
  <sheetData>
    <row r="1" spans="1:7" ht="15.75">
      <c r="A1" s="737" t="s">
        <v>1577</v>
      </c>
      <c r="B1" s="737"/>
      <c r="C1" s="737"/>
      <c r="D1" s="737"/>
      <c r="E1" s="737"/>
      <c r="F1" s="737"/>
      <c r="G1" s="737"/>
    </row>
    <row r="2" spans="1:7" ht="15.75">
      <c r="A2" s="737" t="s">
        <v>1058</v>
      </c>
      <c r="B2" s="737"/>
      <c r="C2" s="737"/>
      <c r="D2" s="737"/>
      <c r="E2" s="737"/>
      <c r="F2" s="737"/>
      <c r="G2" s="737"/>
    </row>
    <row r="3" spans="1:7" ht="15.75">
      <c r="A3" s="737" t="s">
        <v>716</v>
      </c>
      <c r="B3" s="737"/>
      <c r="C3" s="737"/>
      <c r="D3" s="737"/>
      <c r="E3" s="737"/>
      <c r="F3" s="737"/>
      <c r="G3" s="737"/>
    </row>
    <row r="4" spans="1:7" ht="15.75">
      <c r="A4" s="737" t="s">
        <v>3239</v>
      </c>
      <c r="B4" s="737"/>
      <c r="C4" s="737"/>
      <c r="D4" s="737"/>
      <c r="E4" s="737"/>
      <c r="F4" s="737"/>
      <c r="G4" s="737"/>
    </row>
    <row r="5" spans="1:7">
      <c r="A5" s="682"/>
      <c r="B5" s="682"/>
      <c r="C5" s="682"/>
      <c r="D5" s="682"/>
      <c r="E5"/>
      <c r="F5"/>
      <c r="G5"/>
    </row>
    <row r="6" spans="1:7">
      <c r="A6"/>
      <c r="B6"/>
      <c r="C6"/>
      <c r="D6"/>
      <c r="E6"/>
      <c r="F6"/>
      <c r="G6"/>
    </row>
    <row r="7" spans="1:7" ht="39" customHeight="1">
      <c r="A7" s="738" t="s">
        <v>3251</v>
      </c>
      <c r="B7" s="738"/>
      <c r="C7" s="738"/>
      <c r="D7" s="738"/>
      <c r="E7" s="738"/>
      <c r="F7" s="738"/>
      <c r="G7" s="738"/>
    </row>
    <row r="8" spans="1:7" ht="18.75">
      <c r="A8" s="679"/>
      <c r="B8" s="679"/>
      <c r="C8" s="679"/>
      <c r="D8"/>
      <c r="E8"/>
      <c r="F8"/>
      <c r="G8"/>
    </row>
    <row r="9" spans="1:7" ht="47.25" customHeight="1">
      <c r="A9" s="738" t="s">
        <v>735</v>
      </c>
      <c r="B9" s="738"/>
      <c r="C9" s="738"/>
      <c r="D9" s="738"/>
      <c r="E9" s="738"/>
      <c r="F9" s="738"/>
      <c r="G9" s="738"/>
    </row>
    <row r="10" spans="1:7" ht="18.75">
      <c r="A10" s="22"/>
      <c r="B10" s="22"/>
      <c r="C10" s="22"/>
      <c r="D10"/>
      <c r="E10"/>
      <c r="F10"/>
      <c r="G10"/>
    </row>
    <row r="11" spans="1:7" ht="19.5" thickBot="1">
      <c r="A11" s="22"/>
      <c r="B11" s="22"/>
      <c r="C11" s="22"/>
      <c r="D11"/>
      <c r="E11"/>
      <c r="F11"/>
      <c r="G11"/>
    </row>
    <row r="12" spans="1:7" ht="94.5">
      <c r="A12" s="138" t="s">
        <v>1633</v>
      </c>
      <c r="B12" s="139" t="s">
        <v>3236</v>
      </c>
      <c r="C12" s="139" t="s">
        <v>632</v>
      </c>
      <c r="D12" s="718" t="s">
        <v>3237</v>
      </c>
      <c r="E12" s="718" t="s">
        <v>1129</v>
      </c>
      <c r="F12" s="718" t="s">
        <v>2393</v>
      </c>
      <c r="G12" s="722" t="s">
        <v>3247</v>
      </c>
    </row>
    <row r="13" spans="1:7" ht="15.75">
      <c r="A13" s="140" t="s">
        <v>1383</v>
      </c>
      <c r="B13" s="227">
        <v>57000</v>
      </c>
      <c r="C13" s="227"/>
      <c r="D13" s="225">
        <v>54600</v>
      </c>
      <c r="E13" s="225"/>
      <c r="F13" s="691">
        <v>71886</v>
      </c>
      <c r="G13" s="691">
        <v>71886</v>
      </c>
    </row>
    <row r="14" spans="1:7" ht="15.75">
      <c r="A14" s="140" t="s">
        <v>650</v>
      </c>
      <c r="B14" s="227">
        <v>57000</v>
      </c>
      <c r="C14" s="227"/>
      <c r="D14" s="225">
        <v>54600</v>
      </c>
      <c r="E14" s="225"/>
      <c r="F14" s="225">
        <v>71886</v>
      </c>
      <c r="G14" s="225">
        <v>71886</v>
      </c>
    </row>
    <row r="15" spans="1:7" ht="15.75">
      <c r="A15" s="140" t="s">
        <v>8</v>
      </c>
      <c r="B15" s="227">
        <v>374000</v>
      </c>
      <c r="C15" s="227"/>
      <c r="D15" s="225">
        <v>363120</v>
      </c>
      <c r="E15" s="225"/>
      <c r="F15" s="225">
        <v>359420</v>
      </c>
      <c r="G15" s="225">
        <v>359420</v>
      </c>
    </row>
    <row r="16" spans="1:7" ht="15.75">
      <c r="A16" s="140" t="s">
        <v>651</v>
      </c>
      <c r="B16" s="227">
        <v>187000</v>
      </c>
      <c r="C16" s="227"/>
      <c r="D16" s="225">
        <v>181550</v>
      </c>
      <c r="E16" s="225"/>
      <c r="F16" s="225">
        <v>179710</v>
      </c>
      <c r="G16" s="225">
        <v>179710</v>
      </c>
    </row>
    <row r="17" spans="1:7" ht="16.5" thickBot="1">
      <c r="A17" s="141" t="s">
        <v>1137</v>
      </c>
      <c r="B17" s="226">
        <f>SUM(B13:B16)</f>
        <v>675000</v>
      </c>
      <c r="C17" s="226">
        <f>SUM(C13:C16)</f>
        <v>0</v>
      </c>
      <c r="D17" s="352">
        <f>SUM(D13:D16)</f>
        <v>653870</v>
      </c>
      <c r="E17" s="352">
        <f t="shared" ref="E17" si="0">SUM(E13:E16)</f>
        <v>0</v>
      </c>
      <c r="F17" s="340">
        <f>SUM(F13:F16)</f>
        <v>682902</v>
      </c>
      <c r="G17" s="340">
        <f>SUM(G13:G16)</f>
        <v>682902</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dimension ref="A1:E22"/>
  <sheetViews>
    <sheetView showGridLines="0" view="pageBreakPreview" zoomScaleSheetLayoutView="100" workbookViewId="0">
      <selection activeCell="A29" sqref="A29"/>
    </sheetView>
  </sheetViews>
  <sheetFormatPr defaultColWidth="9.140625" defaultRowHeight="12.75"/>
  <cols>
    <col min="1" max="1" width="62.28515625" style="147" customWidth="1"/>
    <col min="2" max="3" width="0" style="147" hidden="1" customWidth="1"/>
    <col min="4" max="4" width="19.5703125" style="147" hidden="1" customWidth="1"/>
    <col min="5" max="5" width="25.140625" style="147" customWidth="1"/>
    <col min="6" max="16384" width="9.140625" style="147"/>
  </cols>
  <sheetData>
    <row r="1" spans="1:5" ht="15.75">
      <c r="A1" s="737" t="s">
        <v>1578</v>
      </c>
      <c r="B1" s="737"/>
      <c r="C1" s="737"/>
      <c r="D1" s="737"/>
      <c r="E1" s="737"/>
    </row>
    <row r="2" spans="1:5" ht="15.75">
      <c r="A2" s="839" t="s">
        <v>1058</v>
      </c>
      <c r="B2" s="839"/>
      <c r="C2" s="839"/>
      <c r="D2" s="839"/>
      <c r="E2" s="839"/>
    </row>
    <row r="3" spans="1:5" ht="15.75">
      <c r="A3" s="839" t="s">
        <v>716</v>
      </c>
      <c r="B3" s="839"/>
      <c r="C3" s="839"/>
      <c r="D3" s="839"/>
      <c r="E3" s="839"/>
    </row>
    <row r="4" spans="1:5" ht="15.75">
      <c r="A4" s="839" t="s">
        <v>3095</v>
      </c>
      <c r="B4" s="839"/>
      <c r="C4" s="839"/>
      <c r="D4" s="839"/>
      <c r="E4" s="839"/>
    </row>
    <row r="5" spans="1:5" ht="15.75">
      <c r="A5" s="693"/>
      <c r="B5" s="693"/>
      <c r="C5" s="693"/>
      <c r="D5" s="248"/>
      <c r="E5" s="248"/>
    </row>
    <row r="6" spans="1:5" ht="15.75">
      <c r="A6" s="248"/>
      <c r="B6" s="248"/>
      <c r="C6" s="248"/>
      <c r="D6" s="248"/>
      <c r="E6" s="248"/>
    </row>
    <row r="7" spans="1:5" ht="33" customHeight="1">
      <c r="A7" s="836" t="s">
        <v>3253</v>
      </c>
      <c r="B7" s="836"/>
      <c r="C7" s="836"/>
      <c r="D7" s="836"/>
      <c r="E7" s="836"/>
    </row>
    <row r="8" spans="1:5" ht="15.75">
      <c r="A8" s="694"/>
      <c r="B8" s="694"/>
      <c r="C8" s="694"/>
      <c r="D8" s="248"/>
      <c r="E8" s="248"/>
    </row>
    <row r="9" spans="1:5" ht="33" customHeight="1">
      <c r="A9" s="836" t="s">
        <v>3097</v>
      </c>
      <c r="B9" s="836"/>
      <c r="C9" s="836"/>
      <c r="D9" s="836"/>
      <c r="E9" s="836"/>
    </row>
    <row r="10" spans="1:5" ht="16.5" thickBot="1">
      <c r="A10" s="282"/>
      <c r="B10" s="282"/>
      <c r="C10" s="282"/>
      <c r="D10" s="248"/>
      <c r="E10" s="248"/>
    </row>
    <row r="11" spans="1:5" ht="47.25">
      <c r="A11" s="719" t="s">
        <v>1633</v>
      </c>
      <c r="B11" s="720" t="s">
        <v>3179</v>
      </c>
      <c r="C11" s="720" t="s">
        <v>632</v>
      </c>
      <c r="D11" s="520" t="s">
        <v>2393</v>
      </c>
      <c r="E11" s="723" t="s">
        <v>3247</v>
      </c>
    </row>
    <row r="12" spans="1:5" ht="15.75" hidden="1">
      <c r="A12" s="279" t="s">
        <v>651</v>
      </c>
      <c r="B12" s="625">
        <v>800000</v>
      </c>
      <c r="C12" s="626"/>
      <c r="D12" s="625">
        <v>800000</v>
      </c>
      <c r="E12" s="625">
        <v>0</v>
      </c>
    </row>
    <row r="13" spans="1:5" ht="15.75">
      <c r="A13" s="624" t="s">
        <v>1383</v>
      </c>
      <c r="B13" s="627">
        <v>580000</v>
      </c>
      <c r="C13" s="628"/>
      <c r="D13" s="627">
        <v>580000</v>
      </c>
      <c r="E13" s="627">
        <v>579796.24</v>
      </c>
    </row>
    <row r="14" spans="1:5" ht="16.5" thickBot="1">
      <c r="A14" s="280" t="s">
        <v>1137</v>
      </c>
      <c r="B14" s="285">
        <v>1380000</v>
      </c>
      <c r="C14" s="629">
        <f>SUM(C12:C13)</f>
        <v>0</v>
      </c>
      <c r="D14" s="285">
        <f>SUM(D12:D13)</f>
        <v>1380000</v>
      </c>
      <c r="E14" s="285">
        <f>SUM(E12:E13)</f>
        <v>579796.24</v>
      </c>
    </row>
    <row r="15" spans="1:5" ht="15.75">
      <c r="A15" s="262"/>
      <c r="B15" s="262"/>
      <c r="C15" s="262"/>
      <c r="D15" s="262"/>
      <c r="E15" s="262"/>
    </row>
    <row r="16" spans="1:5" ht="33" customHeight="1">
      <c r="A16" s="917" t="s">
        <v>3174</v>
      </c>
      <c r="B16" s="917"/>
      <c r="C16" s="917"/>
      <c r="D16" s="917"/>
      <c r="E16" s="917"/>
    </row>
    <row r="17" spans="1:5" ht="16.5" thickBot="1">
      <c r="A17" s="697"/>
      <c r="B17" s="697"/>
      <c r="C17" s="697"/>
      <c r="D17" s="697"/>
      <c r="E17" s="697"/>
    </row>
    <row r="18" spans="1:5" ht="48" thickBot="1">
      <c r="A18" s="631" t="s">
        <v>1633</v>
      </c>
      <c r="B18" s="632" t="s">
        <v>3179</v>
      </c>
      <c r="C18" s="632" t="s">
        <v>632</v>
      </c>
      <c r="D18" s="633" t="s">
        <v>2393</v>
      </c>
      <c r="E18" s="709" t="s">
        <v>3247</v>
      </c>
    </row>
    <row r="19" spans="1:5" ht="15.75">
      <c r="A19" s="634" t="s">
        <v>9</v>
      </c>
      <c r="B19" s="637"/>
      <c r="C19" s="637">
        <v>290000</v>
      </c>
      <c r="D19" s="708">
        <f>B19+C19</f>
        <v>290000</v>
      </c>
      <c r="E19" s="712">
        <v>237259.47</v>
      </c>
    </row>
    <row r="20" spans="1:5" ht="15.75">
      <c r="A20" s="635" t="s">
        <v>651</v>
      </c>
      <c r="B20" s="639"/>
      <c r="C20" s="639">
        <v>99850</v>
      </c>
      <c r="D20" s="707">
        <f t="shared" ref="D20" si="0">B20+C20</f>
        <v>99850</v>
      </c>
      <c r="E20" s="707">
        <v>99850</v>
      </c>
    </row>
    <row r="21" spans="1:5" ht="16.5" thickBot="1">
      <c r="A21" s="713" t="s">
        <v>1137</v>
      </c>
      <c r="B21" s="714"/>
      <c r="C21" s="714">
        <f>C19+C20</f>
        <v>389850</v>
      </c>
      <c r="D21" s="715">
        <f>D19+D20</f>
        <v>389850</v>
      </c>
      <c r="E21" s="716">
        <f>E19+E20</f>
        <v>337109.47</v>
      </c>
    </row>
    <row r="22" spans="1:5" ht="23.25" customHeight="1">
      <c r="A22" s="710" t="s">
        <v>2184</v>
      </c>
      <c r="B22" s="710"/>
      <c r="C22" s="710"/>
      <c r="D22" s="711">
        <f>D14+D21</f>
        <v>1769850</v>
      </c>
      <c r="E22" s="711">
        <f>E14+E21</f>
        <v>916905.71</v>
      </c>
    </row>
  </sheetData>
  <mergeCells count="7">
    <mergeCell ref="A9:E9"/>
    <mergeCell ref="A16:E16"/>
    <mergeCell ref="A1:E1"/>
    <mergeCell ref="A2:E2"/>
    <mergeCell ref="A3:E3"/>
    <mergeCell ref="A4:E4"/>
    <mergeCell ref="A7:E7"/>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dimension ref="A1:I39"/>
  <sheetViews>
    <sheetView tabSelected="1" view="pageBreakPreview" zoomScaleNormal="100" zoomScaleSheetLayoutView="100" workbookViewId="0">
      <selection activeCell="E9" sqref="E9"/>
    </sheetView>
  </sheetViews>
  <sheetFormatPr defaultColWidth="9.140625" defaultRowHeight="12.75"/>
  <cols>
    <col min="1" max="1" width="28.140625" style="147" customWidth="1"/>
    <col min="2" max="2" width="27.7109375" style="147" customWidth="1"/>
    <col min="3" max="3" width="35.42578125" style="147" customWidth="1"/>
    <col min="4" max="16384" width="9.140625" style="147"/>
  </cols>
  <sheetData>
    <row r="1" spans="1:9" ht="68.25" customHeight="1">
      <c r="A1" s="926" t="s">
        <v>3259</v>
      </c>
      <c r="B1" s="926"/>
      <c r="C1" s="926"/>
    </row>
    <row r="2" spans="1:9" ht="31.5">
      <c r="A2" s="129"/>
      <c r="B2" s="721" t="s">
        <v>3255</v>
      </c>
      <c r="C2" s="724" t="s">
        <v>3260</v>
      </c>
    </row>
    <row r="3" spans="1:9" ht="47.25">
      <c r="A3" s="129" t="s">
        <v>3256</v>
      </c>
      <c r="B3" s="129">
        <v>188</v>
      </c>
      <c r="C3" s="725">
        <v>69837585</v>
      </c>
    </row>
    <row r="4" spans="1:9" ht="46.5" customHeight="1">
      <c r="A4" s="129" t="s">
        <v>3257</v>
      </c>
      <c r="B4" s="129">
        <v>2769</v>
      </c>
      <c r="C4" s="725">
        <v>619160950</v>
      </c>
    </row>
    <row r="5" spans="1:9" ht="15" hidden="1">
      <c r="A5" s="726"/>
      <c r="B5" s="726"/>
      <c r="C5" s="726"/>
    </row>
    <row r="6" spans="1:9" ht="31.5" customHeight="1">
      <c r="A6" s="726"/>
      <c r="B6" s="939" t="s">
        <v>3281</v>
      </c>
      <c r="C6" s="726"/>
    </row>
    <row r="7" spans="1:9" ht="44.25" customHeight="1">
      <c r="A7" s="926" t="s">
        <v>3282</v>
      </c>
      <c r="B7" s="926"/>
      <c r="C7" s="926"/>
    </row>
    <row r="8" spans="1:9" ht="15.75">
      <c r="A8" s="927"/>
      <c r="B8" s="928"/>
      <c r="C8" s="724" t="s">
        <v>3261</v>
      </c>
    </row>
    <row r="9" spans="1:9" ht="15.75">
      <c r="A9" s="927" t="s">
        <v>2435</v>
      </c>
      <c r="B9" s="928"/>
      <c r="C9" s="727">
        <v>2771317</v>
      </c>
      <c r="I9" s="728"/>
    </row>
    <row r="10" spans="1:9" ht="15.75">
      <c r="A10" s="929" t="s">
        <v>3258</v>
      </c>
      <c r="B10" s="930"/>
      <c r="C10" s="725"/>
    </row>
    <row r="11" spans="1:9" ht="34.5" customHeight="1">
      <c r="A11" s="931" t="s">
        <v>3263</v>
      </c>
      <c r="B11" s="932"/>
      <c r="C11" s="727">
        <v>285000</v>
      </c>
    </row>
    <row r="12" spans="1:9">
      <c r="A12" s="933" t="s">
        <v>3264</v>
      </c>
      <c r="B12" s="933"/>
      <c r="C12" s="934">
        <v>2144648</v>
      </c>
    </row>
    <row r="13" spans="1:9" ht="37.15" customHeight="1">
      <c r="A13" s="933"/>
      <c r="B13" s="933"/>
      <c r="C13" s="934"/>
    </row>
    <row r="14" spans="1:9" ht="37.9" customHeight="1">
      <c r="A14" s="933" t="s">
        <v>3265</v>
      </c>
      <c r="B14" s="933"/>
      <c r="C14" s="935">
        <v>19900</v>
      </c>
    </row>
    <row r="15" spans="1:9" ht="53.25" hidden="1" customHeight="1">
      <c r="A15" s="933"/>
      <c r="B15" s="933"/>
      <c r="C15" s="935"/>
    </row>
    <row r="16" spans="1:9" ht="53.25" hidden="1" customHeight="1">
      <c r="A16" s="933"/>
      <c r="B16" s="933"/>
      <c r="C16" s="935"/>
    </row>
    <row r="17" spans="1:3" ht="53.25" hidden="1" customHeight="1">
      <c r="A17" s="933"/>
      <c r="B17" s="933"/>
      <c r="C17" s="935"/>
    </row>
    <row r="18" spans="1:3" ht="42" customHeight="1">
      <c r="A18" s="933" t="s">
        <v>3269</v>
      </c>
      <c r="B18" s="933"/>
      <c r="C18" s="935">
        <v>77494</v>
      </c>
    </row>
    <row r="19" spans="1:3" ht="40.15" customHeight="1">
      <c r="A19" s="933" t="s">
        <v>3267</v>
      </c>
      <c r="B19" s="933"/>
      <c r="C19" s="935">
        <v>27890</v>
      </c>
    </row>
    <row r="20" spans="1:3" ht="21.6" customHeight="1">
      <c r="A20" s="933" t="s">
        <v>3266</v>
      </c>
      <c r="B20" s="933"/>
      <c r="C20" s="935">
        <v>35912</v>
      </c>
    </row>
    <row r="21" spans="1:3" ht="53.25" hidden="1" customHeight="1">
      <c r="A21" s="936"/>
      <c r="B21" s="936"/>
      <c r="C21" s="935"/>
    </row>
    <row r="22" spans="1:3" ht="53.25" hidden="1" customHeight="1">
      <c r="A22" s="936"/>
      <c r="B22" s="936"/>
      <c r="C22" s="935"/>
    </row>
    <row r="23" spans="1:3" ht="53.25" hidden="1" customHeight="1">
      <c r="A23" s="936"/>
      <c r="B23" s="936"/>
      <c r="C23" s="935"/>
    </row>
    <row r="24" spans="1:3" ht="53.25" hidden="1" customHeight="1">
      <c r="A24" s="936"/>
      <c r="B24" s="936"/>
      <c r="C24" s="935"/>
    </row>
    <row r="25" spans="1:3" ht="53.25" hidden="1" customHeight="1">
      <c r="A25" s="936"/>
      <c r="B25" s="936"/>
      <c r="C25" s="935"/>
    </row>
    <row r="26" spans="1:3" ht="53.25" hidden="1" customHeight="1">
      <c r="A26" s="936"/>
      <c r="B26" s="936"/>
      <c r="C26" s="935"/>
    </row>
    <row r="27" spans="1:3" ht="53.25" hidden="1" customHeight="1">
      <c r="A27" s="936"/>
      <c r="B27" s="936"/>
      <c r="C27" s="935"/>
    </row>
    <row r="28" spans="1:3" ht="64.150000000000006" customHeight="1">
      <c r="A28" s="933" t="s">
        <v>3268</v>
      </c>
      <c r="B28" s="933"/>
      <c r="C28" s="935">
        <v>105829</v>
      </c>
    </row>
    <row r="29" spans="1:3" ht="53.25" hidden="1" customHeight="1">
      <c r="A29" s="936"/>
      <c r="B29" s="936"/>
      <c r="C29" s="935"/>
    </row>
    <row r="30" spans="1:3" ht="53.25" hidden="1" customHeight="1">
      <c r="A30" s="936"/>
      <c r="B30" s="936"/>
      <c r="C30" s="935"/>
    </row>
    <row r="31" spans="1:3" ht="53.25" hidden="1" customHeight="1">
      <c r="A31" s="936"/>
      <c r="B31" s="936"/>
      <c r="C31" s="935"/>
    </row>
    <row r="32" spans="1:3" ht="65.25" customHeight="1">
      <c r="A32" s="933" t="s">
        <v>3270</v>
      </c>
      <c r="B32" s="933"/>
      <c r="C32" s="935">
        <v>16344</v>
      </c>
    </row>
    <row r="33" spans="1:3" ht="53.25" hidden="1" customHeight="1">
      <c r="A33" s="936"/>
      <c r="B33" s="936"/>
      <c r="C33" s="935"/>
    </row>
    <row r="34" spans="1:3" ht="53.25" hidden="1" customHeight="1">
      <c r="A34" s="936"/>
      <c r="B34" s="936"/>
      <c r="C34" s="935"/>
    </row>
    <row r="35" spans="1:3" ht="53.25" hidden="1" customHeight="1">
      <c r="A35" s="936"/>
      <c r="B35" s="936"/>
      <c r="C35" s="935"/>
    </row>
    <row r="36" spans="1:3">
      <c r="A36" s="937" t="s">
        <v>3262</v>
      </c>
      <c r="B36" s="937"/>
      <c r="C36" s="938">
        <v>58300</v>
      </c>
    </row>
    <row r="37" spans="1:3">
      <c r="A37" s="937"/>
      <c r="B37" s="937"/>
      <c r="C37" s="938"/>
    </row>
    <row r="38" spans="1:3">
      <c r="A38" s="937"/>
      <c r="B38" s="937"/>
      <c r="C38" s="938"/>
    </row>
    <row r="39" spans="1:3" ht="29.25" customHeight="1">
      <c r="A39" s="937"/>
      <c r="B39" s="937"/>
      <c r="C39" s="938"/>
    </row>
  </sheetData>
  <mergeCells count="16">
    <mergeCell ref="A36:B39"/>
    <mergeCell ref="C36:C39"/>
    <mergeCell ref="A12:B13"/>
    <mergeCell ref="C12:C13"/>
    <mergeCell ref="A1:C1"/>
    <mergeCell ref="A7:C7"/>
    <mergeCell ref="A8:B8"/>
    <mergeCell ref="A9:B9"/>
    <mergeCell ref="A10:B10"/>
    <mergeCell ref="A11:B11"/>
    <mergeCell ref="A14:B17"/>
    <mergeCell ref="A20:B20"/>
    <mergeCell ref="A18:B18"/>
    <mergeCell ref="A19:B19"/>
    <mergeCell ref="A28:B28"/>
    <mergeCell ref="A32:B32"/>
  </mergeCells>
  <pageMargins left="0.7" right="0.7" top="0.75" bottom="0.75" header="0.3" footer="0.3"/>
  <pageSetup paperSize="9" scale="97" orientation="portrait" r:id="rId1"/>
  <colBreaks count="1" manualBreakCount="1">
    <brk id="3" max="1048575" man="1"/>
  </colBreaks>
</worksheet>
</file>

<file path=xl/worksheets/sheet6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Лист8">
    <pageSetUpPr fitToPage="1"/>
  </sheetPr>
  <dimension ref="A1:E48"/>
  <sheetViews>
    <sheetView showGridLines="0" view="pageBreakPreview" zoomScaleSheetLayoutView="100" workbookViewId="0">
      <selection activeCell="B22" sqref="B22:C22"/>
    </sheetView>
  </sheetViews>
  <sheetFormatPr defaultColWidth="9.140625" defaultRowHeight="12.75"/>
  <cols>
    <col min="1" max="1" width="27.7109375" style="145" customWidth="1"/>
    <col min="2" max="2" width="17.140625" style="145" customWidth="1"/>
    <col min="3" max="3" width="10.85546875" style="145" customWidth="1"/>
    <col min="4" max="4" width="22.42578125" style="145" customWidth="1"/>
    <col min="5" max="5" width="9" style="145" bestFit="1" customWidth="1"/>
    <col min="6" max="7" width="9.140625" style="145"/>
    <col min="8" max="8" width="43.42578125" style="145" customWidth="1"/>
    <col min="9" max="16384" width="9.140625" style="145"/>
  </cols>
  <sheetData>
    <row r="1" spans="1:5" ht="15.75">
      <c r="A1" s="737" t="s">
        <v>393</v>
      </c>
      <c r="B1" s="737"/>
      <c r="C1" s="737"/>
      <c r="D1" s="758"/>
      <c r="E1" s="758"/>
    </row>
    <row r="2" spans="1:5" ht="15.75">
      <c r="A2" s="737" t="s">
        <v>1058</v>
      </c>
      <c r="B2" s="737"/>
      <c r="C2" s="737"/>
      <c r="D2" s="758"/>
      <c r="E2" s="758"/>
    </row>
    <row r="3" spans="1:5" ht="15.75">
      <c r="A3" s="737" t="s">
        <v>716</v>
      </c>
      <c r="B3" s="737"/>
      <c r="C3" s="737"/>
      <c r="D3" s="758"/>
      <c r="E3" s="758"/>
    </row>
    <row r="4" spans="1:5" ht="15.75">
      <c r="A4" s="737" t="s">
        <v>3095</v>
      </c>
      <c r="B4" s="737"/>
      <c r="C4" s="737"/>
      <c r="D4" s="758"/>
      <c r="E4" s="758"/>
    </row>
    <row r="5" spans="1:5" ht="15.75">
      <c r="A5" s="757"/>
      <c r="B5" s="758"/>
      <c r="C5" s="758"/>
      <c r="D5" s="758"/>
      <c r="E5" s="758"/>
    </row>
    <row r="6" spans="1:5" ht="15.75">
      <c r="A6" s="785" t="s">
        <v>22</v>
      </c>
      <c r="B6" s="762"/>
      <c r="C6" s="762"/>
      <c r="D6" s="762"/>
      <c r="E6" s="762"/>
    </row>
    <row r="7" spans="1:5" ht="34.5" customHeight="1">
      <c r="A7" s="786" t="s">
        <v>2587</v>
      </c>
      <c r="B7" s="787"/>
      <c r="C7" s="787"/>
      <c r="D7" s="787"/>
      <c r="E7" s="787"/>
    </row>
    <row r="8" spans="1:5" ht="15.75">
      <c r="A8" s="128"/>
      <c r="B8" s="1"/>
      <c r="C8" s="1"/>
      <c r="D8" s="1"/>
      <c r="E8" s="1"/>
    </row>
    <row r="9" spans="1:5" ht="36" customHeight="1">
      <c r="A9" s="788" t="s">
        <v>2588</v>
      </c>
      <c r="B9" s="787"/>
      <c r="C9" s="787"/>
      <c r="D9" s="787"/>
      <c r="E9" s="787"/>
    </row>
    <row r="10" spans="1:5" ht="16.5" thickBot="1">
      <c r="A10" s="783" t="s">
        <v>23</v>
      </c>
      <c r="B10" s="784"/>
      <c r="C10" s="784"/>
      <c r="D10" s="784"/>
      <c r="E10" s="784"/>
    </row>
    <row r="11" spans="1:5" ht="50.25" customHeight="1" thickBot="1">
      <c r="A11" s="204" t="s">
        <v>24</v>
      </c>
      <c r="B11" s="814" t="s">
        <v>2496</v>
      </c>
      <c r="C11" s="815"/>
      <c r="D11" s="814" t="s">
        <v>2584</v>
      </c>
      <c r="E11" s="815"/>
    </row>
    <row r="12" spans="1:5" s="218" customFormat="1" ht="16.5" thickBot="1">
      <c r="A12" s="205">
        <v>1</v>
      </c>
      <c r="B12" s="816">
        <v>2</v>
      </c>
      <c r="C12" s="817"/>
      <c r="D12" s="817">
        <v>3</v>
      </c>
      <c r="E12" s="817"/>
    </row>
    <row r="13" spans="1:5" ht="32.25" thickBot="1">
      <c r="A13" s="206" t="s">
        <v>2185</v>
      </c>
      <c r="B13" s="818">
        <f>B14-B15</f>
        <v>21922000</v>
      </c>
      <c r="C13" s="819"/>
      <c r="D13" s="818">
        <f>D14-D15</f>
        <v>8779000</v>
      </c>
      <c r="E13" s="819"/>
    </row>
    <row r="14" spans="1:5" ht="16.5" thickBot="1">
      <c r="A14" s="207" t="s">
        <v>25</v>
      </c>
      <c r="B14" s="807">
        <v>35478598</v>
      </c>
      <c r="C14" s="819"/>
      <c r="D14" s="807">
        <v>32329098</v>
      </c>
      <c r="E14" s="819"/>
    </row>
    <row r="15" spans="1:5" ht="16.5" thickBot="1">
      <c r="A15" s="208" t="s">
        <v>26</v>
      </c>
      <c r="B15" s="820">
        <v>13556598</v>
      </c>
      <c r="C15" s="819"/>
      <c r="D15" s="820">
        <v>23550098</v>
      </c>
      <c r="E15" s="819"/>
    </row>
    <row r="16" spans="1:5" ht="16.5" thickBot="1">
      <c r="A16" s="206" t="s">
        <v>27</v>
      </c>
      <c r="B16" s="823">
        <f>B17-B18</f>
        <v>-26934566</v>
      </c>
      <c r="C16" s="819"/>
      <c r="D16" s="823">
        <f>D17-D18</f>
        <v>-11791566</v>
      </c>
      <c r="E16" s="819"/>
    </row>
    <row r="17" spans="1:5" ht="16.5" thickBot="1">
      <c r="A17" s="207" t="s">
        <v>25</v>
      </c>
      <c r="B17" s="820"/>
      <c r="C17" s="819"/>
      <c r="D17" s="819"/>
      <c r="E17" s="819"/>
    </row>
    <row r="18" spans="1:5" ht="16.5" thickBot="1">
      <c r="A18" s="208" t="s">
        <v>26</v>
      </c>
      <c r="B18" s="820">
        <v>26934566</v>
      </c>
      <c r="C18" s="819"/>
      <c r="D18" s="819">
        <v>11791566</v>
      </c>
      <c r="E18" s="819"/>
    </row>
    <row r="19" spans="1:5" ht="16.5" thickBot="1">
      <c r="A19" s="210" t="s">
        <v>28</v>
      </c>
      <c r="B19" s="823">
        <f>B20-B21</f>
        <v>-5012566</v>
      </c>
      <c r="C19" s="819"/>
      <c r="D19" s="823">
        <f>D20-D21</f>
        <v>-3012566</v>
      </c>
      <c r="E19" s="819"/>
    </row>
    <row r="20" spans="1:5" ht="16.5" thickBot="1">
      <c r="A20" s="211" t="s">
        <v>2186</v>
      </c>
      <c r="B20" s="807">
        <f>B14+B17</f>
        <v>35478598</v>
      </c>
      <c r="C20" s="819"/>
      <c r="D20" s="807">
        <f>D14+D17</f>
        <v>32329098</v>
      </c>
      <c r="E20" s="819"/>
    </row>
    <row r="21" spans="1:5" ht="16.5" thickBot="1">
      <c r="A21" s="211" t="s">
        <v>29</v>
      </c>
      <c r="B21" s="820">
        <f>B15+B18</f>
        <v>40491164</v>
      </c>
      <c r="C21" s="819"/>
      <c r="D21" s="820">
        <f>D15+D18</f>
        <v>35341664</v>
      </c>
      <c r="E21" s="819"/>
    </row>
    <row r="22" spans="1:5" ht="63.75" thickBot="1">
      <c r="A22" s="212" t="s">
        <v>30</v>
      </c>
      <c r="B22" s="823">
        <f>B19</f>
        <v>-5012566</v>
      </c>
      <c r="C22" s="819"/>
      <c r="D22" s="823">
        <f>D19</f>
        <v>-3012566</v>
      </c>
      <c r="E22" s="819"/>
    </row>
    <row r="23" spans="1:5" ht="36" customHeight="1">
      <c r="A23" s="761" t="s">
        <v>2589</v>
      </c>
      <c r="B23" s="762"/>
      <c r="C23" s="762"/>
      <c r="D23" s="762"/>
      <c r="E23" s="762"/>
    </row>
    <row r="24" spans="1:5" ht="16.5" thickBot="1">
      <c r="A24" s="757" t="s">
        <v>31</v>
      </c>
      <c r="B24" s="758"/>
      <c r="C24" s="758"/>
      <c r="D24" s="758"/>
      <c r="E24" s="758"/>
    </row>
    <row r="25" spans="1:5" ht="16.5" thickBot="1">
      <c r="A25" s="202" t="s">
        <v>32</v>
      </c>
      <c r="B25" s="824" t="s">
        <v>2497</v>
      </c>
      <c r="C25" s="825"/>
      <c r="D25" s="815" t="s">
        <v>3109</v>
      </c>
      <c r="E25" s="815"/>
    </row>
    <row r="26" spans="1:5" s="218" customFormat="1" ht="16.5" thickBot="1">
      <c r="A26" s="144">
        <v>1</v>
      </c>
      <c r="B26" s="816">
        <v>2</v>
      </c>
      <c r="C26" s="817"/>
      <c r="D26" s="817">
        <v>3</v>
      </c>
      <c r="E26" s="817"/>
    </row>
    <row r="27" spans="1:5" ht="32.25" thickBot="1">
      <c r="A27" s="143" t="s">
        <v>33</v>
      </c>
      <c r="B27" s="807">
        <f>Пр.7!B28+B20-B21</f>
        <v>47273207</v>
      </c>
      <c r="C27" s="808"/>
      <c r="D27" s="807">
        <f>B27+D20-D21</f>
        <v>44260641</v>
      </c>
      <c r="E27" s="808"/>
    </row>
    <row r="28" spans="1:5" ht="63">
      <c r="A28" s="220" t="s">
        <v>34</v>
      </c>
      <c r="B28" s="809">
        <v>0</v>
      </c>
      <c r="C28" s="810"/>
      <c r="D28" s="809">
        <v>0</v>
      </c>
      <c r="E28" s="810"/>
    </row>
    <row r="29" spans="1:5" ht="15.75">
      <c r="A29" s="95"/>
      <c r="B29" s="800" t="s">
        <v>2498</v>
      </c>
      <c r="C29" s="811"/>
      <c r="D29" s="800" t="s">
        <v>2585</v>
      </c>
      <c r="E29" s="811"/>
    </row>
    <row r="30" spans="1:5" ht="32.25" thickBot="1">
      <c r="A30" s="143" t="s">
        <v>35</v>
      </c>
      <c r="B30" s="812">
        <v>76200000</v>
      </c>
      <c r="C30" s="813"/>
      <c r="D30" s="812">
        <v>80600000</v>
      </c>
      <c r="E30" s="813"/>
    </row>
    <row r="31" spans="1:5" ht="48" thickBot="1">
      <c r="A31" s="321" t="s">
        <v>2440</v>
      </c>
      <c r="B31" s="807">
        <v>2000000</v>
      </c>
      <c r="C31" s="808"/>
      <c r="D31" s="807">
        <v>2000000</v>
      </c>
      <c r="E31" s="808"/>
    </row>
    <row r="32" spans="1:5" ht="48" thickBot="1">
      <c r="A32" s="321" t="s">
        <v>36</v>
      </c>
      <c r="B32" s="807">
        <f>B20</f>
        <v>35478598</v>
      </c>
      <c r="C32" s="808"/>
      <c r="D32" s="807">
        <f>D20</f>
        <v>32329098</v>
      </c>
      <c r="E32" s="808"/>
    </row>
    <row r="33" spans="1:5" ht="48" thickBot="1">
      <c r="A33" s="321" t="s">
        <v>37</v>
      </c>
      <c r="B33" s="807">
        <v>0</v>
      </c>
      <c r="C33" s="808"/>
      <c r="D33" s="807">
        <v>0</v>
      </c>
      <c r="E33" s="808"/>
    </row>
    <row r="34" spans="1:5" ht="15.75">
      <c r="A34" s="128"/>
      <c r="B34" s="1"/>
      <c r="C34" s="1"/>
      <c r="D34" s="1"/>
      <c r="E34" s="1"/>
    </row>
    <row r="35" spans="1:5" ht="15.75">
      <c r="A35" s="761"/>
      <c r="B35" s="762"/>
      <c r="C35" s="762"/>
      <c r="D35" s="762"/>
      <c r="E35" s="762"/>
    </row>
    <row r="36" spans="1:5" ht="36" customHeight="1" thickBot="1">
      <c r="A36" s="821" t="s">
        <v>2187</v>
      </c>
      <c r="B36" s="822"/>
      <c r="C36" s="822"/>
      <c r="D36" s="822"/>
      <c r="E36" s="822"/>
    </row>
    <row r="37" spans="1:5" ht="16.5" thickBot="1">
      <c r="A37" s="769" t="s">
        <v>38</v>
      </c>
      <c r="B37" s="766" t="s">
        <v>39</v>
      </c>
      <c r="C37" s="772"/>
      <c r="D37" s="772"/>
      <c r="E37" s="773"/>
    </row>
    <row r="38" spans="1:5">
      <c r="A38" s="770"/>
      <c r="B38" s="774" t="s">
        <v>2586</v>
      </c>
      <c r="C38" s="775"/>
      <c r="D38" s="774" t="s">
        <v>3108</v>
      </c>
      <c r="E38" s="775"/>
    </row>
    <row r="39" spans="1:5" ht="0.75" customHeight="1" thickBot="1">
      <c r="A39" s="770"/>
      <c r="B39" s="743"/>
      <c r="C39" s="744"/>
      <c r="D39" s="743"/>
      <c r="E39" s="744"/>
    </row>
    <row r="40" spans="1:5" ht="16.5" thickBot="1">
      <c r="A40" s="771"/>
      <c r="B40" s="213" t="s">
        <v>41</v>
      </c>
      <c r="C40" s="214" t="s">
        <v>42</v>
      </c>
      <c r="D40" s="213" t="s">
        <v>41</v>
      </c>
      <c r="E40" s="213" t="s">
        <v>42</v>
      </c>
    </row>
    <row r="41" spans="1:5" ht="16.5" thickBot="1">
      <c r="A41" s="215">
        <v>1</v>
      </c>
      <c r="B41" s="213">
        <v>2</v>
      </c>
      <c r="C41" s="213">
        <v>3</v>
      </c>
      <c r="D41" s="213">
        <v>4</v>
      </c>
      <c r="E41" s="213">
        <v>5</v>
      </c>
    </row>
    <row r="42" spans="1:5" ht="32.25" thickBot="1">
      <c r="A42" s="216" t="s">
        <v>43</v>
      </c>
      <c r="B42" s="222">
        <f>B45-B43</f>
        <v>35478598</v>
      </c>
      <c r="C42" s="219">
        <f>B42/B$45</f>
        <v>0.75050118770237018</v>
      </c>
      <c r="D42" s="224">
        <f>B42+D13</f>
        <v>44257598</v>
      </c>
      <c r="E42" s="219">
        <f>D42/D$45</f>
        <v>0.99993124817148493</v>
      </c>
    </row>
    <row r="43" spans="1:5" ht="16.5" thickBot="1">
      <c r="A43" s="217" t="s">
        <v>44</v>
      </c>
      <c r="B43" s="223">
        <f>Пр.7!D43-B18</f>
        <v>11794609</v>
      </c>
      <c r="C43" s="219">
        <f>B43/B$45</f>
        <v>0.24949881229762982</v>
      </c>
      <c r="D43" s="223">
        <f>B43-D18</f>
        <v>3043</v>
      </c>
      <c r="E43" s="219">
        <f>D43/D$45</f>
        <v>6.8751828515090864E-5</v>
      </c>
    </row>
    <row r="44" spans="1:5" ht="32.25" thickBot="1">
      <c r="A44" s="217" t="s">
        <v>45</v>
      </c>
      <c r="B44" s="223">
        <v>0</v>
      </c>
      <c r="C44" s="219">
        <f>B44/B$45</f>
        <v>0</v>
      </c>
      <c r="D44" s="223">
        <v>0</v>
      </c>
      <c r="E44" s="219">
        <f>D44/D$45</f>
        <v>0</v>
      </c>
    </row>
    <row r="45" spans="1:5" ht="32.25" thickBot="1">
      <c r="A45" s="216" t="s">
        <v>46</v>
      </c>
      <c r="B45" s="224">
        <f>B27</f>
        <v>47273207</v>
      </c>
      <c r="C45" s="219">
        <f>B45/B$45</f>
        <v>1</v>
      </c>
      <c r="D45" s="224">
        <f>D42+D43+D44</f>
        <v>44260641</v>
      </c>
      <c r="E45" s="219">
        <f>D45/D$45</f>
        <v>1</v>
      </c>
    </row>
    <row r="46" spans="1:5" ht="15.75">
      <c r="A46" s="759"/>
      <c r="B46" s="760"/>
      <c r="C46" s="760"/>
      <c r="D46" s="760"/>
      <c r="E46" s="760"/>
    </row>
    <row r="47" spans="1:5">
      <c r="A47" s="142"/>
      <c r="B47"/>
      <c r="C47"/>
      <c r="D47"/>
      <c r="E47"/>
    </row>
    <row r="48" spans="1:5" ht="15.75">
      <c r="A48" s="128"/>
      <c r="B48"/>
      <c r="C48"/>
      <c r="D48"/>
      <c r="E48"/>
    </row>
  </sheetData>
  <mergeCells count="60">
    <mergeCell ref="A7:E7"/>
    <mergeCell ref="A5:E5"/>
    <mergeCell ref="A1:E1"/>
    <mergeCell ref="A2:E2"/>
    <mergeCell ref="A3:E3"/>
    <mergeCell ref="A4:E4"/>
    <mergeCell ref="B26:C26"/>
    <mergeCell ref="D26:E26"/>
    <mergeCell ref="A23:E23"/>
    <mergeCell ref="A24:E24"/>
    <mergeCell ref="A10:E10"/>
    <mergeCell ref="B15:C15"/>
    <mergeCell ref="D15:E15"/>
    <mergeCell ref="B16:C16"/>
    <mergeCell ref="D16:E16"/>
    <mergeCell ref="D22:E22"/>
    <mergeCell ref="B25:C25"/>
    <mergeCell ref="D25:E25"/>
    <mergeCell ref="B22:C22"/>
    <mergeCell ref="A9:E9"/>
    <mergeCell ref="D21:E21"/>
    <mergeCell ref="B17:C17"/>
    <mergeCell ref="D17:E17"/>
    <mergeCell ref="B20:C20"/>
    <mergeCell ref="D20:E20"/>
    <mergeCell ref="D13:E13"/>
    <mergeCell ref="B18:C18"/>
    <mergeCell ref="D18:E18"/>
    <mergeCell ref="B19:C19"/>
    <mergeCell ref="D19:E19"/>
    <mergeCell ref="A46:E46"/>
    <mergeCell ref="A6:E6"/>
    <mergeCell ref="B11:C11"/>
    <mergeCell ref="B12:C12"/>
    <mergeCell ref="D11:E11"/>
    <mergeCell ref="D12:E12"/>
    <mergeCell ref="B13:C13"/>
    <mergeCell ref="B21:C21"/>
    <mergeCell ref="B14:C14"/>
    <mergeCell ref="D14:E14"/>
    <mergeCell ref="A35:E35"/>
    <mergeCell ref="A36:E36"/>
    <mergeCell ref="A37:A40"/>
    <mergeCell ref="B37:E37"/>
    <mergeCell ref="B38:C39"/>
    <mergeCell ref="D38:E39"/>
    <mergeCell ref="B33:C33"/>
    <mergeCell ref="D33:E33"/>
    <mergeCell ref="B30:C30"/>
    <mergeCell ref="D30:E30"/>
    <mergeCell ref="B31:C31"/>
    <mergeCell ref="D31:E31"/>
    <mergeCell ref="B32:C32"/>
    <mergeCell ref="D32:E32"/>
    <mergeCell ref="B27:C27"/>
    <mergeCell ref="D27:E27"/>
    <mergeCell ref="B28:C28"/>
    <mergeCell ref="D28:E28"/>
    <mergeCell ref="B29:C29"/>
    <mergeCell ref="D29:E29"/>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170"/>
  <sheetViews>
    <sheetView showGridLines="0" view="pageBreakPreview" zoomScaleSheetLayoutView="100" workbookViewId="0">
      <selection activeCell="A4" sqref="A4:C4"/>
    </sheetView>
  </sheetViews>
  <sheetFormatPr defaultColWidth="9.140625" defaultRowHeight="12.75"/>
  <cols>
    <col min="1" max="1" width="5.140625" style="376" bestFit="1" customWidth="1"/>
    <col min="2" max="2" width="24.42578125" style="376" customWidth="1"/>
    <col min="3" max="3" width="59.140625" style="376" customWidth="1"/>
    <col min="4" max="16384" width="9.140625" style="376"/>
  </cols>
  <sheetData>
    <row r="1" spans="1:3" ht="15.75" customHeight="1">
      <c r="A1" s="737" t="s">
        <v>1577</v>
      </c>
      <c r="B1" s="737"/>
      <c r="C1" s="737"/>
    </row>
    <row r="2" spans="1:3" ht="15.75">
      <c r="A2" s="737" t="s">
        <v>1058</v>
      </c>
      <c r="B2" s="737"/>
      <c r="C2" s="737"/>
    </row>
    <row r="3" spans="1:3" ht="15.75">
      <c r="A3" s="737" t="s">
        <v>716</v>
      </c>
      <c r="B3" s="737"/>
      <c r="C3" s="737"/>
    </row>
    <row r="4" spans="1:3" ht="15.75">
      <c r="A4" s="737" t="s">
        <v>3015</v>
      </c>
      <c r="B4" s="737"/>
      <c r="C4" s="737"/>
    </row>
    <row r="5" spans="1:3" ht="15.75">
      <c r="A5" s="127"/>
      <c r="B5" s="1"/>
      <c r="C5" s="1"/>
    </row>
    <row r="6" spans="1:3" ht="36" customHeight="1">
      <c r="A6" s="792" t="s">
        <v>2976</v>
      </c>
      <c r="B6" s="792"/>
      <c r="C6" s="792"/>
    </row>
    <row r="7" spans="1:3" ht="15.75">
      <c r="A7" s="373"/>
      <c r="B7"/>
      <c r="C7"/>
    </row>
    <row r="8" spans="1:3" ht="15.75">
      <c r="A8" s="800" t="s">
        <v>1201</v>
      </c>
      <c r="B8" s="801"/>
      <c r="C8" s="802"/>
    </row>
    <row r="9" spans="1:3" ht="31.5">
      <c r="A9" s="7">
        <v>950</v>
      </c>
      <c r="B9" s="7" t="s">
        <v>1202</v>
      </c>
      <c r="C9" s="7" t="s">
        <v>1203</v>
      </c>
    </row>
    <row r="10" spans="1:3" ht="47.25">
      <c r="A10" s="7">
        <v>950</v>
      </c>
      <c r="B10" s="231" t="s">
        <v>1564</v>
      </c>
      <c r="C10" s="7" t="s">
        <v>2089</v>
      </c>
    </row>
    <row r="11" spans="1:3" ht="31.5">
      <c r="A11" s="7">
        <v>950</v>
      </c>
      <c r="B11" s="231" t="s">
        <v>1565</v>
      </c>
      <c r="C11" s="7" t="s">
        <v>1566</v>
      </c>
    </row>
    <row r="12" spans="1:3" ht="78.75">
      <c r="A12" s="232">
        <v>950</v>
      </c>
      <c r="B12" s="7" t="s">
        <v>1567</v>
      </c>
      <c r="C12" s="7" t="s">
        <v>1568</v>
      </c>
    </row>
    <row r="13" spans="1:3" ht="63">
      <c r="A13" s="232">
        <v>950</v>
      </c>
      <c r="B13" s="7" t="s">
        <v>1569</v>
      </c>
      <c r="C13" s="7" t="s">
        <v>2016</v>
      </c>
    </row>
    <row r="14" spans="1:3" ht="47.25">
      <c r="A14" s="232">
        <v>950</v>
      </c>
      <c r="B14" s="7" t="s">
        <v>1204</v>
      </c>
      <c r="C14" s="7" t="s">
        <v>1205</v>
      </c>
    </row>
    <row r="15" spans="1:3" ht="31.5">
      <c r="A15" s="232">
        <v>950</v>
      </c>
      <c r="B15" s="231" t="s">
        <v>1206</v>
      </c>
      <c r="C15" s="7" t="s">
        <v>1207</v>
      </c>
    </row>
    <row r="16" spans="1:3" ht="31.5">
      <c r="A16" s="232">
        <v>950</v>
      </c>
      <c r="B16" s="7" t="s">
        <v>1208</v>
      </c>
      <c r="C16" s="7" t="s">
        <v>1425</v>
      </c>
    </row>
    <row r="17" spans="1:3" ht="70.5" customHeight="1">
      <c r="A17" s="232">
        <v>950</v>
      </c>
      <c r="B17" s="7" t="s">
        <v>10</v>
      </c>
      <c r="C17" s="7" t="s">
        <v>1087</v>
      </c>
    </row>
    <row r="18" spans="1:3" ht="47.25">
      <c r="A18" s="232">
        <v>950</v>
      </c>
      <c r="B18" s="7" t="s">
        <v>1426</v>
      </c>
      <c r="C18" s="7" t="s">
        <v>1570</v>
      </c>
    </row>
    <row r="19" spans="1:3" ht="31.5">
      <c r="A19" s="232">
        <v>950</v>
      </c>
      <c r="B19" s="7" t="s">
        <v>2017</v>
      </c>
      <c r="C19" s="7" t="s">
        <v>2018</v>
      </c>
    </row>
    <row r="20" spans="1:3" ht="63">
      <c r="A20" s="232">
        <v>950</v>
      </c>
      <c r="B20" s="7" t="s">
        <v>1427</v>
      </c>
      <c r="C20" s="7" t="s">
        <v>1428</v>
      </c>
    </row>
    <row r="21" spans="1:3" ht="31.5">
      <c r="A21" s="232">
        <v>950</v>
      </c>
      <c r="B21" s="7" t="s">
        <v>2503</v>
      </c>
      <c r="C21" s="7" t="s">
        <v>1563</v>
      </c>
    </row>
    <row r="22" spans="1:3" ht="63">
      <c r="A22" s="7">
        <v>950</v>
      </c>
      <c r="B22" s="7" t="s">
        <v>1987</v>
      </c>
      <c r="C22" s="7" t="s">
        <v>2262</v>
      </c>
    </row>
    <row r="23" spans="1:3" ht="54.75" customHeight="1">
      <c r="A23" s="7">
        <v>950</v>
      </c>
      <c r="B23" s="7" t="s">
        <v>2552</v>
      </c>
      <c r="C23" s="7" t="s">
        <v>2553</v>
      </c>
    </row>
    <row r="24" spans="1:3" ht="31.5">
      <c r="A24" s="7">
        <v>950</v>
      </c>
      <c r="B24" s="7" t="s">
        <v>2504</v>
      </c>
      <c r="C24" s="7" t="s">
        <v>2074</v>
      </c>
    </row>
    <row r="25" spans="1:3" ht="47.25">
      <c r="A25" s="232">
        <v>950</v>
      </c>
      <c r="B25" s="7" t="s">
        <v>2072</v>
      </c>
      <c r="C25" s="2" t="s">
        <v>2396</v>
      </c>
    </row>
    <row r="26" spans="1:3" ht="63">
      <c r="A26" s="232">
        <v>950</v>
      </c>
      <c r="B26" s="7" t="s">
        <v>2967</v>
      </c>
      <c r="C26" s="2" t="s">
        <v>2968</v>
      </c>
    </row>
    <row r="27" spans="1:3" ht="63">
      <c r="A27" s="232">
        <v>950</v>
      </c>
      <c r="B27" s="7" t="s">
        <v>1491</v>
      </c>
      <c r="C27" s="2" t="s">
        <v>1492</v>
      </c>
    </row>
    <row r="28" spans="1:3" ht="96.75" customHeight="1">
      <c r="A28" s="232">
        <v>950</v>
      </c>
      <c r="B28" s="7" t="s">
        <v>2505</v>
      </c>
      <c r="C28" s="2" t="s">
        <v>2493</v>
      </c>
    </row>
    <row r="29" spans="1:3" ht="110.25">
      <c r="A29" s="232">
        <v>950</v>
      </c>
      <c r="B29" s="7" t="s">
        <v>2075</v>
      </c>
      <c r="C29" s="7" t="s">
        <v>2223</v>
      </c>
    </row>
    <row r="30" spans="1:3" ht="53.25" customHeight="1">
      <c r="A30" s="232">
        <v>950</v>
      </c>
      <c r="B30" s="7" t="s">
        <v>2506</v>
      </c>
      <c r="C30" s="7" t="s">
        <v>2512</v>
      </c>
    </row>
    <row r="31" spans="1:3" ht="87" customHeight="1">
      <c r="A31" s="232">
        <v>950</v>
      </c>
      <c r="B31" s="7" t="s">
        <v>2076</v>
      </c>
      <c r="C31" s="7" t="s">
        <v>2077</v>
      </c>
    </row>
    <row r="32" spans="1:3" ht="15.75">
      <c r="A32" s="232">
        <v>950</v>
      </c>
      <c r="B32" s="7" t="s">
        <v>1429</v>
      </c>
      <c r="C32" s="2" t="s">
        <v>1430</v>
      </c>
    </row>
    <row r="33" spans="1:3" ht="47.25">
      <c r="A33" s="232">
        <v>950</v>
      </c>
      <c r="B33" s="7" t="s">
        <v>1431</v>
      </c>
      <c r="C33" s="7" t="s">
        <v>3007</v>
      </c>
    </row>
    <row r="34" spans="1:3" ht="63">
      <c r="A34" s="232">
        <v>950</v>
      </c>
      <c r="B34" s="7" t="s">
        <v>515</v>
      </c>
      <c r="C34" s="7" t="s">
        <v>3008</v>
      </c>
    </row>
    <row r="35" spans="1:3" ht="47.25">
      <c r="A35" s="232">
        <v>950</v>
      </c>
      <c r="B35" s="7" t="s">
        <v>1847</v>
      </c>
      <c r="C35" s="7" t="s">
        <v>1848</v>
      </c>
    </row>
    <row r="36" spans="1:3" ht="31.5">
      <c r="A36" s="232">
        <v>950</v>
      </c>
      <c r="B36" s="7" t="s">
        <v>2936</v>
      </c>
      <c r="C36" s="7" t="s">
        <v>2612</v>
      </c>
    </row>
    <row r="37" spans="1:3" ht="78.75">
      <c r="A37" s="231">
        <v>950</v>
      </c>
      <c r="B37" s="231" t="s">
        <v>915</v>
      </c>
      <c r="C37" s="7" t="s">
        <v>916</v>
      </c>
    </row>
    <row r="38" spans="1:3" ht="31.5">
      <c r="A38" s="231">
        <v>950</v>
      </c>
      <c r="B38" s="231" t="s">
        <v>2398</v>
      </c>
      <c r="C38" s="7" t="s">
        <v>918</v>
      </c>
    </row>
    <row r="39" spans="1:3" ht="15.75">
      <c r="A39" s="800" t="s">
        <v>1849</v>
      </c>
      <c r="B39" s="801"/>
      <c r="C39" s="802"/>
    </row>
    <row r="40" spans="1:3" ht="63">
      <c r="A40" s="7">
        <v>952</v>
      </c>
      <c r="B40" s="7" t="s">
        <v>1850</v>
      </c>
      <c r="C40" s="7" t="s">
        <v>1851</v>
      </c>
    </row>
    <row r="41" spans="1:3" ht="94.5">
      <c r="A41" s="7">
        <v>952</v>
      </c>
      <c r="B41" s="7" t="s">
        <v>1853</v>
      </c>
      <c r="C41" s="7" t="s">
        <v>1854</v>
      </c>
    </row>
    <row r="42" spans="1:3" ht="78.75">
      <c r="A42" s="7">
        <v>952</v>
      </c>
      <c r="B42" s="7" t="s">
        <v>1855</v>
      </c>
      <c r="C42" s="7" t="s">
        <v>1856</v>
      </c>
    </row>
    <row r="43" spans="1:3" ht="47.25">
      <c r="A43" s="7">
        <v>952</v>
      </c>
      <c r="B43" s="7" t="s">
        <v>2229</v>
      </c>
      <c r="C43" s="7" t="s">
        <v>2230</v>
      </c>
    </row>
    <row r="44" spans="1:3" ht="63">
      <c r="A44" s="7">
        <v>952</v>
      </c>
      <c r="B44" s="7" t="s">
        <v>2231</v>
      </c>
      <c r="C44" s="7" t="s">
        <v>2232</v>
      </c>
    </row>
    <row r="45" spans="1:3" ht="94.5">
      <c r="A45" s="7">
        <v>952</v>
      </c>
      <c r="B45" s="7" t="s">
        <v>1857</v>
      </c>
      <c r="C45" s="7" t="s">
        <v>1285</v>
      </c>
    </row>
    <row r="46" spans="1:3" ht="41.25" customHeight="1">
      <c r="A46" s="7">
        <v>952</v>
      </c>
      <c r="B46" s="231" t="s">
        <v>1564</v>
      </c>
      <c r="C46" s="7" t="s">
        <v>2089</v>
      </c>
    </row>
    <row r="47" spans="1:3" ht="31.5">
      <c r="A47" s="7">
        <v>952</v>
      </c>
      <c r="B47" s="231" t="s">
        <v>1565</v>
      </c>
      <c r="C47" s="7" t="s">
        <v>1566</v>
      </c>
    </row>
    <row r="48" spans="1:3" ht="31.5">
      <c r="A48" s="7">
        <v>952</v>
      </c>
      <c r="B48" s="7" t="s">
        <v>1286</v>
      </c>
      <c r="C48" s="7" t="s">
        <v>1287</v>
      </c>
    </row>
    <row r="49" spans="1:3" ht="110.25">
      <c r="A49" s="7">
        <v>952</v>
      </c>
      <c r="B49" s="7" t="s">
        <v>2086</v>
      </c>
      <c r="C49" s="7" t="s">
        <v>1288</v>
      </c>
    </row>
    <row r="50" spans="1:3" ht="110.25">
      <c r="A50" s="7">
        <v>952</v>
      </c>
      <c r="B50" s="7" t="s">
        <v>2087</v>
      </c>
      <c r="C50" s="7" t="s">
        <v>1859</v>
      </c>
    </row>
    <row r="51" spans="1:3" ht="31.5">
      <c r="A51" s="7">
        <v>952</v>
      </c>
      <c r="B51" s="7" t="s">
        <v>1860</v>
      </c>
      <c r="C51" s="7" t="s">
        <v>1861</v>
      </c>
    </row>
    <row r="52" spans="1:3" ht="63">
      <c r="A52" s="7">
        <v>952</v>
      </c>
      <c r="B52" s="7" t="s">
        <v>1863</v>
      </c>
      <c r="C52" s="7" t="s">
        <v>2088</v>
      </c>
    </row>
    <row r="53" spans="1:3" ht="78.75">
      <c r="A53" s="232">
        <v>952</v>
      </c>
      <c r="B53" s="7" t="s">
        <v>1567</v>
      </c>
      <c r="C53" s="7" t="s">
        <v>1568</v>
      </c>
    </row>
    <row r="54" spans="1:3" ht="63">
      <c r="A54" s="232">
        <v>952</v>
      </c>
      <c r="B54" s="7" t="s">
        <v>1569</v>
      </c>
      <c r="C54" s="7" t="s">
        <v>2016</v>
      </c>
    </row>
    <row r="55" spans="1:3" ht="47.25">
      <c r="A55" s="232">
        <v>952</v>
      </c>
      <c r="B55" s="7" t="s">
        <v>1204</v>
      </c>
      <c r="C55" s="7" t="s">
        <v>1205</v>
      </c>
    </row>
    <row r="56" spans="1:3" ht="15.75" customHeight="1">
      <c r="A56" s="232">
        <v>952</v>
      </c>
      <c r="B56" s="231" t="s">
        <v>1206</v>
      </c>
      <c r="C56" s="7" t="s">
        <v>1207</v>
      </c>
    </row>
    <row r="57" spans="1:3" ht="31.5">
      <c r="A57" s="232">
        <v>952</v>
      </c>
      <c r="B57" s="7" t="s">
        <v>1208</v>
      </c>
      <c r="C57" s="7" t="s">
        <v>1425</v>
      </c>
    </row>
    <row r="58" spans="1:3" ht="31.5">
      <c r="A58" s="232">
        <v>952</v>
      </c>
      <c r="B58" s="7" t="s">
        <v>2017</v>
      </c>
      <c r="C58" s="7" t="s">
        <v>2018</v>
      </c>
    </row>
    <row r="59" spans="1:3" ht="63">
      <c r="A59" s="232">
        <v>952</v>
      </c>
      <c r="B59" s="7" t="s">
        <v>1427</v>
      </c>
      <c r="C59" s="7" t="s">
        <v>1428</v>
      </c>
    </row>
    <row r="60" spans="1:3" ht="47.25">
      <c r="A60" s="7">
        <v>952</v>
      </c>
      <c r="B60" s="7" t="s">
        <v>1628</v>
      </c>
      <c r="C60" s="7" t="s">
        <v>1629</v>
      </c>
    </row>
    <row r="61" spans="1:3" ht="78.75">
      <c r="A61" s="233">
        <v>952</v>
      </c>
      <c r="B61" s="7" t="s">
        <v>915</v>
      </c>
      <c r="C61" s="2" t="s">
        <v>916</v>
      </c>
    </row>
    <row r="62" spans="1:3" ht="15.75">
      <c r="A62" s="800" t="s">
        <v>1060</v>
      </c>
      <c r="B62" s="801"/>
      <c r="C62" s="802"/>
    </row>
    <row r="63" spans="1:3" ht="47.25">
      <c r="A63" s="24">
        <v>953</v>
      </c>
      <c r="B63" s="231" t="s">
        <v>1564</v>
      </c>
      <c r="C63" s="7" t="s">
        <v>2089</v>
      </c>
    </row>
    <row r="64" spans="1:3" ht="31.5">
      <c r="A64" s="233">
        <v>953</v>
      </c>
      <c r="B64" s="231" t="s">
        <v>1565</v>
      </c>
      <c r="C64" s="7" t="s">
        <v>1566</v>
      </c>
    </row>
    <row r="65" spans="1:3" ht="78.75">
      <c r="A65" s="232">
        <v>953</v>
      </c>
      <c r="B65" s="7" t="s">
        <v>1567</v>
      </c>
      <c r="C65" s="7" t="s">
        <v>1568</v>
      </c>
    </row>
    <row r="66" spans="1:3" ht="63">
      <c r="A66" s="232">
        <v>953</v>
      </c>
      <c r="B66" s="7" t="s">
        <v>1569</v>
      </c>
      <c r="C66" s="7" t="s">
        <v>2016</v>
      </c>
    </row>
    <row r="67" spans="1:3" ht="47.25">
      <c r="A67" s="232">
        <v>953</v>
      </c>
      <c r="B67" s="7" t="s">
        <v>1204</v>
      </c>
      <c r="C67" s="7" t="s">
        <v>1205</v>
      </c>
    </row>
    <row r="68" spans="1:3" ht="31.5">
      <c r="A68" s="232">
        <v>953</v>
      </c>
      <c r="B68" s="231" t="s">
        <v>1206</v>
      </c>
      <c r="C68" s="7" t="s">
        <v>1207</v>
      </c>
    </row>
    <row r="69" spans="1:3" ht="31.5">
      <c r="A69" s="232">
        <v>953</v>
      </c>
      <c r="B69" s="7" t="s">
        <v>1208</v>
      </c>
      <c r="C69" s="7" t="s">
        <v>1425</v>
      </c>
    </row>
    <row r="70" spans="1:3" ht="47.25">
      <c r="A70" s="232">
        <v>953</v>
      </c>
      <c r="B70" s="7" t="s">
        <v>1426</v>
      </c>
      <c r="C70" s="7" t="s">
        <v>1570</v>
      </c>
    </row>
    <row r="71" spans="1:3" ht="31.5">
      <c r="A71" s="232">
        <v>953</v>
      </c>
      <c r="B71" s="7" t="s">
        <v>2017</v>
      </c>
      <c r="C71" s="7" t="s">
        <v>2018</v>
      </c>
    </row>
    <row r="72" spans="1:3" ht="63">
      <c r="A72" s="232">
        <v>953</v>
      </c>
      <c r="B72" s="7" t="s">
        <v>1427</v>
      </c>
      <c r="C72" s="7" t="s">
        <v>1428</v>
      </c>
    </row>
    <row r="73" spans="1:3" ht="31.5">
      <c r="A73" s="232">
        <v>953</v>
      </c>
      <c r="B73" s="7" t="s">
        <v>2073</v>
      </c>
      <c r="C73" s="7" t="s">
        <v>2074</v>
      </c>
    </row>
    <row r="74" spans="1:3" ht="15.75">
      <c r="A74" s="232">
        <v>953</v>
      </c>
      <c r="B74" s="7" t="s">
        <v>1429</v>
      </c>
      <c r="C74" s="2" t="s">
        <v>1430</v>
      </c>
    </row>
    <row r="75" spans="1:3" ht="63">
      <c r="A75" s="232">
        <v>953</v>
      </c>
      <c r="B75" s="7" t="s">
        <v>1061</v>
      </c>
      <c r="C75" s="7" t="s">
        <v>1062</v>
      </c>
    </row>
    <row r="76" spans="1:3" ht="47.25">
      <c r="A76" s="232">
        <v>953</v>
      </c>
      <c r="B76" s="7" t="s">
        <v>1847</v>
      </c>
      <c r="C76" s="7" t="s">
        <v>1848</v>
      </c>
    </row>
    <row r="77" spans="1:3" ht="78.75">
      <c r="A77" s="232">
        <v>953</v>
      </c>
      <c r="B77" s="7" t="s">
        <v>915</v>
      </c>
      <c r="C77" s="7" t="s">
        <v>916</v>
      </c>
    </row>
    <row r="78" spans="1:3" ht="31.5">
      <c r="A78" s="231">
        <v>953</v>
      </c>
      <c r="B78" s="231" t="s">
        <v>917</v>
      </c>
      <c r="C78" s="7" t="s">
        <v>918</v>
      </c>
    </row>
    <row r="79" spans="1:3" ht="15.75">
      <c r="A79" s="803" t="s">
        <v>1069</v>
      </c>
      <c r="B79" s="804"/>
      <c r="C79" s="805"/>
    </row>
    <row r="80" spans="1:3" ht="47.25">
      <c r="A80" s="232">
        <v>954</v>
      </c>
      <c r="B80" s="231" t="s">
        <v>1564</v>
      </c>
      <c r="C80" s="7" t="s">
        <v>2089</v>
      </c>
    </row>
    <row r="81" spans="1:3" ht="31.5">
      <c r="A81" s="232">
        <v>954</v>
      </c>
      <c r="B81" s="231" t="s">
        <v>1565</v>
      </c>
      <c r="C81" s="7" t="s">
        <v>1566</v>
      </c>
    </row>
    <row r="82" spans="1:3" ht="78.75">
      <c r="A82" s="232">
        <v>954</v>
      </c>
      <c r="B82" s="7" t="s">
        <v>1567</v>
      </c>
      <c r="C82" s="7" t="s">
        <v>1568</v>
      </c>
    </row>
    <row r="83" spans="1:3" ht="63">
      <c r="A83" s="232">
        <v>954</v>
      </c>
      <c r="B83" s="7" t="s">
        <v>1569</v>
      </c>
      <c r="C83" s="7" t="s">
        <v>2016</v>
      </c>
    </row>
    <row r="84" spans="1:3" ht="47.25">
      <c r="A84" s="232">
        <v>954</v>
      </c>
      <c r="B84" s="7" t="s">
        <v>1204</v>
      </c>
      <c r="C84" s="7" t="s">
        <v>1205</v>
      </c>
    </row>
    <row r="85" spans="1:3" ht="31.5">
      <c r="A85" s="232">
        <v>954</v>
      </c>
      <c r="B85" s="231" t="s">
        <v>1206</v>
      </c>
      <c r="C85" s="7" t="s">
        <v>1207</v>
      </c>
    </row>
    <row r="86" spans="1:3" ht="31.5">
      <c r="A86" s="232">
        <v>954</v>
      </c>
      <c r="B86" s="7" t="s">
        <v>1208</v>
      </c>
      <c r="C86" s="7" t="s">
        <v>1425</v>
      </c>
    </row>
    <row r="87" spans="1:3" ht="47.25">
      <c r="A87" s="232">
        <v>954</v>
      </c>
      <c r="B87" s="7" t="s">
        <v>1426</v>
      </c>
      <c r="C87" s="7" t="s">
        <v>1570</v>
      </c>
    </row>
    <row r="88" spans="1:3" ht="31.5">
      <c r="A88" s="232">
        <v>954</v>
      </c>
      <c r="B88" s="7" t="s">
        <v>2017</v>
      </c>
      <c r="C88" s="7" t="s">
        <v>2018</v>
      </c>
    </row>
    <row r="89" spans="1:3" ht="63">
      <c r="A89" s="232">
        <v>954</v>
      </c>
      <c r="B89" s="7" t="s">
        <v>1427</v>
      </c>
      <c r="C89" s="7" t="s">
        <v>1428</v>
      </c>
    </row>
    <row r="90" spans="1:3" ht="31.5">
      <c r="A90" s="232">
        <v>954</v>
      </c>
      <c r="B90" s="7" t="s">
        <v>2504</v>
      </c>
      <c r="C90" s="7" t="s">
        <v>2074</v>
      </c>
    </row>
    <row r="91" spans="1:3" ht="15.75">
      <c r="A91" s="232">
        <v>954</v>
      </c>
      <c r="B91" s="7" t="s">
        <v>2507</v>
      </c>
      <c r="C91" s="7" t="s">
        <v>1430</v>
      </c>
    </row>
    <row r="92" spans="1:3" ht="47.25">
      <c r="A92" s="232">
        <v>954</v>
      </c>
      <c r="B92" s="7" t="s">
        <v>1070</v>
      </c>
      <c r="C92" s="7" t="s">
        <v>1071</v>
      </c>
    </row>
    <row r="93" spans="1:3" ht="78.75">
      <c r="A93" s="232">
        <v>954</v>
      </c>
      <c r="B93" s="7" t="s">
        <v>1072</v>
      </c>
      <c r="C93" s="7" t="s">
        <v>3009</v>
      </c>
    </row>
    <row r="94" spans="1:3" ht="70.5" customHeight="1">
      <c r="A94" s="232">
        <v>954</v>
      </c>
      <c r="B94" s="7" t="s">
        <v>2508</v>
      </c>
      <c r="C94" s="7" t="s">
        <v>2509</v>
      </c>
    </row>
    <row r="95" spans="1:3" ht="47.25">
      <c r="A95" s="232">
        <v>954</v>
      </c>
      <c r="B95" s="7" t="s">
        <v>1076</v>
      </c>
      <c r="C95" s="7" t="s">
        <v>1077</v>
      </c>
    </row>
    <row r="96" spans="1:3" ht="47.25">
      <c r="A96" s="232">
        <v>954</v>
      </c>
      <c r="B96" s="7" t="s">
        <v>1847</v>
      </c>
      <c r="C96" s="7" t="s">
        <v>1848</v>
      </c>
    </row>
    <row r="97" spans="1:3" ht="94.5">
      <c r="A97" s="232">
        <v>954</v>
      </c>
      <c r="B97" s="7" t="s">
        <v>1078</v>
      </c>
      <c r="C97" s="7" t="s">
        <v>1079</v>
      </c>
    </row>
    <row r="98" spans="1:3" ht="78.75">
      <c r="A98" s="232">
        <v>954</v>
      </c>
      <c r="B98" s="7" t="s">
        <v>2237</v>
      </c>
      <c r="C98" s="7" t="s">
        <v>2244</v>
      </c>
    </row>
    <row r="99" spans="1:3" ht="126">
      <c r="A99" s="232">
        <v>954</v>
      </c>
      <c r="B99" s="7" t="s">
        <v>2442</v>
      </c>
      <c r="C99" s="7" t="s">
        <v>2443</v>
      </c>
    </row>
    <row r="100" spans="1:3" ht="47.25">
      <c r="A100" s="232">
        <v>954</v>
      </c>
      <c r="B100" s="7" t="s">
        <v>2580</v>
      </c>
      <c r="C100" s="7" t="s">
        <v>2581</v>
      </c>
    </row>
    <row r="101" spans="1:3" ht="31.5">
      <c r="A101" s="232">
        <v>954</v>
      </c>
      <c r="B101" s="231" t="s">
        <v>917</v>
      </c>
      <c r="C101" s="7" t="s">
        <v>918</v>
      </c>
    </row>
    <row r="102" spans="1:3" ht="47.25">
      <c r="A102" s="232">
        <v>954</v>
      </c>
      <c r="B102" s="7" t="s">
        <v>1080</v>
      </c>
      <c r="C102" s="7" t="s">
        <v>1081</v>
      </c>
    </row>
    <row r="103" spans="1:3" ht="15.75">
      <c r="A103" s="800" t="s">
        <v>1082</v>
      </c>
      <c r="B103" s="801"/>
      <c r="C103" s="802"/>
    </row>
    <row r="104" spans="1:3" ht="31.5">
      <c r="A104" s="7">
        <v>955</v>
      </c>
      <c r="B104" s="231" t="s">
        <v>1083</v>
      </c>
      <c r="C104" s="7" t="s">
        <v>1084</v>
      </c>
    </row>
    <row r="105" spans="1:3" ht="47.25">
      <c r="A105" s="7">
        <v>955</v>
      </c>
      <c r="B105" s="231" t="s">
        <v>1564</v>
      </c>
      <c r="C105" s="7" t="s">
        <v>2089</v>
      </c>
    </row>
    <row r="106" spans="1:3" ht="31.5">
      <c r="A106" s="7">
        <v>955</v>
      </c>
      <c r="B106" s="231" t="s">
        <v>1565</v>
      </c>
      <c r="C106" s="7" t="s">
        <v>1566</v>
      </c>
    </row>
    <row r="107" spans="1:3" ht="47.25">
      <c r="A107" s="7">
        <v>955</v>
      </c>
      <c r="B107" s="231" t="s">
        <v>1085</v>
      </c>
      <c r="C107" s="7" t="s">
        <v>1086</v>
      </c>
    </row>
    <row r="108" spans="1:3" ht="78.75">
      <c r="A108" s="232">
        <v>955</v>
      </c>
      <c r="B108" s="7" t="s">
        <v>1567</v>
      </c>
      <c r="C108" s="7" t="s">
        <v>1568</v>
      </c>
    </row>
    <row r="109" spans="1:3" ht="63">
      <c r="A109" s="232">
        <v>955</v>
      </c>
      <c r="B109" s="7" t="s">
        <v>1569</v>
      </c>
      <c r="C109" s="7" t="s">
        <v>2016</v>
      </c>
    </row>
    <row r="110" spans="1:3" ht="63">
      <c r="A110" s="7">
        <v>955</v>
      </c>
      <c r="B110" s="7" t="s">
        <v>2090</v>
      </c>
      <c r="C110" s="7" t="s">
        <v>2091</v>
      </c>
    </row>
    <row r="111" spans="1:3" ht="47.25">
      <c r="A111" s="232">
        <v>955</v>
      </c>
      <c r="B111" s="7" t="s">
        <v>1204</v>
      </c>
      <c r="C111" s="7" t="s">
        <v>1205</v>
      </c>
    </row>
    <row r="112" spans="1:3" ht="31.5">
      <c r="A112" s="7">
        <v>955</v>
      </c>
      <c r="B112" s="231" t="s">
        <v>1206</v>
      </c>
      <c r="C112" s="7" t="s">
        <v>1207</v>
      </c>
    </row>
    <row r="113" spans="1:3" ht="31.5">
      <c r="A113" s="7">
        <v>955</v>
      </c>
      <c r="B113" s="231" t="s">
        <v>2969</v>
      </c>
      <c r="C113" s="7" t="s">
        <v>2670</v>
      </c>
    </row>
    <row r="114" spans="1:3" ht="31.5">
      <c r="A114" s="232">
        <v>955</v>
      </c>
      <c r="B114" s="7" t="s">
        <v>1208</v>
      </c>
      <c r="C114" s="7" t="s">
        <v>1425</v>
      </c>
    </row>
    <row r="115" spans="1:3" ht="63">
      <c r="A115" s="7">
        <v>955</v>
      </c>
      <c r="B115" s="7" t="s">
        <v>10</v>
      </c>
      <c r="C115" s="7" t="s">
        <v>1087</v>
      </c>
    </row>
    <row r="116" spans="1:3" ht="31.5">
      <c r="A116" s="7">
        <v>955</v>
      </c>
      <c r="B116" s="7" t="s">
        <v>2017</v>
      </c>
      <c r="C116" s="7" t="s">
        <v>2018</v>
      </c>
    </row>
    <row r="117" spans="1:3" ht="63">
      <c r="A117" s="7">
        <v>955</v>
      </c>
      <c r="B117" s="7" t="s">
        <v>1427</v>
      </c>
      <c r="C117" s="7" t="s">
        <v>1428</v>
      </c>
    </row>
    <row r="118" spans="1:3" ht="31.5">
      <c r="A118" s="7">
        <v>955</v>
      </c>
      <c r="B118" s="7" t="s">
        <v>1983</v>
      </c>
      <c r="C118" s="7" t="s">
        <v>1984</v>
      </c>
    </row>
    <row r="119" spans="1:3" ht="31.5">
      <c r="A119" s="7">
        <v>955</v>
      </c>
      <c r="B119" s="7" t="s">
        <v>2970</v>
      </c>
      <c r="C119" s="7" t="s">
        <v>2971</v>
      </c>
    </row>
    <row r="120" spans="1:3" ht="47.25">
      <c r="A120" s="7">
        <v>955</v>
      </c>
      <c r="B120" s="7" t="s">
        <v>1985</v>
      </c>
      <c r="C120" s="7" t="s">
        <v>1986</v>
      </c>
    </row>
    <row r="121" spans="1:3" ht="24" customHeight="1">
      <c r="A121" s="7">
        <v>955</v>
      </c>
      <c r="B121" s="7" t="s">
        <v>2510</v>
      </c>
      <c r="C121" s="7" t="s">
        <v>2511</v>
      </c>
    </row>
    <row r="122" spans="1:3" ht="24" customHeight="1">
      <c r="A122" s="7">
        <v>955</v>
      </c>
      <c r="B122" s="7" t="s">
        <v>2972</v>
      </c>
      <c r="C122" s="7" t="s">
        <v>2973</v>
      </c>
    </row>
    <row r="123" spans="1:3" ht="15.75">
      <c r="A123" s="7">
        <v>955</v>
      </c>
      <c r="B123" s="7" t="s">
        <v>1429</v>
      </c>
      <c r="C123" s="2" t="s">
        <v>1430</v>
      </c>
    </row>
    <row r="124" spans="1:3" ht="52.5" customHeight="1">
      <c r="A124" s="7">
        <v>955</v>
      </c>
      <c r="B124" s="7" t="s">
        <v>1988</v>
      </c>
      <c r="C124" s="7" t="s">
        <v>1989</v>
      </c>
    </row>
    <row r="125" spans="1:3" ht="47.25">
      <c r="A125" s="7">
        <v>955</v>
      </c>
      <c r="B125" s="7" t="s">
        <v>1847</v>
      </c>
      <c r="C125" s="7" t="s">
        <v>1990</v>
      </c>
    </row>
    <row r="126" spans="1:3" ht="63">
      <c r="A126" s="7">
        <v>955</v>
      </c>
      <c r="B126" s="7" t="s">
        <v>913</v>
      </c>
      <c r="C126" s="7" t="s">
        <v>914</v>
      </c>
    </row>
    <row r="127" spans="1:3" ht="78.75">
      <c r="A127" s="7">
        <v>955</v>
      </c>
      <c r="B127" s="7" t="s">
        <v>915</v>
      </c>
      <c r="C127" s="7" t="s">
        <v>916</v>
      </c>
    </row>
    <row r="128" spans="1:3" ht="31.5">
      <c r="A128" s="7">
        <v>955</v>
      </c>
      <c r="B128" s="7" t="s">
        <v>917</v>
      </c>
      <c r="C128" s="7" t="s">
        <v>918</v>
      </c>
    </row>
    <row r="129" spans="1:3" ht="110.25">
      <c r="A129" s="7">
        <v>955</v>
      </c>
      <c r="B129" s="7" t="s">
        <v>919</v>
      </c>
      <c r="C129" s="7" t="s">
        <v>1486</v>
      </c>
    </row>
    <row r="130" spans="1:3" ht="110.25">
      <c r="A130" s="7">
        <v>955</v>
      </c>
      <c r="B130" s="7" t="s">
        <v>2974</v>
      </c>
      <c r="C130" s="7" t="s">
        <v>2975</v>
      </c>
    </row>
    <row r="131" spans="1:3" ht="15.75">
      <c r="A131" s="800" t="s">
        <v>1487</v>
      </c>
      <c r="B131" s="801"/>
      <c r="C131" s="802"/>
    </row>
    <row r="132" spans="1:3" ht="47.25">
      <c r="A132" s="234">
        <v>956</v>
      </c>
      <c r="B132" s="231" t="s">
        <v>1564</v>
      </c>
      <c r="C132" s="7" t="s">
        <v>2089</v>
      </c>
    </row>
    <row r="133" spans="1:3" ht="31.5">
      <c r="A133" s="234">
        <v>956</v>
      </c>
      <c r="B133" s="231" t="s">
        <v>1565</v>
      </c>
      <c r="C133" s="7" t="s">
        <v>1566</v>
      </c>
    </row>
    <row r="134" spans="1:3" ht="78.75">
      <c r="A134" s="232">
        <v>956</v>
      </c>
      <c r="B134" s="7" t="s">
        <v>1567</v>
      </c>
      <c r="C134" s="7" t="s">
        <v>1568</v>
      </c>
    </row>
    <row r="135" spans="1:3" ht="63">
      <c r="A135" s="232">
        <v>956</v>
      </c>
      <c r="B135" s="7" t="s">
        <v>1569</v>
      </c>
      <c r="C135" s="7" t="s">
        <v>2016</v>
      </c>
    </row>
    <row r="136" spans="1:3" ht="47.25">
      <c r="A136" s="232">
        <v>956</v>
      </c>
      <c r="B136" s="7" t="s">
        <v>1204</v>
      </c>
      <c r="C136" s="7" t="s">
        <v>1205</v>
      </c>
    </row>
    <row r="137" spans="1:3" ht="31.5">
      <c r="A137" s="232">
        <v>956</v>
      </c>
      <c r="B137" s="231" t="s">
        <v>1206</v>
      </c>
      <c r="C137" s="7" t="s">
        <v>1207</v>
      </c>
    </row>
    <row r="138" spans="1:3" ht="31.5">
      <c r="A138" s="232">
        <v>956</v>
      </c>
      <c r="B138" s="7" t="s">
        <v>1208</v>
      </c>
      <c r="C138" s="7" t="s">
        <v>1425</v>
      </c>
    </row>
    <row r="139" spans="1:3" ht="66.75" customHeight="1">
      <c r="A139" s="232">
        <v>956</v>
      </c>
      <c r="B139" s="7" t="s">
        <v>10</v>
      </c>
      <c r="C139" s="7" t="s">
        <v>1087</v>
      </c>
    </row>
    <row r="140" spans="1:3" ht="47.25">
      <c r="A140" s="232">
        <v>956</v>
      </c>
      <c r="B140" s="7" t="s">
        <v>1426</v>
      </c>
      <c r="C140" s="7" t="s">
        <v>1570</v>
      </c>
    </row>
    <row r="141" spans="1:3" ht="31.5">
      <c r="A141" s="232">
        <v>956</v>
      </c>
      <c r="B141" s="7" t="s">
        <v>2017</v>
      </c>
      <c r="C141" s="7" t="s">
        <v>2018</v>
      </c>
    </row>
    <row r="142" spans="1:3" ht="63">
      <c r="A142" s="232">
        <v>956</v>
      </c>
      <c r="B142" s="7" t="s">
        <v>1427</v>
      </c>
      <c r="C142" s="7" t="s">
        <v>1428</v>
      </c>
    </row>
    <row r="143" spans="1:3" ht="15.75" customHeight="1">
      <c r="A143" s="7">
        <v>956</v>
      </c>
      <c r="B143" s="7" t="s">
        <v>1429</v>
      </c>
      <c r="C143" s="2" t="s">
        <v>1430</v>
      </c>
    </row>
    <row r="144" spans="1:3" ht="78.75">
      <c r="A144" s="7">
        <v>956</v>
      </c>
      <c r="B144" s="7" t="s">
        <v>915</v>
      </c>
      <c r="C144" s="2" t="s">
        <v>916</v>
      </c>
    </row>
    <row r="145" spans="1:3" ht="94.5">
      <c r="A145" s="7">
        <v>956</v>
      </c>
      <c r="B145" s="7" t="s">
        <v>2245</v>
      </c>
      <c r="C145" s="2" t="s">
        <v>2246</v>
      </c>
    </row>
    <row r="146" spans="1:3" ht="63">
      <c r="A146" s="7">
        <v>956</v>
      </c>
      <c r="B146" s="7" t="s">
        <v>2247</v>
      </c>
      <c r="C146" s="2" t="s">
        <v>2248</v>
      </c>
    </row>
    <row r="147" spans="1:3" ht="78.75">
      <c r="A147" s="7">
        <v>956</v>
      </c>
      <c r="B147" s="7" t="s">
        <v>2249</v>
      </c>
      <c r="C147" s="2" t="s">
        <v>2250</v>
      </c>
    </row>
    <row r="148" spans="1:3" ht="47.25">
      <c r="A148" s="232">
        <v>956</v>
      </c>
      <c r="B148" s="7" t="s">
        <v>1489</v>
      </c>
      <c r="C148" s="2" t="s">
        <v>1490</v>
      </c>
    </row>
    <row r="149" spans="1:3" ht="31.5">
      <c r="A149" s="231">
        <v>956</v>
      </c>
      <c r="B149" s="7" t="s">
        <v>917</v>
      </c>
      <c r="C149" s="7" t="s">
        <v>918</v>
      </c>
    </row>
    <row r="150" spans="1:3" ht="15.75">
      <c r="A150" s="797" t="s">
        <v>1493</v>
      </c>
      <c r="B150" s="798"/>
      <c r="C150" s="799"/>
    </row>
    <row r="151" spans="1:3" ht="47.25">
      <c r="A151" s="233">
        <v>958</v>
      </c>
      <c r="B151" s="231" t="s">
        <v>1564</v>
      </c>
      <c r="C151" s="7" t="s">
        <v>2089</v>
      </c>
    </row>
    <row r="152" spans="1:3" ht="31.5">
      <c r="A152" s="233">
        <v>958</v>
      </c>
      <c r="B152" s="231" t="s">
        <v>1565</v>
      </c>
      <c r="C152" s="7" t="s">
        <v>1566</v>
      </c>
    </row>
    <row r="153" spans="1:3" ht="78.75">
      <c r="A153" s="232">
        <v>958</v>
      </c>
      <c r="B153" s="7" t="s">
        <v>1567</v>
      </c>
      <c r="C153" s="7" t="s">
        <v>1568</v>
      </c>
    </row>
    <row r="154" spans="1:3" ht="63">
      <c r="A154" s="232">
        <v>958</v>
      </c>
      <c r="B154" s="7" t="s">
        <v>1569</v>
      </c>
      <c r="C154" s="7" t="s">
        <v>2016</v>
      </c>
    </row>
    <row r="155" spans="1:3" ht="110.25">
      <c r="A155" s="232">
        <v>958</v>
      </c>
      <c r="B155" s="7" t="s">
        <v>2251</v>
      </c>
      <c r="C155" s="7" t="s">
        <v>2252</v>
      </c>
    </row>
    <row r="156" spans="1:3" ht="47.25">
      <c r="A156" s="232">
        <v>958</v>
      </c>
      <c r="B156" s="7" t="s">
        <v>1204</v>
      </c>
      <c r="C156" s="7" t="s">
        <v>1205</v>
      </c>
    </row>
    <row r="157" spans="1:3" ht="31.5">
      <c r="A157" s="232">
        <v>958</v>
      </c>
      <c r="B157" s="231" t="s">
        <v>1206</v>
      </c>
      <c r="C157" s="7" t="s">
        <v>1207</v>
      </c>
    </row>
    <row r="158" spans="1:3" ht="31.5">
      <c r="A158" s="232">
        <v>958</v>
      </c>
      <c r="B158" s="7" t="s">
        <v>1208</v>
      </c>
      <c r="C158" s="7" t="s">
        <v>1425</v>
      </c>
    </row>
    <row r="159" spans="1:3" ht="72" customHeight="1">
      <c r="A159" s="232">
        <v>958</v>
      </c>
      <c r="B159" s="7" t="s">
        <v>10</v>
      </c>
      <c r="C159" s="7" t="s">
        <v>1087</v>
      </c>
    </row>
    <row r="160" spans="1:3" ht="47.25">
      <c r="A160" s="232">
        <v>958</v>
      </c>
      <c r="B160" s="7" t="s">
        <v>1426</v>
      </c>
      <c r="C160" s="7" t="s">
        <v>1570</v>
      </c>
    </row>
    <row r="161" spans="1:3" ht="31.5">
      <c r="A161" s="232">
        <v>958</v>
      </c>
      <c r="B161" s="7" t="s">
        <v>2017</v>
      </c>
      <c r="C161" s="7" t="s">
        <v>2018</v>
      </c>
    </row>
    <row r="162" spans="1:3" ht="63">
      <c r="A162" s="232">
        <v>958</v>
      </c>
      <c r="B162" s="7" t="s">
        <v>1427</v>
      </c>
      <c r="C162" s="7" t="s">
        <v>1428</v>
      </c>
    </row>
    <row r="163" spans="1:3" ht="78.75">
      <c r="A163" s="232">
        <v>958</v>
      </c>
      <c r="B163" s="7" t="s">
        <v>2225</v>
      </c>
      <c r="C163" s="7" t="s">
        <v>2226</v>
      </c>
    </row>
    <row r="164" spans="1:3" ht="31.5">
      <c r="A164" s="232">
        <v>958</v>
      </c>
      <c r="B164" s="7" t="s">
        <v>2073</v>
      </c>
      <c r="C164" s="7" t="s">
        <v>2074</v>
      </c>
    </row>
    <row r="165" spans="1:3" ht="47.25">
      <c r="A165" s="232">
        <v>958</v>
      </c>
      <c r="B165" s="7" t="s">
        <v>1488</v>
      </c>
      <c r="C165" s="7" t="s">
        <v>2397</v>
      </c>
    </row>
    <row r="166" spans="1:3" ht="47.25">
      <c r="A166" s="232">
        <v>958</v>
      </c>
      <c r="B166" s="7" t="s">
        <v>2233</v>
      </c>
      <c r="C166" s="7" t="s">
        <v>2234</v>
      </c>
    </row>
    <row r="167" spans="1:3" ht="102.75" customHeight="1">
      <c r="A167" s="231">
        <v>958</v>
      </c>
      <c r="B167" s="231" t="s">
        <v>2937</v>
      </c>
      <c r="C167" s="7" t="s">
        <v>3010</v>
      </c>
    </row>
    <row r="168" spans="1:3" ht="15.75">
      <c r="A168" s="232">
        <v>958</v>
      </c>
      <c r="B168" s="7" t="s">
        <v>1429</v>
      </c>
      <c r="C168" s="7" t="s">
        <v>1430</v>
      </c>
    </row>
    <row r="169" spans="1:3" ht="78.75">
      <c r="A169" s="232">
        <v>958</v>
      </c>
      <c r="B169" s="7" t="s">
        <v>2224</v>
      </c>
      <c r="C169" s="7" t="s">
        <v>916</v>
      </c>
    </row>
    <row r="170" spans="1:3" ht="31.5">
      <c r="A170" s="232">
        <v>958</v>
      </c>
      <c r="B170" s="7" t="s">
        <v>917</v>
      </c>
      <c r="C170" s="7" t="s">
        <v>918</v>
      </c>
    </row>
  </sheetData>
  <mergeCells count="12">
    <mergeCell ref="A1:C1"/>
    <mergeCell ref="A103:C103"/>
    <mergeCell ref="A131:C131"/>
    <mergeCell ref="A150:C150"/>
    <mergeCell ref="A2:C2"/>
    <mergeCell ref="A3:C3"/>
    <mergeCell ref="A4:C4"/>
    <mergeCell ref="A6:C6"/>
    <mergeCell ref="A8:C8"/>
    <mergeCell ref="A39:C39"/>
    <mergeCell ref="A62:C62"/>
    <mergeCell ref="A79:C79"/>
  </mergeCells>
  <pageMargins left="0.70866141732283472" right="0.70866141732283472" top="0.74803149606299213" bottom="0.74803149606299213" header="0.31496062992125984" footer="0.31496062992125984"/>
  <pageSetup paperSize="9" fitToHeight="1000" orientation="portrait" r:id="rId1"/>
</worksheet>
</file>

<file path=xl/worksheets/sheet9.xml><?xml version="1.0" encoding="utf-8"?>
<worksheet xmlns="http://schemas.openxmlformats.org/spreadsheetml/2006/main" xmlns:r="http://schemas.openxmlformats.org/officeDocument/2006/relationships">
  <dimension ref="A1:E34"/>
  <sheetViews>
    <sheetView topLeftCell="A4" workbookViewId="0">
      <selection activeCell="C12" sqref="C12"/>
    </sheetView>
  </sheetViews>
  <sheetFormatPr defaultColWidth="9.140625" defaultRowHeight="12.75"/>
  <cols>
    <col min="1" max="1" width="36.5703125" style="147" customWidth="1"/>
    <col min="2" max="2" width="16.85546875" style="147" customWidth="1"/>
    <col min="3" max="3" width="16.42578125" style="147" customWidth="1"/>
    <col min="4" max="4" width="15" style="147" customWidth="1"/>
    <col min="5" max="5" width="0" style="147" hidden="1" customWidth="1"/>
    <col min="6" max="16384" width="9.140625" style="147"/>
  </cols>
  <sheetData>
    <row r="1" spans="1:5" ht="15.75">
      <c r="A1" s="737" t="s">
        <v>1578</v>
      </c>
      <c r="B1" s="737"/>
      <c r="C1" s="737"/>
      <c r="D1" s="758"/>
      <c r="E1" s="758"/>
    </row>
    <row r="2" spans="1:5" ht="15.75">
      <c r="A2" s="737" t="s">
        <v>1058</v>
      </c>
      <c r="B2" s="737"/>
      <c r="C2" s="737"/>
      <c r="D2" s="758"/>
      <c r="E2" s="758"/>
    </row>
    <row r="3" spans="1:5" ht="15.75">
      <c r="A3" s="737" t="s">
        <v>716</v>
      </c>
      <c r="B3" s="737"/>
      <c r="C3" s="737"/>
      <c r="D3" s="758"/>
      <c r="E3" s="758"/>
    </row>
    <row r="4" spans="1:5" ht="15.75">
      <c r="A4" s="737" t="s">
        <v>3014</v>
      </c>
      <c r="B4" s="737"/>
      <c r="C4" s="737"/>
      <c r="D4" s="758"/>
      <c r="E4" s="758"/>
    </row>
    <row r="5" spans="1:5" ht="15.75">
      <c r="A5" s="757"/>
      <c r="B5" s="758"/>
      <c r="C5" s="758"/>
      <c r="D5" s="758"/>
      <c r="E5" s="758"/>
    </row>
    <row r="6" spans="1:5">
      <c r="A6" s="383"/>
      <c r="B6" s="383"/>
      <c r="C6" s="383"/>
      <c r="D6" s="383"/>
      <c r="E6"/>
    </row>
    <row r="7" spans="1:5" ht="84.75" customHeight="1">
      <c r="A7" s="794" t="s">
        <v>2674</v>
      </c>
      <c r="B7" s="795"/>
      <c r="C7" s="795"/>
      <c r="D7" s="796"/>
      <c r="E7"/>
    </row>
    <row r="8" spans="1:5" ht="47.25">
      <c r="A8" s="384" t="s">
        <v>2646</v>
      </c>
      <c r="B8" s="385" t="s">
        <v>2647</v>
      </c>
      <c r="C8" s="385" t="s">
        <v>2648</v>
      </c>
      <c r="D8" s="385" t="s">
        <v>2649</v>
      </c>
      <c r="E8"/>
    </row>
    <row r="9" spans="1:5" ht="63">
      <c r="A9" s="386" t="s">
        <v>2650</v>
      </c>
      <c r="B9" s="384"/>
      <c r="C9" s="384"/>
      <c r="D9" s="384"/>
      <c r="E9"/>
    </row>
    <row r="10" spans="1:5" ht="47.25">
      <c r="A10" s="45" t="s">
        <v>2651</v>
      </c>
      <c r="B10" s="384">
        <v>100</v>
      </c>
      <c r="C10" s="384"/>
      <c r="D10" s="384"/>
      <c r="E10"/>
    </row>
    <row r="11" spans="1:5" ht="126">
      <c r="A11" s="45" t="s">
        <v>2652</v>
      </c>
      <c r="B11" s="384">
        <v>100</v>
      </c>
      <c r="C11" s="384"/>
      <c r="D11" s="384"/>
      <c r="E11"/>
    </row>
    <row r="12" spans="1:5" ht="47.25">
      <c r="A12" s="45" t="s">
        <v>2653</v>
      </c>
      <c r="B12" s="384">
        <v>100</v>
      </c>
      <c r="C12" s="384"/>
      <c r="D12" s="384"/>
      <c r="E12"/>
    </row>
    <row r="13" spans="1:5" ht="47.25">
      <c r="A13" s="387" t="s">
        <v>2654</v>
      </c>
      <c r="B13" s="384"/>
      <c r="C13" s="384"/>
      <c r="D13" s="384"/>
      <c r="E13"/>
    </row>
    <row r="14" spans="1:5" ht="63">
      <c r="A14" s="95" t="s">
        <v>2655</v>
      </c>
      <c r="B14" s="384">
        <v>100</v>
      </c>
      <c r="C14" s="384"/>
      <c r="D14" s="384"/>
      <c r="E14"/>
    </row>
    <row r="15" spans="1:5" ht="47.25">
      <c r="A15" s="377" t="s">
        <v>2656</v>
      </c>
      <c r="B15" s="384">
        <v>100</v>
      </c>
      <c r="C15" s="384"/>
      <c r="D15" s="384"/>
      <c r="E15"/>
    </row>
    <row r="16" spans="1:5" ht="48" customHeight="1">
      <c r="A16" s="45" t="s">
        <v>2657</v>
      </c>
      <c r="B16" s="384"/>
      <c r="C16" s="384">
        <v>100</v>
      </c>
      <c r="D16" s="384"/>
      <c r="E16"/>
    </row>
    <row r="17" spans="1:5" ht="47.25">
      <c r="A17" s="45" t="s">
        <v>2658</v>
      </c>
      <c r="B17" s="384"/>
      <c r="C17" s="384">
        <v>100</v>
      </c>
      <c r="D17" s="384"/>
      <c r="E17"/>
    </row>
    <row r="18" spans="1:5" ht="51.75" customHeight="1">
      <c r="A18" s="95" t="s">
        <v>2659</v>
      </c>
      <c r="B18" s="384"/>
      <c r="C18" s="384"/>
      <c r="D18" s="384">
        <v>100</v>
      </c>
      <c r="E18"/>
    </row>
    <row r="19" spans="1:5" ht="47.25">
      <c r="A19" s="95" t="s">
        <v>2660</v>
      </c>
      <c r="B19" s="384"/>
      <c r="C19" s="384"/>
      <c r="D19" s="384">
        <v>100</v>
      </c>
      <c r="E19"/>
    </row>
    <row r="20" spans="1:5" ht="63">
      <c r="A20" s="45" t="s">
        <v>2661</v>
      </c>
      <c r="B20" s="384">
        <v>100</v>
      </c>
      <c r="C20" s="384"/>
      <c r="D20" s="384"/>
      <c r="E20"/>
    </row>
    <row r="21" spans="1:5" ht="31.5">
      <c r="A21" s="387" t="s">
        <v>2662</v>
      </c>
      <c r="B21" s="384"/>
      <c r="C21" s="384"/>
      <c r="D21" s="384"/>
      <c r="E21"/>
    </row>
    <row r="22" spans="1:5" ht="113.25" customHeight="1">
      <c r="A22" s="388" t="s">
        <v>2663</v>
      </c>
      <c r="B22" s="384">
        <v>100</v>
      </c>
      <c r="C22" s="384"/>
      <c r="D22" s="384"/>
      <c r="E22"/>
    </row>
    <row r="23" spans="1:5" ht="97.5" customHeight="1">
      <c r="A23" s="95" t="s">
        <v>2664</v>
      </c>
      <c r="B23" s="384">
        <v>100</v>
      </c>
      <c r="C23" s="384"/>
      <c r="D23" s="384"/>
      <c r="E23"/>
    </row>
    <row r="24" spans="1:5" ht="113.25" customHeight="1">
      <c r="A24" s="95" t="s">
        <v>2665</v>
      </c>
      <c r="B24" s="384"/>
      <c r="C24" s="384">
        <v>100</v>
      </c>
      <c r="D24" s="384"/>
      <c r="E24"/>
    </row>
    <row r="25" spans="1:5" ht="94.5">
      <c r="A25" s="95" t="s">
        <v>2666</v>
      </c>
      <c r="B25" s="384"/>
      <c r="C25" s="384">
        <v>100</v>
      </c>
      <c r="D25" s="384"/>
      <c r="E25"/>
    </row>
    <row r="26" spans="1:5" ht="110.25" customHeight="1">
      <c r="A26" s="95" t="s">
        <v>2667</v>
      </c>
      <c r="B26" s="384"/>
      <c r="C26" s="384"/>
      <c r="D26" s="384">
        <v>100</v>
      </c>
      <c r="E26"/>
    </row>
    <row r="27" spans="1:5" ht="94.5">
      <c r="A27" s="95" t="s">
        <v>2668</v>
      </c>
      <c r="B27" s="389"/>
      <c r="C27" s="389"/>
      <c r="D27" s="389">
        <v>100</v>
      </c>
      <c r="E27"/>
    </row>
    <row r="28" spans="1:5" ht="31.5">
      <c r="A28" s="386" t="s">
        <v>2669</v>
      </c>
      <c r="B28" s="390"/>
      <c r="C28" s="390"/>
      <c r="D28" s="390"/>
      <c r="E28"/>
    </row>
    <row r="29" spans="1:5" ht="47.25">
      <c r="A29" s="45" t="s">
        <v>1207</v>
      </c>
      <c r="B29" s="384">
        <v>100</v>
      </c>
      <c r="C29" s="384"/>
      <c r="D29" s="384"/>
      <c r="E29"/>
    </row>
    <row r="30" spans="1:5" ht="47.25">
      <c r="A30" s="45" t="s">
        <v>2670</v>
      </c>
      <c r="B30" s="384"/>
      <c r="C30" s="384">
        <v>100</v>
      </c>
      <c r="D30" s="384"/>
      <c r="E30"/>
    </row>
    <row r="31" spans="1:5" ht="47.25">
      <c r="A31" s="45" t="s">
        <v>2671</v>
      </c>
      <c r="B31" s="384"/>
      <c r="C31" s="384"/>
      <c r="D31" s="384">
        <v>100</v>
      </c>
      <c r="E31"/>
    </row>
    <row r="32" spans="1:5" ht="37.5" customHeight="1">
      <c r="A32" s="95" t="s">
        <v>1425</v>
      </c>
      <c r="B32" s="384">
        <v>100</v>
      </c>
      <c r="C32" s="384"/>
      <c r="D32" s="384"/>
      <c r="E32"/>
    </row>
    <row r="33" spans="1:5" ht="31.5">
      <c r="A33" s="95" t="s">
        <v>2672</v>
      </c>
      <c r="B33" s="390"/>
      <c r="C33" s="384">
        <v>100</v>
      </c>
      <c r="D33" s="384"/>
      <c r="E33"/>
    </row>
    <row r="34" spans="1:5" ht="31.5">
      <c r="A34" s="95" t="s">
        <v>2673</v>
      </c>
      <c r="B34" s="390"/>
      <c r="C34" s="384"/>
      <c r="D34" s="384">
        <v>100</v>
      </c>
      <c r="E34"/>
    </row>
  </sheetData>
  <mergeCells count="6">
    <mergeCell ref="A7:D7"/>
    <mergeCell ref="A1:E1"/>
    <mergeCell ref="A2:E2"/>
    <mergeCell ref="A3:E3"/>
    <mergeCell ref="A4:E4"/>
    <mergeCell ref="A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66</vt:i4>
      </vt:variant>
      <vt:variant>
        <vt:lpstr>Именованные диапазоны</vt:lpstr>
      </vt:variant>
      <vt:variant>
        <vt:i4>26</vt:i4>
      </vt:variant>
    </vt:vector>
  </HeadingPairs>
  <TitlesOfParts>
    <vt:vector size="92" baseType="lpstr">
      <vt:lpstr>Пр.1</vt:lpstr>
      <vt:lpstr>Пр.2</vt:lpstr>
      <vt:lpstr>Пр.3</vt:lpstr>
      <vt:lpstr>Пр.7</vt:lpstr>
      <vt:lpstr>Пр_9</vt:lpstr>
      <vt:lpstr>Пр_10</vt:lpstr>
      <vt:lpstr>Пр8</vt:lpstr>
      <vt:lpstr>Пр9</vt:lpstr>
      <vt:lpstr>Пр10</vt:lpstr>
      <vt:lpstr>Пр11</vt:lpstr>
      <vt:lpstr>Пр.4</vt:lpstr>
      <vt:lpstr>Пр.5</vt:lpstr>
      <vt:lpstr>Пр12_</vt:lpstr>
      <vt:lpstr>Пр_15</vt:lpstr>
      <vt:lpstr>Пр_16</vt:lpstr>
      <vt:lpstr>Пр3</vt:lpstr>
      <vt:lpstr>Пр6</vt:lpstr>
      <vt:lpstr>Пр13</vt:lpstr>
      <vt:lpstr>Пр_18</vt:lpstr>
      <vt:lpstr>Пр_19</vt:lpstr>
      <vt:lpstr>Пр20</vt:lpstr>
      <vt:lpstr>Пр_20</vt:lpstr>
      <vt:lpstr>Пр_21</vt:lpstr>
      <vt:lpstr>Пр_22</vt:lpstr>
      <vt:lpstr>Пр_23</vt:lpstr>
      <vt:lpstr>Пр 10.</vt:lpstr>
      <vt:lpstr>КВСР</vt:lpstr>
      <vt:lpstr>КВР</vt:lpstr>
      <vt:lpstr>20</vt:lpstr>
      <vt:lpstr>21</vt:lpstr>
      <vt:lpstr>22</vt:lpstr>
      <vt:lpstr>Лист1</vt:lpstr>
      <vt:lpstr>Лист2</vt:lpstr>
      <vt:lpstr>Пр13-</vt:lpstr>
      <vt:lpstr>Пр14-</vt:lpstr>
      <vt:lpstr>Лист3</vt:lpstr>
      <vt:lpstr>Лист4</vt:lpstr>
      <vt:lpstr>Лист5</vt:lpstr>
      <vt:lpstr>LOG</vt:lpstr>
      <vt:lpstr>Пр16</vt:lpstr>
      <vt:lpstr>Пр17</vt:lpstr>
      <vt:lpstr>Пр.18</vt:lpstr>
      <vt:lpstr>Пр19</vt:lpstr>
      <vt:lpstr>Пр.21</vt:lpstr>
      <vt:lpstr>КФСР</vt:lpstr>
      <vt:lpstr>КЦСР</vt:lpstr>
      <vt:lpstr>Лист6</vt:lpstr>
      <vt:lpstr>Лист7</vt:lpstr>
      <vt:lpstr>Лист8</vt:lpstr>
      <vt:lpstr>Пр.13</vt:lpstr>
      <vt:lpstr>Пр.14</vt:lpstr>
      <vt:lpstr>Пр.15</vt:lpstr>
      <vt:lpstr>Пр.16</vt:lpstr>
      <vt:lpstr>Пр.17</vt:lpstr>
      <vt:lpstr>Программа</vt:lpstr>
      <vt:lpstr>Лист9</vt:lpstr>
      <vt:lpstr>Пр7</vt:lpstr>
      <vt:lpstr>Пр.8</vt:lpstr>
      <vt:lpstr>Пр 14</vt:lpstr>
      <vt:lpstr>Направление</vt:lpstr>
      <vt:lpstr>Лист10</vt:lpstr>
      <vt:lpstr>Лист11</vt:lpstr>
      <vt:lpstr>Пр 9</vt:lpstr>
      <vt:lpstr>Пр.10</vt:lpstr>
      <vt:lpstr>Лист12</vt:lpstr>
      <vt:lpstr>Лист13</vt:lpstr>
      <vt:lpstr>Пр.7!_GoBack</vt:lpstr>
      <vt:lpstr>КВР!Область_печати</vt:lpstr>
      <vt:lpstr>КВСР!Область_печати</vt:lpstr>
      <vt:lpstr>КФСР!Область_печати</vt:lpstr>
      <vt:lpstr>КЦСР!Область_печати</vt:lpstr>
      <vt:lpstr>Лист12!Область_печати</vt:lpstr>
      <vt:lpstr>Пр.1!Область_печати</vt:lpstr>
      <vt:lpstr>Пр.13!Область_печати</vt:lpstr>
      <vt:lpstr>Пр.14!Область_печати</vt:lpstr>
      <vt:lpstr>Пр.16!Область_печати</vt:lpstr>
      <vt:lpstr>Пр.18!Область_печати</vt:lpstr>
      <vt:lpstr>Пр.2!Область_печати</vt:lpstr>
      <vt:lpstr>Пр.3!Область_печати</vt:lpstr>
      <vt:lpstr>Пр.5!Область_печати</vt:lpstr>
      <vt:lpstr>Пр.7!Область_печати</vt:lpstr>
      <vt:lpstr>Пр.8!Область_печати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Пр_9!Область_печати</vt:lpstr>
      <vt:lpstr>Пр12_!Область_печати</vt:lpstr>
      <vt:lpstr>Пр6!Область_печати</vt:lpstr>
      <vt:lpstr>Пр8!Область_печати</vt:lpstr>
      <vt:lpstr>Пр9!Область_печати</vt:lpstr>
    </vt:vector>
  </TitlesOfParts>
  <Manager>Минин А.А.</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2014 года</dc:title>
  <dc:subject>Бюджет 2014 года</dc:subject>
  <dc:creator>Савичев И.А.</dc:creator>
  <cp:lastModifiedBy>Соколова</cp:lastModifiedBy>
  <cp:lastPrinted>2017-03-24T08:49:02Z</cp:lastPrinted>
  <dcterms:created xsi:type="dcterms:W3CDTF">2004-11-16T05:58:34Z</dcterms:created>
  <dcterms:modified xsi:type="dcterms:W3CDTF">2017-03-24T08:49:25Z</dcterms:modified>
</cp:coreProperties>
</file>