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9720" windowHeight="9015" tabRatio="739" activeTab="11"/>
  </bookViews>
  <sheets>
    <sheet name="Пр_1" sheetId="11" r:id="rId1"/>
    <sheet name="Пр_2" sheetId="2" r:id="rId2"/>
    <sheet name="Лист" sheetId="25" state="hidden" r:id="rId3"/>
    <sheet name="Пр_3" sheetId="5" r:id="rId4"/>
    <sheet name="КВСР" sheetId="8" state="hidden" r:id="rId5"/>
    <sheet name="КФСР" sheetId="7" state="hidden" r:id="rId6"/>
    <sheet name="КВР" sheetId="10" state="hidden" r:id="rId7"/>
    <sheet name="Пр_4" sheetId="18" r:id="rId8"/>
    <sheet name="лист 2" sheetId="17" state="hidden" r:id="rId9"/>
    <sheet name="Пр_51" sheetId="22" state="hidden" r:id="rId10"/>
    <sheet name="Пр_61" sheetId="23" state="hidden" r:id="rId11"/>
    <sheet name="Пр_5" sheetId="16" r:id="rId12"/>
    <sheet name="КЦСР" sheetId="9" state="hidden" r:id="rId13"/>
    <sheet name="Лист1" sheetId="19" state="hidden" r:id="rId14"/>
    <sheet name="Лист2" sheetId="20" state="hidden" r:id="rId15"/>
    <sheet name="Пр_8" sheetId="21" state="hidden" r:id="rId16"/>
    <sheet name="Пр_11" sheetId="24" state="hidden" r:id="rId17"/>
    <sheet name="Лист3" sheetId="26" state="hidden" r:id="rId18"/>
  </sheets>
  <definedNames>
    <definedName name="_xlnm._FilterDatabase" localSheetId="4" hidden="1">КВСР!$A$2:$B$1166</definedName>
    <definedName name="_xlnm._FilterDatabase" localSheetId="5" hidden="1">КФСР!$A$1400:$B$1478</definedName>
    <definedName name="_xlnm._FilterDatabase" localSheetId="12" hidden="1">КЦСР!$A$2036:$B$3270</definedName>
    <definedName name="_xlnm._FilterDatabase" localSheetId="3" hidden="1">Пр_3!$A$8:$H$658</definedName>
    <definedName name="Z_66DBF0AC_E9A0_482F_9E41_1928B6CA83DC_.wvu.Cols" localSheetId="1" hidden="1">Пр_2!$D:$G</definedName>
    <definedName name="Z_66DBF0AC_E9A0_482F_9E41_1928B6CA83DC_.wvu.FilterData" localSheetId="3" hidden="1">Пр_3!$A$8:$F$626</definedName>
    <definedName name="Z_91923F83_3A6B_4204_9891_178562AB34F1_.wvu.Cols" localSheetId="1" hidden="1">Пр_2!$D:$G</definedName>
    <definedName name="Z_91923F83_3A6B_4204_9891_178562AB34F1_.wvu.FilterData" localSheetId="3" hidden="1">Пр_3!$A$8:$F$626</definedName>
    <definedName name="Z_91923F83_3A6B_4204_9891_178562AB34F1_.wvu.PrintArea" localSheetId="1" hidden="1">Пр_2!$A$1:$C$120</definedName>
    <definedName name="Z_91923F83_3A6B_4204_9891_178562AB34F1_.wvu.PrintArea" localSheetId="3" hidden="1">Пр_3!$A$1:$F$626</definedName>
    <definedName name="Z_91923F83_3A6B_4204_9891_178562AB34F1_.wvu.Rows" localSheetId="1" hidden="1">Пр_2!$23:$23</definedName>
    <definedName name="Z_A5E41FC9_89B1_40D2_B587_57BC4C5E4715_.wvu.Cols" localSheetId="1" hidden="1">Пр_2!$D:$G</definedName>
    <definedName name="Z_A5E41FC9_89B1_40D2_B587_57BC4C5E4715_.wvu.FilterData" localSheetId="3" hidden="1">Пр_3!$A$8:$F$626</definedName>
    <definedName name="Z_A5E41FC9_89B1_40D2_B587_57BC4C5E4715_.wvu.PrintArea" localSheetId="1" hidden="1">Пр_2!$A$1:$C$120</definedName>
    <definedName name="Z_A5E41FC9_89B1_40D2_B587_57BC4C5E4715_.wvu.PrintArea" localSheetId="3" hidden="1">Пр_3!$A$1:$F$626</definedName>
    <definedName name="Z_A5E41FC9_89B1_40D2_B587_57BC4C5E4715_.wvu.Rows" localSheetId="1" hidden="1">Пр_2!$23:$23</definedName>
    <definedName name="Z_B3311466_F005_49F1_A579_3E6CECE305A8_.wvu.Cols" localSheetId="1" hidden="1">Пр_2!$D:$G</definedName>
    <definedName name="Z_B3311466_F005_49F1_A579_3E6CECE305A8_.wvu.FilterData" localSheetId="3" hidden="1">Пр_3!$A$8:$F$626</definedName>
    <definedName name="Z_B3311466_F005_49F1_A579_3E6CECE305A8_.wvu.PrintArea" localSheetId="1" hidden="1">Пр_2!$A$1:$C$120</definedName>
    <definedName name="Z_B3311466_F005_49F1_A579_3E6CECE305A8_.wvu.PrintArea" localSheetId="3" hidden="1">Пр_3!$A$1:$F$626</definedName>
    <definedName name="Z_B3311466_F005_49F1_A579_3E6CECE305A8_.wvu.Rows" localSheetId="1" hidden="1">Пр_2!$23:$23</definedName>
    <definedName name="Z_E51CBA0A_8A1C_44BF_813B_86B1F7C678D3_.wvu.FilterData" localSheetId="3" hidden="1">Пр_3!$A$8:$F$626</definedName>
    <definedName name="Z_E5662E33_D4B0_43EA_9B06_C8DA9DFDBEF6_.wvu.Cols" localSheetId="1" hidden="1">Пр_2!$D:$G</definedName>
    <definedName name="Z_E5662E33_D4B0_43EA_9B06_C8DA9DFDBEF6_.wvu.FilterData" localSheetId="3" hidden="1">Пр_3!$A$8:$F$626</definedName>
    <definedName name="Z_E5662E33_D4B0_43EA_9B06_C8DA9DFDBEF6_.wvu.PrintArea" localSheetId="1" hidden="1">Пр_2!$A$1:$C$120</definedName>
    <definedName name="Z_E5662E33_D4B0_43EA_9B06_C8DA9DFDBEF6_.wvu.PrintArea" localSheetId="3" hidden="1">Пр_3!$A$1:$F$626</definedName>
    <definedName name="Z_E5662E33_D4B0_43EA_9B06_C8DA9DFDBEF6_.wvu.Rows" localSheetId="1" hidden="1">Пр_2!$23:$23</definedName>
    <definedName name="Z_F3607253_7816_4CF7_9CFD_2ADFFAD916F8_.wvu.Cols" localSheetId="1" hidden="1">Пр_2!$D:$G</definedName>
    <definedName name="Z_F3607253_7816_4CF7_9CFD_2ADFFAD916F8_.wvu.FilterData" localSheetId="3" hidden="1">Пр_3!$A$8:$F$626</definedName>
    <definedName name="Z_F3607253_7816_4CF7_9CFD_2ADFFAD916F8_.wvu.PrintArea" localSheetId="1" hidden="1">Пр_2!$A$1:$C$120</definedName>
    <definedName name="Z_F3607253_7816_4CF7_9CFD_2ADFFAD916F8_.wvu.PrintArea" localSheetId="3" hidden="1">Пр_3!$A$1:$F$626</definedName>
    <definedName name="Z_F3607253_7816_4CF7_9CFD_2ADFFAD916F8_.wvu.Rows" localSheetId="1" hidden="1">Пр_2!$23:$23</definedName>
    <definedName name="_xlnm.Print_Area" localSheetId="6">КВР!$A$1820:$B$1929</definedName>
    <definedName name="_xlnm.Print_Area" localSheetId="4">КВСР!$A$1000:$B$1167</definedName>
    <definedName name="_xlnm.Print_Area" localSheetId="5">КФСР!$A$1:$B$1501</definedName>
    <definedName name="_xlnm.Print_Area" localSheetId="12">КЦСР!$A$2036:$B$3484</definedName>
    <definedName name="_xlnm.Print_Area" localSheetId="2">Лист!$A$1:$C$20</definedName>
    <definedName name="_xlnm.Print_Area" localSheetId="8">'лист 2'!$A$1:$I$45</definedName>
    <definedName name="_xlnm.Print_Area" localSheetId="0">Пр_1!$A$1:$K$133</definedName>
    <definedName name="_xlnm.Print_Area" localSheetId="1">Пр_2!$A$1:$E$122</definedName>
    <definedName name="_xlnm.Print_Area" localSheetId="3">Пр_3!$A$1:$H$658</definedName>
    <definedName name="_xlnm.Print_Area" localSheetId="7">Пр_4!$A$1:$E$88</definedName>
    <definedName name="_xlnm.Print_Area" localSheetId="11">Пр_5!$A$1:$C$32</definedName>
  </definedNames>
  <calcPr calcId="125725"/>
  <customWorkbookViews>
    <customWorkbookView name="Шипина - Личное представление" guid="{91923F83-3A6B-4204-9891-178562AB34F1}" mergeInterval="0" personalView="1" maximized="1" windowWidth="796" windowHeight="435" tabRatio="740" activeSheetId="1"/>
    <customWorkbookView name="Елаева - Личное представление" guid="{66DBF0AC-E9A0-482F-9E41-1928B6CA83DC}" mergeInterval="0" personalView="1" maximized="1" windowWidth="1020" windowHeight="603" tabRatio="740" activeSheetId="1"/>
    <customWorkbookView name="Суворова - Личное представление" guid="{A5E41FC9-89B1-40D2-B587-57BC4C5E4715}" mergeInterval="0" personalView="1" maximized="1" windowWidth="796" windowHeight="435" tabRatio="740" activeSheetId="5"/>
    <customWorkbookView name="User - Личное представление" guid="{F3607253-7816-4CF7-9CFD-2ADFFAD916F8}" mergeInterval="0" personalView="1" maximized="1" windowWidth="1020" windowHeight="603" tabRatio="740" activeSheetId="2"/>
    <customWorkbookView name="Новикова - Личное представление" guid="{B3311466-F005-49F1-A579-3E6CECE305A8}" mergeInterval="0" personalView="1" maximized="1" windowWidth="1020" windowHeight="577" tabRatio="740" activeSheetId="2"/>
    <customWorkbookView name="SEC - Личное представление" guid="{E5662E33-D4B0-43EA-9B06-C8DA9DFDBEF6}" mergeInterval="0" personalView="1" maximized="1" windowWidth="1276" windowHeight="608" tabRatio="740" activeSheetId="6"/>
  </customWorkbookViews>
</workbook>
</file>

<file path=xl/calcChain.xml><?xml version="1.0" encoding="utf-8"?>
<calcChain xmlns="http://schemas.openxmlformats.org/spreadsheetml/2006/main">
  <c r="G140" i="5"/>
  <c r="G148"/>
  <c r="H406"/>
  <c r="H405" s="1"/>
  <c r="C21" i="16" l="1"/>
  <c r="A411" i="5" l="1"/>
  <c r="A412"/>
  <c r="A413"/>
  <c r="H413"/>
  <c r="H412" s="1"/>
  <c r="H411" s="1"/>
  <c r="G411"/>
  <c r="F411"/>
  <c r="G412"/>
  <c r="F412"/>
  <c r="G406"/>
  <c r="F130"/>
  <c r="F131"/>
  <c r="G132"/>
  <c r="G131" s="1"/>
  <c r="G130" s="1"/>
  <c r="F132"/>
  <c r="H133"/>
  <c r="H132" s="1"/>
  <c r="H131" s="1"/>
  <c r="H130" s="1"/>
  <c r="A132"/>
  <c r="A130"/>
  <c r="A131"/>
  <c r="A133"/>
  <c r="K88" i="11"/>
  <c r="K44"/>
  <c r="J44"/>
  <c r="K132"/>
  <c r="K121"/>
  <c r="J121"/>
  <c r="E17" i="22"/>
  <c r="E15"/>
  <c r="E11"/>
  <c r="D11"/>
  <c r="D15"/>
  <c r="D18" s="1"/>
  <c r="G614" i="5"/>
  <c r="G623"/>
  <c r="G402"/>
  <c r="G401" s="1"/>
  <c r="G400" s="1"/>
  <c r="G403"/>
  <c r="H403"/>
  <c r="H402" s="1"/>
  <c r="H401" s="1"/>
  <c r="H400" s="1"/>
  <c r="H404"/>
  <c r="A405"/>
  <c r="A400"/>
  <c r="A401"/>
  <c r="A402"/>
  <c r="A403"/>
  <c r="A404"/>
  <c r="G504"/>
  <c r="G586"/>
  <c r="G585" s="1"/>
  <c r="G584" s="1"/>
  <c r="H587"/>
  <c r="H586" s="1"/>
  <c r="H585" s="1"/>
  <c r="H584" s="1"/>
  <c r="A584"/>
  <c r="A585"/>
  <c r="A586"/>
  <c r="A587"/>
  <c r="G326"/>
  <c r="G325" s="1"/>
  <c r="G324" s="1"/>
  <c r="H327"/>
  <c r="H326" s="1"/>
  <c r="H325" s="1"/>
  <c r="H324" s="1"/>
  <c r="A324"/>
  <c r="A325"/>
  <c r="A326"/>
  <c r="A327"/>
  <c r="G49"/>
  <c r="G48" s="1"/>
  <c r="H50"/>
  <c r="H49" s="1"/>
  <c r="H48" s="1"/>
  <c r="A48"/>
  <c r="A49"/>
  <c r="A50"/>
  <c r="D20" i="21" l="1"/>
  <c r="C20"/>
  <c r="C22"/>
  <c r="C21"/>
  <c r="C17"/>
  <c r="C10"/>
  <c r="C19"/>
  <c r="G135" i="5"/>
  <c r="G134" s="1"/>
  <c r="H136"/>
  <c r="H135" s="1"/>
  <c r="H134" s="1"/>
  <c r="A134"/>
  <c r="A135"/>
  <c r="A136"/>
  <c r="C19" i="16"/>
  <c r="C28"/>
  <c r="C18"/>
  <c r="C27"/>
  <c r="C26" s="1"/>
  <c r="A474" i="5"/>
  <c r="A475"/>
  <c r="A476"/>
  <c r="A477"/>
  <c r="G476"/>
  <c r="G475" s="1"/>
  <c r="G474" s="1"/>
  <c r="H477"/>
  <c r="H476" s="1"/>
  <c r="H475" s="1"/>
  <c r="H474" s="1"/>
  <c r="H122" l="1"/>
  <c r="H121" s="1"/>
  <c r="G121"/>
  <c r="G120" s="1"/>
  <c r="A121"/>
  <c r="A122"/>
  <c r="A123"/>
  <c r="K45" i="11"/>
  <c r="K46"/>
  <c r="K47"/>
  <c r="K48"/>
  <c r="K49"/>
  <c r="K50"/>
  <c r="K51"/>
  <c r="K52"/>
  <c r="K53"/>
  <c r="K87"/>
  <c r="G448" i="5"/>
  <c r="G447" s="1"/>
  <c r="K126" i="11" l="1"/>
  <c r="D87" i="18" l="1"/>
  <c r="E87" s="1"/>
  <c r="E86"/>
  <c r="C87"/>
  <c r="E78"/>
  <c r="E79"/>
  <c r="E80"/>
  <c r="E81"/>
  <c r="E82" s="1"/>
  <c r="E77"/>
  <c r="C24"/>
  <c r="D39"/>
  <c r="E33"/>
  <c r="E34" s="1"/>
  <c r="D34"/>
  <c r="D29"/>
  <c r="E28"/>
  <c r="E29" s="1"/>
  <c r="D24"/>
  <c r="E23"/>
  <c r="E24" s="1"/>
  <c r="E19"/>
  <c r="E16"/>
  <c r="E17"/>
  <c r="E18"/>
  <c r="E15"/>
  <c r="D12"/>
  <c r="E12" s="1"/>
  <c r="E11"/>
  <c r="G110" i="5"/>
  <c r="G54"/>
  <c r="H112"/>
  <c r="A112"/>
  <c r="C13" i="24"/>
  <c r="C11"/>
  <c r="C9"/>
  <c r="C15" i="16"/>
  <c r="H645" i="5" l="1"/>
  <c r="G642"/>
  <c r="G641" s="1"/>
  <c r="G640" s="1"/>
  <c r="G639" s="1"/>
  <c r="H644"/>
  <c r="A644"/>
  <c r="A645"/>
  <c r="H643"/>
  <c r="A642"/>
  <c r="A639"/>
  <c r="A640"/>
  <c r="A641"/>
  <c r="A643"/>
  <c r="H642" l="1"/>
  <c r="H641" s="1"/>
  <c r="H640" s="1"/>
  <c r="H639" s="1"/>
  <c r="A627"/>
  <c r="A628"/>
  <c r="A629"/>
  <c r="A630"/>
  <c r="G629"/>
  <c r="G628" s="1"/>
  <c r="G627" s="1"/>
  <c r="H630"/>
  <c r="H629" s="1"/>
  <c r="H628" s="1"/>
  <c r="H627" s="1"/>
  <c r="A267"/>
  <c r="A268"/>
  <c r="A269"/>
  <c r="G268"/>
  <c r="G267" s="1"/>
  <c r="H269"/>
  <c r="H268" s="1"/>
  <c r="H267" s="1"/>
  <c r="A186"/>
  <c r="A187"/>
  <c r="A188"/>
  <c r="G187"/>
  <c r="G186" s="1"/>
  <c r="H188"/>
  <c r="H187" s="1"/>
  <c r="H186" s="1"/>
  <c r="G143"/>
  <c r="G142" s="1"/>
  <c r="H144"/>
  <c r="H143" s="1"/>
  <c r="H142" s="1"/>
  <c r="A142"/>
  <c r="A143"/>
  <c r="A144"/>
  <c r="C63" i="18" l="1"/>
  <c r="D82"/>
  <c r="H556" i="5" l="1"/>
  <c r="H555"/>
  <c r="G554"/>
  <c r="A555"/>
  <c r="A556"/>
  <c r="G70"/>
  <c r="H72"/>
  <c r="A72"/>
  <c r="K85" i="11"/>
  <c r="K86"/>
  <c r="A189" i="5"/>
  <c r="A190"/>
  <c r="A191"/>
  <c r="A192"/>
  <c r="H192"/>
  <c r="H191" s="1"/>
  <c r="H190" s="1"/>
  <c r="H189" s="1"/>
  <c r="G191"/>
  <c r="G190" s="1"/>
  <c r="G189" s="1"/>
  <c r="A496"/>
  <c r="A497"/>
  <c r="A498"/>
  <c r="A499"/>
  <c r="G498"/>
  <c r="G497" s="1"/>
  <c r="G496" s="1"/>
  <c r="H499"/>
  <c r="H498" s="1"/>
  <c r="H497" s="1"/>
  <c r="H496" s="1"/>
  <c r="A437"/>
  <c r="A438"/>
  <c r="A439"/>
  <c r="A440"/>
  <c r="H440"/>
  <c r="H439" s="1"/>
  <c r="H438" s="1"/>
  <c r="H437" s="1"/>
  <c r="G439"/>
  <c r="G438" s="1"/>
  <c r="G437" s="1"/>
  <c r="A505"/>
  <c r="A506"/>
  <c r="A507"/>
  <c r="A508"/>
  <c r="G507"/>
  <c r="G506" s="1"/>
  <c r="G505" s="1"/>
  <c r="H508"/>
  <c r="H507" s="1"/>
  <c r="H506" s="1"/>
  <c r="H505" s="1"/>
  <c r="H504" s="1"/>
  <c r="C68" i="18"/>
  <c r="G617" i="5"/>
  <c r="H613" l="1"/>
  <c r="H612" s="1"/>
  <c r="H611" s="1"/>
  <c r="H610" s="1"/>
  <c r="A610"/>
  <c r="A611"/>
  <c r="A612"/>
  <c r="A613"/>
  <c r="H321" l="1"/>
  <c r="A321"/>
  <c r="G46"/>
  <c r="G45" s="1"/>
  <c r="H47"/>
  <c r="H46" s="1"/>
  <c r="H45" s="1"/>
  <c r="A45"/>
  <c r="A46"/>
  <c r="A47"/>
  <c r="G620" l="1"/>
  <c r="H621"/>
  <c r="H618"/>
  <c r="D73" i="18"/>
  <c r="E72"/>
  <c r="E71"/>
  <c r="E44"/>
  <c r="E43"/>
  <c r="A621" i="5"/>
  <c r="A618"/>
  <c r="K131" i="11"/>
  <c r="G69" i="5"/>
  <c r="G68" s="1"/>
  <c r="H71"/>
  <c r="A68"/>
  <c r="A69"/>
  <c r="A70"/>
  <c r="A71"/>
  <c r="G364"/>
  <c r="G363" s="1"/>
  <c r="H365"/>
  <c r="H364" s="1"/>
  <c r="H363" s="1"/>
  <c r="A363"/>
  <c r="A364"/>
  <c r="A365"/>
  <c r="G546"/>
  <c r="H547"/>
  <c r="A547"/>
  <c r="H70" l="1"/>
  <c r="H69" s="1"/>
  <c r="H68" s="1"/>
  <c r="E73" i="18"/>
  <c r="G591" i="5"/>
  <c r="G590" s="1"/>
  <c r="G589" s="1"/>
  <c r="G588" s="1"/>
  <c r="H592"/>
  <c r="H591" s="1"/>
  <c r="H590" s="1"/>
  <c r="H589" s="1"/>
  <c r="H588" s="1"/>
  <c r="A588"/>
  <c r="A589"/>
  <c r="A590"/>
  <c r="A591"/>
  <c r="A592"/>
  <c r="G538"/>
  <c r="G537" s="1"/>
  <c r="G536" s="1"/>
  <c r="A536"/>
  <c r="A537"/>
  <c r="A538"/>
  <c r="A539"/>
  <c r="H539"/>
  <c r="H538" s="1"/>
  <c r="H537" s="1"/>
  <c r="H536" s="1"/>
  <c r="G603" l="1"/>
  <c r="G602" s="1"/>
  <c r="H604"/>
  <c r="H603" s="1"/>
  <c r="H602" s="1"/>
  <c r="A598"/>
  <c r="A599"/>
  <c r="A600"/>
  <c r="A601"/>
  <c r="A602"/>
  <c r="A603"/>
  <c r="A604"/>
  <c r="A617"/>
  <c r="A619"/>
  <c r="H619"/>
  <c r="H617" s="1"/>
  <c r="K54" i="11"/>
  <c r="K72"/>
  <c r="K130"/>
  <c r="K84"/>
  <c r="A247" i="5"/>
  <c r="A242"/>
  <c r="A243"/>
  <c r="A244"/>
  <c r="A245"/>
  <c r="A246"/>
  <c r="A240"/>
  <c r="A233"/>
  <c r="A234"/>
  <c r="A235"/>
  <c r="A236"/>
  <c r="A237"/>
  <c r="A238"/>
  <c r="A239"/>
  <c r="A230"/>
  <c r="A231"/>
  <c r="A232"/>
  <c r="A228"/>
  <c r="A229"/>
  <c r="A226"/>
  <c r="A227"/>
  <c r="A217"/>
  <c r="A218"/>
  <c r="A219"/>
  <c r="A220"/>
  <c r="A221"/>
  <c r="A222"/>
  <c r="A223"/>
  <c r="A224"/>
  <c r="A225"/>
  <c r="A124"/>
  <c r="A125"/>
  <c r="A126"/>
  <c r="A127"/>
  <c r="A128"/>
  <c r="A129"/>
  <c r="A137"/>
  <c r="A138"/>
  <c r="A139"/>
  <c r="A140"/>
  <c r="A141"/>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93"/>
  <c r="A194"/>
  <c r="A195"/>
  <c r="A196"/>
  <c r="A197"/>
  <c r="A198"/>
  <c r="A199"/>
  <c r="A200"/>
  <c r="A201"/>
  <c r="A202"/>
  <c r="A203"/>
  <c r="A204"/>
  <c r="A205"/>
  <c r="A206"/>
  <c r="A207"/>
  <c r="A208"/>
  <c r="A209"/>
  <c r="A210"/>
  <c r="A211"/>
  <c r="A212"/>
  <c r="A213"/>
  <c r="A214"/>
  <c r="A215"/>
  <c r="A216"/>
  <c r="H175"/>
  <c r="H174" s="1"/>
  <c r="G174"/>
  <c r="G89"/>
  <c r="H94"/>
  <c r="A94"/>
  <c r="A74" l="1"/>
  <c r="G371"/>
  <c r="G370" s="1"/>
  <c r="G369" s="1"/>
  <c r="H372"/>
  <c r="H371" s="1"/>
  <c r="H370" s="1"/>
  <c r="H369" s="1"/>
  <c r="A370"/>
  <c r="A371"/>
  <c r="A372"/>
  <c r="A369"/>
  <c r="C39" i="18" l="1"/>
  <c r="E38"/>
  <c r="E39" s="1"/>
  <c r="E67"/>
  <c r="E62"/>
  <c r="D68"/>
  <c r="E68" s="1"/>
  <c r="D63"/>
  <c r="E63" s="1"/>
  <c r="G481" i="5"/>
  <c r="H482"/>
  <c r="H481" s="1"/>
  <c r="A481"/>
  <c r="A482"/>
  <c r="G127"/>
  <c r="G126" s="1"/>
  <c r="G125" s="1"/>
  <c r="H128"/>
  <c r="H127" s="1"/>
  <c r="H126" s="1"/>
  <c r="H125" s="1"/>
  <c r="D45" i="18"/>
  <c r="E45" s="1"/>
  <c r="E57"/>
  <c r="E56"/>
  <c r="E55"/>
  <c r="E54"/>
  <c r="D53"/>
  <c r="E52"/>
  <c r="E51" s="1"/>
  <c r="D51"/>
  <c r="E50"/>
  <c r="E49" s="1"/>
  <c r="D49"/>
  <c r="G550" i="5"/>
  <c r="H551"/>
  <c r="H550" s="1"/>
  <c r="A550"/>
  <c r="A551"/>
  <c r="G573"/>
  <c r="G572" s="1"/>
  <c r="G571" s="1"/>
  <c r="G570" s="1"/>
  <c r="H574"/>
  <c r="H573" s="1"/>
  <c r="H572" s="1"/>
  <c r="H571" s="1"/>
  <c r="H570" s="1"/>
  <c r="A570"/>
  <c r="A571"/>
  <c r="A572"/>
  <c r="A573"/>
  <c r="A574"/>
  <c r="G63"/>
  <c r="G62" s="1"/>
  <c r="H64"/>
  <c r="H63" s="1"/>
  <c r="H62" s="1"/>
  <c r="G66"/>
  <c r="G65" s="1"/>
  <c r="H67"/>
  <c r="H66" s="1"/>
  <c r="H65" s="1"/>
  <c r="A61"/>
  <c r="A62"/>
  <c r="A63"/>
  <c r="A64"/>
  <c r="A65"/>
  <c r="A66"/>
  <c r="A67"/>
  <c r="G545"/>
  <c r="G544" s="1"/>
  <c r="H548"/>
  <c r="A544"/>
  <c r="A545"/>
  <c r="A546"/>
  <c r="A548"/>
  <c r="D58" i="18" l="1"/>
  <c r="E53"/>
  <c r="E58" s="1"/>
  <c r="H546" i="5"/>
  <c r="H545" s="1"/>
  <c r="H544" s="1"/>
  <c r="H61"/>
  <c r="G61"/>
  <c r="G380"/>
  <c r="A382"/>
  <c r="H382"/>
  <c r="G176"/>
  <c r="H177"/>
  <c r="H176" s="1"/>
  <c r="H557"/>
  <c r="H554" s="1"/>
  <c r="A554"/>
  <c r="A557"/>
  <c r="A635"/>
  <c r="A636"/>
  <c r="A637"/>
  <c r="A638"/>
  <c r="G637"/>
  <c r="G636" s="1"/>
  <c r="G635" s="1"/>
  <c r="H638"/>
  <c r="H637" s="1"/>
  <c r="H636" s="1"/>
  <c r="H635" s="1"/>
  <c r="J39" i="11"/>
  <c r="H580" i="5" l="1"/>
  <c r="G524"/>
  <c r="H527"/>
  <c r="A527"/>
  <c r="H345"/>
  <c r="G511"/>
  <c r="G560"/>
  <c r="G568"/>
  <c r="G567" s="1"/>
  <c r="G616"/>
  <c r="A251"/>
  <c r="A473"/>
  <c r="A631"/>
  <c r="A632"/>
  <c r="A633"/>
  <c r="A634"/>
  <c r="G633"/>
  <c r="G632" s="1"/>
  <c r="G631" s="1"/>
  <c r="H634"/>
  <c r="H633" s="1"/>
  <c r="H632" s="1"/>
  <c r="H631" s="1"/>
  <c r="K123" i="11"/>
  <c r="K124"/>
  <c r="K125"/>
  <c r="K127"/>
  <c r="K128"/>
  <c r="K129"/>
  <c r="K122"/>
  <c r="K91"/>
  <c r="K92"/>
  <c r="K93"/>
  <c r="K94"/>
  <c r="K95"/>
  <c r="K96"/>
  <c r="K97"/>
  <c r="K98"/>
  <c r="K99"/>
  <c r="K100"/>
  <c r="K101"/>
  <c r="K102"/>
  <c r="K103"/>
  <c r="K104"/>
  <c r="K105"/>
  <c r="K106"/>
  <c r="K107"/>
  <c r="K108"/>
  <c r="K109"/>
  <c r="K110"/>
  <c r="K111"/>
  <c r="K112"/>
  <c r="K113"/>
  <c r="K114"/>
  <c r="K115"/>
  <c r="K116"/>
  <c r="K117"/>
  <c r="K118"/>
  <c r="K119"/>
  <c r="K120"/>
  <c r="K90"/>
  <c r="K55"/>
  <c r="K56"/>
  <c r="K57"/>
  <c r="K58"/>
  <c r="K59"/>
  <c r="K60"/>
  <c r="K61"/>
  <c r="K62"/>
  <c r="K63"/>
  <c r="K64"/>
  <c r="K65"/>
  <c r="K66"/>
  <c r="K67"/>
  <c r="K68"/>
  <c r="K69"/>
  <c r="K70"/>
  <c r="K71"/>
  <c r="K73"/>
  <c r="K74"/>
  <c r="K75"/>
  <c r="K76"/>
  <c r="K77"/>
  <c r="K78"/>
  <c r="K79"/>
  <c r="K80"/>
  <c r="K81"/>
  <c r="K82"/>
  <c r="K83"/>
  <c r="K41"/>
  <c r="K42"/>
  <c r="K43"/>
  <c r="K40"/>
  <c r="K36"/>
  <c r="K34"/>
  <c r="K33"/>
  <c r="K31"/>
  <c r="K29"/>
  <c r="K28"/>
  <c r="K26"/>
  <c r="K25"/>
  <c r="K23"/>
  <c r="K22" s="1"/>
  <c r="K20"/>
  <c r="K19"/>
  <c r="K17"/>
  <c r="K16"/>
  <c r="K15"/>
  <c r="K13"/>
  <c r="K12" s="1"/>
  <c r="G488" i="5"/>
  <c r="G487" s="1"/>
  <c r="G486" s="1"/>
  <c r="H489"/>
  <c r="H488" s="1"/>
  <c r="H487" s="1"/>
  <c r="H486" s="1"/>
  <c r="A487"/>
  <c r="A488"/>
  <c r="A489"/>
  <c r="A486"/>
  <c r="G430"/>
  <c r="A436"/>
  <c r="H436"/>
  <c r="A250"/>
  <c r="G250"/>
  <c r="H251"/>
  <c r="H250" s="1"/>
  <c r="G213"/>
  <c r="G212" s="1"/>
  <c r="H214"/>
  <c r="H213" s="1"/>
  <c r="H212" s="1"/>
  <c r="G123"/>
  <c r="G119"/>
  <c r="H124"/>
  <c r="H123" s="1"/>
  <c r="H120" s="1"/>
  <c r="A120"/>
  <c r="A119"/>
  <c r="H21"/>
  <c r="A21"/>
  <c r="H349"/>
  <c r="H348" s="1"/>
  <c r="H347" s="1"/>
  <c r="H346" s="1"/>
  <c r="H377"/>
  <c r="H376" s="1"/>
  <c r="H375" s="1"/>
  <c r="H374" s="1"/>
  <c r="H373" s="1"/>
  <c r="G376"/>
  <c r="G375" s="1"/>
  <c r="G374" s="1"/>
  <c r="G373" s="1"/>
  <c r="A373"/>
  <c r="A374"/>
  <c r="A375"/>
  <c r="A376"/>
  <c r="A377"/>
  <c r="G348"/>
  <c r="G347" s="1"/>
  <c r="G346" s="1"/>
  <c r="A346"/>
  <c r="A347"/>
  <c r="A348"/>
  <c r="A349"/>
  <c r="G563"/>
  <c r="H564"/>
  <c r="A564"/>
  <c r="K35" i="11"/>
  <c r="H361" i="5"/>
  <c r="H360" s="1"/>
  <c r="H359" s="1"/>
  <c r="E119" i="2" s="1"/>
  <c r="G360" i="5"/>
  <c r="G359"/>
  <c r="A359"/>
  <c r="A360"/>
  <c r="A361"/>
  <c r="J12" i="11"/>
  <c r="J14"/>
  <c r="J18"/>
  <c r="J24"/>
  <c r="J22"/>
  <c r="J21" s="1"/>
  <c r="J27"/>
  <c r="J32"/>
  <c r="J30" s="1"/>
  <c r="J89"/>
  <c r="J38" s="1"/>
  <c r="H205" i="5"/>
  <c r="G202"/>
  <c r="G519"/>
  <c r="G518" s="1"/>
  <c r="H520"/>
  <c r="A518"/>
  <c r="A519"/>
  <c r="A520"/>
  <c r="G344"/>
  <c r="G343" s="1"/>
  <c r="A342"/>
  <c r="A343"/>
  <c r="A344"/>
  <c r="A345"/>
  <c r="G531"/>
  <c r="G530" s="1"/>
  <c r="G534"/>
  <c r="G533" s="1"/>
  <c r="G541"/>
  <c r="G540" s="1"/>
  <c r="H542"/>
  <c r="A540"/>
  <c r="A541"/>
  <c r="A542"/>
  <c r="H532"/>
  <c r="H535"/>
  <c r="A569"/>
  <c r="H569"/>
  <c r="H568" s="1"/>
  <c r="H567" s="1"/>
  <c r="A533"/>
  <c r="A530"/>
  <c r="A535"/>
  <c r="A528"/>
  <c r="A529"/>
  <c r="A531"/>
  <c r="A532"/>
  <c r="A534"/>
  <c r="D10" i="2"/>
  <c r="D12"/>
  <c r="D17"/>
  <c r="D18"/>
  <c r="D19"/>
  <c r="D21"/>
  <c r="D24"/>
  <c r="D25"/>
  <c r="D27"/>
  <c r="D28"/>
  <c r="D29"/>
  <c r="D30"/>
  <c r="D31"/>
  <c r="D32"/>
  <c r="D34"/>
  <c r="D36"/>
  <c r="D37"/>
  <c r="D38"/>
  <c r="D39"/>
  <c r="D40"/>
  <c r="D41"/>
  <c r="D42"/>
  <c r="D43"/>
  <c r="D44"/>
  <c r="D45"/>
  <c r="D47"/>
  <c r="D49"/>
  <c r="D50"/>
  <c r="D53"/>
  <c r="D56"/>
  <c r="D57"/>
  <c r="D62"/>
  <c r="D63"/>
  <c r="D66"/>
  <c r="D67"/>
  <c r="D68"/>
  <c r="D69"/>
  <c r="D70"/>
  <c r="D74"/>
  <c r="D75"/>
  <c r="D76"/>
  <c r="D77"/>
  <c r="D79"/>
  <c r="D83"/>
  <c r="D84"/>
  <c r="D87"/>
  <c r="D88"/>
  <c r="D89"/>
  <c r="D90"/>
  <c r="D91"/>
  <c r="D92"/>
  <c r="D93"/>
  <c r="D94"/>
  <c r="D95"/>
  <c r="D101"/>
  <c r="D104"/>
  <c r="D106"/>
  <c r="D107"/>
  <c r="D108"/>
  <c r="D110"/>
  <c r="D112"/>
  <c r="D113"/>
  <c r="D116"/>
  <c r="D119"/>
  <c r="E10"/>
  <c r="E12"/>
  <c r="E17"/>
  <c r="E18"/>
  <c r="E19"/>
  <c r="E21"/>
  <c r="E24"/>
  <c r="E25"/>
  <c r="E27"/>
  <c r="E28"/>
  <c r="E29"/>
  <c r="E30"/>
  <c r="E31"/>
  <c r="E32"/>
  <c r="E34"/>
  <c r="E36"/>
  <c r="E37"/>
  <c r="E38"/>
  <c r="E39"/>
  <c r="E40"/>
  <c r="E41"/>
  <c r="E42"/>
  <c r="E43"/>
  <c r="E44"/>
  <c r="E45"/>
  <c r="E47"/>
  <c r="E49"/>
  <c r="E50"/>
  <c r="E53"/>
  <c r="E56"/>
  <c r="E57"/>
  <c r="E62"/>
  <c r="E63"/>
  <c r="E66"/>
  <c r="E67"/>
  <c r="E68"/>
  <c r="E69"/>
  <c r="E70"/>
  <c r="E74"/>
  <c r="E75"/>
  <c r="E76"/>
  <c r="E77"/>
  <c r="E79"/>
  <c r="E83"/>
  <c r="E84"/>
  <c r="E87"/>
  <c r="E88"/>
  <c r="E89"/>
  <c r="E90"/>
  <c r="E91"/>
  <c r="E92"/>
  <c r="E93"/>
  <c r="E94"/>
  <c r="E95"/>
  <c r="E101"/>
  <c r="E104"/>
  <c r="E106"/>
  <c r="E107"/>
  <c r="E108"/>
  <c r="E110"/>
  <c r="E112"/>
  <c r="E113"/>
  <c r="E116"/>
  <c r="C10"/>
  <c r="C12"/>
  <c r="C17"/>
  <c r="C18"/>
  <c r="C19"/>
  <c r="C21"/>
  <c r="C24"/>
  <c r="C25"/>
  <c r="C27"/>
  <c r="C28"/>
  <c r="C29"/>
  <c r="C30"/>
  <c r="C31"/>
  <c r="C32"/>
  <c r="C34"/>
  <c r="C36"/>
  <c r="C37"/>
  <c r="C38"/>
  <c r="C39"/>
  <c r="C40"/>
  <c r="C41"/>
  <c r="C42"/>
  <c r="C43"/>
  <c r="C44"/>
  <c r="C45"/>
  <c r="C47"/>
  <c r="C49"/>
  <c r="C50"/>
  <c r="C53"/>
  <c r="C56"/>
  <c r="C57"/>
  <c r="C62"/>
  <c r="C63"/>
  <c r="C66"/>
  <c r="C67"/>
  <c r="C68"/>
  <c r="C69"/>
  <c r="C70"/>
  <c r="C74"/>
  <c r="C75"/>
  <c r="C76"/>
  <c r="C77"/>
  <c r="C79"/>
  <c r="C83"/>
  <c r="C84"/>
  <c r="C87"/>
  <c r="C88"/>
  <c r="C89"/>
  <c r="C90"/>
  <c r="C91"/>
  <c r="C92"/>
  <c r="C93"/>
  <c r="C94"/>
  <c r="C95"/>
  <c r="C101"/>
  <c r="C104"/>
  <c r="C106"/>
  <c r="C107"/>
  <c r="C108"/>
  <c r="C110"/>
  <c r="C112"/>
  <c r="C113"/>
  <c r="C116"/>
  <c r="C119"/>
  <c r="A553" i="5"/>
  <c r="A605"/>
  <c r="A606"/>
  <c r="A607"/>
  <c r="A608"/>
  <c r="A609"/>
  <c r="H609"/>
  <c r="H608" s="1"/>
  <c r="H607" s="1"/>
  <c r="H606" s="1"/>
  <c r="H605" s="1"/>
  <c r="H367"/>
  <c r="H366" s="1"/>
  <c r="G366"/>
  <c r="G362" s="1"/>
  <c r="D120" i="2" s="1"/>
  <c r="A362" i="5"/>
  <c r="A366"/>
  <c r="A367"/>
  <c r="G552"/>
  <c r="G549" s="1"/>
  <c r="H553"/>
  <c r="H552"/>
  <c r="H549" s="1"/>
  <c r="A552"/>
  <c r="A549"/>
  <c r="H183"/>
  <c r="H182"/>
  <c r="G219"/>
  <c r="G218" s="1"/>
  <c r="H220"/>
  <c r="H219" s="1"/>
  <c r="H218" s="1"/>
  <c r="A447"/>
  <c r="A448"/>
  <c r="A449"/>
  <c r="H449"/>
  <c r="H448" s="1"/>
  <c r="H447" s="1"/>
  <c r="G502"/>
  <c r="A502"/>
  <c r="G232"/>
  <c r="H234"/>
  <c r="H235"/>
  <c r="H233"/>
  <c r="G238"/>
  <c r="H204"/>
  <c r="H185"/>
  <c r="G198"/>
  <c r="H199"/>
  <c r="H184"/>
  <c r="G80"/>
  <c r="G79" s="1"/>
  <c r="G78" s="1"/>
  <c r="H81"/>
  <c r="H80" s="1"/>
  <c r="H79" s="1"/>
  <c r="H78" s="1"/>
  <c r="A78"/>
  <c r="A79"/>
  <c r="A80"/>
  <c r="A81"/>
  <c r="G180"/>
  <c r="G179" s="1"/>
  <c r="H512"/>
  <c r="H511" s="1"/>
  <c r="H510" s="1"/>
  <c r="H509" s="1"/>
  <c r="A512"/>
  <c r="H622"/>
  <c r="H620" s="1"/>
  <c r="A622"/>
  <c r="H566"/>
  <c r="A566"/>
  <c r="G75"/>
  <c r="H76"/>
  <c r="H75" s="1"/>
  <c r="A76"/>
  <c r="H526"/>
  <c r="A526"/>
  <c r="A60"/>
  <c r="A73"/>
  <c r="A75"/>
  <c r="A10"/>
  <c r="A11"/>
  <c r="A12"/>
  <c r="A13"/>
  <c r="A14"/>
  <c r="A15"/>
  <c r="A16"/>
  <c r="A17"/>
  <c r="A18"/>
  <c r="A19"/>
  <c r="A20"/>
  <c r="A22"/>
  <c r="A23"/>
  <c r="A24"/>
  <c r="A25"/>
  <c r="A26"/>
  <c r="A27"/>
  <c r="A28"/>
  <c r="A29"/>
  <c r="A30"/>
  <c r="A31"/>
  <c r="A32"/>
  <c r="A33"/>
  <c r="A34"/>
  <c r="A35"/>
  <c r="A36"/>
  <c r="A37"/>
  <c r="A38"/>
  <c r="A39"/>
  <c r="A40"/>
  <c r="A41"/>
  <c r="A42"/>
  <c r="A43"/>
  <c r="A44"/>
  <c r="A51"/>
  <c r="A52"/>
  <c r="A53"/>
  <c r="A54"/>
  <c r="A55"/>
  <c r="A56"/>
  <c r="A57"/>
  <c r="A58"/>
  <c r="A59"/>
  <c r="A77"/>
  <c r="A82"/>
  <c r="A83"/>
  <c r="A84"/>
  <c r="A85"/>
  <c r="A86"/>
  <c r="A87"/>
  <c r="A88"/>
  <c r="A89"/>
  <c r="A90"/>
  <c r="A91"/>
  <c r="A92"/>
  <c r="A93"/>
  <c r="A95"/>
  <c r="A96"/>
  <c r="A97"/>
  <c r="A98"/>
  <c r="A99"/>
  <c r="A100"/>
  <c r="A101"/>
  <c r="A102"/>
  <c r="A103"/>
  <c r="A104"/>
  <c r="A105"/>
  <c r="A106"/>
  <c r="A107"/>
  <c r="A108"/>
  <c r="A109"/>
  <c r="A110"/>
  <c r="A111"/>
  <c r="A113"/>
  <c r="A114"/>
  <c r="A115"/>
  <c r="A116"/>
  <c r="A117"/>
  <c r="A118"/>
  <c r="A241"/>
  <c r="A248"/>
  <c r="A249"/>
  <c r="A252"/>
  <c r="A253"/>
  <c r="A254"/>
  <c r="A255"/>
  <c r="A256"/>
  <c r="A257"/>
  <c r="A258"/>
  <c r="A259"/>
  <c r="A260"/>
  <c r="A261"/>
  <c r="A262"/>
  <c r="A263"/>
  <c r="A264"/>
  <c r="A265"/>
  <c r="A266"/>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2"/>
  <c r="A323"/>
  <c r="A328"/>
  <c r="A329"/>
  <c r="A330"/>
  <c r="A331"/>
  <c r="A332"/>
  <c r="A333"/>
  <c r="A334"/>
  <c r="A335"/>
  <c r="A336"/>
  <c r="A337"/>
  <c r="A338"/>
  <c r="A339"/>
  <c r="A340"/>
  <c r="A341"/>
  <c r="A350"/>
  <c r="A351"/>
  <c r="A352"/>
  <c r="A353"/>
  <c r="A354"/>
  <c r="A355"/>
  <c r="A356"/>
  <c r="A357"/>
  <c r="A358"/>
  <c r="A368"/>
  <c r="A378"/>
  <c r="A379"/>
  <c r="A380"/>
  <c r="A381"/>
  <c r="A383"/>
  <c r="A384"/>
  <c r="A385"/>
  <c r="A386"/>
  <c r="A387"/>
  <c r="A388"/>
  <c r="A389"/>
  <c r="A390"/>
  <c r="A391"/>
  <c r="A392"/>
  <c r="A393"/>
  <c r="A394"/>
  <c r="A395"/>
  <c r="A396"/>
  <c r="A397"/>
  <c r="A398"/>
  <c r="A399"/>
  <c r="A406"/>
  <c r="A407"/>
  <c r="A408"/>
  <c r="A409"/>
  <c r="A410"/>
  <c r="A414"/>
  <c r="A415"/>
  <c r="A416"/>
  <c r="A417"/>
  <c r="A418"/>
  <c r="A419"/>
  <c r="A420"/>
  <c r="A421"/>
  <c r="A422"/>
  <c r="A423"/>
  <c r="A424"/>
  <c r="A425"/>
  <c r="A426"/>
  <c r="A427"/>
  <c r="A428"/>
  <c r="A429"/>
  <c r="A430"/>
  <c r="A431"/>
  <c r="A432"/>
  <c r="A433"/>
  <c r="A434"/>
  <c r="A435"/>
  <c r="A441"/>
  <c r="A442"/>
  <c r="A443"/>
  <c r="A444"/>
  <c r="A445"/>
  <c r="A446"/>
  <c r="A450"/>
  <c r="A451"/>
  <c r="A452"/>
  <c r="A453"/>
  <c r="A454"/>
  <c r="A455"/>
  <c r="A456"/>
  <c r="A457"/>
  <c r="A458"/>
  <c r="A459"/>
  <c r="A460"/>
  <c r="A461"/>
  <c r="A462"/>
  <c r="A463"/>
  <c r="A464"/>
  <c r="A465"/>
  <c r="A466"/>
  <c r="A467"/>
  <c r="A468"/>
  <c r="A469"/>
  <c r="A470"/>
  <c r="A471"/>
  <c r="A472"/>
  <c r="A478"/>
  <c r="A479"/>
  <c r="A480"/>
  <c r="A483"/>
  <c r="A484"/>
  <c r="A485"/>
  <c r="A490"/>
  <c r="A491"/>
  <c r="A492"/>
  <c r="A493"/>
  <c r="A494"/>
  <c r="A495"/>
  <c r="A500"/>
  <c r="A501"/>
  <c r="A503"/>
  <c r="A504"/>
  <c r="A509"/>
  <c r="A510"/>
  <c r="A511"/>
  <c r="A513"/>
  <c r="A514"/>
  <c r="A515"/>
  <c r="A516"/>
  <c r="A517"/>
  <c r="A521"/>
  <c r="A522"/>
  <c r="A523"/>
  <c r="A524"/>
  <c r="A525"/>
  <c r="A543"/>
  <c r="A558"/>
  <c r="A559"/>
  <c r="A560"/>
  <c r="A561"/>
  <c r="A562"/>
  <c r="A563"/>
  <c r="A565"/>
  <c r="A567"/>
  <c r="A568"/>
  <c r="A575"/>
  <c r="A576"/>
  <c r="A577"/>
  <c r="A578"/>
  <c r="A579"/>
  <c r="A580"/>
  <c r="A581"/>
  <c r="A582"/>
  <c r="A583"/>
  <c r="A593"/>
  <c r="A594"/>
  <c r="A595"/>
  <c r="A596"/>
  <c r="A597"/>
  <c r="A614"/>
  <c r="A615"/>
  <c r="A616"/>
  <c r="A620"/>
  <c r="A623"/>
  <c r="A624"/>
  <c r="A625"/>
  <c r="A626"/>
  <c r="A646"/>
  <c r="A647"/>
  <c r="A648"/>
  <c r="A649"/>
  <c r="A650"/>
  <c r="A651"/>
  <c r="A652"/>
  <c r="A653"/>
  <c r="A654"/>
  <c r="A655"/>
  <c r="A656"/>
  <c r="A657"/>
  <c r="A9"/>
  <c r="H111"/>
  <c r="G109"/>
  <c r="G108" s="1"/>
  <c r="G107" s="1"/>
  <c r="H657"/>
  <c r="H656"/>
  <c r="G655"/>
  <c r="H654"/>
  <c r="H653"/>
  <c r="H652"/>
  <c r="H651"/>
  <c r="H650"/>
  <c r="G649"/>
  <c r="H626"/>
  <c r="H625" s="1"/>
  <c r="H624" s="1"/>
  <c r="H623" s="1"/>
  <c r="G625"/>
  <c r="G624" s="1"/>
  <c r="G615"/>
  <c r="H601"/>
  <c r="H600" s="1"/>
  <c r="H599" s="1"/>
  <c r="H598" s="1"/>
  <c r="G600"/>
  <c r="G599" s="1"/>
  <c r="G598" s="1"/>
  <c r="H597"/>
  <c r="H596" s="1"/>
  <c r="H595" s="1"/>
  <c r="H594" s="1"/>
  <c r="H593" s="1"/>
  <c r="G596"/>
  <c r="G595" s="1"/>
  <c r="G594" s="1"/>
  <c r="G593" s="1"/>
  <c r="H583"/>
  <c r="H582"/>
  <c r="H581"/>
  <c r="H579"/>
  <c r="H578"/>
  <c r="G577"/>
  <c r="G576" s="1"/>
  <c r="C64" i="2"/>
  <c r="H565" i="5"/>
  <c r="H563" s="1"/>
  <c r="H562" s="1"/>
  <c r="G562"/>
  <c r="H561"/>
  <c r="G559"/>
  <c r="H525"/>
  <c r="G523"/>
  <c r="G522" s="1"/>
  <c r="G521" s="1"/>
  <c r="C55" i="2"/>
  <c r="H517" i="5"/>
  <c r="H516" s="1"/>
  <c r="H515" s="1"/>
  <c r="H514" s="1"/>
  <c r="G516"/>
  <c r="G515" s="1"/>
  <c r="G514" s="1"/>
  <c r="G513" s="1"/>
  <c r="D54" i="2" s="1"/>
  <c r="G510" i="5"/>
  <c r="G509" s="1"/>
  <c r="H503"/>
  <c r="H502" s="1"/>
  <c r="G501"/>
  <c r="G500" s="1"/>
  <c r="G495" s="1"/>
  <c r="D48" i="2" s="1"/>
  <c r="C48"/>
  <c r="H494" i="5"/>
  <c r="H493"/>
  <c r="G492"/>
  <c r="G491" s="1"/>
  <c r="G490" s="1"/>
  <c r="H484"/>
  <c r="H483" s="1"/>
  <c r="G483"/>
  <c r="H473"/>
  <c r="H472" s="1"/>
  <c r="H471" s="1"/>
  <c r="H470" s="1"/>
  <c r="H469" s="1"/>
  <c r="G472"/>
  <c r="G471"/>
  <c r="G470"/>
  <c r="G469" s="1"/>
  <c r="H468"/>
  <c r="H467"/>
  <c r="H466"/>
  <c r="H465"/>
  <c r="H464"/>
  <c r="H463"/>
  <c r="G462"/>
  <c r="G461" s="1"/>
  <c r="G460" s="1"/>
  <c r="C51" i="2"/>
  <c r="H458" i="5"/>
  <c r="H457" s="1"/>
  <c r="H456" s="1"/>
  <c r="H455" s="1"/>
  <c r="E111" i="2" s="1"/>
  <c r="G457" i="5"/>
  <c r="G456" s="1"/>
  <c r="G455" s="1"/>
  <c r="D111" i="2" s="1"/>
  <c r="C111"/>
  <c r="H454" i="5"/>
  <c r="H453" s="1"/>
  <c r="H452" s="1"/>
  <c r="H451" s="1"/>
  <c r="H450" s="1"/>
  <c r="G453"/>
  <c r="G452" s="1"/>
  <c r="G451" s="1"/>
  <c r="G450" s="1"/>
  <c r="H446"/>
  <c r="H445"/>
  <c r="H444"/>
  <c r="H443"/>
  <c r="H442" s="1"/>
  <c r="H441" s="1"/>
  <c r="G442"/>
  <c r="G441" s="1"/>
  <c r="H435"/>
  <c r="H434"/>
  <c r="H433"/>
  <c r="H432"/>
  <c r="H431"/>
  <c r="G429"/>
  <c r="H427"/>
  <c r="H426" s="1"/>
  <c r="H425" s="1"/>
  <c r="G426"/>
  <c r="G425" s="1"/>
  <c r="H424"/>
  <c r="H423" s="1"/>
  <c r="H422" s="1"/>
  <c r="G423"/>
  <c r="G422" s="1"/>
  <c r="H420"/>
  <c r="H419"/>
  <c r="G418"/>
  <c r="G417" s="1"/>
  <c r="H416"/>
  <c r="H415"/>
  <c r="G414"/>
  <c r="H410"/>
  <c r="H409" s="1"/>
  <c r="G409"/>
  <c r="H408"/>
  <c r="H407" s="1"/>
  <c r="G407"/>
  <c r="H399"/>
  <c r="H398" s="1"/>
  <c r="H397" s="1"/>
  <c r="G398"/>
  <c r="G397" s="1"/>
  <c r="H396"/>
  <c r="H395" s="1"/>
  <c r="H394" s="1"/>
  <c r="G395"/>
  <c r="G394" s="1"/>
  <c r="H392"/>
  <c r="H391"/>
  <c r="G390"/>
  <c r="H389"/>
  <c r="H388" s="1"/>
  <c r="G388"/>
  <c r="H387"/>
  <c r="H386" s="1"/>
  <c r="G386"/>
  <c r="H381"/>
  <c r="G379"/>
  <c r="G378" s="1"/>
  <c r="H358"/>
  <c r="H357" s="1"/>
  <c r="H356" s="1"/>
  <c r="H355" s="1"/>
  <c r="H354" s="1"/>
  <c r="E118" i="2" s="1"/>
  <c r="G357" i="5"/>
  <c r="G356" s="1"/>
  <c r="G355" s="1"/>
  <c r="G354" s="1"/>
  <c r="D118" i="2" s="1"/>
  <c r="C118"/>
  <c r="H353" i="5"/>
  <c r="H352" s="1"/>
  <c r="H351" s="1"/>
  <c r="H350" s="1"/>
  <c r="E115" i="2" s="1"/>
  <c r="G352" i="5"/>
  <c r="G351" s="1"/>
  <c r="G350" s="1"/>
  <c r="D115" i="2" s="1"/>
  <c r="C115"/>
  <c r="H341" i="5"/>
  <c r="H340" s="1"/>
  <c r="H339" s="1"/>
  <c r="H338" s="1"/>
  <c r="E26" i="2" s="1"/>
  <c r="G340" i="5"/>
  <c r="G339" s="1"/>
  <c r="G338" s="1"/>
  <c r="D26" i="2" s="1"/>
  <c r="C26"/>
  <c r="H337" i="5"/>
  <c r="H336"/>
  <c r="H335"/>
  <c r="H334"/>
  <c r="H333"/>
  <c r="H332"/>
  <c r="G331"/>
  <c r="G330" s="1"/>
  <c r="G329" s="1"/>
  <c r="H323"/>
  <c r="H322"/>
  <c r="H320"/>
  <c r="H319"/>
  <c r="H318"/>
  <c r="H317"/>
  <c r="G316"/>
  <c r="G315" s="1"/>
  <c r="G314" s="1"/>
  <c r="H313"/>
  <c r="H312" s="1"/>
  <c r="H311" s="1"/>
  <c r="H310" s="1"/>
  <c r="H309" s="1"/>
  <c r="G312"/>
  <c r="G311" s="1"/>
  <c r="G310" s="1"/>
  <c r="G309" s="1"/>
  <c r="H308"/>
  <c r="H307" s="1"/>
  <c r="H306" s="1"/>
  <c r="G307"/>
  <c r="G306" s="1"/>
  <c r="H305"/>
  <c r="H304"/>
  <c r="G303"/>
  <c r="G302" s="1"/>
  <c r="G301" s="1"/>
  <c r="H300"/>
  <c r="H299"/>
  <c r="G298"/>
  <c r="G297" s="1"/>
  <c r="G296" s="1"/>
  <c r="H295"/>
  <c r="H294"/>
  <c r="G293"/>
  <c r="H292"/>
  <c r="H291" s="1"/>
  <c r="G291"/>
  <c r="H290"/>
  <c r="H289" s="1"/>
  <c r="G289"/>
  <c r="H288"/>
  <c r="H287" s="1"/>
  <c r="G287"/>
  <c r="H285"/>
  <c r="H284" s="1"/>
  <c r="G284"/>
  <c r="H282"/>
  <c r="H281" s="1"/>
  <c r="G281"/>
  <c r="H280"/>
  <c r="H279" s="1"/>
  <c r="G279"/>
  <c r="H278"/>
  <c r="H277" s="1"/>
  <c r="H276" s="1"/>
  <c r="G277"/>
  <c r="G276" s="1"/>
  <c r="H275"/>
  <c r="H274" s="1"/>
  <c r="H273" s="1"/>
  <c r="G274"/>
  <c r="G273" s="1"/>
  <c r="H272"/>
  <c r="H271" s="1"/>
  <c r="G271"/>
  <c r="H265"/>
  <c r="H264"/>
  <c r="G263"/>
  <c r="G262" s="1"/>
  <c r="G261" s="1"/>
  <c r="D98" i="2" s="1"/>
  <c r="C98"/>
  <c r="H260" i="5"/>
  <c r="H259" s="1"/>
  <c r="H258" s="1"/>
  <c r="H257" s="1"/>
  <c r="E97" i="2" s="1"/>
  <c r="G259" i="5"/>
  <c r="G258" s="1"/>
  <c r="G257" s="1"/>
  <c r="D97" i="2" s="1"/>
  <c r="C97"/>
  <c r="H255" i="5"/>
  <c r="H254" s="1"/>
  <c r="H253" s="1"/>
  <c r="H252" s="1"/>
  <c r="G254"/>
  <c r="G253" s="1"/>
  <c r="G252" s="1"/>
  <c r="H249"/>
  <c r="H248"/>
  <c r="H247"/>
  <c r="G246"/>
  <c r="G245" s="1"/>
  <c r="G244" s="1"/>
  <c r="H243"/>
  <c r="H242"/>
  <c r="G241"/>
  <c r="G240" s="1"/>
  <c r="H239"/>
  <c r="H237" s="1"/>
  <c r="G237"/>
  <c r="G231"/>
  <c r="G230" s="1"/>
  <c r="H229"/>
  <c r="H228" s="1"/>
  <c r="H226" s="1"/>
  <c r="G228"/>
  <c r="G227" s="1"/>
  <c r="H224"/>
  <c r="H223" s="1"/>
  <c r="H222" s="1"/>
  <c r="H221" s="1"/>
  <c r="G223"/>
  <c r="G222" s="1"/>
  <c r="G221" s="1"/>
  <c r="H217"/>
  <c r="H216" s="1"/>
  <c r="G216"/>
  <c r="G215"/>
  <c r="G211" s="1"/>
  <c r="H210"/>
  <c r="H209"/>
  <c r="H208"/>
  <c r="H207"/>
  <c r="H206"/>
  <c r="H203"/>
  <c r="G201"/>
  <c r="H200"/>
  <c r="H198" s="1"/>
  <c r="H197"/>
  <c r="H196" s="1"/>
  <c r="G196"/>
  <c r="H195"/>
  <c r="H194" s="1"/>
  <c r="G194"/>
  <c r="H181"/>
  <c r="H173"/>
  <c r="H172"/>
  <c r="G171"/>
  <c r="H170"/>
  <c r="H169"/>
  <c r="G168"/>
  <c r="H165"/>
  <c r="H164"/>
  <c r="G163"/>
  <c r="G162" s="1"/>
  <c r="G161" s="1"/>
  <c r="H159"/>
  <c r="H158" s="1"/>
  <c r="G158"/>
  <c r="G157"/>
  <c r="G156" s="1"/>
  <c r="H155"/>
  <c r="H154" s="1"/>
  <c r="H153" s="1"/>
  <c r="G154"/>
  <c r="G153" s="1"/>
  <c r="H152"/>
  <c r="H150" s="1"/>
  <c r="H149" s="1"/>
  <c r="H151"/>
  <c r="G150"/>
  <c r="G149" s="1"/>
  <c r="H148"/>
  <c r="H147"/>
  <c r="G146"/>
  <c r="G145" s="1"/>
  <c r="H140"/>
  <c r="H139"/>
  <c r="G138"/>
  <c r="G137" s="1"/>
  <c r="G129" s="1"/>
  <c r="H117"/>
  <c r="H116" s="1"/>
  <c r="H115" s="1"/>
  <c r="H114" s="1"/>
  <c r="H113" s="1"/>
  <c r="G116"/>
  <c r="G115" s="1"/>
  <c r="G114" s="1"/>
  <c r="G113" s="1"/>
  <c r="H106"/>
  <c r="H105" s="1"/>
  <c r="H104" s="1"/>
  <c r="H103" s="1"/>
  <c r="G105"/>
  <c r="G104" s="1"/>
  <c r="G103" s="1"/>
  <c r="H102"/>
  <c r="H101" s="1"/>
  <c r="H100" s="1"/>
  <c r="G101"/>
  <c r="G100" s="1"/>
  <c r="G88"/>
  <c r="H99"/>
  <c r="H98" s="1"/>
  <c r="H97" s="1"/>
  <c r="G98"/>
  <c r="G97" s="1"/>
  <c r="H96"/>
  <c r="H95"/>
  <c r="H93"/>
  <c r="H92"/>
  <c r="H91"/>
  <c r="H90"/>
  <c r="H85"/>
  <c r="H84" s="1"/>
  <c r="G84"/>
  <c r="G83"/>
  <c r="G82" s="1"/>
  <c r="H59"/>
  <c r="H58"/>
  <c r="H57"/>
  <c r="H56"/>
  <c r="H55"/>
  <c r="G53"/>
  <c r="G52" s="1"/>
  <c r="G51" s="1"/>
  <c r="D35" i="2" s="1"/>
  <c r="C35"/>
  <c r="H44" i="5"/>
  <c r="H43"/>
  <c r="H42"/>
  <c r="H41"/>
  <c r="G40"/>
  <c r="G39" s="1"/>
  <c r="G38" s="1"/>
  <c r="H37"/>
  <c r="H36" s="1"/>
  <c r="H35" s="1"/>
  <c r="H34" s="1"/>
  <c r="G36"/>
  <c r="G35" s="1"/>
  <c r="G34" s="1"/>
  <c r="H33"/>
  <c r="H32" s="1"/>
  <c r="G32"/>
  <c r="H31"/>
  <c r="H30" s="1"/>
  <c r="G30"/>
  <c r="H27"/>
  <c r="H26" s="1"/>
  <c r="H25" s="1"/>
  <c r="H24" s="1"/>
  <c r="E14" i="2" s="1"/>
  <c r="G26" i="5"/>
  <c r="G25" s="1"/>
  <c r="G24" s="1"/>
  <c r="D14" i="2" s="1"/>
  <c r="C14"/>
  <c r="H23" i="5"/>
  <c r="H22"/>
  <c r="H20"/>
  <c r="H19"/>
  <c r="H18"/>
  <c r="H17"/>
  <c r="G16"/>
  <c r="G15" s="1"/>
  <c r="G14" s="1"/>
  <c r="H13"/>
  <c r="H12" s="1"/>
  <c r="H11" s="1"/>
  <c r="H10" s="1"/>
  <c r="E11" i="2" s="1"/>
  <c r="G12" i="5"/>
  <c r="G11" s="1"/>
  <c r="G10" s="1"/>
  <c r="D11" i="2" s="1"/>
  <c r="C11"/>
  <c r="G648" i="5"/>
  <c r="G647" s="1"/>
  <c r="G646" s="1"/>
  <c r="H501"/>
  <c r="H500" s="1"/>
  <c r="H560"/>
  <c r="H559" s="1"/>
  <c r="H655"/>
  <c r="H246"/>
  <c r="H531"/>
  <c r="H519"/>
  <c r="H518"/>
  <c r="H344"/>
  <c r="H534"/>
  <c r="J37" i="11"/>
  <c r="H649" i="5" l="1"/>
  <c r="D64" i="2"/>
  <c r="G575" i="5"/>
  <c r="G428"/>
  <c r="H577"/>
  <c r="H576" s="1"/>
  <c r="H215"/>
  <c r="K27" i="11"/>
  <c r="H232" i="5"/>
  <c r="H231" s="1"/>
  <c r="H230" s="1"/>
  <c r="H245"/>
  <c r="H244" s="1"/>
  <c r="D114" i="2"/>
  <c r="H157" i="5"/>
  <c r="H156" s="1"/>
  <c r="H83"/>
  <c r="H82" s="1"/>
  <c r="K18" i="11"/>
  <c r="K32"/>
  <c r="K30" s="1"/>
  <c r="K14"/>
  <c r="K39"/>
  <c r="H110" i="5"/>
  <c r="H109" s="1"/>
  <c r="H108" s="1"/>
  <c r="H107" s="1"/>
  <c r="G141"/>
  <c r="H421"/>
  <c r="H286"/>
  <c r="H283" s="1"/>
  <c r="C52" i="2"/>
  <c r="E120"/>
  <c r="E117" s="1"/>
  <c r="H362" i="5"/>
  <c r="H54"/>
  <c r="H53" s="1"/>
  <c r="H52" s="1"/>
  <c r="H51" s="1"/>
  <c r="E35" i="2" s="1"/>
  <c r="E33" s="1"/>
  <c r="C120"/>
  <c r="C117" s="1"/>
  <c r="G286" i="5"/>
  <c r="D52" i="2"/>
  <c r="E52"/>
  <c r="H462" i="5"/>
  <c r="H461" s="1"/>
  <c r="H460" s="1"/>
  <c r="H495"/>
  <c r="E48" i="2" s="1"/>
  <c r="H524" i="5"/>
  <c r="H523" s="1"/>
  <c r="H522" s="1"/>
  <c r="H521" s="1"/>
  <c r="H492"/>
  <c r="H491" s="1"/>
  <c r="H490" s="1"/>
  <c r="H119"/>
  <c r="E20" i="2" s="1"/>
  <c r="C114"/>
  <c r="G558" i="5"/>
  <c r="G543" s="1"/>
  <c r="G485" s="1"/>
  <c r="D20" i="2"/>
  <c r="C86"/>
  <c r="C33"/>
  <c r="C23"/>
  <c r="E23"/>
  <c r="C109"/>
  <c r="D86"/>
  <c r="D65"/>
  <c r="D33"/>
  <c r="D23"/>
  <c r="D109"/>
  <c r="G283" i="5"/>
  <c r="G270" s="1"/>
  <c r="G266" s="1"/>
  <c r="G256" s="1"/>
  <c r="E86" i="2"/>
  <c r="C65"/>
  <c r="E65"/>
  <c r="E114"/>
  <c r="D117"/>
  <c r="K89" i="11"/>
  <c r="J11"/>
  <c r="J133" s="1"/>
  <c r="D55" i="2"/>
  <c r="E109"/>
  <c r="H530" i="5"/>
  <c r="G226"/>
  <c r="H541"/>
  <c r="H343"/>
  <c r="H616"/>
  <c r="H615" s="1"/>
  <c r="H614" s="1"/>
  <c r="H540"/>
  <c r="H171"/>
  <c r="H648"/>
  <c r="H647" s="1"/>
  <c r="H646" s="1"/>
  <c r="G236"/>
  <c r="H293"/>
  <c r="H298"/>
  <c r="H297" s="1"/>
  <c r="H296" s="1"/>
  <c r="H180"/>
  <c r="H179" s="1"/>
  <c r="H238"/>
  <c r="H16"/>
  <c r="H15" s="1"/>
  <c r="H14" s="1"/>
  <c r="E13" i="2" s="1"/>
  <c r="C16"/>
  <c r="H29" i="5"/>
  <c r="H28" s="1"/>
  <c r="E16" i="2" s="1"/>
  <c r="G29" i="5"/>
  <c r="G28" s="1"/>
  <c r="D16" i="2" s="1"/>
  <c r="G193" i="5"/>
  <c r="H241"/>
  <c r="H240" s="1"/>
  <c r="H236" s="1"/>
  <c r="H225" s="1"/>
  <c r="E100" i="2" s="1"/>
  <c r="H303" i="5"/>
  <c r="H302" s="1"/>
  <c r="H301" s="1"/>
  <c r="H331"/>
  <c r="H330" s="1"/>
  <c r="H329" s="1"/>
  <c r="H385"/>
  <c r="G385"/>
  <c r="G384" s="1"/>
  <c r="G383" s="1"/>
  <c r="H390"/>
  <c r="H414"/>
  <c r="H418"/>
  <c r="H417" s="1"/>
  <c r="H193"/>
  <c r="G167"/>
  <c r="G166" s="1"/>
  <c r="G160" s="1"/>
  <c r="H227"/>
  <c r="H40"/>
  <c r="H39" s="1"/>
  <c r="H38" s="1"/>
  <c r="H89"/>
  <c r="H88" s="1"/>
  <c r="H87" s="1"/>
  <c r="H146"/>
  <c r="H145" s="1"/>
  <c r="H141" s="1"/>
  <c r="H163"/>
  <c r="H162" s="1"/>
  <c r="H161" s="1"/>
  <c r="H168"/>
  <c r="H202"/>
  <c r="H201" s="1"/>
  <c r="H263"/>
  <c r="H262" s="1"/>
  <c r="H261" s="1"/>
  <c r="E98" i="2" s="1"/>
  <c r="H316" i="5"/>
  <c r="H315" s="1"/>
  <c r="G393"/>
  <c r="G421"/>
  <c r="H430"/>
  <c r="H429" s="1"/>
  <c r="H428" s="1"/>
  <c r="C20" i="2"/>
  <c r="C54"/>
  <c r="C58"/>
  <c r="H513" i="5"/>
  <c r="E54" i="2" s="1"/>
  <c r="E105"/>
  <c r="E103" s="1"/>
  <c r="G87" i="5"/>
  <c r="G86" s="1"/>
  <c r="G73"/>
  <c r="G60" s="1"/>
  <c r="G74"/>
  <c r="D85" i="2"/>
  <c r="C105"/>
  <c r="C103" s="1"/>
  <c r="D105"/>
  <c r="D103" s="1"/>
  <c r="H73" i="5"/>
  <c r="H60" s="1"/>
  <c r="H74"/>
  <c r="C100" i="2"/>
  <c r="H393" i="5"/>
  <c r="C85" i="2"/>
  <c r="G480" i="5"/>
  <c r="G479" s="1"/>
  <c r="G478" s="1"/>
  <c r="G459" s="1"/>
  <c r="H480"/>
  <c r="H479" s="1"/>
  <c r="H478" s="1"/>
  <c r="C60" i="2"/>
  <c r="H138" i="5"/>
  <c r="H137" s="1"/>
  <c r="C82" i="2"/>
  <c r="C22"/>
  <c r="H77" i="5"/>
  <c r="G77"/>
  <c r="G9" s="1"/>
  <c r="H342"/>
  <c r="G342"/>
  <c r="G328" s="1"/>
  <c r="H211"/>
  <c r="H380"/>
  <c r="H379" s="1"/>
  <c r="H378" s="1"/>
  <c r="E51" i="2"/>
  <c r="D51"/>
  <c r="H558" i="5"/>
  <c r="H543" s="1"/>
  <c r="G529"/>
  <c r="G528" s="1"/>
  <c r="H533"/>
  <c r="D15" i="2"/>
  <c r="C15"/>
  <c r="G405" i="5"/>
  <c r="C102" i="2"/>
  <c r="C72"/>
  <c r="C13"/>
  <c r="K24" i="11"/>
  <c r="K21" s="1"/>
  <c r="E15" i="2"/>
  <c r="D73"/>
  <c r="D72"/>
  <c r="D102"/>
  <c r="D13"/>
  <c r="D61"/>
  <c r="E55"/>
  <c r="G368" i="5" l="1"/>
  <c r="E72" i="2"/>
  <c r="H129" i="5"/>
  <c r="H384"/>
  <c r="H383" s="1"/>
  <c r="H368" s="1"/>
  <c r="D78" i="2"/>
  <c r="E64"/>
  <c r="H575" i="5"/>
  <c r="H167"/>
  <c r="H166" s="1"/>
  <c r="E102" i="2"/>
  <c r="H314" i="5"/>
  <c r="H459"/>
  <c r="H328"/>
  <c r="H160"/>
  <c r="G225"/>
  <c r="D100" i="2" s="1"/>
  <c r="D22"/>
  <c r="D9" s="1"/>
  <c r="K11" i="11"/>
  <c r="K38"/>
  <c r="K37" s="1"/>
  <c r="H86" i="5"/>
  <c r="G178"/>
  <c r="D80" i="2" s="1"/>
  <c r="H178" i="5"/>
  <c r="E80" i="2" s="1"/>
  <c r="C80"/>
  <c r="H270" i="5"/>
  <c r="E85" i="2"/>
  <c r="H9" i="5"/>
  <c r="C61" i="2"/>
  <c r="C59" s="1"/>
  <c r="E22"/>
  <c r="E9" s="1"/>
  <c r="C81"/>
  <c r="E58"/>
  <c r="E46" s="1"/>
  <c r="C73"/>
  <c r="E82"/>
  <c r="D82"/>
  <c r="D81" s="1"/>
  <c r="C46"/>
  <c r="C78"/>
  <c r="C9"/>
  <c r="D58"/>
  <c r="D46" s="1"/>
  <c r="E73"/>
  <c r="D99"/>
  <c r="C99"/>
  <c r="C96" s="1"/>
  <c r="E61"/>
  <c r="H529" i="5"/>
  <c r="H528" s="1"/>
  <c r="H485" l="1"/>
  <c r="D71" i="2"/>
  <c r="E78"/>
  <c r="E71" s="1"/>
  <c r="H118" i="5"/>
  <c r="G118"/>
  <c r="G658" s="1"/>
  <c r="D96" i="2"/>
  <c r="K133" i="11"/>
  <c r="E81" i="2"/>
  <c r="H266" i="5"/>
  <c r="E99" i="2" s="1"/>
  <c r="E96" s="1"/>
  <c r="C71"/>
  <c r="C121" s="1"/>
  <c r="C122" s="1"/>
  <c r="D60"/>
  <c r="D59" s="1"/>
  <c r="D121" s="1"/>
  <c r="D122" s="1"/>
  <c r="H256" i="5" l="1"/>
  <c r="H658" s="1"/>
  <c r="E60" i="2"/>
  <c r="E59" s="1"/>
  <c r="E121" s="1"/>
  <c r="C22" i="16" s="1"/>
  <c r="C20" l="1"/>
  <c r="C29" s="1"/>
  <c r="E122" i="2"/>
</calcChain>
</file>

<file path=xl/sharedStrings.xml><?xml version="1.0" encoding="utf-8"?>
<sst xmlns="http://schemas.openxmlformats.org/spreadsheetml/2006/main" count="3141" uniqueCount="2146">
  <si>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</si>
  <si>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</si>
  <si>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</si>
  <si>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Федеральная налоговая служба</t>
  </si>
  <si>
    <t>Мероприятия по патриотическому воспитанию граждан Российской Федерации</t>
  </si>
  <si>
    <t>Резервный фонд Президента Российской Федерации</t>
  </si>
  <si>
    <t>Мероприятия в области использования, охраны водных объектов и гидротехнических сооружений</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</si>
  <si>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</si>
  <si>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Поиск и спасание</t>
  </si>
  <si>
    <t>Учреждения по обеспечению хозяйственного обслуживания</t>
  </si>
  <si>
    <t>Приложение 1</t>
  </si>
  <si>
    <t xml:space="preserve"> Государственная Дума Федерального собрания РФ</t>
  </si>
  <si>
    <t>Вещевое обеспечение в рамках государственного оборонного заказа</t>
  </si>
  <si>
    <t>Вещевое обеспечение вне рамок государственного оборонного заказа</t>
  </si>
  <si>
    <t>Строительство объектов общегражданского назначения с использованием специальных методов</t>
  </si>
  <si>
    <t>Проведение диспансеризации находящихся в стационарных учреждениях детей-сирот и детей, оставшихся без попечения родителей</t>
  </si>
  <si>
    <t>Подпрограмма "Разработка и подготовка производства навигационного оборудования и аппаратуры для гражданских потребителей"</t>
  </si>
  <si>
    <t>Федеральное агентство по сельскому хозяйству</t>
  </si>
  <si>
    <t>Государственный комитет  по кинематографии</t>
  </si>
  <si>
    <t xml:space="preserve"> Министерство  промышленности,  науки  и технологий РФ</t>
  </si>
  <si>
    <t>Резервный фонд Правительства Российской Федерации</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</si>
  <si>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</si>
  <si>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Не используется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</si>
  <si>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</si>
  <si>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</si>
  <si>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Дотации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</si>
  <si>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</si>
  <si>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Оздоровление детей </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</si>
  <si>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</si>
  <si>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</si>
  <si>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</si>
  <si>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</si>
  <si>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</si>
  <si>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</si>
  <si>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</si>
  <si>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Обеспечение деятельности вневедомственной охраны</t>
  </si>
  <si>
    <t>Мобилизационная подготовка и переподготовка резервов, учебно-сборовые мероприятия</t>
  </si>
  <si>
    <t>Обеспечение функционирования аппаратов фондов поддержки научной  и (или) научно-технической деятельности</t>
  </si>
  <si>
    <t>Федеральная целевая программа "Развитие г. Сочи как горноклиматического курорта (2006 - 2014 годы)"</t>
  </si>
  <si>
    <t>Федеральная целевая программа "Дети России" на 2007 - 2010 годы</t>
  </si>
  <si>
    <t>Подпрограмма "Здоровое поколение"</t>
  </si>
  <si>
    <t>Подпрограмма "Дети и семья"</t>
  </si>
  <si>
    <t>Субсидии информационным агентствам</t>
  </si>
  <si>
    <t>Развитие социальной и инженерной инфраструктуры субъектов Российской Федерации и муниципальных образований</t>
  </si>
  <si>
    <t>Субсидии на поддержку овцеводства</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</si>
  <si>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</si>
  <si>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</si>
  <si>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Федеральная целевая программа "Реформирование системы военного образования в Российской Федерации на период до 2010 года"</t>
  </si>
  <si>
    <t>Мероприятия по борьбе с беспризорностью, по опеке и попечительству</t>
  </si>
  <si>
    <t>Учреждения по внешкольной работе с детьми</t>
  </si>
  <si>
    <t>Библиотеки</t>
  </si>
  <si>
    <t>Администрация поселка Константиновский</t>
  </si>
  <si>
    <t>Подпрограмма "Исследование природы Мирового океана"</t>
  </si>
  <si>
    <t>Подпрограмма "Освоение и использование Арктики"</t>
  </si>
  <si>
    <t>Подпрограмма "Изучение и исследование Антарктики"</t>
  </si>
  <si>
    <t>Меры по оказанию медицинской помощи гражданам Российской Федерации за рубежом</t>
  </si>
  <si>
    <t>Резервный фонд исполнительных органов государственной власти субъектов Российской Федерации</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</si>
  <si>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</si>
  <si>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Обеспечение функционирования аппаратов фондов поддержки научной и (или) научно-технической деятельности</t>
  </si>
  <si>
    <t>Оценка недвижимости, признание прав и регулирование отношений по государственной и муниципальной собственности</t>
  </si>
  <si>
    <t>Комбинаты питания</t>
  </si>
  <si>
    <t>Денежные компенсации истцам в случае вынесения соответствующих решений Европейским Судом по правам человека</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</si>
  <si>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</si>
  <si>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</si>
  <si>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</si>
  <si>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Мероприятия по ликвидации чрезвычайных ситуаций и стихийных бедствий, выполняемые в рамках специальных решений</t>
  </si>
  <si>
    <t>Осуществление ежемесячной денежной выплаты инвалидам</t>
  </si>
  <si>
    <t>изменения</t>
  </si>
  <si>
    <t>Оплата и хранение специального топлива и горюче-смазочных материалов</t>
  </si>
  <si>
    <t>Бюджетные инвестиции в объекты капитального строительства, не включенные в целевые программы</t>
  </si>
  <si>
    <t>Председатель Конституционного Суда Российской Федерации и судьи Конституционного Суда Российской Федерации</t>
  </si>
  <si>
    <t>Федеральная целевая программа "Модернизация транспортной системы России (2002 - 2010 годы)"</t>
  </si>
  <si>
    <t>Подпрограмма "Железнодорожный транспорт"</t>
  </si>
  <si>
    <t>Реализация проекта Международного термоядерного экспериментального реактора ИТЭР</t>
  </si>
  <si>
    <t>Расходы на реализацию мероприятий по патриотическому воспитанию молодежи ЯО</t>
  </si>
  <si>
    <t>Реализация дополнительных мероприятий, направленных на снижение напряженности на рынке труда субъектов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</si>
  <si>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</si>
  <si>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Кинематография</t>
  </si>
  <si>
    <t>Телевидение и радиовещание</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</si>
  <si>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</si>
  <si>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</si>
  <si>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</si>
  <si>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Государственная программа развития сельского хозяйства</t>
  </si>
  <si>
    <t>Мониторинг водных биологических ресурсов</t>
  </si>
  <si>
    <t>Прикладные научные исследования и разработки</t>
  </si>
  <si>
    <t>Субсидии на выполнение мероприятий по несению аварийно-спасательной готовности на море</t>
  </si>
  <si>
    <t>Органы, осуществляющие государственный санитарно-эпидемиологический надзор</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</si>
  <si>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</si>
  <si>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</si>
  <si>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</si>
  <si>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</si>
  <si>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</si>
  <si>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защите от угрозы природного и техногенного характера, информирование и оповещение населения на транспорте</t>
  </si>
  <si>
    <t>Организация Государственной информационной системы миграционного учета</t>
  </si>
  <si>
    <t>Гранты в области науки, культуры, искусства и средств массовой информации</t>
  </si>
  <si>
    <t>Субсидии на завоз семян для выращивания кормовых культур в северных районах страны</t>
  </si>
  <si>
    <t>Разработка приоритетных направлений науки, технологий и техники</t>
  </si>
  <si>
    <t>Инспекционная деятельность и другие расходы</t>
  </si>
  <si>
    <t>Субсидии российским организациям на обеспечение деятельности на архипелаге Шпицберген</t>
  </si>
  <si>
    <t>Обеспечение реализации соглашений с правительствами иностранных государств и организациями</t>
  </si>
  <si>
    <t>Субсидии на закладку и уход за многолетними насаждениями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</si>
  <si>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</si>
  <si>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</si>
  <si>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</si>
  <si>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</si>
  <si>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</si>
  <si>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</si>
  <si>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</si>
  <si>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</si>
  <si>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</si>
  <si>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Обеспечение мероприятий, связанных с направлением российских юристов для участия в работе Европейского Суда по правам человека</t>
  </si>
  <si>
    <t>Реализация межгосударственных договоров в рамках Содружества Независимых Государств</t>
  </si>
  <si>
    <t>Федеральная целевая программа "Восстановление экономики и социальной сферы Чеченской Республики (2002 год и последующие годы)"</t>
  </si>
  <si>
    <t>Прочие поступления</t>
  </si>
  <si>
    <t>Комитет РФ по делам молодежи</t>
  </si>
  <si>
    <t>Администрация Метенининской сельской территории</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</si>
  <si>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</si>
  <si>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</si>
  <si>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Мероприятия по реализации Федерального закона от 9 февраля 2007 г. № 16-ФЗ «О транспортной безопасности» в сфере водного транспорта</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</si>
  <si>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</si>
  <si>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НАЦИОНАЛЬНАЯ БЕЗОПАСНОСТЬ И ПРАВООХРАНИТЕЛЬНАЯ ДЕЯТЕЛЬНОСТЬ</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</si>
  <si>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</si>
  <si>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</si>
  <si>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Мероприятия в области образования</t>
  </si>
  <si>
    <t>Приложение 2</t>
  </si>
  <si>
    <t>Арендная плата и поступления от от продажи и заключения договоров аренды за земли городских поселений</t>
  </si>
  <si>
    <t>Учреждения, обеспечивающие предоставление услуг в сфере лесных отношений</t>
  </si>
  <si>
    <t>Вопросы в области лесных отношений</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</si>
  <si>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</si>
  <si>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"Патриотическое воспитание граждан РФ, проживающих на территории ТМР ЯО , на 2009-2010 годы"</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</si>
  <si>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</si>
  <si>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</si>
  <si>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</si>
  <si>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</si>
  <si>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</si>
  <si>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</si>
  <si>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Мероприятия по воспроизводству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</si>
  <si>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</si>
  <si>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</si>
  <si>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МУСА МЦ "Галактика"</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</si>
  <si>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</si>
  <si>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Дополнительное ежемесячное материальное обеспечение инвалидов вследствие военной травмы</t>
  </si>
  <si>
    <t>Администрация Великосельского сельского поселения</t>
  </si>
  <si>
    <t>Гуманитарная финансовая помощь другим государствам</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</si>
  <si>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</si>
  <si>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</si>
  <si>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</si>
  <si>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</si>
  <si>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</si>
  <si>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</si>
  <si>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</si>
  <si>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</si>
  <si>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</si>
  <si>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Ежемесячная доплата к пенсиям отдельным категориям пенсионеров</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</si>
  <si>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</si>
  <si>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</si>
  <si>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</si>
  <si>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Выплата федеральной социальной доплаты к пенсии</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</si>
  <si>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</si>
  <si>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</si>
  <si>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</si>
  <si>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</si>
  <si>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Обеспечение авиационных перевозок высших должностных лиц Российской Федерации</t>
  </si>
  <si>
    <t>Модернизация Вооруженных Сил Российской Федерации и воинских формирований</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</si>
  <si>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</si>
  <si>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Министерство образования РФ</t>
  </si>
  <si>
    <t>Министерство финансов РФ</t>
  </si>
  <si>
    <t>Дополнительная подготовка участковых врачей</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</si>
  <si>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</si>
  <si>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</si>
  <si>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Функционирование органов в сфере национальной безопасности и правоохранительной деятельности</t>
  </si>
  <si>
    <t xml:space="preserve">Оплата и хранение специального топлива и горюче-смазочных материалов </t>
  </si>
  <si>
    <t>Обеспечение проведения выборов и референдумов</t>
  </si>
  <si>
    <t>Геодезия и картография</t>
  </si>
  <si>
    <t>Обеспечение деятельности подведомственных учреждений</t>
  </si>
  <si>
    <t>Другие вопросы в области образования</t>
  </si>
  <si>
    <t>Периодическая печать</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</si>
  <si>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</si>
  <si>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Государственная регистрация актов гражданского состояния</t>
  </si>
  <si>
    <t>Санаторно-оздоровительная помощь</t>
  </si>
  <si>
    <t>Субсидия на подготовку к зиме объектов коммунального назначения</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</si>
  <si>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</si>
  <si>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</si>
  <si>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</si>
  <si>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</si>
  <si>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</si>
  <si>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</si>
  <si>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Содержание и управление дорожным хозяйством</t>
  </si>
  <si>
    <t>Ремонт и содержание федеральных автомобильных дорог</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</si>
  <si>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</si>
  <si>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</si>
  <si>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</si>
  <si>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</si>
  <si>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</si>
  <si>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Мероприятия по реализации Федерального закона от 9 февраля 2007 г. № 16-ФЗ «О транспортной безопасности» в сфере дорожного хозяйства</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</si>
  <si>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</si>
  <si>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</si>
  <si>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Территориальная избирательная комиссия по г. Тутаеву и Тутаевскому району</t>
  </si>
  <si>
    <t>Российское агентство по боеприпасам</t>
  </si>
  <si>
    <t>Плазмацентры</t>
  </si>
  <si>
    <t>Вопросы топливно-энергетического комплекса</t>
  </si>
  <si>
    <t>Высокотехнологичные виды медицинской помощи</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</si>
  <si>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</si>
  <si>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Субсидии военизированным аварийно-спасательным частям на обеспечение постоянной боевой готовности</t>
  </si>
  <si>
    <t>Государственная поддержка отдельных отраслей промышленности и топливно-энергетического комплекса</t>
  </si>
  <si>
    <t>Подпрограмма "Автомобильные дороги"</t>
  </si>
  <si>
    <t>Центры, станции и отделения переливания крови</t>
  </si>
  <si>
    <t>Совершенствование медицинской помощи больным с сосудистыми заболеваниями</t>
  </si>
  <si>
    <t>Дезинфекционные станции</t>
  </si>
  <si>
    <t>Дотации бюджетам закрытых административно-территориальных образований</t>
  </si>
  <si>
    <t>Выплаты приемной семье на содержание подопечных детей</t>
  </si>
  <si>
    <t>Департамент АПКООС и П</t>
  </si>
  <si>
    <t>Оплата труда приемного родителя</t>
  </si>
  <si>
    <t>Периодическая печать и издательства</t>
  </si>
  <si>
    <t>Доставка грузов гуманитарного характера и эвакуация российских граждан</t>
  </si>
  <si>
    <t>Обеспечение деятельности аварийно-спасательного флота</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</si>
  <si>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</si>
  <si>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инфраструктуры наноиндустрии в Российской Федерации" на 2008-2011 годы</t>
  </si>
  <si>
    <t>Технопарки в сфере высоких технологий</t>
  </si>
  <si>
    <t>Учреждения, обеспечивающие предоставление услуг в сфере гидрометеорологии и мониторинга окружающей среды</t>
  </si>
  <si>
    <t>Компенсация стоимости санаторно-курортных путевок лицам, нуждающимся в санаторно-курортном лечении</t>
  </si>
  <si>
    <t>Премирование победителей Всероссийского конкурса на звание "Самый благоустроенный город России"</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</si>
  <si>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</si>
  <si>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</si>
  <si>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Федеральная целевая программа "Социальная поддержка инвалидов на 2006 - 2010 годы"</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</si>
  <si>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</si>
  <si>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</si>
  <si>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Комплектование книжных фондов библиотек муниципальных образований</t>
  </si>
  <si>
    <t>Федеральная целевая программа "Электронная Россия (2002 - 2010 годы)"</t>
  </si>
  <si>
    <t>Бюджетные инвестиции в объекты капитального строительства государственной собственности субъектов Российской Федерации</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</si>
  <si>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</si>
  <si>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</si>
  <si>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</si>
  <si>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Федеральная целевая программа "Русский язык (2006 - 2010 годы)"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</si>
  <si>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</si>
  <si>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Строительство объектов социального и производственного комплексов, в том числе объектов общегражданского назначения, жилья, инфраструктуры</t>
  </si>
  <si>
    <t>Иные безвозмездные и безвозвратные перечисления</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</si>
  <si>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</si>
  <si>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</si>
  <si>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</si>
  <si>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</si>
  <si>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Приобретение оборудования для быстровозводимых физкультурно-оздоровительных комплексов</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</si>
  <si>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</si>
  <si>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 xml:space="preserve"> Управление делами Президента Российской Федерации</t>
  </si>
  <si>
    <t>Выплата единовременного пособия при всех формах устройства детей, лишенных родительского попечения, в семью</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</si>
  <si>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</si>
  <si>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</si>
  <si>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Содержание учреждений, осуществляющих управление федеральными автомобильными дорогами</t>
  </si>
  <si>
    <t>Дорожное хозяйство</t>
  </si>
  <si>
    <t>Рыболовное хозяйство</t>
  </si>
  <si>
    <t>Поддержка северного оленеводства и табунного коневодства</t>
  </si>
  <si>
    <t>Поддержка племенного животноводства</t>
  </si>
  <si>
    <t>Государственный  комитет  Российской  Федерации по строительству и жилищно-коммунальному комплексу</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</si>
  <si>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</si>
  <si>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Субсидии на поддержку культурных и духовных центров за рубежом в соответствии с решениями Правительства Российской Федерации</t>
  </si>
  <si>
    <t>Среднее профессиональное образование</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</si>
  <si>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</si>
  <si>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</si>
  <si>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Модернизация внутренних войск, войск гражданской обороны, а также правоохранительных и иных органов</t>
  </si>
  <si>
    <t>НАЦИОНАЛЬНАЯ ЭКОНОМИКА</t>
  </si>
  <si>
    <t>Капитальный ремонт муниципального жилищного фонда</t>
  </si>
  <si>
    <t>Поддержка коммунального хозяйства</t>
  </si>
  <si>
    <t>Субсидия ОЦП "Обращение с ТБО на территории ЯО" , в части мероприятий обеспечения МО генеральными схемами очистки территорий</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</si>
  <si>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</si>
  <si>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</si>
  <si>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</si>
  <si>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</si>
  <si>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</si>
  <si>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</si>
  <si>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</si>
  <si>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</si>
  <si>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</si>
  <si>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</si>
  <si>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</si>
  <si>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</si>
  <si>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</si>
  <si>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</si>
  <si>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Дошкольное образование</t>
  </si>
  <si>
    <t>Природоохранные учреждения</t>
  </si>
  <si>
    <t>Учреждения, обеспечивающие предоставление услуг в сфере образования</t>
  </si>
  <si>
    <t>Субсидии аэропортам, расположенным в районах Крайнего Севера и приравненных к ним местностях</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</si>
  <si>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</si>
  <si>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</si>
  <si>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</si>
  <si>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</si>
  <si>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</si>
  <si>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</si>
  <si>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</si>
  <si>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</si>
  <si>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</si>
  <si>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</si>
  <si>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</si>
  <si>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Организация и содержание  мест захоронения</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</si>
  <si>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</si>
  <si>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</si>
  <si>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</si>
  <si>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Программа соц. защиты населения</t>
  </si>
  <si>
    <t>Программа развития сельского хозяйства в ТМР на 2008 - 2012 гг.</t>
  </si>
  <si>
    <t>Комплексная программа профилактики правонарушений и усиление борьбы с преступностью</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</si>
  <si>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</si>
  <si>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</si>
  <si>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</si>
  <si>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</si>
  <si>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</si>
  <si>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</si>
  <si>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</si>
  <si>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</si>
  <si>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</si>
  <si>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</si>
  <si>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</si>
  <si>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Государственные природные заповедники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</si>
  <si>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</si>
  <si>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</si>
  <si>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Субсидии на содержание комплекса защитных сооружений г. Санкт-Петербурга от наводнений</t>
  </si>
  <si>
    <t>Внедрение современных образовательных технологий</t>
  </si>
  <si>
    <t>Реализация договоров (контрактов) с иностранными фирмами в области научного сотрудничества</t>
  </si>
  <si>
    <t>Департамент муниципального имущества Администрации ТМР</t>
  </si>
  <si>
    <t>Департамент образования Администрации ТМР</t>
  </si>
  <si>
    <t>Целевые программы муниципальных образований</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</si>
  <si>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</si>
  <si>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Администрация Помогаловской сельской территории</t>
  </si>
  <si>
    <t>Содержание служб поисково- и аварийно-спасательного обеспечения полетов</t>
  </si>
  <si>
    <t>Региональная программа "Социальная поддержка пожилых граждан в Ярославской области" в сфере молодежной политики</t>
  </si>
  <si>
    <t>Мероприятия в рамках административной реформы</t>
  </si>
  <si>
    <t>Международные культурные, научные и информационные связи</t>
  </si>
  <si>
    <t>Президент Российской Федерации</t>
  </si>
  <si>
    <t>Специальные объекты</t>
  </si>
  <si>
    <t>Социальная поддержка Героев Советского Союза, Героев Российской Федерации и полных кавалеров ордена Славы</t>
  </si>
  <si>
    <t>Реформирование государственной службы Российской Федерации</t>
  </si>
  <si>
    <t>Строительство объектов подразделений вневедомственной охраны</t>
  </si>
  <si>
    <t>Пенсионное обеспечение</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</si>
  <si>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</si>
  <si>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ОБЩЕГОСУДАРСТВЕННЫЕ ВОПРОСЫ</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</si>
  <si>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</si>
  <si>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Реализация государственной политики в отношении соотечественников за рубежом</t>
  </si>
  <si>
    <t>Выплаты семьям опекунов на содержание подопечных детей</t>
  </si>
  <si>
    <t xml:space="preserve"> Министерство   труда   и   социального    развития РФ</t>
  </si>
  <si>
    <t xml:space="preserve"> Государственный  комитет  РФ по статистике</t>
  </si>
  <si>
    <t xml:space="preserve"> Центр экономической конъюнктуры при  Правительстве РФ</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</si>
  <si>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</si>
  <si>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</si>
  <si>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</si>
  <si>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Подпрограмма 'Единая система организации воздушного движения'</t>
  </si>
  <si>
    <t>Подпрограмма 'Внутренний водный транспорт'</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</si>
  <si>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</si>
  <si>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</si>
  <si>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</si>
  <si>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</si>
  <si>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</si>
  <si>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</si>
  <si>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</si>
  <si>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</si>
  <si>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</si>
  <si>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</si>
  <si>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</si>
  <si>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</si>
  <si>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</si>
  <si>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Министерство транспорта Российской Федерации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</si>
  <si>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</si>
  <si>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</si>
  <si>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Закон Российской Федерации от 18 октября 1991 года № 1761-1 "О реабилитации жертв политических репрессий"</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</si>
  <si>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</si>
  <si>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</si>
  <si>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Мобилизационная и вневойсковая подготовка</t>
  </si>
  <si>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</si>
  <si>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Государственный академический Большой театр России</t>
  </si>
  <si>
    <t xml:space="preserve"> Генеральная прокуратура Российской Федерации</t>
  </si>
  <si>
    <t>Органы юстиции</t>
  </si>
  <si>
    <t>Государственный  комитет  РФ по стандартизации и метрологии</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</si>
  <si>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</si>
  <si>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</si>
  <si>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</si>
  <si>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</si>
  <si>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</si>
  <si>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Расходы бюджета Тутаевского муниципального района на 2012 год по разделам и подразделам классификации расходов бюджетов Российской Федерации</t>
  </si>
  <si>
    <t>Сумма, руб.</t>
  </si>
  <si>
    <t>Обеспечение мероприятий по реформированию  государственной и муниципальной службы</t>
  </si>
  <si>
    <t>Подпрограмма "ВИЧ-инфекция"</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</si>
  <si>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</si>
  <si>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</si>
  <si>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</si>
  <si>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Предоставление материнского (семейного) капитала</t>
  </si>
  <si>
    <t>Федеральная целевая программа "Русский язык" на 2011 - 2015 годы"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</si>
  <si>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</si>
  <si>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"Государственная граница Российской Федерации (2003 - 2011 годы)"</t>
  </si>
  <si>
    <t>Проведение мероприятий по медицинскому освидетельствованию в связи с исполнением гражданами воинской обязанности</t>
  </si>
  <si>
    <t>Подготовка граждан по военно-учетным специальностям</t>
  </si>
  <si>
    <t>Реализация программ местного развития и обеспечение занятости для шахтерских городов и поселков</t>
  </si>
  <si>
    <t>Накопительно-ипотечная система жилищного обеспечения военнослужащих</t>
  </si>
  <si>
    <t>Функционирование Президента Российской Федерации</t>
  </si>
  <si>
    <t>Медико-социальная экспертная комиссия</t>
  </si>
  <si>
    <t>Другие вопросы в области жилищно-коммунального хозяйства</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</si>
  <si>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</si>
  <si>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</si>
  <si>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</si>
  <si>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</si>
  <si>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</si>
  <si>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</si>
  <si>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</si>
  <si>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Оздоровление детей</t>
  </si>
  <si>
    <t>Внедрение инновационных образовательных программ</t>
  </si>
  <si>
    <t>Субсидии на обеспечение безопасности судоходства на канале имени Москвы</t>
  </si>
  <si>
    <t>Региональные целевые программы</t>
  </si>
  <si>
    <t>Мероприятия в области коммунального хозяйства</t>
  </si>
  <si>
    <t>Поддержка мер по обеспечению сбалансированности бюджетов закрытых административно-территориальных образований</t>
  </si>
  <si>
    <t>Реформирование региональных и муниципальных финансов</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</si>
  <si>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</si>
  <si>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Центральные транспортные комбинаты</t>
  </si>
  <si>
    <t>Эксплуатация зданий</t>
  </si>
  <si>
    <t>Исследования в части вопросов утилизации и ликвидации вооружения и военной техники, уничтожения запасов химического оружия</t>
  </si>
  <si>
    <t>Борьба с эпидемиями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</si>
  <si>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</si>
  <si>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</si>
  <si>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Развитие и поддержка социальной и инженерной инфраструктуры закрытых административно-территориальных образований</t>
  </si>
  <si>
    <t>Субсидии издательствам и издающим организациям на реализацию социально значимых проектов, выпуск книг, изданий для инвалидов</t>
  </si>
  <si>
    <t>Подпрограмма "Развитие экспорта транспортных услуг России"</t>
  </si>
  <si>
    <t>Оснащение общеобразовательных учреждений учебным оборудованием</t>
  </si>
  <si>
    <t>Приобретение жилья гражданами, уволенными с военной службы (службы), и приравненными к ним лицами</t>
  </si>
  <si>
    <t>Обучение в высших учебных заведениях лиц, прошедших военную службу по контракту</t>
  </si>
  <si>
    <t>Проведение статистических обследований и переписей</t>
  </si>
  <si>
    <t>Депутаты представительного органа муниципального образования</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</si>
  <si>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</si>
  <si>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</si>
  <si>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</si>
  <si>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</si>
  <si>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</si>
  <si>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</si>
  <si>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</si>
  <si>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Закупка товаров, работ и услуг для государственных нужд</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</si>
  <si>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</si>
  <si>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</si>
  <si>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</si>
  <si>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</si>
  <si>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</si>
  <si>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Государственная фельдъегерская служба РФ</t>
  </si>
  <si>
    <t>Переселение граждан Российской Федерации из города Байконура</t>
  </si>
  <si>
    <t>Взнос Российской Федерации в уставные капиталы</t>
  </si>
  <si>
    <t>Мероприятия по проведению оздоровительной кампании детей</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</si>
  <si>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</si>
  <si>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Субсидии на осуществление контроля за излучением радиоэлектронных средств и (или) высокочастотных устройств (радиоконтроль)</t>
  </si>
  <si>
    <t>Субсидии организациям, осуществляющим ведение федеральных информационных фондов, баз и банков данных</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</si>
  <si>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</si>
  <si>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Научно-исследовательские и опытно-конструкторские работы</t>
  </si>
  <si>
    <t>Подпрограмма "Обеспечение жильем молодых семей"</t>
  </si>
  <si>
    <t xml:space="preserve"> Министерство  экономического  развития  и торговли РФ</t>
  </si>
  <si>
    <t>Санэпиднадзор</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</si>
  <si>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</si>
  <si>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</si>
  <si>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Топливно-энергетический комплекс</t>
  </si>
  <si>
    <t>Государственная поддержка в сфере образования</t>
  </si>
  <si>
    <t>Единовременные страховые выплаты</t>
  </si>
  <si>
    <t>Ежемесячные страховые выплаты</t>
  </si>
  <si>
    <t>Подпрограмма "Вирусные гепатиты"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</si>
  <si>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</si>
  <si>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</si>
  <si>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Субсидии на поддержку образовательного кредитования</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</si>
  <si>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</si>
  <si>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</si>
  <si>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развития Калининградской области на период до 2015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</si>
  <si>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</si>
  <si>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</si>
  <si>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</si>
  <si>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</si>
  <si>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</si>
  <si>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</si>
  <si>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</si>
  <si>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Реализация международных обязательств в сфере военно-технического сотрудничества</t>
  </si>
  <si>
    <t>Меры социальной поддержки граждан, подвергшихся воздействию радиации вследствие радиационных аварий и ядерных испытаний</t>
  </si>
  <si>
    <t>Заготовка, переработка, хранение и обеспечение безопасности донорской крови и её компонентов</t>
  </si>
  <si>
    <t>Санитарно-эпидемиологическое благополучие</t>
  </si>
  <si>
    <t>Санатории, пансионаты, дома отдыха и турбазы</t>
  </si>
  <si>
    <t>Обеспечение сотрудничества в рамках Содружества Независимых Государств</t>
  </si>
  <si>
    <t>Долевой взнос в бюджет Союзного государства</t>
  </si>
  <si>
    <t>Реализация государственных функций по мобилизационной подготовке экономики</t>
  </si>
  <si>
    <t>Российское агентство по судостроению</t>
  </si>
  <si>
    <t>Другие вооружения, военная и специальная техника</t>
  </si>
  <si>
    <t>Продукция производственно-технического назначения</t>
  </si>
  <si>
    <t>Руководитель контрольно-счетной палаты муниципального образования и его заместители</t>
  </si>
  <si>
    <t>Глава муниципального образования</t>
  </si>
  <si>
    <t>Государственные единовременные пособия и ежемесячные денежные компенсации гражданам при возникновении поствакцинальных осложнений</t>
  </si>
  <si>
    <t>Информационные технологии и связь</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</si>
  <si>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</si>
  <si>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 xml:space="preserve"> Министерство юстиции Российской Федерации</t>
  </si>
  <si>
    <t>Корабли и катера</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</si>
  <si>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</si>
  <si>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</si>
  <si>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</si>
  <si>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Прием и содержание лиц в рамках выполнения международных договоров Российской Федерации о реадмиссии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</si>
  <si>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</si>
  <si>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</si>
  <si>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</si>
  <si>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</si>
  <si>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</si>
  <si>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</si>
  <si>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Субсидии на поддержку производства льна и конопли</t>
  </si>
  <si>
    <t xml:space="preserve"> Федеральная   служба    России   по    финансовому оздоровлению и банкротству</t>
  </si>
  <si>
    <t>Субсидии творческим союзам на поддержку развития театральной деятельности</t>
  </si>
  <si>
    <t>Мероприятия в области национальной обороны</t>
  </si>
  <si>
    <t>Подпрограмма "Информационное обеспечение управления недвижимостью, реформирования и регулирования земельных и имущественных отношений"</t>
  </si>
  <si>
    <t>Формирование и использование государственных семенных фондов</t>
  </si>
  <si>
    <t>Охрана и использование объектов животного мира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</si>
  <si>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</si>
  <si>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</si>
  <si>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</si>
  <si>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Выполнение научно-исследовательских и опытно-конструкторских работ по государственным контрактам</t>
  </si>
  <si>
    <t>Специальные профессионально-технические училища</t>
  </si>
  <si>
    <t>Средние специальные учебные заведения</t>
  </si>
  <si>
    <t>Институты повышения квалификации</t>
  </si>
  <si>
    <t>Расходы общепрограммного характера по федеральной целевой программе "Промышленная утилизация вооружения и военной техники (2005 - 2010 годы)"</t>
  </si>
  <si>
    <t xml:space="preserve">Областная целевая программа "Развитие физической культуры и спорта в Ярославской области" </t>
  </si>
  <si>
    <t>Социальное обеспечение населения</t>
  </si>
  <si>
    <t>Реформирование муниципальных финансов</t>
  </si>
  <si>
    <t>Мероприятия по обеспечению жильем федеральных государственных гражданских служащих</t>
  </si>
  <si>
    <t>Мероприятия по обеспечению жильем молодых ученых и строительство общежитий</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</si>
  <si>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</si>
  <si>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</si>
  <si>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</si>
  <si>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</si>
  <si>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</si>
  <si>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</si>
  <si>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</si>
  <si>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</si>
  <si>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</si>
  <si>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</si>
  <si>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</si>
  <si>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</si>
  <si>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</si>
  <si>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</si>
  <si>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</si>
  <si>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</si>
  <si>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</si>
  <si>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</si>
  <si>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</si>
  <si>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</si>
  <si>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</si>
  <si>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</si>
  <si>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Софинансирование формирования пенсионных накоплений застрахованных лиц за счет средств Фонда национального благосостояния</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</si>
  <si>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</si>
  <si>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</si>
  <si>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Оплата и хранение специального топлива и горюче-смазочных материалов в рамках государственного оборонного заказа</t>
  </si>
  <si>
    <t>Мероприятия по организации оздоровительной кампании детей</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</si>
  <si>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</si>
  <si>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</si>
  <si>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Культура</t>
  </si>
  <si>
    <t>Оплата стоимости проезда пенсионерам к месту отдыха и обратно один раз в два года</t>
  </si>
  <si>
    <t>Мероприятия по организации социальной защиты</t>
  </si>
  <si>
    <t>Федеральная целевая программа "Мировой океан"</t>
  </si>
  <si>
    <t>Дотация на сбалансированность бюджетов поселений</t>
  </si>
  <si>
    <t>Формирование государственного материального резерва</t>
  </si>
  <si>
    <t>Государственная поддержка почтовой связи</t>
  </si>
  <si>
    <t>Артиллерия</t>
  </si>
  <si>
    <t xml:space="preserve"> Фонд содействия развитию малых форм предприятий  в научно-технической сфере</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</si>
  <si>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</si>
  <si>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</si>
  <si>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</si>
  <si>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Государственная поддержка талантливой молодежи</t>
  </si>
  <si>
    <t>Федеральная целевая программа "Развитие атомного энергопромышленного комплекса России на 2007 - 2010 годы и на перспективу  до 2015 года"</t>
  </si>
  <si>
    <t>Мероприятия по предупреждению распространения в Российской Федерации заболеваний, вызванных высокопатогенным вирусом гриппа</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</si>
  <si>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</si>
  <si>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</si>
  <si>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</si>
  <si>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</si>
  <si>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</si>
  <si>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</si>
  <si>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</si>
  <si>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</si>
  <si>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</si>
  <si>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</si>
  <si>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</si>
  <si>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Иные межбюджетные трансферты бюджетам бюджетной системы</t>
  </si>
  <si>
    <t>Областная целевая программа "Развитие сельского хозяйства, пищевой и перерабатывающей промышленности ЯО"</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</si>
  <si>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</si>
  <si>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</si>
  <si>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Материально-техническое обеспечение</t>
  </si>
  <si>
    <t>Долевое участие в содержании координационных структур Содружества Независимых Государств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</si>
  <si>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</si>
  <si>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</si>
  <si>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Мероприятия по реализации Концепции развития унифицированной системы рефинансирования ипотечных жилищных кредитов в России</t>
  </si>
  <si>
    <t>КУЛЬТУРА И КИНЕМАТОГРАФИЯ</t>
  </si>
  <si>
    <t xml:space="preserve">Прикладные научные исследования в области культуры, кинематографии </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</si>
  <si>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</si>
  <si>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</si>
  <si>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</si>
  <si>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 xml:space="preserve"> Государственная техническая комиссия при президенте РФ</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</si>
  <si>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</si>
  <si>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</si>
  <si>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Выплата доплат к пенсиям</t>
  </si>
  <si>
    <t>Бюджетные инвестиции</t>
  </si>
  <si>
    <t>Министерство РФ по атомной энергии</t>
  </si>
  <si>
    <t>Подпрограмма "Сахарный диабет"</t>
  </si>
  <si>
    <t>Подпрограмма "Туберкулез"</t>
  </si>
  <si>
    <t>Прочие расходы, связанные с международной деятельностью</t>
  </si>
  <si>
    <t>Выполнение других обязательств государства</t>
  </si>
  <si>
    <t>Поисковые и аварийно-спасательные учреждения</t>
  </si>
  <si>
    <t>Железнодорожный транспорт</t>
  </si>
  <si>
    <t>Другие вопросы в области культуры, кинематографии</t>
  </si>
  <si>
    <t>ЗДРАВООХРАНЕНИЕ</t>
  </si>
  <si>
    <t>Прикладные научные исследования в области здравоохранения</t>
  </si>
  <si>
    <t>Другие вопросы в области здравоохранения</t>
  </si>
  <si>
    <t>ФИЗИЧЕСКАЯ КУЛЬТУРА И СПОРТ</t>
  </si>
  <si>
    <t xml:space="preserve">Физическая культура </t>
  </si>
  <si>
    <t>Массовый спорт</t>
  </si>
  <si>
    <t>Платежи за выполнение определенных функций</t>
  </si>
  <si>
    <t>Административные платежи и сборы</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</si>
  <si>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</si>
  <si>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Мероприятия в области коммунального хозяйства, связанные с выполнением переданных полномочий по теплоснабжению</t>
  </si>
  <si>
    <t>МЦП "Чистая вода" на территории  ТМР на период 2011-2014годов</t>
  </si>
  <si>
    <t>Обеспечение автомобильными дорогами новых микрорайонов</t>
  </si>
  <si>
    <t>Отдельные мероприятия в области дорожного хозяйства</t>
  </si>
  <si>
    <t>Функционирование высшего должностного лица субъекта Российской Федерации и муниципального образования</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</si>
  <si>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</si>
  <si>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</si>
  <si>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</si>
  <si>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</si>
  <si>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</si>
  <si>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Мероприятия по возмещению расходов по содержанию объектов, связанных с использованием атомной энергии</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</si>
  <si>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</si>
  <si>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государственных функций в области здравоохранения</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</si>
  <si>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</si>
  <si>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</si>
  <si>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</si>
  <si>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</si>
  <si>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</si>
  <si>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</si>
  <si>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</si>
  <si>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</si>
  <si>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</si>
  <si>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</si>
  <si>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</si>
  <si>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</si>
  <si>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</si>
  <si>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</si>
  <si>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</si>
  <si>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</si>
  <si>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</si>
  <si>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</si>
  <si>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</si>
  <si>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</si>
  <si>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</si>
  <si>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</si>
  <si>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</si>
  <si>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</si>
  <si>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</si>
  <si>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Совета ТМР</t>
  </si>
  <si>
    <t>Межбюджетные трансферты на обеспечение сбалансированности бюджетов поселений</t>
  </si>
  <si>
    <t>Прикладные научные исследования в области жилищно- коммунального хозяйства</t>
  </si>
  <si>
    <t>Областная целевая программа "Комплексные меры противодействия злоупотреблению наркотиками и их незаконному обороту"</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</si>
  <si>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</si>
  <si>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Прочие выплаты по обязательствам государства</t>
  </si>
  <si>
    <t>Реализация государственных функций, связанных с общегосударственным управлением</t>
  </si>
  <si>
    <t>Мероприятия, связанные с обеспечением функционирования организаций оборонно-промышленного комплекса</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</si>
  <si>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</si>
  <si>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 xml:space="preserve"> Государственный Эрмитаж</t>
  </si>
  <si>
    <t xml:space="preserve"> МОСКОВСКОЕ НПО "РАДОН"</t>
  </si>
  <si>
    <t>Всероссийское общество слепых</t>
  </si>
  <si>
    <t>Обеспечение ядерной, радиационной и экологической безопасности</t>
  </si>
  <si>
    <t>Подпрограмма "Психические расстройства"</t>
  </si>
  <si>
    <t>Субсидии организациям на проведение оздоровительных и реабилитационных мероприятий</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</si>
  <si>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</si>
  <si>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</si>
  <si>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Организация альтернативной гражданской службы</t>
  </si>
  <si>
    <t>Процентные платежи по муниципальному долгу</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</si>
  <si>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</si>
  <si>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</si>
  <si>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Мероприятия в области санитарно-эпидемиологического надзора</t>
  </si>
  <si>
    <t>Центры спортивной подготовки (сборные команды)</t>
  </si>
  <si>
    <t>Противочумные организации</t>
  </si>
  <si>
    <t>МЦП "Развитие субъектов малого и среднего предпринимательства Тутаевского муниципального района на 2009 - 2011 годы"</t>
  </si>
  <si>
    <t xml:space="preserve"> </t>
  </si>
  <si>
    <t>Центры информатизации и обучения избирательным технологиям</t>
  </si>
  <si>
    <t>Обеспечение мероприятий по поддержке соотечественников, проживающих за рубежом</t>
  </si>
  <si>
    <t>Подпрограмма "Внедрение и использование спутниковых навигационных систем в области транспорта"</t>
  </si>
  <si>
    <t>Социальное обслуживание населения</t>
  </si>
  <si>
    <t>Другие вопросы в области социальной политики</t>
  </si>
  <si>
    <t>Детские дошкольные учреждения</t>
  </si>
  <si>
    <t>Общее образование</t>
  </si>
  <si>
    <t>Федеральная целевая программа "Обеспечение ядерной и радиационной безопасности на 2008 год и на период до 2015 года"</t>
  </si>
  <si>
    <t xml:space="preserve"> Российский центр  международного научного  и культурного сотрудничества  при правительстве  РФ</t>
  </si>
  <si>
    <t>Реализация мер социальной поддержки отдельных категорий граждан</t>
  </si>
  <si>
    <t>Обеспечение мер социальной поддержки ветеранов труда</t>
  </si>
  <si>
    <t>Оплата труда патронатного родителя</t>
  </si>
  <si>
    <t xml:space="preserve"> Российская академия сельскохозяйственных наук</t>
  </si>
  <si>
    <t>Федеральная миграционная служба</t>
  </si>
  <si>
    <t>Субсидии на проведение мероприятий по поисковому и аварийно-спасательному обеспечению полетов</t>
  </si>
  <si>
    <t>Отдельные мероприятия в области воздушного транспорта</t>
  </si>
  <si>
    <t>Федеральный закон от 17 декабря 2001 года № 173-ФЗ "О трудовых пенсиях в Российской Федерации"</t>
  </si>
  <si>
    <t>Мероприятия, связанные с распоряжением и реализацией выморочного имущества</t>
  </si>
  <si>
    <t>Федеральная целевая программа "Развитие оборонно-промышленного комплекса Российской Федерации на 2007 - 2010 годы и на период до 2015 года"</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</si>
  <si>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</si>
  <si>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</si>
  <si>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</si>
  <si>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мер социальной поддержки для лиц, награжденных знаком "Почетный донор СССР", "Почетный донор России"</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</si>
  <si>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</si>
  <si>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</si>
  <si>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</si>
  <si>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</si>
  <si>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</si>
  <si>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</si>
  <si>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Члены Совета Федерации и их помощники</t>
  </si>
  <si>
    <t>Российское агентство по обычным вооружениям</t>
  </si>
  <si>
    <t>Российское агентство по системам управления</t>
  </si>
  <si>
    <t>Состояние окружающей среды и природопользования</t>
  </si>
  <si>
    <t>Столбец1</t>
  </si>
  <si>
    <t>Санатории для больных туберкулезом</t>
  </si>
  <si>
    <t>Издательства</t>
  </si>
  <si>
    <t>Подпрограмма "Промышленная утилизация ядерных боеприпасов (2005 - 2010 годы)"</t>
  </si>
  <si>
    <t>Мероприятия по информационному обеспечению и другие работы в области водных ресурсов</t>
  </si>
  <si>
    <t>Молодежная политика и оздоровление детей</t>
  </si>
  <si>
    <t xml:space="preserve"> Счетная палата Российской Федерации</t>
  </si>
  <si>
    <t>Субсидия на проведение мероприятий по улучшению жилищных условий граждан РФ, проживающих в сельской местности</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</si>
  <si>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</si>
  <si>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'Молодежь России (2001 – 2005 годы)'</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</si>
  <si>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</si>
  <si>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</si>
  <si>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</si>
  <si>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</si>
  <si>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Средства, передаваемые для компенсации дополнительных расходов, возникших а результате решений, принятых органами власти другого уровня</t>
  </si>
  <si>
    <t>Отдельные полномочия в области лекарственного обеспечения</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</si>
  <si>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</si>
  <si>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</si>
  <si>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</si>
  <si>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</si>
  <si>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</si>
  <si>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</si>
  <si>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</si>
  <si>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Субсидия на реализацию мероприятий патриотического воспитания молодежи ЯО</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</si>
  <si>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</si>
  <si>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</si>
  <si>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</si>
  <si>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"Социальное развитие села до 2012 года"</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</si>
  <si>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</si>
  <si>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</si>
  <si>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</si>
  <si>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</si>
  <si>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</si>
  <si>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</si>
  <si>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</si>
  <si>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</si>
  <si>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</si>
  <si>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 xml:space="preserve"> Российская академия наук</t>
  </si>
  <si>
    <t>Фед.служба исполнения наказаний</t>
  </si>
  <si>
    <t>Проведение подготовки и переподготовки мобилизационного резерва и учебно-сборовые мероприятия</t>
  </si>
  <si>
    <t>Государственная хлебная инспекция при правительстве РФ</t>
  </si>
  <si>
    <t>Автобронетанковая техника</t>
  </si>
  <si>
    <t>Администрация Родионовской сельской территории</t>
  </si>
  <si>
    <t xml:space="preserve"> Федеральная служба  России по  гидрометеорологии и мониторингу окружающей среды</t>
  </si>
  <si>
    <t xml:space="preserve">Субсидия на реализацию областной целевой программы "Модернизация объектов коммунальной инфраструктуры Ярославской области" </t>
  </si>
  <si>
    <t>Субсидии организациям на создание и ведение Федерального информационного фонда технических регламентов и стандартов</t>
  </si>
  <si>
    <t>Пособия при усыновлении ребенка</t>
  </si>
  <si>
    <t>Резервный фонд Правительства Российской Федерации по предупреждению и ликвидации чрезвычайных ситуаций и последствий стихийных бедствий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</si>
  <si>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</si>
  <si>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Администрация Тутаевского муниципального района</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</si>
  <si>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</si>
  <si>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</si>
  <si>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</si>
  <si>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Отдельные мероприятия в области морского и речного транспорта</t>
  </si>
  <si>
    <t>Департамент труда и соц. развития Администрации ТМР</t>
  </si>
  <si>
    <t>Департамент культуры, туризма и молодежной политики Администрации ТМР</t>
  </si>
  <si>
    <t>Департамент АПК, ООС и природопользования Администрации ТМР</t>
  </si>
  <si>
    <t>Строительство федеральных центров высоких медицинских технологий, осуществляемое в рамках национального проекта</t>
  </si>
  <si>
    <t>Доплаты к пенсиям, дополнительное пенсионное обеспечение</t>
  </si>
  <si>
    <t>Совершенствование организации питания учащихся в общеобразовательных учреждениях</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</si>
  <si>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</si>
  <si>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Государственная поддержка геодезии и картографии</t>
  </si>
  <si>
    <t>Картографо-геодезические и картографические работы</t>
  </si>
  <si>
    <t>Оплата и хранение специального топлива и горюче-смазочных материалов вне рамок государственного оборонного заказа</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</si>
  <si>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</si>
  <si>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</si>
  <si>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</si>
  <si>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Поддержка организаций, осуществляющих фундаментальные исследования</t>
  </si>
  <si>
    <t>Субсидия на реализацию подпрограммы "Улучшение условий проживания отдельных категорий граждан, нуждающихся в специальной социальной защите"</t>
  </si>
  <si>
    <t>Единовременные денежные компенсации реабилитированным лицам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</si>
  <si>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</si>
  <si>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</si>
  <si>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</si>
  <si>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Стрелковое и холодное оружие</t>
  </si>
  <si>
    <t>Развитие и поддержка инфраструктуры города Байконура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</si>
  <si>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</si>
  <si>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</si>
  <si>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</si>
  <si>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</si>
  <si>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</si>
  <si>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</si>
  <si>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</si>
  <si>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</si>
  <si>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</si>
  <si>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Обеспечение мероприятий, предусмотренных соглашениями с международными финансовыми организациями</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</si>
  <si>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</si>
  <si>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</si>
  <si>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</si>
  <si>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</si>
  <si>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</si>
  <si>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</si>
  <si>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Реализация мероприятий, связанных с процедурами банкротства</t>
  </si>
  <si>
    <t>Зарубежный аппарат</t>
  </si>
  <si>
    <t>Генеральный прокурор Российской Федерации</t>
  </si>
  <si>
    <t>Мероприятия в области воспроизводства и сохранения водных биологических ресурсов и прочие мероприятия</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</si>
  <si>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</si>
  <si>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Общее руководство и управление общими службами и услугами Управления делами Президента Российской Федерации</t>
  </si>
  <si>
    <t>Материальное обеспечение специалистов ядерного оружейного комплекса Российской Федерации</t>
  </si>
  <si>
    <t>Социальная помощь</t>
  </si>
  <si>
    <t>Водоохранные и водохозяйственные учреждения</t>
  </si>
  <si>
    <t>Подпрограмма "Создание высокоэффективной системы геодезического обеспечения Российской Федерации"</t>
  </si>
  <si>
    <t>Министерство сельского хозяйства  РФ</t>
  </si>
  <si>
    <t>Неуказанная ведомственная статья</t>
  </si>
  <si>
    <t>Строительство и реконструкция объектов для проведения XXVII Всемирной летней Универсиады 2013 г. в г. Казани</t>
  </si>
  <si>
    <t>Учреждения, обеспечивающие государственный санитарно-эпидемиологический надзор</t>
  </si>
  <si>
    <t xml:space="preserve"> Российское авиационно-космическое агентство</t>
  </si>
  <si>
    <t>МЦП "Развитие жилищного строительства в ТМР ЯО на 2011 - 2015 гг"</t>
  </si>
  <si>
    <t>Подпрограмма "Промышленная утилизация ядерных боеприпасов на 2011 - 2015 годы и на период до 2020 года"</t>
  </si>
  <si>
    <t>Строительство и реконструкция объектов для проведения V Международных спортивных игр "Дети Азии" в г. Якутске</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</si>
  <si>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</si>
  <si>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</si>
  <si>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</si>
  <si>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</si>
  <si>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</si>
  <si>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</si>
  <si>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</si>
  <si>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</si>
  <si>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</si>
  <si>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</si>
  <si>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</si>
  <si>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Субсидии на возмещение части затрат по невозвращенным кредитам</t>
  </si>
  <si>
    <t>Прием и содержание вынужденных переселенцев</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</si>
  <si>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</si>
  <si>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</si>
  <si>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</si>
  <si>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</si>
  <si>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Расходы общепрограммного характера по федеральной целевой программе "Жилище" на 2002 – 2010 годы</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</si>
  <si>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</si>
  <si>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Столбец2</t>
  </si>
  <si>
    <t>МУ КЦСОН "Милосердие"</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</si>
  <si>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</si>
  <si>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Создание Президентской библиотеки имени Б.Н. Ельцина</t>
  </si>
  <si>
    <t>Мобилизационная подготовка экономики</t>
  </si>
  <si>
    <t>Скорая медицинская помощь</t>
  </si>
  <si>
    <t>Вещевое обеспечение</t>
  </si>
  <si>
    <t>Федеральная космическая программа России на 2006 - 2015 годы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</si>
  <si>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</si>
  <si>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специальных и военных объектов</t>
  </si>
  <si>
    <t>Обеспечение военнослужащих служебным и постоянным жильем</t>
  </si>
  <si>
    <t>Нормированный страховой запас Федерального фонда обязательного медицинского страхования</t>
  </si>
  <si>
    <t>Стационарная медицинская помощь</t>
  </si>
  <si>
    <t>Амбулаторная помощь</t>
  </si>
  <si>
    <t>Научное сопровождение инновационных проектов государственного значения</t>
  </si>
  <si>
    <t>Природоохранные мероприятия</t>
  </si>
  <si>
    <t>Проведение мероприятий для детей и молодежи</t>
  </si>
  <si>
    <t>Субсидии издательствам и издающим организациям на реализацию социально значимых проектов, выпуск книг, изданий для инвалидов по зрению</t>
  </si>
  <si>
    <t>Театры, цирки, концертные и другие организации исполнительских искусств</t>
  </si>
  <si>
    <t>Информационные агентства</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</si>
  <si>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</si>
  <si>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</si>
  <si>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Воздушный транспорт</t>
  </si>
  <si>
    <t>Подпрограмма "Одаренные дети"</t>
  </si>
  <si>
    <t>Система исполнения наказаний</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</si>
  <si>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</si>
  <si>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МЛУ "Константиновская районная больница"</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</si>
  <si>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</si>
  <si>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Субсидия на реализацию подпрограммы "Государственная поддержка молодых семей ЯО в приобретении (строительстве) жилья"</t>
  </si>
  <si>
    <t>ОЦП "развитие МТБ учреждений культуры ЯО"</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</si>
  <si>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</si>
  <si>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</si>
  <si>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</si>
  <si>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</si>
  <si>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</si>
  <si>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</si>
  <si>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</si>
  <si>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</si>
  <si>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</si>
  <si>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</si>
  <si>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</si>
  <si>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</si>
  <si>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</si>
  <si>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Вопросы регулирования продовольственного рынка и государственных семенных фондов</t>
  </si>
  <si>
    <t>Земельные кадастровые палаты</t>
  </si>
  <si>
    <t>Реализация государственных функций в области национальной экономики</t>
  </si>
  <si>
    <t>Муниципальный совет ТМР</t>
  </si>
  <si>
    <t xml:space="preserve"> Российский гуманитарный научный фонд</t>
  </si>
  <si>
    <t xml:space="preserve"> Государственный фонд кинофильмов РФ</t>
  </si>
  <si>
    <t>Председатель Счетной палаты Российской Федерации и его заместитель</t>
  </si>
  <si>
    <t>Учебные заведения и курсы по переподготовке кадров</t>
  </si>
  <si>
    <t>Высшие учебные заведения</t>
  </si>
  <si>
    <t>Проведение выборов в Федеральное Собрание Российской Федерации</t>
  </si>
  <si>
    <t>Обеспечение международной экономической и гуманитарной помощи</t>
  </si>
  <si>
    <t>Федеральный закон от 16 июля 1999 года № 165-ФЗ "Об основах обязательного социального страхования"</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</si>
  <si>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</si>
  <si>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</si>
  <si>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</si>
  <si>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Администрация Помогаловского сельского поселения</t>
  </si>
  <si>
    <t>Покрытие дефицита бюджетов государственных внебюджетных фондов</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</si>
  <si>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</si>
  <si>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</si>
  <si>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в сфере культуры</t>
  </si>
  <si>
    <t>Министерство торговли области</t>
  </si>
  <si>
    <t>Государственная инспекция по маломерным судам области</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</si>
  <si>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</si>
  <si>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</si>
  <si>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</si>
  <si>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Обеспечение инвалидов техническими средствами реабилитации, включая изготовление и ремонт протезно-ортопедических изделий</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</si>
  <si>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</si>
  <si>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</si>
  <si>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Федеральная служба судебных приставов</t>
  </si>
  <si>
    <t>Учреждения, обеспечивающие предоставление услуг в сфере рыбохозяйственной деятельности</t>
  </si>
  <si>
    <t>Водохозяйственные мероприятия</t>
  </si>
  <si>
    <t xml:space="preserve"> Федеральная архивная служба России</t>
  </si>
  <si>
    <t xml:space="preserve"> Верховный суд Российской Федерации</t>
  </si>
  <si>
    <t xml:space="preserve"> Уральское отделение Российской академии наук</t>
  </si>
  <si>
    <t>Органы безопасности</t>
  </si>
  <si>
    <t>Органы пограничной службы</t>
  </si>
  <si>
    <t>Мероприятия по профилактике ВИЧ-инфекции, гепатитов В, С</t>
  </si>
  <si>
    <t>Профессиональная подготовка, переподготовка и повышение квалификации</t>
  </si>
  <si>
    <t>Высшее и послевузовское профессиональное образование</t>
  </si>
  <si>
    <t>Международное сотрудничество</t>
  </si>
  <si>
    <t>ПРОФИЦИТ/ДЕФИЦИТ</t>
  </si>
  <si>
    <t>к решению Муниципального</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</si>
  <si>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</si>
  <si>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</si>
  <si>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</si>
  <si>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</si>
  <si>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</si>
  <si>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</si>
  <si>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</si>
  <si>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</si>
  <si>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</si>
  <si>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</si>
  <si>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</si>
  <si>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</si>
  <si>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</si>
  <si>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</si>
  <si>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</si>
  <si>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</si>
  <si>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</si>
  <si>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</si>
  <si>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</si>
  <si>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</si>
  <si>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</si>
  <si>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</si>
  <si>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</si>
  <si>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</si>
  <si>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</si>
  <si>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</si>
  <si>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</si>
  <si>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</si>
  <si>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Приобретение специализированной лесопожарной техники и оборудования</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</si>
  <si>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</si>
  <si>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Реализация мероприятий с использованием специальных методов</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</si>
  <si>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</si>
  <si>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</si>
  <si>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Создание технопарков</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</si>
  <si>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</si>
  <si>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</si>
  <si>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</si>
  <si>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</si>
  <si>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</si>
  <si>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Председатель представительного органа муниципального образования</t>
  </si>
  <si>
    <t>Субсидии на проведение отдельных мероприятий по другим видам транспорта</t>
  </si>
  <si>
    <t>СОЦИАЛЬНАЯ ПОЛИТИКА</t>
  </si>
  <si>
    <t>Охрана семьи и детства</t>
  </si>
  <si>
    <t>Федеральная служба земельного Кадастра России</t>
  </si>
  <si>
    <t>Прикладные научные исследования в области социальной политики</t>
  </si>
  <si>
    <t>Мероприятия по предупреждению и ликвидации последствий чрезвычайных ситуаций и стихийных бедствий</t>
  </si>
  <si>
    <t>Мероприятия по гражданской обороне</t>
  </si>
  <si>
    <t>Председатель Государственной Думы и его заместители</t>
  </si>
  <si>
    <t>Компенсации членам семей погибших военнослужащих</t>
  </si>
  <si>
    <t>Оказание государственной социальной помощи отдельным категориям граждан по проезду на транспорте пригородного сообщения</t>
  </si>
  <si>
    <t xml:space="preserve"> Министерство внутренних дел Российской Федерации</t>
  </si>
  <si>
    <t xml:space="preserve"> Федеральная служба безопасности РФ</t>
  </si>
  <si>
    <t>Господдержка опеки и попечительства</t>
  </si>
  <si>
    <t>Информационно-аналитическое и научно-методическое обеспечение</t>
  </si>
  <si>
    <t>Областная целевая программа "Повышение эффективности и результативности деятельности органов исполнительной власти "</t>
  </si>
  <si>
    <t xml:space="preserve"> Министерство  по  делам  федерации, национальной и миграционной политики РФ</t>
  </si>
  <si>
    <t>Администрация Борисоглебской сельской территории</t>
  </si>
  <si>
    <t xml:space="preserve"> Высший арбитражный суд Российской Федерации</t>
  </si>
  <si>
    <t xml:space="preserve"> Конституционный Суд Российской Федерации</t>
  </si>
  <si>
    <t>Субсидии творческим союзам на оказание материальной помощи членам творческих союзов</t>
  </si>
  <si>
    <t>Связь и информатика</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</si>
  <si>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</si>
  <si>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Администрация Борисоглебского сельского поселения</t>
  </si>
  <si>
    <t>Федеральная регистрация</t>
  </si>
  <si>
    <t>Мероприятия в сфере межнациональных отношений</t>
  </si>
  <si>
    <t>Федеральная целевая программа "Социально-экономическое развитие Республики Башкортостан до 2007 года"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</si>
  <si>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</si>
  <si>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 xml:space="preserve"> Информационное телеграфное агентство России (ИТАР-ТАСС)</t>
  </si>
  <si>
    <t>Пособия гражданам, подвергшимся воздействию радиации вследствие радиационных аварий и ядерных испытаний</t>
  </si>
  <si>
    <t xml:space="preserve"> Сибирское отделение Российской академии наук</t>
  </si>
  <si>
    <t>Учреждения, обеспечивающие предоставление услуг в области животноводства</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</si>
  <si>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</si>
  <si>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</si>
  <si>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</si>
  <si>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</si>
  <si>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</si>
  <si>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</si>
  <si>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</si>
  <si>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</si>
  <si>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Реформирование системы оплаты труда работников федеральных бюджетных учреждений</t>
  </si>
  <si>
    <t>Администрация городского поселения Тутаев</t>
  </si>
  <si>
    <t>МУ "Отдел строительства и капитального ремонта" ТМР</t>
  </si>
  <si>
    <t>Избирательная комиссия ТМР</t>
  </si>
  <si>
    <t>Мероприятия по реализации государственной национальной политики</t>
  </si>
  <si>
    <t>Изменения</t>
  </si>
  <si>
    <t>Профессионально-технические училища</t>
  </si>
  <si>
    <t>Министерство международных отношений и внешнеэкономических связей области</t>
  </si>
  <si>
    <t>Управление Росприроднадзора</t>
  </si>
  <si>
    <t>Федеральное агенство лесного хозяйства</t>
  </si>
  <si>
    <t>ID</t>
  </si>
  <si>
    <t>NAME</t>
  </si>
  <si>
    <t>Органы внутренних дел</t>
  </si>
  <si>
    <t>ИТОГО</t>
  </si>
  <si>
    <t>Закон Российской Федерации от 9 июня 1993 года № 5142-I "О донорстве крови и ее компонентов"</t>
  </si>
  <si>
    <t>Оплата жилищно-коммунальных услуг отдельным категориям граждан</t>
  </si>
  <si>
    <t>Мероприятия в области здравоохранения, спорта и физической культуры, туризма</t>
  </si>
  <si>
    <t>Взносы в международные организации</t>
  </si>
  <si>
    <t>Проведение выборов Президента Российской Федерации</t>
  </si>
  <si>
    <t>Проведение референдумов</t>
  </si>
  <si>
    <t>ОЦП "Чистая вода Ярославской области"</t>
  </si>
  <si>
    <t>Субсидии организациям на осуществление расходов в области обеспечения единства измерений</t>
  </si>
  <si>
    <t>Мероприятия по землеустройству и землепользованию</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</si>
  <si>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</si>
  <si>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Администрация Президента Российской Федерации</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</si>
  <si>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</si>
  <si>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Пособия и компенсации военнослужащим,  приравненным к ним лицам, а также уволенным из их числа</t>
  </si>
  <si>
    <t>Субсидии</t>
  </si>
  <si>
    <t>Информатика</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</si>
  <si>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</si>
  <si>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Расходы общепрограммного характера по федеральной целевой программе   "Модернизация   транспортной     системы    России (2002 - 2010 годы)"</t>
  </si>
  <si>
    <t>Обеспечение мер социальной поддержки тружеников тыла</t>
  </si>
  <si>
    <t>Субсидии творческим союзам</t>
  </si>
  <si>
    <t>Федеральная служба статистики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</si>
  <si>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</si>
  <si>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Подпрограмма "Социальная поддержка и реабилитация инвалидов вследствие боевых действий и военной травмы"</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</si>
  <si>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</si>
  <si>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</si>
  <si>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</si>
  <si>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</si>
  <si>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</si>
  <si>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</si>
  <si>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</si>
  <si>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</si>
  <si>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</si>
  <si>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</si>
  <si>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</si>
  <si>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</si>
  <si>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</si>
  <si>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</si>
  <si>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</si>
  <si>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</si>
  <si>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</si>
  <si>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</si>
  <si>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</si>
  <si>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</si>
  <si>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Поддержка дорожного хозяйства</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</si>
  <si>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</si>
  <si>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Полномочные представители Президента Российской Федерации в федеральных округах и их аппараты</t>
  </si>
  <si>
    <t>Центральный аппарат</t>
  </si>
  <si>
    <t xml:space="preserve"> Федеральная служба специального строительства РФ</t>
  </si>
  <si>
    <t xml:space="preserve"> Уполномоченный  по  правам  человека  в РФ</t>
  </si>
  <si>
    <t>Выплата накопительной части трудовой пенсии</t>
  </si>
  <si>
    <t>Государственная поддержка железнодорожного транспорта</t>
  </si>
  <si>
    <t xml:space="preserve"> Российская академия медицинских наук</t>
  </si>
  <si>
    <t>Боевая подготовка</t>
  </si>
  <si>
    <t>Проведение мероприятий по улучшению жилищных условий граждан Российской Федерации,  проживающих и работающих в сельской местности</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</si>
  <si>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</si>
  <si>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Вооруженные Силы Российской Федерации</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</si>
  <si>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</si>
  <si>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</si>
  <si>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Федеральная целевая программа "Национальная технологическая база" на 2007 - 2011 годы</t>
  </si>
  <si>
    <t>Департамент финансов администрации Ярославской области</t>
  </si>
  <si>
    <t>Управление внутренних дел Ярославской области</t>
  </si>
  <si>
    <t>Услуги ГИБДД</t>
  </si>
  <si>
    <t>Медицинская помощь в дневных стационарах всех типов</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</si>
  <si>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</si>
  <si>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</si>
  <si>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Управление находящимися в государственной и муниципальной собственности акциями открытых акционерных обществ</t>
  </si>
  <si>
    <t xml:space="preserve"> Российская академия живописи, ваяния и зодчества</t>
  </si>
  <si>
    <t>Транспортное обеспечение федеральных органов власти</t>
  </si>
  <si>
    <t>Мероприятия по обеспечению жильем прокуроров, следователей органов прокуратуры</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</si>
  <si>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</si>
  <si>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</si>
  <si>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</si>
  <si>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Администрация Николо-Эдомской сельской территории</t>
  </si>
  <si>
    <t>Прочие мероприятия по благоустройству городских округов и поселений</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</si>
  <si>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</si>
  <si>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Другие вопросы в области охраны окружающей среды</t>
  </si>
  <si>
    <t>Обслуживание внутреннего государственного и муниципального долга</t>
  </si>
  <si>
    <t xml:space="preserve"> Министерство иностранных дел Российской Федерации</t>
  </si>
  <si>
    <t>Совершенствование организации медицинской помощи пострадавшим при дорожно-транспортных происшествиях</t>
  </si>
  <si>
    <t>Подпрограмма "Создание обеспечивающей инфраструктуры космодрома "Восточный"</t>
  </si>
  <si>
    <t>Развитие российских космодромов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</si>
  <si>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</si>
  <si>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</si>
  <si>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</si>
  <si>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</si>
  <si>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Субсидии на обеспечение мероприятий по обводнению</t>
  </si>
  <si>
    <t>Санатории для детей и подростков</t>
  </si>
  <si>
    <t>МУЗ "Тутаевская центральная районная больница"</t>
  </si>
  <si>
    <t>Подпрограмма "Вакцинопрофилактика"</t>
  </si>
  <si>
    <t>Продовольственное обеспечение в рамках государственного оборонного заказа</t>
  </si>
  <si>
    <t>Выплата пенсий, назначенных досрочно гражданам, признанным безработными</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</si>
  <si>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</si>
  <si>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</si>
  <si>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Субсидии на поддержку некоммерческих неправительственных организаций, участвующих в развитии институтов гражданского общества</t>
  </si>
  <si>
    <t>Развитие и поддержка социальной, инженерной и инновационной инфраструктуры наукоградов Российской Федерации</t>
  </si>
  <si>
    <t>Выплата дополнительного материального обеспечения, доплат к пенсиям, пособий и компенсаций</t>
  </si>
  <si>
    <t>Прикладные научные исследования в области национальной обороны</t>
  </si>
  <si>
    <t>Другие вопросы в области национальной обороны</t>
  </si>
  <si>
    <t>Органы прокуратуры</t>
  </si>
  <si>
    <t>Внутренние войска</t>
  </si>
  <si>
    <t>Благоустройство</t>
  </si>
  <si>
    <t>Президентская программа "Уничтожение запасов химического оружия в Российской Федерации"</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</si>
  <si>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</si>
  <si>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</si>
  <si>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Мероприятия в области исследования и использования космического пространства в мирных целях</t>
  </si>
  <si>
    <t>Геологическое изучение недр</t>
  </si>
  <si>
    <t>Территориальные фонды информации</t>
  </si>
  <si>
    <t>Воинские формирования (органы, подразделения)</t>
  </si>
  <si>
    <t>Осуществление полномочий по подготовке проведения статистических переписей</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</si>
  <si>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</si>
  <si>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</si>
  <si>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Промышленная утилизация и ликвидация вооружений и военной техники</t>
  </si>
  <si>
    <t>Обеспечение государственного запаса специального сырья и делящихся материалов</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</si>
  <si>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</si>
  <si>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</si>
  <si>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</si>
  <si>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</si>
  <si>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</si>
  <si>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</si>
  <si>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</si>
  <si>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</si>
  <si>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</si>
  <si>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Отдельные мероприятия в области информационно-коммуникационных технологий и связи</t>
  </si>
  <si>
    <t>Конверсия радиочастотного спектра</t>
  </si>
  <si>
    <t>Осуществление полномочий Российской Федерации в области содействия занятости населения, включая расходы по осуществлению этих полномочий</t>
  </si>
  <si>
    <t xml:space="preserve"> Российская академия архитектуры и строительных наук</t>
  </si>
  <si>
    <t>Федеральная целевая программа "Социально-экономическое развитие Курильских островов (Сахалинская область) на 2007 - 2015 годы"</t>
  </si>
  <si>
    <t>Оплата услуг организаций по переработке высокообогащенного урана, извлеченного из ядерного оружия, в низкообогащенный уран</t>
  </si>
  <si>
    <t>Мероприятия по обеспечению миграционной политики</t>
  </si>
  <si>
    <t>Уличное освещение</t>
  </si>
  <si>
    <t>Обеспечение деятельности военных комиссариатов</t>
  </si>
  <si>
    <t>Организация, регулирование и охрана водных биологических ресурсов</t>
  </si>
  <si>
    <t>Администрация Чебаковской сельской территории</t>
  </si>
  <si>
    <t>Администрация Константиновского сельского поселения</t>
  </si>
  <si>
    <t>Администрация Артемьевского сельского поселения</t>
  </si>
  <si>
    <t xml:space="preserve"> Российское агентство по патентам и товарным знакам</t>
  </si>
  <si>
    <t>Участие в миротворческой деятельности</t>
  </si>
  <si>
    <t>Военно-техническое сотрудничество</t>
  </si>
  <si>
    <t>Переподготовка и повышение квалификации кадров</t>
  </si>
  <si>
    <t>Субсидии образовательным учреждениям в странах Содружества Независимых Государств и общественным организациям</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</si>
  <si>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</si>
  <si>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</si>
  <si>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</si>
  <si>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</si>
  <si>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</si>
  <si>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</si>
  <si>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Подпрограмма "Обеспечение земельных участков коммунальной инфраструктурой в целях жилищного строительства"</t>
  </si>
  <si>
    <t>Федеральная целевая программа "Экономическое и социальное развитие Дальнего Востока и Забайкалья на период до 2013 года"</t>
  </si>
  <si>
    <t xml:space="preserve"> Судебный департамент при верховном суде РФ</t>
  </si>
  <si>
    <t>Методическое обеспечение и информационная поддержка</t>
  </si>
  <si>
    <t xml:space="preserve"> Федеральная комиссия по рынку ценных бумаг</t>
  </si>
  <si>
    <t>Председатель Верховного Суда Российской Федерации и судьи Верховного Суда Российской Федерации</t>
  </si>
  <si>
    <t>Федеральная целевая программа "Преодоление последствий радиационных аварий на период до 2010 года"</t>
  </si>
  <si>
    <t>Переселение граждан из закрытых административно-территориальных образований</t>
  </si>
  <si>
    <t>Министерство природных ресурсов РФ</t>
  </si>
  <si>
    <t>Министерство здравоохранения РФ</t>
  </si>
  <si>
    <t>Министерство культуры РФ</t>
  </si>
  <si>
    <t>Содержание ребенка в семье опекуна и приемной семье, а также вознаграждение, причитающееся приемному родителю</t>
  </si>
  <si>
    <t xml:space="preserve">Выравнивание бюджетной обеспеченности поселений из районного фонда финансовой поддержки </t>
  </si>
  <si>
    <t>Субсидия на реализацию подпрограммы "Государственная поддержка граждан, проживающих на территории ЯО, в сфере ипотечного кредитования"</t>
  </si>
  <si>
    <t>Централизованные закупки медикаментов и медицинского оборудования</t>
  </si>
  <si>
    <t>Проведение выборов и референдумов</t>
  </si>
  <si>
    <t>Мероприятия в сфере культуры и кинематографии</t>
  </si>
  <si>
    <t>Федеральная целевая программа "Промышленная утилизация вооружения и военной техники (2005 - 2010 годы)"</t>
  </si>
  <si>
    <t>Тутаевский МО МВД России</t>
  </si>
  <si>
    <t>Реформирование региональных финансов</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</si>
  <si>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</si>
  <si>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 xml:space="preserve"> Государственный таможенный комитет РФ</t>
  </si>
  <si>
    <t>Обязательное медицинское страхование неработающего населения (детей)</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</si>
  <si>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</si>
  <si>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</si>
  <si>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Субсидии на проведение закупочных и товарных интервенций сельскохозяйственной продукции, а также залоговых операций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</si>
  <si>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</si>
  <si>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</si>
  <si>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</si>
  <si>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</si>
  <si>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</si>
  <si>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</si>
  <si>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</si>
  <si>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</si>
  <si>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</si>
  <si>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Субсидия на реализацию муниципальных программ  развития туризма и отдыха</t>
  </si>
  <si>
    <t xml:space="preserve">ОЦП "Развитие образования" </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</si>
  <si>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</si>
  <si>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</si>
  <si>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</si>
  <si>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</si>
  <si>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</si>
  <si>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</si>
  <si>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</si>
  <si>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</si>
  <si>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Программа"Энергоресурсосбережений"</t>
  </si>
  <si>
    <t>Программа "Энергоресурсосбережений"</t>
  </si>
  <si>
    <t>Подпрограмма "Модернизация объектов коммунальной инфраструктуры"</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</si>
  <si>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</si>
  <si>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МУЗ Тутаевская городская больница</t>
  </si>
  <si>
    <t>Школы-интернаты</t>
  </si>
  <si>
    <t>Администрация Чебаковского сельского поселения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</si>
  <si>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</si>
  <si>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Проведение мероприятий для детей и молодежи в части реализ.ведомст.целевой программы "Патриотическое воспитание молодежи Я,О"</t>
  </si>
  <si>
    <t>Оздоровление детей в трудной жизненной ситуации</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</si>
  <si>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</si>
  <si>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</si>
  <si>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</si>
  <si>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</si>
  <si>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Органы по контролю за оборотом наркотических средств и психотропных веществ</t>
  </si>
  <si>
    <t xml:space="preserve"> Российская     оборонная     спортивно-техническая организация (РОСТО)</t>
  </si>
  <si>
    <t>Прикладные научные исследования в области общегосударственных вопросов</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</si>
  <si>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</si>
  <si>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</si>
  <si>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Субсидия на реализацию программ развития муниципальной службы муниципальных образований ЯО.</t>
  </si>
  <si>
    <t>ОЦП "Обеспечение муниципальных районов документацией территориального планирования"</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</si>
  <si>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</si>
  <si>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</si>
  <si>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</si>
  <si>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</si>
  <si>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</si>
  <si>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</si>
  <si>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</si>
  <si>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ОЦП "Развитие МТБ учреждений культуры ЯО"</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</si>
  <si>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</si>
  <si>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</si>
  <si>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</si>
  <si>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</si>
  <si>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</si>
  <si>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</si>
  <si>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</si>
  <si>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</si>
  <si>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</si>
  <si>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</si>
  <si>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</si>
  <si>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</si>
  <si>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Закон Российской Федерации от 28 июня 1991 года № 1499-I «О медицинском страховании граждан в Российской Федерации»</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</si>
  <si>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</si>
  <si>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Субсидии государственной корпорации "Банк развития и внешнеэкономической деятельности (Внешэкономбанк)"</t>
  </si>
  <si>
    <t>Субсидии некоммерческим организациям (за исключением государственных учреждений)</t>
  </si>
  <si>
    <t>Обслуживание муниципального долга</t>
  </si>
  <si>
    <t>Ведомственная структура расходов бюджета Тутаевского муниципального района на 2012 год</t>
  </si>
  <si>
    <t>Субсидии на поддержку периодической печати для инвалидов, на реализацию социально значимых проектов, изданий для инвалидов по зрению</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</si>
  <si>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</si>
  <si>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Осуществление первичного воинского учета на территориях, где отсутствуют военные комиссариаты</t>
  </si>
  <si>
    <t>Оказание других видов социальной помощи</t>
  </si>
  <si>
    <t>Выплата страховой части трудовой пенсии</t>
  </si>
  <si>
    <t>Председатель Совета Федерации и его заместители</t>
  </si>
  <si>
    <t>Депутаты Государственной Думы и их помощники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</si>
  <si>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</si>
  <si>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</si>
  <si>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</si>
  <si>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</si>
  <si>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Субсидии на функционирование координационного центра Россия-НАТО</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</si>
  <si>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</si>
  <si>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</si>
  <si>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</si>
  <si>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</si>
  <si>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деятельности особо ценных объектов (учреждений) культурного наследия народов Российской Федерации</t>
  </si>
  <si>
    <t>Федеральная целевая программа "Повышение безопасности дорожного движения в 2006 - 2012 годах"</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</si>
  <si>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</si>
  <si>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 xml:space="preserve">Областная целевая программа "Социальное развитие села до 2012 года" </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</si>
  <si>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</si>
  <si>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</si>
  <si>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</si>
  <si>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</si>
  <si>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</si>
  <si>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</si>
  <si>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Обеспечение единства измерений</t>
  </si>
  <si>
    <t>Премия Правительства Российской Федерации в области качества</t>
  </si>
  <si>
    <t>Мероприятия в области гражданской промышленности</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</si>
  <si>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</si>
  <si>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</si>
  <si>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</si>
  <si>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</si>
  <si>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</si>
  <si>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</si>
  <si>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Поощрение достижения наилучших значений показателей деятельности органов исполнительной власти</t>
  </si>
  <si>
    <t>Софинансирование реформирования региональных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</si>
  <si>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</si>
  <si>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</si>
  <si>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</si>
  <si>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</si>
  <si>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</si>
  <si>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</si>
  <si>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</si>
  <si>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</si>
  <si>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</si>
  <si>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</si>
  <si>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</si>
  <si>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Федеральная программа 'Реформирование государственной службы Российской Федерации (2003 – 2005 годы)'</t>
  </si>
  <si>
    <t>Федеральная целевая программа "Развитие уголовно-исполнительной системы (2007 - 2016 годы)"</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</si>
  <si>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</si>
  <si>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Реализация других функций, связанных с обеспечением национальной безопасности и правоохранительной деятельности</t>
  </si>
  <si>
    <t>Осуществление отдельных полномочий в области водных отношений</t>
  </si>
  <si>
    <t>Федеральный закон от 15 декабря 2001 года № 166-ФЗ "О государственном пенсионном обеспечении в Российской Федерации"</t>
  </si>
  <si>
    <t>Государственный заказ на профессиональную переподготовку и повышение квалификации государственных служащих</t>
  </si>
  <si>
    <t>Мероприятия по повышению безопасности атомной энергетики, улучшению экологии</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</si>
  <si>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</si>
  <si>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</si>
  <si>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Субсидии на поддержку элитного семеноводства</t>
  </si>
  <si>
    <t>Администрация Артемьевской сельской территории</t>
  </si>
  <si>
    <t>Прочая продукция производственно-технического назначения</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</si>
  <si>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</si>
  <si>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</si>
  <si>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</si>
  <si>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МП "организация круглогодичной переправы в Тутаевском муниципальном районе"</t>
  </si>
  <si>
    <t>МП "О дополнительных мерах реализации 185-ФЗ "О фонде содействия реформированию ЖКХ" на территории ТМР ЯО на 2009 - 2011 годы"</t>
  </si>
  <si>
    <t>Департамент ЖКХ и строительства Администрации ТМР</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</si>
  <si>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</si>
  <si>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Главный расп.,расп.</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</si>
  <si>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</si>
  <si>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Исследования и разработки в сфере использования атомной энергии в интересах развития национальной экономики</t>
  </si>
  <si>
    <t>Техническое регулирование и обеспечение единства измерений</t>
  </si>
  <si>
    <t>Техническое регулирование</t>
  </si>
  <si>
    <t>Каталогизация продукции для федеральных государственных нужд</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</si>
  <si>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</si>
  <si>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</si>
  <si>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</si>
  <si>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</si>
  <si>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</si>
  <si>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</si>
  <si>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</si>
  <si>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МЦП "Ликвидация последствий аварии на битумной установке, расположенной в урочище Марфино ТМР"</t>
  </si>
  <si>
    <t>МП"Повышение безопасности дорожного движения на территории ТМР на 2010-2012 годы"</t>
  </si>
  <si>
    <t>Прочие мероприятия, осуществляемые за счет межбюджетных трансфертов прошлых лет из федерального бюджета</t>
  </si>
  <si>
    <t>Условно утвержденные расходы</t>
  </si>
  <si>
    <t>Возмещение расходов по выплате трудовых пенсий в связи с зачетом в страховой стаж не страховых периодов</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</si>
  <si>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</si>
  <si>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</si>
  <si>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</si>
  <si>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</si>
  <si>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Пособие по уходу за ребенком гражданам, подвергшимся воздействию радиации вследствие радиационных аварий</t>
  </si>
  <si>
    <t>Дотация бюджету Красноярского края</t>
  </si>
  <si>
    <t>Обеспечение деятельности учреждений по реализации миграционной политики</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</si>
  <si>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</si>
  <si>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Строительство объектов общегражданского назначения</t>
  </si>
  <si>
    <t>Составление (изменение и дополнение) списков кандидатов в присяжные заседатели федеральных судов общей юрисдикции в Российской Федерации</t>
  </si>
  <si>
    <t>Электронная техника и средства связи</t>
  </si>
  <si>
    <t>Боеприпасы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</si>
  <si>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</si>
  <si>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</si>
  <si>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</si>
  <si>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</si>
  <si>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</si>
  <si>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</si>
  <si>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</si>
  <si>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Организационно-воспитательная работа с молодежью</t>
  </si>
  <si>
    <t>Реализация государственных функций, связанных с обеспечением национальной обороны</t>
  </si>
  <si>
    <t>Пенсии</t>
  </si>
  <si>
    <t>Централизованные закупки в рамках национального календаря профилактических прививок</t>
  </si>
  <si>
    <t>Подпрограмма "Военно-стратегические интересы России в Мировом океане"</t>
  </si>
  <si>
    <t>ЖИЛИЩНО-КОММУНАЛЬНОЕ ХОЗЯЙСТВО</t>
  </si>
  <si>
    <t>Министерство леса и природопользования области</t>
  </si>
  <si>
    <t xml:space="preserve"> Дальневосточное отделение российской академии наук</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</si>
  <si>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</si>
  <si>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</si>
  <si>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</si>
  <si>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</si>
  <si>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</si>
  <si>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</si>
  <si>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</si>
  <si>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</si>
  <si>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</si>
  <si>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</si>
  <si>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</si>
  <si>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</si>
  <si>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</si>
  <si>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</si>
  <si>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</si>
  <si>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не используется</t>
  </si>
  <si>
    <t>ВЦП "Развитие системы мер социальной поддержки населения ЯО"</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</si>
  <si>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</si>
  <si>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</si>
  <si>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</si>
  <si>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</si>
  <si>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</si>
  <si>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</si>
  <si>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</si>
  <si>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</si>
  <si>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МП "Поддержка садоводческих, огороднических и дачных некоммерческих объединений на территории ТМР на 2009 - 2011 годы"</t>
  </si>
  <si>
    <t>Меры государственной защиты потерпевших, свидетелей и иных участников уголовного судопроизводства</t>
  </si>
  <si>
    <t>Продовольственное обеспечение вне рамок государственного оборонного заказа</t>
  </si>
  <si>
    <t>Компенсация стоимости продовольственного пайка</t>
  </si>
  <si>
    <t>Субсидии на поддержку социально значимых проектов в сфере периодической печати</t>
  </si>
  <si>
    <t>Субсидии стационарам сложного протезирования на оплату дней пребывания инвалидов в стационарах</t>
  </si>
  <si>
    <t>Федеральный закон от 12 января 1995 года № 5-ФЗ "О ветеранах"</t>
  </si>
  <si>
    <t>Осуществление ежемесячной денежной выплаты Героям Советского Союза, Героям Российской Федерации и полным кавалерам ордена Славы</t>
  </si>
  <si>
    <t xml:space="preserve"> Федеральная  энергетическая  комиссия   РФ</t>
  </si>
  <si>
    <t xml:space="preserve"> Центральная избирательная комиссия РФ</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</si>
  <si>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</si>
  <si>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Приобретение жилья гражданами, подлежащими отселению с комплекса "Байконур"</t>
  </si>
  <si>
    <t xml:space="preserve"> Министерство обороны Российской Федерации</t>
  </si>
  <si>
    <t>Субсидии на навигационно-гидрографическое обеспечение судоходства на трассах Севморпути</t>
  </si>
  <si>
    <t>Резервные фонды</t>
  </si>
  <si>
    <t>Другие общегосударственные вопросы</t>
  </si>
  <si>
    <t>Подпрограмма "Обеспечение функционирования и развития системы ГЛОНАСС"</t>
  </si>
  <si>
    <t>Выплата пенсий по государственному пенсионному обеспечению</t>
  </si>
  <si>
    <t>Государственный материальный резерв</t>
  </si>
  <si>
    <t>Фундаментальные исследования</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</si>
  <si>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</si>
  <si>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</si>
  <si>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</si>
  <si>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</si>
  <si>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Инвестиционный фонд</t>
  </si>
  <si>
    <t>Приоритетные направления науки и техники</t>
  </si>
  <si>
    <t>Субсидии на поддержку научных мероприятий</t>
  </si>
  <si>
    <t>Реализация государственной политики занятости населения</t>
  </si>
  <si>
    <t>Процентные платежи по государственному долгу Российской Федерации</t>
  </si>
  <si>
    <t>Периодические издания, учрежденные органами законодательной и исполнительной власти</t>
  </si>
  <si>
    <t>Учреждения, обеспечивающие предоставление услуг в сфере здравоохранения</t>
  </si>
  <si>
    <t>Поликлиники, амбулатории, диагностические центры</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</si>
  <si>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</si>
  <si>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Государственная поддержка воздушного транспорта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</si>
  <si>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</si>
  <si>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</si>
  <si>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</si>
  <si>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</si>
  <si>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Подпрограмма "Гражданская авиация"</t>
  </si>
  <si>
    <t>Подпрограмма "Морской транспорт"</t>
  </si>
  <si>
    <t>Подпрограмма "Внутренние водные пути"</t>
  </si>
  <si>
    <t>Обеспечение инвалидов транспортными средствами</t>
  </si>
  <si>
    <t>Подпрограмма "Онкология"</t>
  </si>
  <si>
    <t>Подпрограмма "Инфекции, передаваемые половым путем"</t>
  </si>
  <si>
    <t>Субсидии на возмещение расходов по содержанию специальных объектов</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</si>
  <si>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</si>
  <si>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</si>
  <si>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Другие вопросы в области национальной безопасности и правоохранительной деятельности</t>
  </si>
  <si>
    <t>Обслуживание внешнего государственного долга</t>
  </si>
  <si>
    <t>Другие вопросы в области национальной экономики</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</si>
  <si>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</si>
  <si>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</si>
  <si>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</si>
  <si>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</si>
  <si>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</si>
  <si>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</si>
  <si>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</si>
  <si>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</si>
  <si>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</si>
  <si>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</si>
  <si>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</si>
  <si>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</si>
  <si>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</si>
  <si>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</si>
  <si>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</si>
  <si>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</si>
  <si>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</si>
  <si>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Больницы, клиники, госпитали, медико-санитарные части</t>
  </si>
  <si>
    <t>Руководство и управление в сфере установленных функций</t>
  </si>
  <si>
    <t>Аудиторы Счетной палаты Российской Федерации</t>
  </si>
  <si>
    <t>Члены Центральной избирательной комиссии Российской Федерации</t>
  </si>
  <si>
    <t>Администрация Фоминской сельской территории</t>
  </si>
  <si>
    <t>Исследование и использование космического пространства</t>
  </si>
  <si>
    <t>Воспроизводство минерально-сырьевой базы</t>
  </si>
  <si>
    <t>Водные ресурсы</t>
  </si>
  <si>
    <t>Лесное хозяйство</t>
  </si>
  <si>
    <t>Прикладные научные исследования в области национальной экономики</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</si>
  <si>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</si>
  <si>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</si>
  <si>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Ядерно-оружейный комплекс</t>
  </si>
  <si>
    <t xml:space="preserve"> Российская академия художеств</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</si>
  <si>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</si>
  <si>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Переселение граждан в другую местность</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</si>
  <si>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</si>
  <si>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</si>
  <si>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Бюджетные инвестиции иным юридическим лицам</t>
  </si>
  <si>
    <t>Бюджетные инвестиции на приобретение объектов недвижимого имущества казенным учреждениям</t>
  </si>
  <si>
    <t>Подпрограмма "Ярославские каникулы" в части компенсации стоимости санаторно-курортной путевки лицам, нуждающимся в санаторно-курортном лечении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</si>
  <si>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</si>
  <si>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Компенсация расходов на содержание ребенка в дошкольной образовательной организации</t>
  </si>
  <si>
    <t>Резервные фонды местных администраций</t>
  </si>
  <si>
    <t>Субсидия на содержание органов местного самоуправления</t>
  </si>
  <si>
    <t>Издание за счет грантовых программ юридической литературы по правовому информированию населения и пропаганде правовых знаний</t>
  </si>
  <si>
    <t>Подпрограмма "Стимулирование программ развития жилищного строительства субъектов Российской Федерации"</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</si>
  <si>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</si>
  <si>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</si>
  <si>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</si>
  <si>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</si>
  <si>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</si>
  <si>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</si>
  <si>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</si>
  <si>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</si>
  <si>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</si>
  <si>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Мероприятия в топливно-энергетической области</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</si>
  <si>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</si>
  <si>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Обеспечение функционирования Вооруженных Сил Российской Федерации</t>
  </si>
  <si>
    <t>Продовольственное обеспечение</t>
  </si>
  <si>
    <t>Федеральная целевая программа "Развитие государственной статистики России в 2007 - 2011 годах"</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</si>
  <si>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</si>
  <si>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Доплаты к пенсиям государственных служащих субъектов Российской Федерации и муниципальных служащих </t>
  </si>
  <si>
    <t>Учреждения социального обслуживание  населения</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</si>
  <si>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</si>
  <si>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Бюджетные инвестиции в объекты капитального строительства собственности муниципальных образований</t>
  </si>
  <si>
    <t>Мероприятия в сфере культуры, кинематографии и средств массовой информации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</si>
  <si>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</si>
  <si>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Государственная поддержка в сфере средств массовой информации</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</si>
  <si>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</si>
  <si>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</si>
  <si>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</si>
  <si>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</si>
  <si>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</si>
  <si>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</si>
  <si>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</si>
  <si>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</si>
  <si>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</si>
  <si>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</si>
  <si>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</si>
  <si>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</si>
  <si>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Субсидии на государственную поддержку развития кооперации российских образовательных учреждений высшего профессионального образования</t>
  </si>
  <si>
    <t>Федеральная целевая программа "Экономическое и социальное развитие коренных малочисленных народов Севера до 2011 года"</t>
  </si>
  <si>
    <t>Функ. кл.</t>
  </si>
  <si>
    <t>Целев. ст.</t>
  </si>
  <si>
    <t>Вид. расх.</t>
  </si>
  <si>
    <t>Физкультурно-оздоровительная работа и спортивные мероприятия</t>
  </si>
  <si>
    <t>Музеи и постоянные выставки</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</si>
  <si>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</si>
  <si>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Мероприятия в области сельскохозяйственного производства</t>
  </si>
  <si>
    <t>Реализация мероприятий в рамках базовой программы обязательного медицинского страхования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</si>
  <si>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</si>
  <si>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Федеральный закон от 12 января 1996 года № 8-ФЗ "О погребении и похоронном деле"</t>
  </si>
  <si>
    <t>Детские дома</t>
  </si>
  <si>
    <t>Код</t>
  </si>
  <si>
    <t>Наименование</t>
  </si>
  <si>
    <t>Российская антарктическая и арктическая экспедиции</t>
  </si>
  <si>
    <t>МУ Управление единого заказчика ТМО</t>
  </si>
  <si>
    <t>МУ Контрольно-счетная палата ТМР</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</si>
  <si>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</si>
  <si>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</si>
  <si>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</si>
  <si>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Субсидии организациям транспорта, осуществляющим приобретение автотехники для пополнения подвижного состава автоколонн войскового типа</t>
  </si>
  <si>
    <t>Государственная поддержка в сфере культуры, кинематографии и средств массовой информации</t>
  </si>
  <si>
    <t xml:space="preserve"> Министерство  имущественных  отношений  РФ</t>
  </si>
  <si>
    <t>Международные отношения и международное сотрудничество</t>
  </si>
  <si>
    <t>Содержание объектов инфраструктуры города Байконура, связанных с арендой космодрома Байконур</t>
  </si>
  <si>
    <t>Поддержка мер по обеспечению сбалансированности бюджетов</t>
  </si>
  <si>
    <t>Геолого-разведочные и другие работы в области геологического изучения недр</t>
  </si>
  <si>
    <t>Субсидии казенным предприятиям оборонно-промышленного комплекса</t>
  </si>
  <si>
    <t>Покрытие дефицита бюджета Фонда социального страхования Российской Федерации"</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</si>
  <si>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</si>
  <si>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</si>
  <si>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"Развитие электронной компонентной базы" на 2007 - 2011 годы</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</si>
  <si>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</si>
  <si>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Утилизация и ликвидация вооружений</t>
  </si>
  <si>
    <t>Дома-интернаты для престарелых и инвалидов</t>
  </si>
  <si>
    <t>Учреждения по обучению инвалидов</t>
  </si>
  <si>
    <t>Поддержка туристической деятельности</t>
  </si>
  <si>
    <t>Реализация государственных функций в области социальной политики</t>
  </si>
  <si>
    <t>Содержание и обеспечение деятельности учреждения, обеспечивающего функционирование системы весового контроля автотранспортных средств</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</si>
  <si>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</si>
  <si>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</si>
  <si>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Подпрограмма "Артериальная гипертония"</t>
  </si>
  <si>
    <t>Государственный комитет РФ по рыболовству</t>
  </si>
  <si>
    <t>Министерство РФ по связи и информатизации</t>
  </si>
  <si>
    <t>Обеспечение граждан квалифицированной юридической помощью по назначению органов дознания, органов предварительного следствия, прокурора</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</si>
  <si>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</si>
  <si>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</si>
  <si>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Подпрограмма "Модернизация и создание перспективных средств навигации в интересах специальных потребителей"</t>
  </si>
  <si>
    <t>Международные обязательства в сфере военно-технического сотрудничества</t>
  </si>
  <si>
    <t>Развитие подведомственных центров реабилитации Фонда социального страхования Российской Федерации</t>
  </si>
  <si>
    <t xml:space="preserve"> Федеральный горный и промышленный надзор России</t>
  </si>
  <si>
    <t xml:space="preserve"> Общеэкономические вопросы</t>
  </si>
  <si>
    <t>Администрация Никольской сельской территории</t>
  </si>
  <si>
    <t>Государственный комитет РФ по оборонному заказу при Министерстве обороны РФ</t>
  </si>
  <si>
    <t xml:space="preserve"> Федеральная служба геодезии и картографии России</t>
  </si>
  <si>
    <t>Субсидии государственным цирковым организациям</t>
  </si>
  <si>
    <t>Проведение углубленных медицинских осмотров работников, занятых на работах с вредными и (или) опасными производственными факторами</t>
  </si>
  <si>
    <t>Развитие социальной и инженерной инфраструктуры</t>
  </si>
  <si>
    <t>Обеспечение создания государственной системы изготовления, оформления и контроля паспортно-визовых документов нового поколения</t>
  </si>
  <si>
    <t>Администрация Родионовского сельского поселения</t>
  </si>
  <si>
    <t>Предупреждение и ликвидация последствий чрезвычайных ситуаций и стихийных бедствий природного и техногенного характера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</si>
  <si>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</si>
  <si>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Ликвидация межтерриториального перекрестного субсидирования в электроэнергетике</t>
  </si>
  <si>
    <t>Управление делами Президента Российской Федерации</t>
  </si>
  <si>
    <t>Обеспечение визитов делегаций высших органов власти за рубеж</t>
  </si>
  <si>
    <t>Мероприятия по обеспечению мобилизационной готовности экономики</t>
  </si>
  <si>
    <t>Осуществление высшим исполнительным органом государственной власти Санкт-Петербурга полномочий по управлению федеральным имуществом</t>
  </si>
  <si>
    <t>Сбор, удаление отходов и очистка сточных вод</t>
  </si>
  <si>
    <t>Охрана объектов растительного и животного мира и среды их обитания</t>
  </si>
  <si>
    <t>ОБРАЗОВАНИЕ</t>
  </si>
  <si>
    <t>Департамент финансов администрации ТМР</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</si>
  <si>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</si>
  <si>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Федеральная целевая программа "Комплексные меры противодействия злоупотреблению наркотиками и их незаконному обороту на 2005 - 2009 годы"</t>
  </si>
  <si>
    <t>Федеральная целевая программа "Развитие российских космодромов на 2006 - 2015 годы"</t>
  </si>
  <si>
    <t>Покрытие дефицита бюджета Пенсионного фонда Российской Федерации</t>
  </si>
  <si>
    <t>Обеспечение государственного материального резерва</t>
  </si>
  <si>
    <t>Субсидии организациям ядерно-оружейного комплекса</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</si>
  <si>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</si>
  <si>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</si>
  <si>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</si>
  <si>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</si>
  <si>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</si>
  <si>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</si>
  <si>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</si>
  <si>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</si>
  <si>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</si>
  <si>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</si>
  <si>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</si>
  <si>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</si>
  <si>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</si>
  <si>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</si>
  <si>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</si>
  <si>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</si>
  <si>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Обеспечение мероприятий по защите российского морского судоходства и противодействия пиратству</t>
  </si>
  <si>
    <t>Содержание пунктов пропуска через государственную границу Российской Федерации</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</si>
  <si>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</si>
  <si>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</si>
  <si>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</si>
  <si>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</si>
  <si>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</si>
  <si>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</si>
  <si>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Социальное обеспечение и иные выплаты населению</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</si>
  <si>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</si>
  <si>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</si>
  <si>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</si>
  <si>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</si>
  <si>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</si>
  <si>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</si>
  <si>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</si>
  <si>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</si>
  <si>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</si>
  <si>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</si>
  <si>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</si>
  <si>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</si>
  <si>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</si>
  <si>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</si>
  <si>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</si>
  <si>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</si>
  <si>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</si>
  <si>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</si>
  <si>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</si>
  <si>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</si>
  <si>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</si>
  <si>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</si>
  <si>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</si>
  <si>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Средства массовой информации</t>
  </si>
  <si>
    <t>Мероприятия в сфере средств массовой информации</t>
  </si>
  <si>
    <t>Мероприятия по обеспечению жильем отдельных категорий граждан</t>
  </si>
  <si>
    <t>Другие виды транспорта</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</si>
  <si>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</si>
  <si>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Выплата базовой части трудовой пенсии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</si>
  <si>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</si>
  <si>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</si>
  <si>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</si>
  <si>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</si>
  <si>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</si>
  <si>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</si>
  <si>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</si>
  <si>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</si>
  <si>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Предоставление субсидий федеральным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</si>
  <si>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</si>
  <si>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</si>
  <si>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</si>
  <si>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</si>
  <si>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</si>
  <si>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Обслуживание государственного долга Российской Федерации</t>
  </si>
  <si>
    <t>Иные бюджетные ассигнования</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</si>
  <si>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</si>
  <si>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</si>
  <si>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</si>
  <si>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</si>
  <si>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</si>
  <si>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</si>
  <si>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</si>
  <si>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</si>
  <si>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</si>
  <si>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 xml:space="preserve"> Российский фонд фундаментальных исследований</t>
  </si>
  <si>
    <t>МУ ИЦ "Берега"</t>
  </si>
  <si>
    <t xml:space="preserve"> Российская академия образования</t>
  </si>
  <si>
    <t>Федеральная целевая программа "Развитие гражданской авиационной техники России на 2002 - 2010 годы и на период до 2015 года"</t>
  </si>
  <si>
    <t>Жилищное хозяйство</t>
  </si>
  <si>
    <t>Коммунальное хозяйство</t>
  </si>
  <si>
    <t xml:space="preserve"> Федеральный надзор России по ядерной и  радиационной безопасности</t>
  </si>
  <si>
    <t>Штрафы за экологическое правонарушение</t>
  </si>
  <si>
    <t>Подготовка населения и организаций к действиям в чрезвычайной ситуации в мирное и военное время</t>
  </si>
  <si>
    <t>Мероприятия по депортации (административному выдворению)</t>
  </si>
  <si>
    <t>Государственная поддержка сельского хозяйства</t>
  </si>
  <si>
    <t xml:space="preserve"> Представительство Правительства РФ в Чеченской республике</t>
  </si>
  <si>
    <t>ОХРАНА ОКРУЖАЮЩЕЙ СРЕДЫ</t>
  </si>
  <si>
    <t>Экологический контроль</t>
  </si>
  <si>
    <t xml:space="preserve"> Главное управление специальных программ Президента РФ</t>
  </si>
  <si>
    <t>Обеспечение проведения ремонта индивидуальных жилых домов, принадлежащих членам семей военнослужащих, потерявшим кормильца</t>
  </si>
  <si>
    <t>Осуществление ежемесячной денежной выплаты Героям Социалистического Труда и полным кавалерам ордена Трудовой Славы</t>
  </si>
  <si>
    <t>Прикладные научные исследования в области образования</t>
  </si>
  <si>
    <t>Администрация Великосельской сельской территории</t>
  </si>
  <si>
    <t>Компенсация стоимости вещевого имущества</t>
  </si>
  <si>
    <t>Обеспечение ведения специальной части индивидуальных лицевых счетов застрахованных лиц, формирование средств пенсионных накоплений</t>
  </si>
  <si>
    <t>Аппараты органов управления государственных внебюджетных фондов</t>
  </si>
  <si>
    <t>Военный персонал</t>
  </si>
  <si>
    <t>Субсидии организациям народных художественных промыслов на поддержку производства и реализации изделий народных художественных промыслов</t>
  </si>
  <si>
    <t>Служба внешней разведки Российской Федерации</t>
  </si>
  <si>
    <t>Обеспечение мероприятий по празднованию Победы советского народа в Великой Отечественной войне 1941-1945 годов</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</si>
  <si>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</si>
  <si>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</si>
  <si>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Субсидии организациям культуры, кинематографии и средств массовой информации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</si>
  <si>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</si>
  <si>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Обеспечение и проведение предпродажной подготовки и продажи федерального имущества</t>
  </si>
  <si>
    <t>Осуществление передаваемых полномочий Российской Федерации в области охраны здоровья граждан</t>
  </si>
  <si>
    <t>Председатель Правительства Российской Федерации и его заместители</t>
  </si>
  <si>
    <t>Территориальные органы</t>
  </si>
  <si>
    <t>Реализация отдельных полномочий в области лесных отношений</t>
  </si>
  <si>
    <t>Учреждения, обеспечивающие предоставление услуг в сфере недропользования</t>
  </si>
  <si>
    <t>Судебная система</t>
  </si>
  <si>
    <t xml:space="preserve"> Российское агентство по государственным резервам</t>
  </si>
  <si>
    <t>Пособия и компенсации военнослужащим, приравненным к ним лицам, а также уволенным из их числа</t>
  </si>
  <si>
    <t xml:space="preserve"> Министерство РФ по антимонопольной политике и поддержке предпринимательства</t>
  </si>
  <si>
    <t>Оказание других видов социальной помощи по решению суда</t>
  </si>
  <si>
    <t>Мероприятия, направленные на развитие федеральных автономных учреждений</t>
  </si>
  <si>
    <t>Процентные платежи по долговым обязательствам</t>
  </si>
  <si>
    <t>Фонд социального страхования РФ</t>
  </si>
  <si>
    <t>Приобретение жилья гражданами, выезжающими из районов Крайнего Севера и приравненных к ним местностей</t>
  </si>
  <si>
    <t>Проведение выборов в представительные органы муниципального образования</t>
  </si>
  <si>
    <t>Предоставление гражданам субсидий на оплату жилого помещения и коммунальных услуг</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</si>
  <si>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</si>
  <si>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</si>
  <si>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</si>
  <si>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</si>
  <si>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</si>
  <si>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</si>
  <si>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</si>
  <si>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Закупка товаров, работ, услуг в сфере информационно-коммуникационных технологий</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</si>
  <si>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</si>
  <si>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</si>
  <si>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</si>
  <si>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</si>
  <si>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</si>
  <si>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</si>
  <si>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</si>
  <si>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 xml:space="preserve"> Прогнозируемые доходы бюджета Тутаевского муниципального района на 2012 год  в соответствии с классификацией доходов бюджетов Российской Федерации</t>
  </si>
  <si>
    <t>Код бюджетной классификации РФ</t>
  </si>
  <si>
    <t>Название дохода</t>
  </si>
  <si>
    <t>Администратора</t>
  </si>
  <si>
    <t>Группы</t>
  </si>
  <si>
    <t>Подгруппы</t>
  </si>
  <si>
    <t>Статьи и   подстатьи</t>
  </si>
  <si>
    <t>Элемента</t>
  </si>
  <si>
    <t>Программы</t>
  </si>
  <si>
    <t>Экономической классификации</t>
  </si>
  <si>
    <t>000</t>
  </si>
  <si>
    <t>1</t>
  </si>
  <si>
    <t>00</t>
  </si>
  <si>
    <t>00000</t>
  </si>
  <si>
    <t>0000</t>
  </si>
  <si>
    <t>Доходы</t>
  </si>
  <si>
    <t>01</t>
  </si>
  <si>
    <t>Налоги на прибыль, доходы</t>
  </si>
  <si>
    <t>182</t>
  </si>
  <si>
    <t>02000</t>
  </si>
  <si>
    <t>110</t>
  </si>
  <si>
    <t>Налог на доходы физических лиц</t>
  </si>
  <si>
    <t>05</t>
  </si>
  <si>
    <t>Налоги на совокупный доход</t>
  </si>
  <si>
    <t>01040</t>
  </si>
  <si>
    <t>02</t>
  </si>
  <si>
    <t>Доходы от выдачи патентов на осуществление предпринимательской деятельности при применении упрощенной системы налогообложения</t>
  </si>
  <si>
    <t>Единый налог на вменённый доход для отдельных видов деятельности</t>
  </si>
  <si>
    <t>03000</t>
  </si>
  <si>
    <t>Единый сельскохозяйственный налог</t>
  </si>
  <si>
    <t>08</t>
  </si>
  <si>
    <t>Государственная пошлина</t>
  </si>
  <si>
    <t>Государственная пошлина по делам, рассматриваемым в судах общей юрисдикции, мировыми судьями</t>
  </si>
  <si>
    <t>07000</t>
  </si>
  <si>
    <t>Государственная пошлина за государственную регистрацию, а также за совершение прочих юридически значимых действий</t>
  </si>
  <si>
    <t>11</t>
  </si>
  <si>
    <t>Доходы от использования имущества, находящегося в государственной и муниципальной собственности</t>
  </si>
  <si>
    <t>01000</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</si>
  <si>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</si>
  <si>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</si>
  <si>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952</t>
  </si>
  <si>
    <t>01050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</si>
  <si>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</si>
  <si>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05000</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</si>
  <si>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</si>
  <si>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05013</t>
  </si>
  <si>
    <t>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</si>
  <si>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</si>
  <si>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05035</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</si>
  <si>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</si>
  <si>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12</t>
  </si>
  <si>
    <t>Платежи при пользовании природными ресурсами</t>
  </si>
  <si>
    <t>048</t>
  </si>
  <si>
    <t>Плата за негативное воздействие на окружающую среду</t>
  </si>
  <si>
    <t>02030</t>
  </si>
  <si>
    <t xml:space="preserve">Регулярные   платежи   за    пользование                             недрами    при    пользовании    недрами                             (ренталс)   на   территории   Российской                             Федерации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</si>
  <si>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</si>
  <si>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</si>
  <si>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</si>
  <si>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06000</t>
  </si>
  <si>
    <t>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</si>
  <si>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</si>
  <si>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06010</t>
  </si>
  <si>
    <t>Доходы от продажи земельных участков, государственная собственность на которые не разграничена</t>
  </si>
  <si>
    <t>06020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</si>
  <si>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</si>
  <si>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</si>
  <si>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</si>
  <si>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</si>
  <si>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</si>
  <si>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</si>
  <si>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</si>
  <si>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</si>
  <si>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955</t>
  </si>
  <si>
    <t>151</t>
  </si>
  <si>
    <t>Дотации бюджетам субъектов Российской Федерации и муниципальных образований</t>
  </si>
  <si>
    <t>01001</t>
  </si>
  <si>
    <t>Дотации бюджетам муниципальных районов на выравнивание бюджетной обеспеченности</t>
  </si>
  <si>
    <t>Дотации бюджетам поселений на выравнивание бюджетной обеспеченности</t>
  </si>
  <si>
    <t>01003</t>
  </si>
  <si>
    <t>Дотации бюджетам муниципальных районов на поддержку мер по обеспечению сбалансированности бюджетов</t>
  </si>
  <si>
    <t xml:space="preserve">Субсидии бюджетам субъектов Российской Федерации и муниципальных образований </t>
  </si>
  <si>
    <t>Субсидия на содержание учреждений социальной сферы муниципальных образований</t>
  </si>
  <si>
    <t>Субсидия на реализацию подпрограммы "Государственная поддержка молодых семей Ярославской области в приобретении (строительстве) жилья"</t>
  </si>
  <si>
    <t>Субсидия на реализацию подпрограммы "Государственная поддержка граждан, проживающих на территории Ярославской области, в сфере ипотечного кредитования"</t>
  </si>
  <si>
    <t>Субсидия на проведение мероприятий по повышению энергоэффективности в муниципальных районах(городских округах) в рамках реализации областной целевой программы "Энергосбережение и повышение эергоэффективности в Ярославской области"</t>
  </si>
  <si>
    <t>Субсидия на реализацию мероприятий областной целевой программы "Берегоукрепление"</t>
  </si>
  <si>
    <t>Субсидия на реализацию областной целевой программы "Обращение с твердыми бытовыми отходами на территории Ярославской области"  в части модернизации инфраструктуры в сфере обращения с твердыми бытовыми отходами</t>
  </si>
  <si>
    <t>Субсидия на оказание (выполнение) муниципальными учреждениями услуг (работ) в сфере молодежной политики, физической культуры и спорта</t>
  </si>
  <si>
    <t>Субсидия на финансирование дорожного хозяйства</t>
  </si>
  <si>
    <t>Субсидия на реализацию мероприятий по патриотическому воспитанию молодежи Ярославской области</t>
  </si>
  <si>
    <t>Субсидия на государственную поддержку материально-технической базы образовательных учреждений Ярославской области</t>
  </si>
  <si>
    <t>Субсидия на реализацию областной целевой программы "Поддержка потребительского рынка на селе" в части возмещения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</si>
  <si>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Субсидия на обеспечение предоставления услуг по дошкольному образованию детей в дошкольных образовательных учреждениях</t>
  </si>
  <si>
    <t xml:space="preserve">Субсидия на реализацию подпрограммы "Семья и дети" областной целевой программы "Семья и дети Ярославии" </t>
  </si>
  <si>
    <t>Субсидия на реализацию подпрограммы "Ярославские каникулы" областной целевой программы "Семья и дети Ярославии" в части оздоровления и отдыха детей</t>
  </si>
  <si>
    <t>Субсидия на реализацию подпрограммы "Ярославские каникулы" областной целевой программы "Семья и дети Ярославии" в части оплаты стоимости наборов продуктов питания в лагерях с дневной формой пребывания детей, расположенных на территории Ярославской области</t>
  </si>
  <si>
    <t>Субсидия на реализацию подпрограммы "Ярославские каникулы" областной целевой программы "Семья и дети Ярославии" в части организации профильных лагерей</t>
  </si>
  <si>
    <t>Субсидия на реализацию подпрограммы "Ярославские каникулы" областной целевой программы "Семья и дети Ярославии" в части компенсации стоимости санаторно-курортной путевки лицам, нуждающимся в санаторно-курортном лечении</t>
  </si>
  <si>
    <t>Субсидия на реализацию областной целевой программы "Комплексные меры противодействия злоупотреблению наркотиками и их незаконному обороту"</t>
  </si>
  <si>
    <t>Субсидия на реализацию областной целевой программы "Чистая вода"</t>
  </si>
  <si>
    <t>Субсидия на реализацию областной целевой программы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</si>
  <si>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t>
  </si>
  <si>
    <t>Субсидия на реализацию региональной программы "Социальная поддержка пожилых граждан в Ярославской области" в сфере молодёжной политики</t>
  </si>
  <si>
    <t>Субсидия на оплату труда работников сферы культуры</t>
  </si>
  <si>
    <t>Субсидия на оплату труда работников сфер молодежной политики, физической культуры и спорта</t>
  </si>
  <si>
    <t>Субсидия на реализацию региональной программы "Социальная поддержка пожилых граждан в Ярославской области" в сфере культуры</t>
  </si>
  <si>
    <t>Субсидия на частичную компенсацию расходов, связанных с выполнением полномочий органами местного самоуправления муниципальных образований по теплоснабжению</t>
  </si>
  <si>
    <t>Субвенции бюджетам субъектов Российской Федерации и муниципальных образований</t>
  </si>
  <si>
    <t>Субвенция на осуществление первичного воинского учета на территориях, где отсутствуют военные комиссариаты</t>
  </si>
  <si>
    <t>Субвенция на  государственную регистрацию актов гражданского состояния</t>
  </si>
  <si>
    <t>Субвенция на составление (изменение и дополнение) списков кандидатов в присяжные заседатели федеральных судов общей юрисдикции в Российской Федерации</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</si>
  <si>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t>
  </si>
  <si>
    <t>Субвенция на выплату единовременного пособия при всех формах устройства детей, лишенных родительского попечения, в семью</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</si>
  <si>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</si>
  <si>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Субвенция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</si>
  <si>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Субвенция на предоставление мер социальной поддержки для лиц, награжденных знаком "Почетный донор России" ("Почетный донор СССР"), в части осуществления ежегодной денежной выплаты</t>
  </si>
  <si>
    <t>Субвенция на оплату жилого помещения и коммунальных услуг отдельным категориям граждан в соответствии с федеральным законодательством</t>
  </si>
  <si>
    <t>Субвенция на предоставление гражданам субсидий на оплату жилого помещения и коммунальных услуг</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</si>
  <si>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</si>
  <si>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и труженикам тыла</t>
  </si>
  <si>
    <t>Субвенция на социальную поддержку отдельных категорий  граждан в части ежемесячной денежной выплаты реабилитированным гражданам</t>
  </si>
  <si>
    <t>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t>
  </si>
  <si>
    <t>Субвенция на компенсацию расходов на содержание ребенка в дошкольной образовательной организации</t>
  </si>
  <si>
    <t>Субвенция на содержание ребенка в семье опекуна и приемной семье, а также вознаграждение, причитающееся приемному родителю</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</si>
  <si>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</si>
  <si>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</si>
  <si>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содержание муниципальных казенных учреждений социального обслуживания населения, выполнение муниципальных заданий муниципальными бюджетными учреждениями социального обслуживания населения и бюджетные инвестиции</t>
  </si>
  <si>
    <t>Субвенция на денежные выплаты</t>
  </si>
  <si>
    <t>Субвенция на содержание муниципальных образовательных учреждений для детей-сирот и детей, оставшихся без попечения родителей, и на предоставление социальных гарантий их воспитанникам</t>
  </si>
  <si>
    <t>Субвенция на государственную поддержку опеки и попечительства</t>
  </si>
  <si>
    <t xml:space="preserve">Субвенция на выплаты медицинским работникам, осуществляющим медицинское обслуживание обучающихся и воспитанников муниципальных образовательных учреждений </t>
  </si>
  <si>
    <t>Субвенция на организацию образовательного процесса в образовательных учреждениях</t>
  </si>
  <si>
    <t>Субвенция на обеспечение  бесплатным питанием обучающихся муниципальных общеобразовательных учреждений</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</si>
  <si>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</si>
  <si>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</si>
  <si>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</si>
  <si>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освобождение от оплаты стоимости  проезда на транспорте детей из многодетных семей, обучающихся в общеобразовательных учреждениях</t>
  </si>
  <si>
    <t>Субвенция на оказание социальной помощи отдельным категориям  граждан</t>
  </si>
  <si>
    <t>Субвенция на реализацию отдельных полномочий в сфере законодательства об административных правонарушениях</t>
  </si>
  <si>
    <t>04000</t>
  </si>
  <si>
    <t>Иные межбюджетные трансферты</t>
  </si>
  <si>
    <t>Межбюджетные трансферты  на комплектование книжных фондов библиотек муниципальных образований</t>
  </si>
  <si>
    <t>Межбюджетные трансферты на обеспечение казначейской системы исполнения областного бюджета в муниципальных районах Ярославской области</t>
  </si>
  <si>
    <t>Межбюджетные трансферты на на реализацию областной целевой программы "О государственной поддержке отдельных категорий граждан, проживающих в Ярославской области, по проведению ремонта жилых помещений и (или) работ, направленных на повышение уровня обеспеченности их коммунальными услугами"</t>
  </si>
  <si>
    <t>Межбюджетные трансферты на реализацию региональной программы "Социальная поддержка пожилых граждан в Ярославской области" в сфере социальной политики</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</si>
  <si>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</si>
  <si>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</si>
  <si>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</si>
  <si>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Межбюджетные трансферты</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</si>
  <si>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</si>
  <si>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</si>
  <si>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Прочие дотации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</si>
  <si>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</si>
  <si>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Приложение 4</t>
  </si>
  <si>
    <t>Субсидия на обеспечение мероприятий по капитальному ремонту многоквартирных домов за счет средств, поступивших от государственной корпорации-Фонд содействия реформированию ЖКХ</t>
  </si>
  <si>
    <t>Субсидия на обеспечение мероприятий по капитальному ремонту многоквартирных домов за счет средств областного бюджета</t>
  </si>
  <si>
    <t>Межбюджетные трансферты на оказание государственной поддержки победителям конкурса муниципальных моделей межведомственного взаимодействия по сопровождению и поддержке семей, воспитывающих детей-инвалидов и детей с ограниченными возможностями здоровья</t>
  </si>
  <si>
    <t>Межбюджетные трансферты на поощрение победителей и призеров смотра-конкурса на лучшую постановку учебно-тренировочной работы по подготовке спортивного резерва и спортсменов высокого класса</t>
  </si>
  <si>
    <t>01999</t>
  </si>
  <si>
    <t>1001</t>
  </si>
  <si>
    <t xml:space="preserve">Дотация на реализацию мероприятий, предусмотренных нормативными актами органов государственной власти, в рамках ст.8 Закона ЯО от 07.10.2008 №40-з "О межбюджетных отношениях" </t>
  </si>
  <si>
    <t>Субсидия на оказание государственной поддержки победителям ежегодного областного конкурса проектов инновационных моделей работы по выявлению, поддержке и сопровождению одаренных детей</t>
  </si>
  <si>
    <t>ОЦП "Развитие туризма и отдыха в Ярославской области"</t>
  </si>
  <si>
    <t>Оказание гос. поддержки  побед конкурса мун. модел. по сопр. семей восп. детей-инвалидов</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</si>
  <si>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</si>
  <si>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Источники внутреннего финансирования дефицита                                                                    бюджета Тутаевского муниципального района на 2012 год</t>
  </si>
  <si>
    <t>Название</t>
  </si>
  <si>
    <t>955 01 02 00 00 00 0000 000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</si>
  <si>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</si>
  <si>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</si>
  <si>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</si>
  <si>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</si>
  <si>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бюджетом муниципального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</si>
  <si>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</si>
  <si>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</si>
  <si>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</si>
  <si>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бюджетом муниципального района кредитов от кредитных организаций в валюте в Российской Федерации</t>
  </si>
  <si>
    <t>955 01 03 00 00 00 0000 000</t>
  </si>
  <si>
    <t>Бюджетные кредиты от других бюджетов бюджетной системы Российской Федерации</t>
  </si>
  <si>
    <t>955 01 03 00 00 00 0000 800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</si>
  <si>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</si>
  <si>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</si>
  <si>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</si>
  <si>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</si>
  <si>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</si>
  <si>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бюджета муниципального района</t>
  </si>
  <si>
    <t>955 01 05 02 01 05 0000 610</t>
  </si>
  <si>
    <t>Уменьшение прочих остатков денежных средств бюджета муниципального района</t>
  </si>
  <si>
    <t>955 01 06 00 00 00 0000 000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</si>
  <si>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</si>
  <si>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</si>
  <si>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</si>
  <si>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</si>
  <si>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</si>
  <si>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</si>
  <si>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3</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</si>
  <si>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</si>
  <si>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</si>
  <si>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</si>
  <si>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Учреждения, обеспечивающие предоставление услуг, связанных с реструктуризацией угольной отрасли</t>
  </si>
  <si>
    <t>Повышение правовой грамотности и законопослушания населения России</t>
  </si>
  <si>
    <t>Министерство Российской Федерации по делам печати, телерадиовещания и средств массовых коммуникаций</t>
  </si>
  <si>
    <t>Председатель Высшего Арбитражного Суда Российской Федерации и судьи Высшего Арбитражного Суда Российской Федерации</t>
  </si>
  <si>
    <t>Судьи</t>
  </si>
  <si>
    <t>Судейское сообщество</t>
  </si>
  <si>
    <t>Обеспечение деятельности аппаратов судов</t>
  </si>
  <si>
    <t>Выплаты правопреемникам умерших застрахованных лиц</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</si>
  <si>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</si>
  <si>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Государственная поддержка внедрения комплексных мер модернизации образования</t>
  </si>
  <si>
    <t>ОЦП "Поддержка потребительского рынка на селе"</t>
  </si>
  <si>
    <t xml:space="preserve"> Государственный  комитет  РФ по физической культуре, спорту и туризму</t>
  </si>
  <si>
    <t>Миграционная политика</t>
  </si>
  <si>
    <t>Прикладные научные исследования в области национальной безопасности и правоохранительной деятельности</t>
  </si>
  <si>
    <t>Федеральная целевая программа "Развитие социальной инфраструктуры космодрома "Плесецк" и города Мирный"</t>
  </si>
  <si>
    <t>Поддержка государственных академий наук и их региональных отделений</t>
  </si>
  <si>
    <t>Проведение выборов главы муниципального образования</t>
  </si>
  <si>
    <t>Подготовка и участие в обеспечении коллективной безопасности и миротворческой деятельности;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</si>
  <si>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</si>
  <si>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</si>
  <si>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Федеральные целевые программы</t>
  </si>
  <si>
    <t>Федеральная целевая программа "Глобальная навигационная система"</t>
  </si>
  <si>
    <t>Федеральная целевая программа "Развитие физической культуры и спорта в Российской Федерации на 2006 - 2015 годы"</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</si>
  <si>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</si>
  <si>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</si>
  <si>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</si>
  <si>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Оздоровление детей погибших сотрудников правоохр.органов и военнослужащих</t>
  </si>
  <si>
    <t>Подпрограмма  "Отдых, оздоровление и занятость детей"</t>
  </si>
  <si>
    <t>Подпрограмма "Ярославские каникулы" победители ежегодного конкурса соц. знач. проектов сфере организации отдыха</t>
  </si>
  <si>
    <t xml:space="preserve">ОЦП"Господдержка материально-технической базы ОУ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</si>
  <si>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</si>
  <si>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</si>
  <si>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</si>
  <si>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</si>
  <si>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</si>
  <si>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</si>
  <si>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</si>
  <si>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</si>
  <si>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</si>
  <si>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'Международный термоядерный реактор ИТЭР' на 2002 - 2005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</si>
  <si>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</si>
  <si>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</si>
  <si>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</si>
  <si>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</si>
  <si>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</si>
  <si>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</si>
  <si>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</si>
  <si>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</si>
  <si>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</si>
  <si>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</si>
  <si>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</si>
  <si>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</si>
  <si>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</si>
  <si>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</si>
  <si>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</si>
  <si>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Сельское хозяйство и рыболовство</t>
  </si>
  <si>
    <t>Транспорт</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</si>
  <si>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</si>
  <si>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Выплаты независимым экспертам</t>
  </si>
  <si>
    <t>Комитет по земельным ресурсам и землеустройству области</t>
  </si>
  <si>
    <t>Федеральная служба по ветеринарному и фитосанитарному надзору</t>
  </si>
  <si>
    <t>Прикладные научные исследования в области охраны окружающей среды</t>
  </si>
  <si>
    <t>Начальное профессиональное образование</t>
  </si>
  <si>
    <t>Развитие сети национальных университетов и других образовательных учреждений</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</si>
  <si>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</si>
  <si>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</si>
  <si>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</si>
  <si>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</si>
  <si>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</si>
  <si>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</si>
  <si>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</si>
  <si>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</si>
  <si>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</si>
  <si>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</si>
  <si>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</si>
  <si>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Субсидия на реализацию мероприятий по подготовке к зиме объектов коммунального назначения</t>
  </si>
  <si>
    <t>Программа "Обеспечение доступного дошкольного образования" в части мероприятий по строительству дошкольных образовательных учреждений</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</si>
  <si>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</si>
  <si>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Приложение 5</t>
  </si>
  <si>
    <t>Распределение субсидий бюджетам поселений Тутаевского муниципального района на 2012 год</t>
  </si>
  <si>
    <t xml:space="preserve">Наименование </t>
  </si>
  <si>
    <t>Артемьевское сельское поселение</t>
  </si>
  <si>
    <t>Левобережное сельское поселение</t>
  </si>
  <si>
    <t>Городское поселение Тутаев</t>
  </si>
  <si>
    <t>Чебаковское сельское поселение</t>
  </si>
  <si>
    <t>Константиновское сельское поселение</t>
  </si>
  <si>
    <t>Приложение 6</t>
  </si>
  <si>
    <t xml:space="preserve">к решению Муниципального </t>
  </si>
  <si>
    <t>Порядок (методика) и условия распределения субсидий  бюджетам поселений Тутаевского муниципального района на 2012 год.</t>
  </si>
  <si>
    <t>Данная субсидия распределяется в порядке и на условиях, утвержденных законодательством Ярославской области.</t>
  </si>
  <si>
    <t>Федеральная целевая программа "Обеспечение безопасности полетов воздушных судов государственной авиации Российской Федерации в 2011 - 2015 годах"</t>
  </si>
  <si>
    <t>Субсидия на реализацию мероприятий по строительству и реконструкции объектов водоснабжения и водоотведения</t>
  </si>
  <si>
    <t>Констаниновское сельское поселение</t>
  </si>
  <si>
    <t>1.1</t>
  </si>
  <si>
    <t>Строительство водопровода</t>
  </si>
  <si>
    <t>2.1</t>
  </si>
  <si>
    <t>3</t>
  </si>
  <si>
    <t>Строительство колодцев</t>
  </si>
  <si>
    <t>3.1</t>
  </si>
  <si>
    <t>3.2</t>
  </si>
  <si>
    <t>3.3</t>
  </si>
  <si>
    <t xml:space="preserve">Строительству артезианской скважины в п Микляиха  </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</si>
  <si>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</si>
  <si>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</si>
  <si>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</si>
  <si>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</si>
  <si>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</si>
  <si>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Возврат бюджетных кредитов, прредоставленных юридическим лицам в валюте Российской Федерации</t>
  </si>
  <si>
    <t>Возврат бюджетных кредитов, прредоставленных юридическим лицам  из бюджетов муниципальных районов в валюте Российской Федерации</t>
  </si>
  <si>
    <t>Межбюджетные трансферты на реализацию ведомственной целевой программы "Социальная поддержка населения Ярославской области"</t>
  </si>
  <si>
    <t>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 содействия реформированию ЖКХ</t>
  </si>
  <si>
    <t>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</si>
  <si>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Субсидия на оказание государственной поддержки победителям ежегодного  конкурса социально-значимых проектов в сфере организации отдыха и оздоровления детей на территории Ярославской области</t>
  </si>
  <si>
    <t xml:space="preserve">Межбюджетные трансферты на реализацию дополнительных мероприятий, направленных на снижение напряженности на рынке труда </t>
  </si>
  <si>
    <t>Субсидия на реализацию областной целевой программы "Обеспечение доступности дошкольного образования в Ярославской области" в части мероприятий по строительству дошкольных образовательных учреждений</t>
  </si>
  <si>
    <t xml:space="preserve">Субсидия на проведение мероприятий по улучшению жилищных условий граждан Российской Федерации, проживающих в сельской местности </t>
  </si>
  <si>
    <t>Субсидия на реализацию подпрограммы Обеспечение жильем молодых семей" федеральной целевой программы "Жилище"</t>
  </si>
  <si>
    <t>Субсидия на реализацию Подпрограммы "Обеспечение жильем молодых семей" ФЦП "Жилище"</t>
  </si>
  <si>
    <t xml:space="preserve">Субсидия на государственную поддержку малого и среднего предпринимательства, включая крестьянские (фермерские) хозяйства </t>
  </si>
  <si>
    <t>Программа муниципальных внутренних заимствований Тутаевского муниципального района на 2012 год</t>
  </si>
  <si>
    <t>в том числе, направляемая на покрытие дефицита бюджета</t>
  </si>
  <si>
    <t>Кредитные соглашения и договоры, заключенные от имени района в валюте Российской Федерации</t>
  </si>
  <si>
    <t xml:space="preserve">в том числе </t>
  </si>
  <si>
    <t>кредиты кредитных организаций</t>
  </si>
  <si>
    <t>получение, в том числе:</t>
  </si>
  <si>
    <t xml:space="preserve"> - прочие организации</t>
  </si>
  <si>
    <t>погашение, в том числе</t>
  </si>
  <si>
    <t>погашение бюджетных кредитов, полученных от других бюджетов бюджетной системы Российской Федерации в валюте Российской Федерации</t>
  </si>
  <si>
    <t>ИТОГО:</t>
  </si>
  <si>
    <t>Получено:</t>
  </si>
  <si>
    <t>Погашено:</t>
  </si>
  <si>
    <t>1. Субсидия на реализацию  мероприятий областной целевой программы "Берегоукрепление"</t>
  </si>
  <si>
    <t>2. Субсидия на содержание органов местного самоуправления</t>
  </si>
  <si>
    <t>3. Субсидия на реализацию  мероприятий областной целевой программы "Обращение с твердыми бытовыми отходами на территории Ярославской области" в части модернизации инфраструктуры в сфере обращения с твердыми бытовыми отходами</t>
  </si>
  <si>
    <t>4. Субсидия на реализацию  мероприятий областной целевой программы "Комплексная программа модернизации и реформирования жилищно-коммунального хозяйства  Ярославской области" в части мероприятий по строительству  и реконструкции систем и объектов теплоснабжения и газификации</t>
  </si>
  <si>
    <t xml:space="preserve">5. Субсидия на компенсацию части затрат по организации внутримуниципального сообщения водным транспортом с использованием переправ  </t>
  </si>
  <si>
    <t xml:space="preserve">6. Субсидия на реализацию  муниципальных целевых программ развития субъектов малого и среднего предпринимательства, включенных в перечень монопрофильных муниципальных районов с высокой степенью проявления кризисной ситуации в социально-экономической сфере и (или) находящихся в зоне повышенной степени риска </t>
  </si>
  <si>
    <t>7. Субсидия на финансирование дорожного хозяйства</t>
  </si>
  <si>
    <t>8. Субсидия на реализацию региональной программы "Развитие водоснабжения, водоотведения и очистки сточных вод   Ярославской области"</t>
  </si>
  <si>
    <t>9.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 содействия реформированию жилищно-коммунального хозяйства</t>
  </si>
  <si>
    <t>10. 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</si>
  <si>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1. Порядок (методика) и условия распределения субсидии на реализацию мероприятий                 областной целевой программы "Берегоукрепление"</t>
  </si>
  <si>
    <t>2. Порядок (методика) и условия распределения субсидии на содержание органов местного самоуправления</t>
  </si>
  <si>
    <t>3. Порядок (методика) и условия распределения субсидии на  реализацию  мероприятий областной целевой программы "Обращение с твердыми бытовыми отходами на территории Ярославской области" в части модернизации инфраструктуры в сфере обращения с твердыми бытовыми отходами</t>
  </si>
  <si>
    <t>4. Порядок (методика) и условия распределения субсидии на реализацию мероприятий областной целевой программы "Комплексная программа модернизации и реформирования жилищно-коммунального хозяйства  Ярославской области" в части мероприятий по строительству  и реконструкции систем и объектов теплоснабжения и газификации</t>
  </si>
  <si>
    <t xml:space="preserve">5. Порядок (методика) и условия распределения субсидии на компенсацию части затрат по организации внутримуниципального сообщения водным транспортом с использованием переправ  </t>
  </si>
  <si>
    <t xml:space="preserve">6. Порядок (методика) и условия распределения субсидии  на реализацию  муниципальных целевых программ развития субъектов малого и среднего предпринимательства, включенных в перечень монопрофильных муниципальных районов с высокой степенью проявления кризисной ситуации в социально-экономической сфере и (или) находящихся в зоне повышенной степени риска </t>
  </si>
  <si>
    <t xml:space="preserve">7. Порядок (методика) и условия распределения субсидии на содержание дорожного хозяйства  </t>
  </si>
  <si>
    <t>8. Порядок (методика) и условия распределения субсидии на реализацию региональной программы "Развитие водоснабжения, водоотведения и очистки сточных вод в Ярославской области"</t>
  </si>
  <si>
    <t>9. Порядок (методика) и условия распределения субсидии на 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 содействия реформированию жилищно-коммунального хозяйства</t>
  </si>
  <si>
    <t>10. Порядок (методика) и условия распределения 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</si>
  <si>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 xml:space="preserve">Региональная программа "Стимулирование развития жилищного строительства на территории Ярославской области" </t>
  </si>
  <si>
    <t>Распределение иных межбюджетных трансфертов  бюджетам поселений Тутаевского муниципального района на 2012 год</t>
  </si>
  <si>
    <t>МБТ на приобретение детских городков, в том числе:</t>
  </si>
  <si>
    <t>1. Межбюджетные трансферты, передаваемые бюджетам поселений для компенсации дополнительных расходов, возникающих в результате решений, принятых оганами власти другого уровня</t>
  </si>
  <si>
    <t xml:space="preserve"> Порядок (методика) и условия распределения межбюджетных трансфертов бюджетам поселений Тутаевского муниципального района на 2012 год.</t>
  </si>
  <si>
    <t xml:space="preserve">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 (резервный фонд Правительства ЯО)
</t>
  </si>
  <si>
    <t>11. Порядок (методика) и условия распределения субсидии нареализацию ПП "Государственная поддержка молодых семей в приобретении (строительстве) жилья"</t>
  </si>
  <si>
    <t>1.1  Межбюджетные трансферты  на приобретение детских городков.    Данные межбюджетные трансферты предоставляются в соответствии с Постановлением Губернатора     Ярославской области  № 730-п от 09.08.2012г.  "О выделении средств Тутаевскому муниципальному району"</t>
  </si>
  <si>
    <t xml:space="preserve">        1.  Порядок  (методика) и условия  распределения  межбюджетных трансфертов,   передаваемых  бюджетам   поселений для компенсации дополнительных расходов, возникающих в результате решений, принятых оганами власти другого уровня</t>
  </si>
  <si>
    <t xml:space="preserve">11. Субсидия на релизацию ПП "Государственная поддержка молодых семей в приобретении (строительстве) жилья" </t>
  </si>
  <si>
    <t>Приложение 8</t>
  </si>
  <si>
    <t>Федеральная целевая программа "Развитие водохозяйственного комплекса РФ в 2012-2020 годах</t>
  </si>
  <si>
    <t>Субсидия на реализацию ОЦП "Берегоукрепление"</t>
  </si>
  <si>
    <t>Субсидия на реализацию мероприятий 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</si>
  <si>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 xml:space="preserve">Иные межбюджетные трансферты </t>
  </si>
  <si>
    <t>12. Субсидия на реализацию подпрограммы "Улучшение условий проживания отдельных категорий граждан, нуждающихся в специальной социальной защите"</t>
  </si>
  <si>
    <t>12. Порядок (методика) и условия распределения субсидии  на реализацию подпрограммы "Улучшение условий проживания отдельных категорий граждан, нуждающихся в специальной социальной защите"</t>
  </si>
  <si>
    <t>1.2</t>
  </si>
  <si>
    <t>Годоское поселение Тутаев</t>
  </si>
  <si>
    <t>МБТ на проведение восстанлвительных работ и капитального ремонта МКД №1 ул. Толбухина г. Тутаев, в том числе:</t>
  </si>
  <si>
    <t>Код ведомственной классификации</t>
  </si>
  <si>
    <t xml:space="preserve">Перечень ведомственных целевых программ  на 2012 год </t>
  </si>
  <si>
    <t>Перечень главных распорядителей, распорядителей и получателей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</si>
  <si>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</si>
  <si>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</si>
  <si>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</si>
  <si>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</si>
  <si>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</si>
  <si>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</si>
  <si>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</si>
  <si>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</si>
  <si>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</si>
  <si>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</si>
  <si>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Администрация  Фоминской сельской территории</t>
  </si>
  <si>
    <t>Получение бюджетных кредитов, полученных от других бюджетов бюджетной системы Российской Федерации в валюте Российской Федерации</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</si>
  <si>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</si>
  <si>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955 01 03 00 00 00 0000 700</t>
  </si>
  <si>
    <t>Приложение 11</t>
  </si>
  <si>
    <t>2012 год (руб.)</t>
  </si>
  <si>
    <t>получение бюджетных кредитов, от других бюджетов бюджетной системы Российской Федерации в валюте Российской Федерации</t>
  </si>
  <si>
    <t xml:space="preserve">Ведомственная целевая программа "Социальная поддержка населения Тутаевского муниципального района" на 2012-2014 годы </t>
  </si>
  <si>
    <t>Ведомственная целевая программа "Сохранение и развитие культуры Тутаевского муниципального района" на 2012-2014 годы</t>
  </si>
  <si>
    <t>955 01 03 00 00 05 4610 810</t>
  </si>
  <si>
    <t>955 01 03 00 00 05 4610 710</t>
  </si>
  <si>
    <t>Ведомственная целевая программа Департамента образования Администрации Тутаевского муниципального района на 2012-2014 годы</t>
  </si>
  <si>
    <t>13. 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</si>
  <si>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13. Порядок (методика) и условия распределения субсидии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</si>
  <si>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1.2  Межбюджетные трансферты  на проведение восстановительных работ и капитального ремонта МКД №1 ул. Толбухина г. Тутаев.    Данные межбюджетные трансферты предоставляются в соответствии с Постановлением Губернатора     Ярославской области  № 944-п от 19.09.2012г.  "О выделении средств из резервного фонда Правительства области"</t>
  </si>
  <si>
    <t>Оказание господ. поддержки победителям конкурса проект. иннов. моделей по выявл. и поддержке одарен. детей</t>
  </si>
  <si>
    <t>Субсидия на оплату труда работников сферы образования</t>
  </si>
  <si>
    <t>Субсидия на реализацию муниципальных программ развития туризма и отдыха</t>
  </si>
  <si>
    <t>от "____" декабря 2012 г.№____</t>
  </si>
  <si>
    <t>от "____"декабря 2012 г.№ ____</t>
  </si>
  <si>
    <t xml:space="preserve"> от "____"декабря 2012 г.№ ____</t>
  </si>
  <si>
    <t>Обеспечение мероприятий по капитальному ремонту многоквартирных домов и переселению граждан из аварийного жилищного фонда</t>
  </si>
  <si>
    <t>Областная целевая программа "Комплексная программа модернизации и реформирования жилищно-коммунального хозяйства Ярославской области"</t>
  </si>
  <si>
    <t>ОЦП "Обращение с твердыми бытовыми отходами на территории Ярославской области"</t>
  </si>
  <si>
    <t>1.3</t>
  </si>
  <si>
    <t>МБТ на установку детской площадки в с.Борисоглеб, в том числе:</t>
  </si>
  <si>
    <t>1.3  Межбюджетные трансферты на установку детской площадки на территории МОУ Начальная школа-ДС №16 в с.Борисоглеб.  Данные межбюджетные трансферты предоставляются в соответствии с Постановлением Губернатора  Ярославской области  № 1371-п от 06.12.2012г.  "О выделении средств Тутаевскому муниципальному району"</t>
  </si>
  <si>
    <t>Поддержка жилищного хозяйства</t>
  </si>
  <si>
    <t>14-я редакция</t>
  </si>
  <si>
    <t>Межбюджетные трансферты, передаваемые бюджетам муниципальных районов,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</si>
  <si>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Субсидия на реализацию комплексных программ поддержки развития дошкольных образовательных учреждений в субъектах Российской Федерации</t>
  </si>
  <si>
    <t>3.4</t>
  </si>
</sst>
</file>

<file path=xl/styles.xml><?xml version="1.0" encoding="utf-8"?>
<styleSheet xmlns="http://schemas.openxmlformats.org/spreadsheetml/2006/main">
  <numFmts count="6">
    <numFmt numFmtId="44" formatCode="_-* #,##0.00&quot;р.&quot;_-;\-* #,##0.00&quot;р.&quot;_-;_-* &quot;-&quot;??&quot;р.&quot;_-;_-@_-"/>
    <numFmt numFmtId="164" formatCode=";;"/>
    <numFmt numFmtId="165" formatCode="0000"/>
    <numFmt numFmtId="166" formatCode="000"/>
    <numFmt numFmtId="167" formatCode="0000000"/>
    <numFmt numFmtId="168" formatCode="#,##0_р_."/>
  </numFmts>
  <fonts count="39">
    <font>
      <sz val="10"/>
      <name val="Arial Cyr"/>
      <charset val="204"/>
    </font>
    <font>
      <sz val="10"/>
      <name val="Arial Cyr"/>
      <charset val="204"/>
    </font>
    <font>
      <sz val="12"/>
      <name val="Times New Roman"/>
      <family val="1"/>
      <charset val="204"/>
    </font>
    <font>
      <b/>
      <sz val="12"/>
      <name val="Times New Roman"/>
      <family val="1"/>
      <charset val="204"/>
    </font>
    <font>
      <b/>
      <sz val="12"/>
      <name val="Times New Roman"/>
      <family val="1"/>
    </font>
    <font>
      <sz val="12"/>
      <name val="Times New Roman"/>
      <family val="1"/>
    </font>
    <font>
      <b/>
      <sz val="14"/>
      <name val="Times New Roman"/>
      <family val="1"/>
    </font>
    <font>
      <sz val="12"/>
      <name val="Times New Roman Cyr"/>
      <family val="1"/>
      <charset val="204"/>
    </font>
    <font>
      <b/>
      <sz val="14"/>
      <name val="Times New Roman Cyr"/>
      <family val="1"/>
      <charset val="204"/>
    </font>
    <font>
      <b/>
      <i/>
      <sz val="12"/>
      <name val="Times New Roman Cyr"/>
      <family val="1"/>
      <charset val="204"/>
    </font>
    <font>
      <b/>
      <sz val="12"/>
      <name val="Times New Roman Cyr"/>
      <family val="1"/>
      <charset val="204"/>
    </font>
    <font>
      <b/>
      <sz val="12"/>
      <name val="Times New Roman Cyr"/>
      <charset val="204"/>
    </font>
    <font>
      <i/>
      <sz val="12"/>
      <name val="Times New Roman Cyr"/>
      <family val="1"/>
      <charset val="204"/>
    </font>
    <font>
      <sz val="12"/>
      <name val="Times New Roman CYR"/>
      <charset val="204"/>
    </font>
    <font>
      <b/>
      <sz val="10"/>
      <name val="Times New Roman"/>
      <family val="1"/>
      <charset val="204"/>
    </font>
    <font>
      <sz val="10"/>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0"/>
      <color indexed="72"/>
      <name val="Arial"/>
      <family val="2"/>
      <charset val="204"/>
    </font>
    <font>
      <b/>
      <sz val="10"/>
      <color indexed="72"/>
      <name val="Arial"/>
      <family val="2"/>
      <charset val="204"/>
    </font>
    <font>
      <b/>
      <sz val="12"/>
      <color indexed="8"/>
      <name val="Times New Roman"/>
      <family val="1"/>
      <charset val="204"/>
    </font>
    <font>
      <sz val="10"/>
      <color indexed="8"/>
      <name val="Times New Roman"/>
      <family val="1"/>
      <charset val="204"/>
    </font>
    <font>
      <sz val="12"/>
      <name val="Arial Cyr"/>
      <charset val="204"/>
    </font>
    <font>
      <sz val="8"/>
      <name val="Times New Roman"/>
      <family val="1"/>
      <charset val="204"/>
    </font>
    <font>
      <i/>
      <sz val="10"/>
      <name val="Times New Roman"/>
      <family val="1"/>
      <charset val="204"/>
    </font>
    <font>
      <i/>
      <sz val="12"/>
      <name val="Times New Roman"/>
      <family val="1"/>
      <charset val="204"/>
    </font>
    <font>
      <b/>
      <sz val="12"/>
      <name val="Arial Cyr"/>
      <charset val="204"/>
    </font>
    <font>
      <b/>
      <sz val="12"/>
      <color indexed="8"/>
      <name val="Times New Roman"/>
      <family val="1"/>
    </font>
    <font>
      <sz val="12"/>
      <color indexed="8"/>
      <name val="Times New Roman"/>
      <family val="1"/>
    </font>
    <font>
      <b/>
      <sz val="12"/>
      <name val="Arial Cyr"/>
      <family val="2"/>
      <charset val="204"/>
    </font>
    <font>
      <b/>
      <sz val="10"/>
      <name val="Arial Cyr"/>
      <charset val="204"/>
    </font>
    <font>
      <b/>
      <sz val="12"/>
      <color indexed="72"/>
      <name val="Times New Roman"/>
      <family val="1"/>
    </font>
    <font>
      <sz val="12"/>
      <color indexed="72"/>
      <name val="Times New Roman"/>
      <family val="1"/>
    </font>
    <font>
      <b/>
      <i/>
      <sz val="12"/>
      <name val="Times New Roman"/>
      <family val="1"/>
      <charset val="204"/>
    </font>
    <font>
      <sz val="10"/>
      <name val="Arial"/>
      <family val="2"/>
      <charset val="204"/>
    </font>
    <font>
      <sz val="14"/>
      <name val="Times New Roman"/>
      <family val="1"/>
      <charset val="204"/>
    </font>
    <font>
      <b/>
      <sz val="14"/>
      <name val="Times New Roman"/>
      <family val="1"/>
      <charset val="204"/>
    </font>
    <font>
      <sz val="14"/>
      <name val="Times New Roman"/>
      <family val="1"/>
    </font>
  </fonts>
  <fills count="13">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B4E5F0"/>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8"/>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cellStyleXfs>
  <cellXfs count="387">
    <xf numFmtId="0" fontId="0" fillId="0" borderId="0" xfId="0"/>
    <xf numFmtId="0" fontId="5" fillId="0" borderId="0" xfId="0" applyFont="1"/>
    <xf numFmtId="0" fontId="4" fillId="0" borderId="0" xfId="0" applyFont="1"/>
    <xf numFmtId="0" fontId="2"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0" xfId="0" applyNumberFormat="1" applyFont="1" applyAlignment="1">
      <alignment horizontal="right" wrapText="1"/>
    </xf>
    <xf numFmtId="49" fontId="5" fillId="0" borderId="0" xfId="0" applyNumberFormat="1" applyFont="1" applyAlignment="1">
      <alignment horizontal="justify" wrapText="1"/>
    </xf>
    <xf numFmtId="0" fontId="4" fillId="0" borderId="0" xfId="0" applyFont="1" applyAlignment="1">
      <alignment horizontal="center" wrapText="1"/>
    </xf>
    <xf numFmtId="49" fontId="5" fillId="0" borderId="0" xfId="0" applyNumberFormat="1" applyFont="1"/>
    <xf numFmtId="3" fontId="5" fillId="0" borderId="2" xfId="0" applyNumberFormat="1" applyFont="1" applyBorder="1" applyProtection="1"/>
    <xf numFmtId="0" fontId="7" fillId="0" borderId="0" xfId="0" applyFont="1" applyProtection="1"/>
    <xf numFmtId="0" fontId="7" fillId="0" borderId="0" xfId="0" applyFont="1" applyAlignment="1" applyProtection="1">
      <alignment wrapText="1"/>
    </xf>
    <xf numFmtId="49" fontId="7" fillId="0" borderId="0" xfId="0" applyNumberFormat="1" applyFont="1" applyAlignment="1" applyProtection="1">
      <alignment horizontal="center"/>
    </xf>
    <xf numFmtId="0" fontId="7" fillId="0" borderId="0" xfId="0" applyFont="1" applyAlignment="1" applyProtection="1">
      <alignment horizontal="center" vertical="center" wrapText="1"/>
    </xf>
    <xf numFmtId="0" fontId="9" fillId="0" borderId="0" xfId="0" applyFont="1" applyProtection="1"/>
    <xf numFmtId="0" fontId="10" fillId="0" borderId="0" xfId="0" applyFont="1" applyProtection="1"/>
    <xf numFmtId="0" fontId="12" fillId="0" borderId="0" xfId="0" applyFont="1" applyProtection="1"/>
    <xf numFmtId="0" fontId="3" fillId="0" borderId="1" xfId="0" applyFont="1" applyBorder="1" applyAlignment="1">
      <alignment horizontal="left" vertical="top" wrapText="1"/>
    </xf>
    <xf numFmtId="0" fontId="4" fillId="0" borderId="0" xfId="0" applyFont="1" applyBorder="1" applyAlignment="1">
      <alignment horizontal="center" vertical="center" wrapText="1"/>
    </xf>
    <xf numFmtId="3" fontId="4" fillId="0" borderId="0" xfId="0" applyNumberFormat="1" applyFont="1" applyBorder="1" applyProtection="1"/>
    <xf numFmtId="3" fontId="5" fillId="0" borderId="0" xfId="0" applyNumberFormat="1" applyFont="1" applyBorder="1" applyProtection="1"/>
    <xf numFmtId="3" fontId="4" fillId="0" borderId="3" xfId="0" applyNumberFormat="1" applyFont="1" applyBorder="1" applyProtection="1">
      <protection locked="0"/>
    </xf>
    <xf numFmtId="0" fontId="0" fillId="0" borderId="0" xfId="0" applyAlignment="1">
      <alignment wrapText="1"/>
    </xf>
    <xf numFmtId="164" fontId="19" fillId="0" borderId="0" xfId="0" applyNumberFormat="1" applyFont="1" applyAlignment="1">
      <alignment wrapText="1"/>
    </xf>
    <xf numFmtId="164" fontId="20" fillId="0" borderId="0" xfId="0" applyNumberFormat="1" applyFont="1" applyAlignment="1">
      <alignment wrapText="1"/>
    </xf>
    <xf numFmtId="166" fontId="0" fillId="0" borderId="0" xfId="0" applyNumberFormat="1" applyAlignment="1">
      <alignment horizontal="center"/>
    </xf>
    <xf numFmtId="166" fontId="20" fillId="0" borderId="0" xfId="0" applyNumberFormat="1" applyFont="1" applyAlignment="1">
      <alignment horizontal="center"/>
    </xf>
    <xf numFmtId="166" fontId="19" fillId="0" borderId="0" xfId="0" applyNumberFormat="1" applyFont="1" applyAlignment="1">
      <alignment horizontal="center"/>
    </xf>
    <xf numFmtId="0" fontId="13" fillId="0" borderId="1" xfId="0" applyFont="1" applyFill="1" applyBorder="1" applyAlignment="1" applyProtection="1">
      <alignment horizontal="left" vertical="top" wrapText="1" indent="2"/>
      <protection hidden="1"/>
    </xf>
    <xf numFmtId="3" fontId="13" fillId="0" borderId="1" xfId="0" applyNumberFormat="1" applyFont="1" applyFill="1" applyBorder="1" applyAlignment="1" applyProtection="1">
      <alignment horizontal="right" vertical="center"/>
    </xf>
    <xf numFmtId="3" fontId="7" fillId="0" borderId="1" xfId="0" applyNumberFormat="1" applyFont="1" applyBorder="1" applyAlignment="1" applyProtection="1">
      <alignment horizontal="right" vertical="center"/>
    </xf>
    <xf numFmtId="0" fontId="7" fillId="0" borderId="1" xfId="0" applyFont="1" applyBorder="1" applyAlignment="1" applyProtection="1">
      <alignment vertical="center" wrapText="1"/>
      <protection hidden="1"/>
    </xf>
    <xf numFmtId="49" fontId="7" fillId="0" borderId="1" xfId="0" applyNumberFormat="1" applyFont="1" applyBorder="1" applyAlignment="1" applyProtection="1">
      <alignment horizontal="center" vertical="center" wrapText="1"/>
    </xf>
    <xf numFmtId="0" fontId="11" fillId="0" borderId="1" xfId="0" applyFont="1" applyFill="1" applyBorder="1" applyAlignment="1" applyProtection="1">
      <alignment horizontal="left" vertical="top" wrapText="1"/>
      <protection hidden="1"/>
    </xf>
    <xf numFmtId="3" fontId="10" fillId="0" borderId="1" xfId="0" applyNumberFormat="1" applyFont="1" applyFill="1" applyBorder="1" applyAlignment="1" applyProtection="1">
      <alignment horizontal="right" vertical="center"/>
    </xf>
    <xf numFmtId="3" fontId="11" fillId="0" borderId="1" xfId="0" applyNumberFormat="1" applyFont="1" applyBorder="1" applyAlignment="1" applyProtection="1">
      <alignment horizontal="right" vertical="center"/>
    </xf>
    <xf numFmtId="0" fontId="10" fillId="0" borderId="1" xfId="0" applyFont="1" applyBorder="1" applyAlignment="1" applyProtection="1">
      <alignment vertical="top" wrapText="1"/>
    </xf>
    <xf numFmtId="0" fontId="15" fillId="0" borderId="0" xfId="0" applyFont="1"/>
    <xf numFmtId="0" fontId="15" fillId="0" borderId="0" xfId="0" applyFont="1" applyAlignment="1">
      <alignment wrapText="1"/>
    </xf>
    <xf numFmtId="165" fontId="15" fillId="0" borderId="0" xfId="0" applyNumberFormat="1" applyFont="1" applyAlignment="1">
      <alignment horizontal="center"/>
    </xf>
    <xf numFmtId="0" fontId="15" fillId="0" borderId="0" xfId="0" applyFont="1" applyAlignment="1">
      <alignment horizontal="center" wrapText="1"/>
    </xf>
    <xf numFmtId="0" fontId="15" fillId="0" borderId="0" xfId="0" applyFont="1" applyAlignment="1">
      <alignment horizontal="center"/>
    </xf>
    <xf numFmtId="165" fontId="14" fillId="0" borderId="1" xfId="0" applyNumberFormat="1" applyFont="1" applyBorder="1" applyAlignment="1">
      <alignment horizontal="center" vertical="top" wrapText="1"/>
    </xf>
    <xf numFmtId="0" fontId="14" fillId="0" borderId="1" xfId="0" applyFont="1" applyBorder="1" applyAlignment="1">
      <alignment vertical="top" wrapText="1"/>
    </xf>
    <xf numFmtId="165" fontId="15" fillId="0" borderId="1" xfId="0" applyNumberFormat="1" applyFont="1" applyBorder="1" applyAlignment="1">
      <alignment horizontal="center" vertical="top" wrapText="1"/>
    </xf>
    <xf numFmtId="0" fontId="15" fillId="0" borderId="1" xfId="0" applyFont="1" applyBorder="1" applyAlignment="1">
      <alignment vertical="top" wrapText="1"/>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4" fillId="0" borderId="1" xfId="0" applyFont="1" applyBorder="1" applyAlignment="1">
      <alignment horizontal="left" vertical="top" wrapText="1"/>
    </xf>
    <xf numFmtId="165" fontId="17" fillId="0" borderId="1" xfId="0" applyNumberFormat="1" applyFont="1" applyBorder="1" applyAlignment="1">
      <alignment horizontal="center" vertical="top" wrapText="1"/>
    </xf>
    <xf numFmtId="0" fontId="17" fillId="0" borderId="1" xfId="0" applyFont="1" applyBorder="1" applyAlignment="1">
      <alignment vertical="top" wrapText="1"/>
    </xf>
    <xf numFmtId="0" fontId="15" fillId="0" borderId="1" xfId="0" applyFont="1" applyBorder="1" applyAlignment="1">
      <alignment horizontal="justify" vertical="top" wrapText="1"/>
    </xf>
    <xf numFmtId="166" fontId="15" fillId="0" borderId="0" xfId="0" applyNumberFormat="1" applyFont="1" applyAlignment="1">
      <alignment horizontal="center"/>
    </xf>
    <xf numFmtId="167" fontId="15" fillId="0" borderId="0" xfId="0" applyNumberFormat="1" applyFont="1" applyAlignment="1">
      <alignment horizontal="center"/>
    </xf>
    <xf numFmtId="0" fontId="15" fillId="0" borderId="0" xfId="0" applyFont="1" applyAlignment="1">
      <alignment horizontal="left" wrapText="1"/>
    </xf>
    <xf numFmtId="49" fontId="7" fillId="0" borderId="1" xfId="0" applyNumberFormat="1" applyFont="1" applyFill="1" applyBorder="1" applyAlignment="1" applyProtection="1">
      <alignment horizontal="center" vertical="center"/>
    </xf>
    <xf numFmtId="0" fontId="13" fillId="0" borderId="1" xfId="0" applyFont="1" applyBorder="1" applyAlignment="1" applyProtection="1">
      <alignment horizontal="center" vertical="center" wrapText="1"/>
    </xf>
    <xf numFmtId="0" fontId="7" fillId="0" borderId="0" xfId="0" applyFont="1" applyAlignment="1" applyProtection="1">
      <alignment horizontal="right" wrapText="1"/>
    </xf>
    <xf numFmtId="49" fontId="7" fillId="0" borderId="0" xfId="0" applyNumberFormat="1" applyFont="1" applyAlignment="1" applyProtection="1">
      <alignment horizontal="right"/>
    </xf>
    <xf numFmtId="0" fontId="6" fillId="0" borderId="0" xfId="0" applyFont="1" applyAlignment="1">
      <alignment wrapText="1"/>
    </xf>
    <xf numFmtId="3" fontId="4" fillId="0" borderId="4" xfId="0" applyNumberFormat="1" applyFont="1" applyBorder="1" applyProtection="1"/>
    <xf numFmtId="3" fontId="7" fillId="0" borderId="1" xfId="0" applyNumberFormat="1" applyFont="1" applyFill="1" applyBorder="1" applyAlignment="1" applyProtection="1">
      <alignment horizontal="right" vertical="center"/>
    </xf>
    <xf numFmtId="165" fontId="7" fillId="0" borderId="1" xfId="0" applyNumberFormat="1" applyFont="1" applyBorder="1" applyAlignment="1" applyProtection="1">
      <alignment horizontal="center" vertical="center"/>
    </xf>
    <xf numFmtId="167" fontId="7" fillId="0" borderId="1" xfId="0" applyNumberFormat="1" applyFont="1" applyBorder="1" applyAlignment="1" applyProtection="1">
      <alignment horizontal="center" vertical="center"/>
    </xf>
    <xf numFmtId="166" fontId="7" fillId="0" borderId="1" xfId="0" applyNumberFormat="1" applyFont="1" applyBorder="1" applyAlignment="1" applyProtection="1">
      <alignment horizontal="center" vertical="center"/>
    </xf>
    <xf numFmtId="0" fontId="13" fillId="0" borderId="0" xfId="0" applyFont="1" applyFill="1" applyAlignment="1" applyProtection="1">
      <alignment horizontal="right" vertical="center" wrapText="1"/>
    </xf>
    <xf numFmtId="0" fontId="13" fillId="0" borderId="0" xfId="0" applyFont="1" applyFill="1" applyAlignment="1" applyProtection="1">
      <alignment horizontal="center" vertical="center" wrapText="1"/>
    </xf>
    <xf numFmtId="1" fontId="11" fillId="0" borderId="1" xfId="0" applyNumberFormat="1" applyFont="1" applyFill="1" applyBorder="1" applyAlignment="1" applyProtection="1">
      <alignment horizontal="center" vertical="center"/>
    </xf>
    <xf numFmtId="165" fontId="7" fillId="0" borderId="1" xfId="0" applyNumberFormat="1" applyFont="1" applyFill="1" applyBorder="1" applyAlignment="1" applyProtection="1">
      <alignment horizontal="center" vertical="center"/>
    </xf>
    <xf numFmtId="167" fontId="7" fillId="0" borderId="1" xfId="0" applyNumberFormat="1" applyFont="1" applyFill="1" applyBorder="1" applyAlignment="1" applyProtection="1">
      <alignment horizontal="center" vertical="center"/>
    </xf>
    <xf numFmtId="166" fontId="7" fillId="0" borderId="1" xfId="0" applyNumberFormat="1" applyFont="1" applyFill="1" applyBorder="1" applyAlignment="1" applyProtection="1">
      <alignment horizontal="center" vertical="center"/>
    </xf>
    <xf numFmtId="1" fontId="7" fillId="0" borderId="1" xfId="0" applyNumberFormat="1" applyFont="1" applyFill="1" applyBorder="1" applyAlignment="1" applyProtection="1">
      <alignment horizontal="center" vertical="center"/>
    </xf>
    <xf numFmtId="1" fontId="7" fillId="0" borderId="1" xfId="0" applyNumberFormat="1" applyFont="1" applyBorder="1" applyAlignment="1" applyProtection="1">
      <alignment horizontal="center" vertical="center"/>
    </xf>
    <xf numFmtId="1" fontId="5" fillId="0" borderId="1" xfId="0" applyNumberFormat="1" applyFont="1" applyBorder="1" applyAlignment="1" applyProtection="1">
      <alignment horizontal="center" vertical="center" wrapText="1"/>
    </xf>
    <xf numFmtId="165" fontId="5" fillId="0" borderId="1" xfId="0" applyNumberFormat="1" applyFont="1" applyBorder="1" applyAlignment="1" applyProtection="1">
      <alignment horizontal="center" vertical="center" wrapText="1"/>
    </xf>
    <xf numFmtId="167" fontId="5" fillId="0" borderId="1" xfId="0" applyNumberFormat="1" applyFont="1" applyBorder="1" applyAlignment="1" applyProtection="1">
      <alignment horizontal="center" vertical="center" wrapText="1"/>
    </xf>
    <xf numFmtId="166" fontId="5" fillId="0" borderId="1" xfId="0" applyNumberFormat="1" applyFont="1" applyBorder="1" applyAlignment="1" applyProtection="1">
      <alignment horizontal="center" vertical="center" wrapText="1"/>
    </xf>
    <xf numFmtId="167" fontId="13" fillId="0" borderId="1" xfId="0" applyNumberFormat="1" applyFont="1" applyBorder="1" applyAlignment="1" applyProtection="1">
      <alignment horizontal="center" vertical="center"/>
    </xf>
    <xf numFmtId="165" fontId="11" fillId="0" borderId="1" xfId="0" applyNumberFormat="1" applyFont="1" applyFill="1" applyBorder="1" applyAlignment="1" applyProtection="1">
      <alignment horizontal="center" vertical="center"/>
    </xf>
    <xf numFmtId="167" fontId="11" fillId="0" borderId="1" xfId="0" applyNumberFormat="1" applyFont="1" applyFill="1" applyBorder="1" applyAlignment="1" applyProtection="1">
      <alignment horizontal="center" vertical="center"/>
    </xf>
    <xf numFmtId="1" fontId="13" fillId="0" borderId="1" xfId="0" applyNumberFormat="1" applyFont="1" applyFill="1" applyBorder="1" applyAlignment="1" applyProtection="1">
      <alignment horizontal="center" vertical="center"/>
    </xf>
    <xf numFmtId="165" fontId="13" fillId="0" borderId="1" xfId="0" applyNumberFormat="1" applyFont="1" applyFill="1" applyBorder="1" applyAlignment="1" applyProtection="1">
      <alignment horizontal="center" vertical="center"/>
    </xf>
    <xf numFmtId="167" fontId="13" fillId="0" borderId="1" xfId="0" applyNumberFormat="1" applyFont="1" applyFill="1" applyBorder="1" applyAlignment="1" applyProtection="1">
      <alignment horizontal="center" vertical="center"/>
    </xf>
    <xf numFmtId="166" fontId="13" fillId="0" borderId="1" xfId="0" applyNumberFormat="1" applyFont="1" applyFill="1" applyBorder="1" applyAlignment="1" applyProtection="1">
      <alignment horizontal="center" vertical="center"/>
    </xf>
    <xf numFmtId="166" fontId="11" fillId="0" borderId="1" xfId="0" applyNumberFormat="1" applyFont="1" applyFill="1" applyBorder="1" applyAlignment="1" applyProtection="1">
      <alignment horizontal="center" vertical="center"/>
    </xf>
    <xf numFmtId="0" fontId="1" fillId="0" borderId="0" xfId="0" applyFont="1"/>
    <xf numFmtId="3" fontId="7" fillId="0" borderId="1" xfId="0" applyNumberFormat="1" applyFont="1" applyFill="1" applyBorder="1" applyAlignment="1" applyProtection="1">
      <alignment horizontal="right" vertical="center"/>
      <protection locked="0"/>
    </xf>
    <xf numFmtId="0" fontId="13" fillId="0" borderId="0" xfId="0" applyFont="1" applyFill="1" applyAlignment="1" applyProtection="1">
      <alignment horizontal="right" vertical="center"/>
    </xf>
    <xf numFmtId="0" fontId="13" fillId="0" borderId="1" xfId="0" applyFont="1" applyFill="1" applyBorder="1" applyAlignment="1" applyProtection="1">
      <alignment horizontal="center" vertical="center" wrapText="1"/>
    </xf>
    <xf numFmtId="3" fontId="7" fillId="2" borderId="1" xfId="0" applyNumberFormat="1" applyFont="1" applyFill="1" applyBorder="1" applyAlignment="1" applyProtection="1">
      <alignment horizontal="right" vertical="center"/>
      <protection locked="0"/>
    </xf>
    <xf numFmtId="3" fontId="7" fillId="2" borderId="1" xfId="0" applyNumberFormat="1" applyFont="1" applyFill="1" applyBorder="1" applyAlignment="1" applyProtection="1">
      <alignment horizontal="right" vertical="center"/>
    </xf>
    <xf numFmtId="0" fontId="2" fillId="0" borderId="1" xfId="0" applyFont="1" applyBorder="1" applyAlignment="1">
      <alignment vertical="top" wrapText="1"/>
    </xf>
    <xf numFmtId="0" fontId="2" fillId="0" borderId="1" xfId="0" applyFont="1" applyBorder="1" applyAlignment="1">
      <alignment horizontal="justify" vertical="top" wrapText="1"/>
    </xf>
    <xf numFmtId="0" fontId="18" fillId="0" borderId="1" xfId="0" applyFont="1" applyBorder="1" applyAlignment="1">
      <alignment vertical="top" wrapText="1"/>
    </xf>
    <xf numFmtId="165" fontId="2" fillId="0" borderId="1" xfId="0" applyNumberFormat="1" applyFont="1" applyBorder="1" applyAlignment="1">
      <alignment horizontal="center" vertical="center" wrapText="1"/>
    </xf>
    <xf numFmtId="165" fontId="18" fillId="0" borderId="1"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0" fontId="2" fillId="0" borderId="5" xfId="0" applyFont="1" applyBorder="1" applyAlignment="1">
      <alignment vertical="top" wrapText="1"/>
    </xf>
    <xf numFmtId="165" fontId="3" fillId="0" borderId="6" xfId="0" applyNumberFormat="1" applyFont="1" applyBorder="1" applyAlignment="1">
      <alignment horizontal="left" vertical="center" wrapText="1"/>
    </xf>
    <xf numFmtId="0" fontId="3" fillId="0" borderId="4" xfId="0" applyFont="1" applyBorder="1" applyAlignment="1">
      <alignment vertical="top" wrapText="1"/>
    </xf>
    <xf numFmtId="165" fontId="2" fillId="0" borderId="2" xfId="0" applyNumberFormat="1" applyFont="1" applyBorder="1" applyAlignment="1">
      <alignment horizontal="center" vertical="center"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1" fillId="0" borderId="4" xfId="0" applyFont="1" applyBorder="1" applyAlignment="1">
      <alignment horizontal="left" vertical="top" wrapText="1"/>
    </xf>
    <xf numFmtId="3" fontId="3" fillId="0" borderId="4" xfId="0" applyNumberFormat="1" applyFont="1" applyBorder="1" applyProtection="1"/>
    <xf numFmtId="0" fontId="3" fillId="0" borderId="4" xfId="0" applyFont="1" applyBorder="1" applyAlignment="1">
      <alignment horizontal="left" vertical="top" wrapText="1"/>
    </xf>
    <xf numFmtId="3" fontId="2" fillId="0" borderId="5" xfId="0" applyNumberFormat="1" applyFont="1" applyBorder="1" applyProtection="1"/>
    <xf numFmtId="3" fontId="2" fillId="0" borderId="1" xfId="0" applyNumberFormat="1" applyFont="1" applyBorder="1" applyProtection="1"/>
    <xf numFmtId="3" fontId="2" fillId="0" borderId="2" xfId="0" applyNumberFormat="1" applyFont="1" applyBorder="1" applyProtection="1"/>
    <xf numFmtId="0" fontId="7" fillId="0" borderId="0" xfId="0" applyFont="1" applyFill="1" applyAlignment="1" applyProtection="1">
      <alignment horizontal="right"/>
    </xf>
    <xf numFmtId="0" fontId="7" fillId="0" borderId="1" xfId="0" applyFont="1" applyFill="1" applyBorder="1" applyAlignment="1" applyProtection="1">
      <alignment horizontal="center" vertical="center" wrapText="1"/>
    </xf>
    <xf numFmtId="0" fontId="7" fillId="0" borderId="0" xfId="0" applyFont="1" applyFill="1" applyProtection="1"/>
    <xf numFmtId="0" fontId="15" fillId="0" borderId="1" xfId="0" applyFont="1" applyBorder="1" applyAlignment="1">
      <alignment vertical="center"/>
    </xf>
    <xf numFmtId="49" fontId="15" fillId="0" borderId="0" xfId="0" applyNumberFormat="1" applyFont="1" applyAlignment="1">
      <alignment horizontal="center" wrapText="1"/>
    </xf>
    <xf numFmtId="49" fontId="15" fillId="0" borderId="0" xfId="0" applyNumberFormat="1" applyFont="1" applyAlignment="1">
      <alignment wrapText="1"/>
    </xf>
    <xf numFmtId="49" fontId="22" fillId="0" borderId="1" xfId="0" applyNumberFormat="1" applyFont="1" applyBorder="1" applyAlignment="1">
      <alignment vertical="center" wrapText="1"/>
    </xf>
    <xf numFmtId="0" fontId="22" fillId="0" borderId="1" xfId="0" applyNumberFormat="1" applyFont="1" applyBorder="1" applyAlignment="1">
      <alignment vertical="center" wrapText="1"/>
    </xf>
    <xf numFmtId="0" fontId="0" fillId="0" borderId="1" xfId="0" applyBorder="1" applyAlignment="1">
      <alignment wrapText="1"/>
    </xf>
    <xf numFmtId="0" fontId="0" fillId="0" borderId="1" xfId="0" applyNumberFormat="1" applyBorder="1" applyAlignment="1">
      <alignment wrapText="1"/>
    </xf>
    <xf numFmtId="167" fontId="0" fillId="0" borderId="1" xfId="0" applyNumberFormat="1" applyBorder="1"/>
    <xf numFmtId="0" fontId="18" fillId="0" borderId="5" xfId="0" applyFont="1" applyBorder="1" applyAlignment="1">
      <alignment horizontal="left" vertical="top" wrapText="1"/>
    </xf>
    <xf numFmtId="3" fontId="13" fillId="2" borderId="1" xfId="0" applyNumberFormat="1" applyFont="1" applyFill="1" applyBorder="1" applyAlignment="1" applyProtection="1">
      <alignment horizontal="right" vertical="center"/>
    </xf>
    <xf numFmtId="3" fontId="9" fillId="0" borderId="0" xfId="0" applyNumberFormat="1" applyFont="1" applyProtection="1"/>
    <xf numFmtId="49" fontId="17" fillId="0" borderId="1" xfId="0" applyNumberFormat="1" applyFont="1" applyBorder="1" applyAlignment="1">
      <alignment vertical="center" wrapText="1"/>
    </xf>
    <xf numFmtId="0" fontId="7" fillId="0" borderId="1" xfId="0" applyFont="1" applyBorder="1" applyAlignment="1" applyProtection="1">
      <alignment vertical="center"/>
    </xf>
    <xf numFmtId="3" fontId="7" fillId="0" borderId="1" xfId="0" applyNumberFormat="1" applyFont="1" applyFill="1" applyBorder="1" applyAlignment="1" applyProtection="1">
      <alignment vertical="center"/>
    </xf>
    <xf numFmtId="165" fontId="3" fillId="0" borderId="1" xfId="0" applyNumberFormat="1" applyFont="1" applyBorder="1" applyAlignment="1">
      <alignment horizontal="left" vertical="center" wrapText="1"/>
    </xf>
    <xf numFmtId="3" fontId="3" fillId="0" borderId="1" xfId="0" applyNumberFormat="1" applyFont="1" applyBorder="1" applyProtection="1"/>
    <xf numFmtId="3" fontId="5" fillId="0" borderId="1" xfId="0" applyNumberFormat="1" applyFont="1" applyBorder="1" applyProtection="1"/>
    <xf numFmtId="3" fontId="4" fillId="0" borderId="4" xfId="0" applyNumberFormat="1" applyFont="1" applyBorder="1" applyProtection="1">
      <protection locked="0"/>
    </xf>
    <xf numFmtId="3" fontId="4" fillId="0" borderId="3" xfId="0" applyNumberFormat="1" applyFont="1" applyBorder="1" applyProtection="1"/>
    <xf numFmtId="3" fontId="5" fillId="0" borderId="5" xfId="0" applyNumberFormat="1" applyFont="1" applyBorder="1" applyProtection="1"/>
    <xf numFmtId="3" fontId="3" fillId="0" borderId="3" xfId="0" applyNumberFormat="1" applyFont="1" applyBorder="1" applyProtection="1"/>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3" fontId="7" fillId="3" borderId="1" xfId="0" applyNumberFormat="1" applyFont="1" applyFill="1" applyBorder="1" applyAlignment="1" applyProtection="1">
      <alignment horizontal="right" vertical="center"/>
    </xf>
    <xf numFmtId="3" fontId="7" fillId="3" borderId="1" xfId="0" applyNumberFormat="1" applyFont="1" applyFill="1" applyBorder="1" applyAlignment="1" applyProtection="1">
      <alignment horizontal="right" vertical="center"/>
      <protection locked="0"/>
    </xf>
    <xf numFmtId="3" fontId="7" fillId="4" borderId="1" xfId="0" applyNumberFormat="1" applyFont="1" applyFill="1" applyBorder="1" applyAlignment="1" applyProtection="1">
      <alignment horizontal="right" vertical="center"/>
      <protection locked="0"/>
    </xf>
    <xf numFmtId="0" fontId="23" fillId="0" borderId="0" xfId="0" applyFont="1" applyAlignment="1">
      <alignment horizontal="center"/>
    </xf>
    <xf numFmtId="0" fontId="23" fillId="0" borderId="0" xfId="0" applyFont="1"/>
    <xf numFmtId="0" fontId="5" fillId="0" borderId="0" xfId="0" applyFont="1" applyFill="1" applyAlignment="1">
      <alignment horizontal="left"/>
    </xf>
    <xf numFmtId="0" fontId="5" fillId="0" borderId="0" xfId="0" applyFont="1" applyFill="1" applyAlignment="1">
      <alignment horizontal="center"/>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49" fontId="24" fillId="0" borderId="1" xfId="0" applyNumberFormat="1" applyFont="1" applyBorder="1" applyAlignment="1">
      <alignment horizontal="center" vertical="center" textRotation="90"/>
    </xf>
    <xf numFmtId="49" fontId="24" fillId="0" borderId="1" xfId="0" applyNumberFormat="1" applyFont="1" applyBorder="1" applyAlignment="1">
      <alignment horizontal="center" vertical="center" textRotation="90" wrapText="1"/>
    </xf>
    <xf numFmtId="49" fontId="24" fillId="0" borderId="1" xfId="0" applyNumberFormat="1" applyFont="1" applyBorder="1" applyAlignment="1">
      <alignment horizontal="left" vertical="center" textRotation="90"/>
    </xf>
    <xf numFmtId="49" fontId="14" fillId="0" borderId="1" xfId="0" applyNumberFormat="1" applyFont="1" applyBorder="1" applyAlignment="1">
      <alignment horizontal="center" vertical="justify"/>
    </xf>
    <xf numFmtId="49" fontId="14" fillId="0" borderId="1" xfId="0" applyNumberFormat="1" applyFont="1" applyBorder="1" applyAlignment="1">
      <alignment horizontal="center" vertical="justify" wrapText="1"/>
    </xf>
    <xf numFmtId="0" fontId="3" fillId="0" borderId="1" xfId="0" applyFont="1" applyBorder="1" applyAlignment="1">
      <alignment vertical="top" wrapText="1"/>
    </xf>
    <xf numFmtId="3" fontId="3" fillId="0" borderId="1" xfId="1" applyNumberFormat="1" applyFont="1" applyBorder="1" applyAlignment="1">
      <alignment horizontal="right" vertical="center" wrapText="1"/>
    </xf>
    <xf numFmtId="49" fontId="15" fillId="0" borderId="1" xfId="0" applyNumberFormat="1" applyFont="1" applyBorder="1" applyAlignment="1">
      <alignment horizontal="center" vertical="justify"/>
    </xf>
    <xf numFmtId="49" fontId="15" fillId="0" borderId="1" xfId="0" applyNumberFormat="1" applyFont="1" applyBorder="1" applyAlignment="1">
      <alignment horizontal="center" vertical="justify" wrapText="1"/>
    </xf>
    <xf numFmtId="3" fontId="2" fillId="0" borderId="1" xfId="0" applyNumberFormat="1" applyFont="1" applyBorder="1" applyAlignment="1">
      <alignment horizontal="right" vertical="center"/>
    </xf>
    <xf numFmtId="49" fontId="25" fillId="0" borderId="1" xfId="0" applyNumberFormat="1" applyFont="1" applyBorder="1" applyAlignment="1">
      <alignment horizontal="center" vertical="justify"/>
    </xf>
    <xf numFmtId="49" fontId="25" fillId="0" borderId="1" xfId="0" applyNumberFormat="1" applyFont="1" applyBorder="1" applyAlignment="1">
      <alignment horizontal="center" vertical="justify" wrapText="1"/>
    </xf>
    <xf numFmtId="0" fontId="26" fillId="0" borderId="1" xfId="0" applyFont="1" applyBorder="1" applyAlignment="1">
      <alignment horizontal="left" vertical="top" wrapText="1"/>
    </xf>
    <xf numFmtId="1" fontId="2" fillId="0" borderId="1" xfId="0" applyNumberFormat="1" applyFont="1" applyBorder="1" applyAlignment="1">
      <alignment horizontal="right" vertical="center"/>
    </xf>
    <xf numFmtId="0" fontId="27" fillId="0" borderId="0" xfId="0" applyFont="1"/>
    <xf numFmtId="0" fontId="4"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16" fillId="0" borderId="1" xfId="0" applyNumberFormat="1" applyFont="1" applyBorder="1" applyAlignment="1">
      <alignment horizontal="center" vertical="justify" wrapText="1"/>
    </xf>
    <xf numFmtId="0" fontId="28" fillId="0" borderId="1" xfId="0" applyFont="1" applyBorder="1" applyAlignment="1">
      <alignment horizontal="left" vertical="top" wrapText="1"/>
    </xf>
    <xf numFmtId="0" fontId="18" fillId="0" borderId="1" xfId="0" applyFont="1" applyBorder="1" applyAlignment="1">
      <alignment horizontal="left" vertical="top" wrapText="1"/>
    </xf>
    <xf numFmtId="0" fontId="29" fillId="0" borderId="1" xfId="0" applyFont="1" applyBorder="1" applyAlignment="1">
      <alignment horizontal="left" vertical="top" wrapText="1"/>
    </xf>
    <xf numFmtId="0" fontId="2" fillId="0" borderId="0" xfId="0" applyFont="1" applyAlignment="1">
      <alignment vertical="top" wrapText="1"/>
    </xf>
    <xf numFmtId="49" fontId="17" fillId="0" borderId="1" xfId="0" applyNumberFormat="1" applyFont="1" applyBorder="1" applyAlignment="1">
      <alignment horizontal="center" vertical="justify" wrapText="1"/>
    </xf>
    <xf numFmtId="0" fontId="2" fillId="0" borderId="1" xfId="0" applyFont="1" applyBorder="1" applyAlignment="1">
      <alignment wrapText="1"/>
    </xf>
    <xf numFmtId="0" fontId="2" fillId="0" borderId="1" xfId="2" applyFont="1" applyFill="1" applyBorder="1" applyAlignment="1">
      <alignment horizontal="left" vertical="center" wrapText="1"/>
    </xf>
    <xf numFmtId="0" fontId="21" fillId="0" borderId="1" xfId="0" applyFont="1" applyBorder="1" applyAlignment="1">
      <alignment horizontal="left" vertical="top" wrapText="1"/>
    </xf>
    <xf numFmtId="0" fontId="2" fillId="0" borderId="1" xfId="0" applyNumberFormat="1" applyFont="1" applyBorder="1" applyAlignment="1">
      <alignment wrapText="1"/>
    </xf>
    <xf numFmtId="0" fontId="5" fillId="0" borderId="1" xfId="0" applyFont="1" applyBorder="1" applyAlignment="1">
      <alignment wrapText="1"/>
    </xf>
    <xf numFmtId="3" fontId="3" fillId="0" borderId="1" xfId="1" applyNumberFormat="1" applyFont="1" applyBorder="1" applyAlignment="1" applyProtection="1">
      <alignment horizontal="right" vertical="center"/>
      <protection locked="0"/>
    </xf>
    <xf numFmtId="0" fontId="2" fillId="0" borderId="1" xfId="2" applyNumberFormat="1" applyFont="1" applyFill="1" applyBorder="1" applyAlignment="1">
      <alignment horizontal="left" vertical="center" wrapText="1"/>
    </xf>
    <xf numFmtId="0" fontId="3" fillId="0" borderId="1" xfId="0" applyFont="1" applyBorder="1" applyAlignment="1">
      <alignment wrapText="1"/>
    </xf>
    <xf numFmtId="0" fontId="23" fillId="0" borderId="0" xfId="0" applyFont="1" applyAlignment="1">
      <alignment horizontal="left"/>
    </xf>
    <xf numFmtId="3" fontId="13" fillId="3" borderId="1" xfId="0" applyNumberFormat="1" applyFont="1" applyFill="1" applyBorder="1" applyAlignment="1" applyProtection="1">
      <alignment horizontal="right" vertical="center"/>
    </xf>
    <xf numFmtId="0" fontId="4" fillId="0" borderId="0" xfId="0" applyFont="1" applyFill="1" applyAlignment="1">
      <alignment horizont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5" fillId="0" borderId="10" xfId="0" applyNumberFormat="1" applyFont="1" applyFill="1" applyBorder="1" applyAlignment="1">
      <alignment vertical="center" wrapText="1"/>
    </xf>
    <xf numFmtId="0" fontId="3" fillId="0" borderId="1" xfId="0" applyFont="1" applyFill="1" applyBorder="1" applyAlignment="1">
      <alignment vertical="top" wrapText="1"/>
    </xf>
    <xf numFmtId="3" fontId="3" fillId="0" borderId="11" xfId="1" applyNumberFormat="1" applyFont="1" applyFill="1" applyBorder="1" applyAlignment="1">
      <alignment vertical="center" wrapText="1"/>
    </xf>
    <xf numFmtId="0" fontId="5" fillId="0" borderId="1" xfId="0" applyFont="1" applyFill="1" applyBorder="1" applyAlignment="1">
      <alignment vertical="top" wrapText="1"/>
    </xf>
    <xf numFmtId="3" fontId="5" fillId="0" borderId="11" xfId="1" applyNumberFormat="1" applyFont="1" applyFill="1" applyBorder="1" applyAlignment="1">
      <alignment vertical="center" wrapText="1"/>
    </xf>
    <xf numFmtId="0" fontId="2" fillId="0" borderId="1" xfId="0" applyFont="1" applyBorder="1" applyAlignment="1">
      <alignment horizontal="center" vertical="center" wrapText="1"/>
    </xf>
    <xf numFmtId="0" fontId="0" fillId="0" borderId="0" xfId="0" applyAlignment="1">
      <alignment horizontal="center"/>
    </xf>
    <xf numFmtId="49" fontId="31" fillId="0" borderId="1" xfId="0" applyNumberFormat="1" applyFont="1" applyBorder="1" applyAlignment="1">
      <alignment horizontal="right"/>
    </xf>
    <xf numFmtId="164" fontId="32" fillId="0" borderId="1" xfId="0" applyNumberFormat="1" applyFont="1" applyBorder="1" applyAlignment="1">
      <alignment wrapText="1"/>
    </xf>
    <xf numFmtId="3" fontId="31" fillId="0" borderId="1" xfId="0" applyNumberFormat="1" applyFont="1" applyBorder="1" applyAlignment="1">
      <alignment horizontal="center"/>
    </xf>
    <xf numFmtId="0" fontId="0" fillId="0" borderId="1" xfId="0" applyBorder="1"/>
    <xf numFmtId="164" fontId="33" fillId="0" borderId="1" xfId="0" applyNumberFormat="1" applyFont="1" applyBorder="1" applyAlignment="1">
      <alignment wrapText="1"/>
    </xf>
    <xf numFmtId="3" fontId="0" fillId="0" borderId="1" xfId="0" applyNumberFormat="1" applyBorder="1" applyAlignment="1">
      <alignment horizontal="right"/>
    </xf>
    <xf numFmtId="0" fontId="0" fillId="0" borderId="0" xfId="0" applyBorder="1"/>
    <xf numFmtId="164" fontId="33" fillId="0" borderId="0" xfId="0" applyNumberFormat="1" applyFont="1" applyBorder="1" applyAlignment="1">
      <alignment wrapText="1"/>
    </xf>
    <xf numFmtId="0" fontId="0" fillId="0" borderId="0" xfId="0" applyFill="1" applyBorder="1"/>
    <xf numFmtId="168" fontId="31" fillId="0" borderId="1" xfId="0" applyNumberFormat="1" applyFont="1" applyBorder="1" applyAlignment="1">
      <alignment vertical="center"/>
    </xf>
    <xf numFmtId="0" fontId="0" fillId="0" borderId="1" xfId="0" applyFill="1" applyBorder="1"/>
    <xf numFmtId="0" fontId="5" fillId="0" borderId="1" xfId="0" applyFont="1" applyBorder="1" applyAlignment="1">
      <alignment vertical="center" wrapText="1"/>
    </xf>
    <xf numFmtId="1" fontId="0" fillId="0" borderId="0" xfId="0" applyNumberFormat="1"/>
    <xf numFmtId="3" fontId="0" fillId="0" borderId="0" xfId="0" applyNumberFormat="1" applyBorder="1" applyAlignment="1">
      <alignment horizontal="center"/>
    </xf>
    <xf numFmtId="0" fontId="0" fillId="0" borderId="13" xfId="0" applyBorder="1"/>
    <xf numFmtId="0" fontId="0" fillId="0" borderId="0" xfId="0" applyBorder="1" applyAlignment="1">
      <alignment wrapText="1"/>
    </xf>
    <xf numFmtId="0" fontId="2" fillId="0" borderId="0" xfId="0" applyFont="1" applyBorder="1" applyAlignment="1">
      <alignment horizontal="right" wrapText="1"/>
    </xf>
    <xf numFmtId="0" fontId="2" fillId="0" borderId="0" xfId="0" applyFont="1" applyBorder="1" applyAlignment="1">
      <alignment horizontal="center" wrapText="1"/>
    </xf>
    <xf numFmtId="0" fontId="2" fillId="0" borderId="0" xfId="0" applyFont="1" applyBorder="1" applyAlignment="1">
      <alignment vertical="center" wrapText="1"/>
    </xf>
    <xf numFmtId="0" fontId="26" fillId="0" borderId="0" xfId="0" applyFont="1" applyBorder="1" applyAlignment="1">
      <alignment vertical="center" wrapText="1"/>
    </xf>
    <xf numFmtId="0" fontId="2" fillId="0" borderId="0" xfId="0" applyFont="1" applyBorder="1" applyAlignment="1">
      <alignment horizontal="left" vertical="center" wrapText="1"/>
    </xf>
    <xf numFmtId="3" fontId="13" fillId="5" borderId="1" xfId="0" applyNumberFormat="1" applyFont="1" applyFill="1" applyBorder="1" applyAlignment="1" applyProtection="1">
      <alignment horizontal="right" vertical="center"/>
    </xf>
    <xf numFmtId="0" fontId="2" fillId="0" borderId="1" xfId="0" applyFont="1" applyBorder="1" applyAlignment="1">
      <alignment horizontal="center" vertical="center" wrapText="1"/>
    </xf>
    <xf numFmtId="0" fontId="6" fillId="0" borderId="0" xfId="0" applyFont="1" applyFill="1" applyAlignment="1">
      <alignment horizontal="center" vertical="center" wrapText="1"/>
    </xf>
    <xf numFmtId="0" fontId="2" fillId="0" borderId="0" xfId="0" applyFont="1" applyBorder="1" applyAlignment="1">
      <alignment horizontal="left" vertical="center" wrapText="1"/>
    </xf>
    <xf numFmtId="3" fontId="7" fillId="6" borderId="1" xfId="0" applyNumberFormat="1" applyFont="1" applyFill="1" applyBorder="1" applyAlignment="1" applyProtection="1">
      <alignment horizontal="right" vertical="center"/>
      <protection locked="0"/>
    </xf>
    <xf numFmtId="3" fontId="13" fillId="6" borderId="1" xfId="0" applyNumberFormat="1" applyFont="1" applyFill="1" applyBorder="1" applyAlignment="1" applyProtection="1">
      <alignment horizontal="right" vertical="center"/>
    </xf>
    <xf numFmtId="49" fontId="0" fillId="0" borderId="1" xfId="0" applyNumberFormat="1" applyBorder="1" applyAlignment="1">
      <alignment horizontal="right"/>
    </xf>
    <xf numFmtId="49" fontId="31" fillId="0" borderId="1" xfId="0" applyNumberFormat="1" applyFont="1" applyFill="1" applyBorder="1" applyAlignment="1">
      <alignment horizontal="right"/>
    </xf>
    <xf numFmtId="3" fontId="0" fillId="0" borderId="1" xfId="0" applyNumberFormat="1" applyFont="1" applyBorder="1" applyAlignment="1">
      <alignment horizontal="right"/>
    </xf>
    <xf numFmtId="3" fontId="0" fillId="0" borderId="1" xfId="0" applyNumberFormat="1" applyBorder="1" applyAlignment="1"/>
    <xf numFmtId="3" fontId="7" fillId="6" borderId="1" xfId="0" applyNumberFormat="1" applyFont="1" applyFill="1" applyBorder="1" applyAlignment="1" applyProtection="1">
      <alignment horizontal="righ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3" fontId="3" fillId="0" borderId="1" xfId="0" applyNumberFormat="1" applyFont="1" applyBorder="1" applyAlignment="1">
      <alignment horizontal="center"/>
    </xf>
    <xf numFmtId="168" fontId="0" fillId="0" borderId="0" xfId="0" applyNumberFormat="1"/>
    <xf numFmtId="3" fontId="30" fillId="0" borderId="17" xfId="0" applyNumberFormat="1" applyFont="1" applyFill="1" applyBorder="1" applyAlignment="1">
      <alignment vertical="center"/>
    </xf>
    <xf numFmtId="49" fontId="5" fillId="0" borderId="1" xfId="0" applyNumberFormat="1" applyFont="1" applyFill="1" applyBorder="1" applyAlignment="1">
      <alignment vertical="center" wrapText="1"/>
    </xf>
    <xf numFmtId="3" fontId="5" fillId="0" borderId="1" xfId="1" applyNumberFormat="1" applyFont="1" applyFill="1" applyBorder="1" applyAlignment="1">
      <alignment vertical="center" wrapText="1"/>
    </xf>
    <xf numFmtId="49" fontId="2" fillId="0" borderId="1" xfId="0" applyNumberFormat="1" applyFont="1" applyFill="1" applyBorder="1" applyAlignment="1">
      <alignment vertical="center" wrapText="1"/>
    </xf>
    <xf numFmtId="3" fontId="3" fillId="0" borderId="1" xfId="1" applyNumberFormat="1" applyFont="1" applyFill="1" applyBorder="1" applyAlignment="1">
      <alignment vertical="center" wrapText="1"/>
    </xf>
    <xf numFmtId="3" fontId="13" fillId="8" borderId="1" xfId="0" applyNumberFormat="1" applyFont="1" applyFill="1" applyBorder="1" applyAlignment="1" applyProtection="1">
      <alignment horizontal="right" vertical="center"/>
    </xf>
    <xf numFmtId="3" fontId="7" fillId="7" borderId="1" xfId="0" applyNumberFormat="1" applyFont="1" applyFill="1" applyBorder="1" applyAlignment="1" applyProtection="1">
      <alignment horizontal="right" vertical="center"/>
      <protection locked="0"/>
    </xf>
    <xf numFmtId="0" fontId="6" fillId="0" borderId="0" xfId="0" applyFont="1" applyFill="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168" fontId="5" fillId="0" borderId="5" xfId="0" applyNumberFormat="1" applyFont="1" applyBorder="1" applyAlignment="1">
      <alignment horizontal="right" vertical="top" wrapText="1"/>
    </xf>
    <xf numFmtId="3" fontId="5" fillId="0" borderId="19" xfId="1" applyNumberFormat="1" applyFont="1" applyBorder="1" applyAlignment="1">
      <alignment horizontal="center" vertical="top" wrapText="1"/>
    </xf>
    <xf numFmtId="168" fontId="5" fillId="0" borderId="1" xfId="0" applyNumberFormat="1" applyFont="1" applyBorder="1" applyAlignment="1">
      <alignment horizontal="right" vertical="top" wrapText="1"/>
    </xf>
    <xf numFmtId="3" fontId="5" fillId="0" borderId="11" xfId="1" applyNumberFormat="1" applyFont="1" applyBorder="1" applyAlignment="1" applyProtection="1">
      <alignment vertical="top" wrapText="1"/>
      <protection locked="0"/>
    </xf>
    <xf numFmtId="0" fontId="0" fillId="0" borderId="20" xfId="0" applyBorder="1" applyAlignment="1">
      <alignment horizontal="left"/>
    </xf>
    <xf numFmtId="49" fontId="5" fillId="0" borderId="14" xfId="0" applyNumberFormat="1" applyFont="1" applyBorder="1" applyAlignment="1">
      <alignment horizontal="left" vertical="center" wrapText="1"/>
    </xf>
    <xf numFmtId="168" fontId="5" fillId="0" borderId="1" xfId="0" applyNumberFormat="1" applyFont="1" applyBorder="1" applyAlignment="1" applyProtection="1">
      <alignment horizontal="right" vertical="top" wrapText="1"/>
      <protection locked="0"/>
    </xf>
    <xf numFmtId="3" fontId="5" fillId="0" borderId="11" xfId="1" applyNumberFormat="1" applyFont="1" applyBorder="1" applyAlignment="1">
      <alignment vertical="top" wrapText="1"/>
    </xf>
    <xf numFmtId="0" fontId="0" fillId="0" borderId="21" xfId="0" applyBorder="1" applyAlignment="1">
      <alignment horizontal="left"/>
    </xf>
    <xf numFmtId="49" fontId="5" fillId="0" borderId="22" xfId="0" applyNumberFormat="1" applyFont="1" applyBorder="1" applyAlignment="1">
      <alignment horizontal="left" vertical="center" wrapText="1"/>
    </xf>
    <xf numFmtId="168" fontId="5" fillId="0" borderId="1" xfId="0" applyNumberFormat="1" applyFont="1" applyFill="1" applyBorder="1" applyAlignment="1" applyProtection="1">
      <alignment horizontal="right" vertical="top" wrapText="1"/>
      <protection locked="0"/>
    </xf>
    <xf numFmtId="0" fontId="23" fillId="0" borderId="1" xfId="0" applyFont="1" applyBorder="1"/>
    <xf numFmtId="168" fontId="5" fillId="0" borderId="5" xfId="0" applyNumberFormat="1" applyFont="1" applyFill="1" applyBorder="1" applyAlignment="1" applyProtection="1">
      <alignment horizontal="right" vertical="center" wrapText="1"/>
      <protection locked="0"/>
    </xf>
    <xf numFmtId="168" fontId="4" fillId="0" borderId="24" xfId="0" applyNumberFormat="1" applyFont="1" applyFill="1" applyBorder="1" applyAlignment="1">
      <alignment horizontal="right" vertical="top" wrapText="1"/>
    </xf>
    <xf numFmtId="168" fontId="4" fillId="0" borderId="19" xfId="0" applyNumberFormat="1" applyFont="1" applyBorder="1"/>
    <xf numFmtId="168" fontId="5" fillId="0" borderId="1" xfId="0" applyNumberFormat="1" applyFont="1" applyFill="1" applyBorder="1" applyAlignment="1">
      <alignment horizontal="right" vertical="top" wrapText="1"/>
    </xf>
    <xf numFmtId="0" fontId="23" fillId="0" borderId="11" xfId="0" applyFont="1" applyBorder="1"/>
    <xf numFmtId="168" fontId="5" fillId="0" borderId="23" xfId="0" applyNumberFormat="1" applyFont="1" applyFill="1" applyBorder="1" applyAlignment="1">
      <alignment horizontal="right" vertical="top" wrapText="1"/>
    </xf>
    <xf numFmtId="0" fontId="23" fillId="0" borderId="26" xfId="0" applyFont="1" applyBorder="1"/>
    <xf numFmtId="0" fontId="0" fillId="0" borderId="0" xfId="0" applyFill="1"/>
    <xf numFmtId="165" fontId="3" fillId="0" borderId="16" xfId="0" applyNumberFormat="1" applyFont="1" applyBorder="1" applyAlignment="1">
      <alignment horizontal="left" vertical="center" wrapText="1"/>
    </xf>
    <xf numFmtId="0" fontId="3" fillId="0" borderId="16" xfId="0" applyFont="1" applyBorder="1" applyAlignment="1">
      <alignment horizontal="left" vertical="top" wrapText="1"/>
    </xf>
    <xf numFmtId="3" fontId="3" fillId="0" borderId="16" xfId="0" applyNumberFormat="1" applyFont="1" applyBorder="1" applyProtection="1"/>
    <xf numFmtId="165" fontId="2" fillId="0" borderId="23" xfId="0" applyNumberFormat="1" applyFont="1" applyBorder="1" applyAlignment="1">
      <alignment horizontal="center" vertical="center" wrapText="1"/>
    </xf>
    <xf numFmtId="0" fontId="2" fillId="0" borderId="23" xfId="0" applyFont="1" applyBorder="1" applyAlignment="1">
      <alignment horizontal="left" vertical="top" wrapText="1"/>
    </xf>
    <xf numFmtId="3" fontId="5" fillId="0" borderId="23" xfId="0" applyNumberFormat="1" applyFont="1" applyBorder="1" applyProtection="1"/>
    <xf numFmtId="3" fontId="13" fillId="9" borderId="1" xfId="0" applyNumberFormat="1" applyFont="1" applyFill="1" applyBorder="1" applyAlignment="1" applyProtection="1">
      <alignment horizontal="right" vertical="center"/>
    </xf>
    <xf numFmtId="3" fontId="7" fillId="9" borderId="1" xfId="0" applyNumberFormat="1" applyFont="1" applyFill="1" applyBorder="1" applyAlignment="1" applyProtection="1">
      <alignment horizontal="right" vertical="center"/>
      <protection locked="0"/>
    </xf>
    <xf numFmtId="0" fontId="6" fillId="0" borderId="0" xfId="0" applyFont="1" applyFill="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xf>
    <xf numFmtId="0" fontId="35" fillId="0" borderId="0" xfId="0" applyFont="1"/>
    <xf numFmtId="0" fontId="35" fillId="0" borderId="0" xfId="0" applyFont="1" applyAlignment="1">
      <alignment wrapText="1"/>
    </xf>
    <xf numFmtId="3" fontId="0" fillId="0" borderId="0" xfId="0" applyNumberFormat="1" applyBorder="1" applyAlignment="1">
      <alignment horizontal="right"/>
    </xf>
    <xf numFmtId="168" fontId="31" fillId="0" borderId="0" xfId="0" applyNumberFormat="1" applyFont="1" applyBorder="1" applyAlignment="1">
      <alignment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3" fontId="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left" vertical="center" wrapText="1"/>
    </xf>
    <xf numFmtId="3" fontId="31" fillId="0" borderId="1" xfId="0" applyNumberFormat="1" applyFont="1" applyBorder="1" applyAlignment="1">
      <alignment horizontal="right"/>
    </xf>
    <xf numFmtId="0" fontId="34" fillId="0" borderId="0" xfId="0" applyFont="1" applyBorder="1" applyAlignment="1">
      <alignment vertical="center" wrapText="1"/>
    </xf>
    <xf numFmtId="164" fontId="33" fillId="0" borderId="1" xfId="0" applyNumberFormat="1" applyFont="1" applyBorder="1" applyAlignment="1">
      <alignment horizontal="left" wrapText="1"/>
    </xf>
    <xf numFmtId="164" fontId="5" fillId="0" borderId="1" xfId="0" applyNumberFormat="1" applyFont="1" applyBorder="1" applyAlignment="1">
      <alignment wrapText="1"/>
    </xf>
    <xf numFmtId="0" fontId="2" fillId="0" borderId="1" xfId="0" applyFont="1" applyBorder="1" applyAlignment="1">
      <alignment horizontal="center" vertical="center" wrapText="1"/>
    </xf>
    <xf numFmtId="3" fontId="13" fillId="10" borderId="1" xfId="0" applyNumberFormat="1" applyFont="1" applyFill="1" applyBorder="1" applyAlignment="1" applyProtection="1">
      <alignment horizontal="right" vertical="center"/>
    </xf>
    <xf numFmtId="0" fontId="0" fillId="11" borderId="0" xfId="0" applyFill="1"/>
    <xf numFmtId="0" fontId="36" fillId="0" borderId="0" xfId="0" applyFont="1" applyAlignment="1">
      <alignment horizontal="justify"/>
    </xf>
    <xf numFmtId="0" fontId="36" fillId="0" borderId="0" xfId="0" applyFont="1"/>
    <xf numFmtId="0" fontId="3" fillId="0" borderId="27" xfId="0" applyFont="1" applyBorder="1" applyAlignment="1">
      <alignment horizontal="center" wrapText="1"/>
    </xf>
    <xf numFmtId="0" fontId="3" fillId="0" borderId="29" xfId="0" applyFont="1" applyBorder="1" applyAlignment="1">
      <alignment wrapText="1"/>
    </xf>
    <xf numFmtId="3" fontId="3" fillId="0" borderId="27" xfId="0" applyNumberFormat="1" applyFont="1" applyBorder="1" applyAlignment="1">
      <alignment horizontal="right" wrapText="1"/>
    </xf>
    <xf numFmtId="0" fontId="2" fillId="0" borderId="27" xfId="0" applyFont="1" applyBorder="1" applyAlignment="1">
      <alignment horizontal="center" wrapText="1"/>
    </xf>
    <xf numFmtId="0" fontId="2" fillId="0" borderId="29" xfId="0" applyFont="1" applyBorder="1" applyAlignment="1">
      <alignment horizontal="justify" wrapText="1"/>
    </xf>
    <xf numFmtId="3" fontId="2" fillId="0" borderId="27" xfId="0" applyNumberFormat="1" applyFont="1" applyBorder="1" applyAlignment="1">
      <alignment horizontal="right" wrapText="1"/>
    </xf>
    <xf numFmtId="0" fontId="3" fillId="0" borderId="30" xfId="0" applyFont="1" applyBorder="1" applyAlignment="1">
      <alignment horizontal="center"/>
    </xf>
    <xf numFmtId="0" fontId="3" fillId="0" borderId="31" xfId="0" applyFont="1" applyBorder="1" applyAlignment="1">
      <alignment horizontal="justify" wrapText="1"/>
    </xf>
    <xf numFmtId="3" fontId="3" fillId="0" borderId="31" xfId="0" applyNumberFormat="1" applyFont="1" applyBorder="1" applyAlignment="1">
      <alignment horizontal="right"/>
    </xf>
    <xf numFmtId="0" fontId="2" fillId="0" borderId="28" xfId="0" applyFont="1" applyBorder="1" applyAlignment="1">
      <alignment horizontal="center"/>
    </xf>
    <xf numFmtId="0" fontId="2" fillId="0" borderId="32" xfId="0" applyFont="1" applyBorder="1" applyAlignment="1">
      <alignment horizontal="justify" wrapText="1"/>
    </xf>
    <xf numFmtId="3" fontId="2" fillId="0" borderId="32" xfId="0" applyNumberFormat="1" applyFont="1" applyBorder="1" applyAlignment="1">
      <alignment horizontal="right"/>
    </xf>
    <xf numFmtId="0" fontId="3" fillId="0" borderId="28" xfId="0" applyFont="1" applyBorder="1" applyAlignment="1">
      <alignment horizontal="center"/>
    </xf>
    <xf numFmtId="0" fontId="3" fillId="0" borderId="32" xfId="0" applyFont="1" applyBorder="1" applyAlignment="1">
      <alignment horizontal="justify" wrapText="1"/>
    </xf>
    <xf numFmtId="3" fontId="3" fillId="0" borderId="32" xfId="0" applyNumberFormat="1" applyFont="1" applyBorder="1" applyAlignment="1">
      <alignment horizontal="right"/>
    </xf>
    <xf numFmtId="0" fontId="3" fillId="0" borderId="28" xfId="0" applyFont="1" applyBorder="1"/>
    <xf numFmtId="0" fontId="3" fillId="0" borderId="33" xfId="0" applyFont="1" applyBorder="1"/>
    <xf numFmtId="3" fontId="3" fillId="0" borderId="28" xfId="0" applyNumberFormat="1" applyFont="1" applyBorder="1" applyAlignment="1">
      <alignment horizontal="right"/>
    </xf>
    <xf numFmtId="3" fontId="7" fillId="8" borderId="1" xfId="0" applyNumberFormat="1" applyFont="1" applyFill="1" applyBorder="1" applyAlignment="1" applyProtection="1">
      <alignment horizontal="right" vertical="center"/>
    </xf>
    <xf numFmtId="0" fontId="11" fillId="0" borderId="1" xfId="0" applyFont="1" applyFill="1" applyBorder="1" applyAlignment="1" applyProtection="1">
      <alignment horizontal="left" vertical="top" wrapText="1" indent="2"/>
      <protection hidden="1"/>
    </xf>
    <xf numFmtId="1" fontId="11" fillId="0" borderId="1" xfId="0" applyNumberFormat="1" applyFont="1" applyBorder="1" applyAlignment="1" applyProtection="1">
      <alignment horizontal="center" vertical="center"/>
    </xf>
    <xf numFmtId="165" fontId="11" fillId="0" borderId="1" xfId="0" applyNumberFormat="1" applyFont="1" applyBorder="1" applyAlignment="1" applyProtection="1">
      <alignment horizontal="center" vertical="center"/>
    </xf>
    <xf numFmtId="167" fontId="11" fillId="0" borderId="1" xfId="0" applyNumberFormat="1" applyFont="1" applyBorder="1" applyAlignment="1" applyProtection="1">
      <alignment horizontal="center" vertical="center"/>
    </xf>
    <xf numFmtId="166" fontId="11" fillId="0" borderId="1" xfId="0" applyNumberFormat="1" applyFont="1" applyBorder="1" applyAlignment="1" applyProtection="1">
      <alignment horizontal="center" vertical="center"/>
    </xf>
    <xf numFmtId="3" fontId="11" fillId="0" borderId="1" xfId="0" applyNumberFormat="1" applyFont="1" applyFill="1" applyBorder="1" applyAlignment="1" applyProtection="1">
      <alignment horizontal="right" vertical="center"/>
      <protection locked="0"/>
    </xf>
    <xf numFmtId="0" fontId="11" fillId="0" borderId="0" xfId="0" applyFont="1" applyProtection="1"/>
    <xf numFmtId="0" fontId="6" fillId="0" borderId="0" xfId="0" applyFont="1" applyAlignment="1">
      <alignment horizontal="center"/>
    </xf>
    <xf numFmtId="0" fontId="4" fillId="0" borderId="2" xfId="0" applyFont="1" applyBorder="1" applyAlignment="1">
      <alignment horizontal="center" vertical="top" wrapText="1"/>
    </xf>
    <xf numFmtId="0" fontId="4" fillId="0" borderId="34" xfId="0" applyFont="1" applyBorder="1" applyAlignment="1">
      <alignment horizontal="center" vertical="top" wrapText="1"/>
    </xf>
    <xf numFmtId="0" fontId="4" fillId="0" borderId="5" xfId="0" applyFont="1" applyBorder="1" applyAlignment="1">
      <alignment horizontal="center" vertical="top" wrapText="1"/>
    </xf>
    <xf numFmtId="0" fontId="4" fillId="0" borderId="35" xfId="0" applyFont="1" applyBorder="1" applyAlignment="1">
      <alignment horizontal="center" vertical="top" wrapText="1"/>
    </xf>
    <xf numFmtId="0" fontId="5" fillId="0" borderId="5" xfId="0" applyFont="1" applyBorder="1" applyAlignment="1">
      <alignment horizontal="center" vertical="center" wrapText="1"/>
    </xf>
    <xf numFmtId="0" fontId="5" fillId="0" borderId="35" xfId="0" applyFont="1" applyBorder="1" applyAlignment="1">
      <alignment vertical="top" wrapText="1"/>
    </xf>
    <xf numFmtId="0" fontId="38" fillId="0" borderId="35" xfId="0" applyFont="1" applyBorder="1" applyAlignment="1">
      <alignment horizontal="center" vertical="center" wrapText="1"/>
    </xf>
    <xf numFmtId="0" fontId="5" fillId="0" borderId="1" xfId="0" applyFont="1" applyBorder="1" applyAlignment="1">
      <alignment vertical="top" wrapText="1"/>
    </xf>
    <xf numFmtId="0" fontId="38" fillId="0" borderId="1" xfId="0" applyFont="1" applyBorder="1" applyAlignment="1">
      <alignment horizontal="center" vertical="center" wrapText="1"/>
    </xf>
    <xf numFmtId="0" fontId="36" fillId="0" borderId="1" xfId="0" applyFont="1" applyBorder="1" applyAlignment="1">
      <alignment horizontal="center" vertical="top" wrapText="1"/>
    </xf>
    <xf numFmtId="0" fontId="2" fillId="0" borderId="1" xfId="0" applyFont="1" applyBorder="1" applyAlignment="1">
      <alignment horizontal="center" vertical="center" wrapText="1"/>
    </xf>
    <xf numFmtId="3" fontId="2" fillId="12" borderId="1" xfId="0" applyNumberFormat="1" applyFont="1" applyFill="1" applyBorder="1" applyAlignment="1">
      <alignment horizontal="right" vertical="center"/>
    </xf>
    <xf numFmtId="3" fontId="0" fillId="5" borderId="1" xfId="0" applyNumberFormat="1" applyFill="1" applyBorder="1" applyAlignment="1">
      <alignment horizontal="right"/>
    </xf>
    <xf numFmtId="168" fontId="31" fillId="7" borderId="1" xfId="0" applyNumberFormat="1" applyFont="1" applyFill="1" applyBorder="1" applyAlignment="1">
      <alignment vertical="center"/>
    </xf>
    <xf numFmtId="3" fontId="0" fillId="5" borderId="1" xfId="0" applyNumberFormat="1" applyFont="1" applyFill="1" applyBorder="1" applyAlignment="1">
      <alignment horizontal="right"/>
    </xf>
    <xf numFmtId="3" fontId="0" fillId="5" borderId="1" xfId="0" applyNumberFormat="1" applyFill="1" applyBorder="1" applyAlignment="1"/>
    <xf numFmtId="0" fontId="5" fillId="0" borderId="0" xfId="0" applyFont="1" applyFill="1" applyAlignment="1"/>
    <xf numFmtId="3" fontId="11"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wrapText="1"/>
    </xf>
    <xf numFmtId="0" fontId="5" fillId="0" borderId="0" xfId="0" applyFont="1" applyFill="1" applyAlignment="1">
      <alignment horizontal="right"/>
    </xf>
    <xf numFmtId="0" fontId="6" fillId="0" borderId="0" xfId="0" applyFont="1" applyFill="1" applyAlignment="1">
      <alignment horizontal="center" vertical="center" wrapText="1"/>
    </xf>
    <xf numFmtId="0" fontId="4" fillId="0" borderId="6" xfId="0" applyFont="1" applyBorder="1" applyAlignment="1">
      <alignment horizontal="left"/>
    </xf>
    <xf numFmtId="0" fontId="4" fillId="0" borderId="4" xfId="0" applyFont="1" applyBorder="1" applyAlignment="1">
      <alignment horizontal="left"/>
    </xf>
    <xf numFmtId="0" fontId="6" fillId="0" borderId="0" xfId="0" applyFont="1" applyAlignment="1">
      <alignment horizontal="center" wrapText="1"/>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5" fillId="0" borderId="0" xfId="0" applyFont="1" applyFill="1" applyAlignment="1" applyProtection="1">
      <alignment horizontal="right"/>
    </xf>
    <xf numFmtId="0" fontId="8" fillId="0" borderId="0" xfId="0" applyFont="1" applyAlignment="1" applyProtection="1">
      <alignment horizontal="center" wrapText="1"/>
    </xf>
    <xf numFmtId="0" fontId="3" fillId="0" borderId="0" xfId="0" applyFont="1" applyAlignment="1">
      <alignment horizontal="center" wrapText="1"/>
    </xf>
    <xf numFmtId="0" fontId="5" fillId="0" borderId="1" xfId="0" applyFont="1" applyBorder="1" applyAlignment="1">
      <alignment horizontal="center" vertical="center" wrapText="1"/>
    </xf>
    <xf numFmtId="164" fontId="32" fillId="0" borderId="13" xfId="0" applyNumberFormat="1" applyFont="1" applyFill="1" applyBorder="1" applyAlignment="1">
      <alignment horizontal="left" wrapText="1"/>
    </xf>
    <xf numFmtId="164" fontId="32" fillId="0" borderId="14" xfId="0" applyNumberFormat="1" applyFont="1" applyFill="1" applyBorder="1" applyAlignment="1">
      <alignment horizontal="left" wrapText="1"/>
    </xf>
    <xf numFmtId="0" fontId="4" fillId="0" borderId="12" xfId="0" applyFont="1" applyFill="1" applyBorder="1" applyAlignment="1">
      <alignment horizontal="center" vertical="center" wrapText="1"/>
    </xf>
    <xf numFmtId="0" fontId="3" fillId="0" borderId="13" xfId="0" applyFont="1" applyBorder="1" applyAlignment="1">
      <alignment horizontal="left"/>
    </xf>
    <xf numFmtId="0" fontId="3" fillId="0" borderId="14" xfId="0" applyFont="1" applyBorder="1" applyAlignment="1">
      <alignment horizontal="left"/>
    </xf>
    <xf numFmtId="0" fontId="34"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right"/>
    </xf>
    <xf numFmtId="0" fontId="3" fillId="0" borderId="0" xfId="0" applyFont="1" applyBorder="1" applyAlignment="1">
      <alignment horizontal="center" wrapText="1"/>
    </xf>
    <xf numFmtId="0" fontId="2" fillId="0" borderId="0" xfId="0" applyFont="1" applyBorder="1" applyAlignment="1">
      <alignment vertical="center" wrapText="1"/>
    </xf>
    <xf numFmtId="0" fontId="34" fillId="0" borderId="0" xfId="0" applyFont="1" applyBorder="1" applyAlignment="1">
      <alignment horizontal="left" vertical="center" wrapText="1"/>
    </xf>
    <xf numFmtId="164" fontId="32" fillId="0" borderId="0" xfId="0" applyNumberFormat="1" applyFont="1" applyFill="1" applyBorder="1" applyAlignment="1">
      <alignment horizontal="left" wrapText="1"/>
    </xf>
    <xf numFmtId="0" fontId="2" fillId="0" borderId="0" xfId="0" applyFont="1" applyAlignment="1">
      <alignment vertical="center" wrapText="1"/>
    </xf>
    <xf numFmtId="0" fontId="2" fillId="0" borderId="0" xfId="0" applyFont="1" applyAlignment="1">
      <alignment horizontal="left" vertical="top" wrapText="1"/>
    </xf>
    <xf numFmtId="0" fontId="26" fillId="0" borderId="0" xfId="0" applyFont="1" applyAlignment="1">
      <alignment horizontal="left" wrapText="1"/>
    </xf>
    <xf numFmtId="0" fontId="34" fillId="0" borderId="0" xfId="0" applyFont="1" applyFill="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Alignment="1">
      <alignment horizontal="left"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49" fontId="5" fillId="0" borderId="25"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49" fontId="5" fillId="0" borderId="7"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168" fontId="5" fillId="0" borderId="8" xfId="0" applyNumberFormat="1" applyFont="1" applyBorder="1" applyAlignment="1">
      <alignment horizontal="right" vertical="center" wrapText="1"/>
    </xf>
    <xf numFmtId="168" fontId="5" fillId="0" borderId="5" xfId="0" applyNumberFormat="1" applyFont="1" applyBorder="1" applyAlignment="1">
      <alignment horizontal="right" vertical="center" wrapText="1"/>
    </xf>
    <xf numFmtId="3" fontId="5" fillId="0" borderId="9" xfId="1" applyNumberFormat="1" applyFont="1" applyBorder="1" applyAlignment="1">
      <alignment horizontal="center" vertical="top" wrapText="1"/>
    </xf>
    <xf numFmtId="3" fontId="5" fillId="0" borderId="19" xfId="1" applyNumberFormat="1" applyFont="1" applyBorder="1" applyAlignment="1">
      <alignment horizontal="center" vertical="top" wrapText="1"/>
    </xf>
    <xf numFmtId="49" fontId="5" fillId="0" borderId="18"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0" xfId="0" applyNumberFormat="1" applyFont="1" applyBorder="1" applyAlignment="1">
      <alignment horizontal="left" vertical="center" wrapText="1"/>
    </xf>
    <xf numFmtId="49" fontId="5" fillId="0" borderId="1" xfId="0" applyNumberFormat="1" applyFont="1" applyBorder="1" applyAlignment="1">
      <alignment horizontal="left" vertical="center" wrapText="1"/>
    </xf>
    <xf numFmtId="0" fontId="2" fillId="0" borderId="1" xfId="0" applyFont="1" applyBorder="1" applyAlignment="1">
      <alignment horizontal="left" wrapText="1"/>
    </xf>
    <xf numFmtId="49" fontId="5" fillId="0" borderId="1"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1" xfId="0" applyNumberFormat="1" applyFont="1" applyBorder="1" applyAlignment="1">
      <alignment horizontal="left" wrapText="1"/>
    </xf>
    <xf numFmtId="0" fontId="0" fillId="0" borderId="0" xfId="0" applyAlignment="1">
      <alignment horizontal="center"/>
    </xf>
    <xf numFmtId="0" fontId="2" fillId="0" borderId="0" xfId="0" applyFont="1" applyAlignment="1">
      <alignment horizontal="right"/>
    </xf>
    <xf numFmtId="0" fontId="23" fillId="0" borderId="0" xfId="0" applyFont="1" applyAlignment="1">
      <alignment horizontal="right"/>
    </xf>
    <xf numFmtId="0" fontId="37" fillId="0" borderId="0" xfId="0" applyFont="1" applyAlignment="1">
      <alignment horizontal="center" wrapText="1"/>
    </xf>
  </cellXfs>
  <cellStyles count="3">
    <cellStyle name="Денежный" xfId="1" builtinId="4"/>
    <cellStyle name="Обычный" xfId="0" builtinId="0"/>
    <cellStyle name="Обычный_Пр_1" xfId="2"/>
  </cellStyles>
  <dxfs count="2">
    <dxf>
      <font>
        <b val="0"/>
        <i val="0"/>
        <strike val="0"/>
        <condense val="0"/>
        <extend val="0"/>
        <outline val="0"/>
        <shadow val="0"/>
        <u val="none"/>
        <vertAlign val="baseline"/>
        <sz val="10"/>
        <color indexed="72"/>
        <name val="Arial"/>
        <scheme val="none"/>
      </font>
      <numFmt numFmtId="164" formatCode=";;"/>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indexed="72"/>
        <name val="Arial"/>
        <scheme val="none"/>
      </font>
      <numFmt numFmtId="166" formatCode="000"/>
      <alignment horizontal="center" vertical="bottom" textRotation="0" wrapText="0" indent="0" relativeIndent="0" justifyLastLine="0" shrinkToFit="0" mergeCell="0" readingOrder="0"/>
    </dxf>
  </dxfs>
  <tableStyles count="0" defaultTableStyle="TableStyleMedium9" defaultPivotStyle="PivotStyleLight16"/>
  <colors>
    <mruColors>
      <color rgb="FFB4E5F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1" name="Список2" displayName="Список2" ref="A2:B169" insertRowShift="1"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sheetPr>
    <pageSetUpPr fitToPage="1"/>
  </sheetPr>
  <dimension ref="A1:K133"/>
  <sheetViews>
    <sheetView showGridLines="0" view="pageBreakPreview" topLeftCell="A43" zoomScaleSheetLayoutView="100" workbookViewId="0">
      <selection activeCell="J43" sqref="J43"/>
    </sheetView>
  </sheetViews>
  <sheetFormatPr defaultRowHeight="15" outlineLevelCol="1"/>
  <cols>
    <col min="1" max="1" width="5.140625" style="140" bestFit="1" customWidth="1"/>
    <col min="2" max="3" width="3" style="140" bestFit="1" customWidth="1"/>
    <col min="4" max="4" width="6.85546875" style="140" bestFit="1" customWidth="1"/>
    <col min="5" max="5" width="3" style="140" customWidth="1"/>
    <col min="6" max="6" width="5.85546875" style="177" customWidth="1"/>
    <col min="7" max="7" width="4.85546875" style="140" bestFit="1" customWidth="1"/>
    <col min="8" max="8" width="48.7109375" style="141" customWidth="1"/>
    <col min="9" max="9" width="16.140625" style="141" hidden="1" customWidth="1" outlineLevel="1"/>
    <col min="10" max="10" width="15.140625" style="141" hidden="1" customWidth="1" outlineLevel="1"/>
    <col min="11" max="11" width="15.140625" style="141" customWidth="1" collapsed="1"/>
    <col min="12" max="16384" width="9.140625" style="141"/>
  </cols>
  <sheetData>
    <row r="1" spans="1:11" ht="15.75">
      <c r="F1" s="332" t="s">
        <v>10</v>
      </c>
      <c r="G1" s="332"/>
      <c r="H1" s="332"/>
      <c r="I1" s="332"/>
      <c r="J1" s="332"/>
      <c r="K1" s="332"/>
    </row>
    <row r="2" spans="1:11" ht="15.75">
      <c r="F2" s="332" t="s">
        <v>914</v>
      </c>
      <c r="G2" s="332"/>
      <c r="H2" s="332"/>
      <c r="I2" s="332"/>
      <c r="J2" s="332"/>
      <c r="K2" s="332"/>
    </row>
    <row r="3" spans="1:11" ht="15.75">
      <c r="F3" s="332" t="s">
        <v>643</v>
      </c>
      <c r="G3" s="332"/>
      <c r="H3" s="332"/>
      <c r="I3" s="332"/>
      <c r="J3" s="332"/>
      <c r="K3" s="332"/>
    </row>
    <row r="4" spans="1:11" ht="15.75">
      <c r="F4" s="332" t="s">
        <v>2133</v>
      </c>
      <c r="G4" s="332"/>
      <c r="H4" s="332"/>
      <c r="I4" s="332"/>
      <c r="J4" s="332"/>
      <c r="K4" s="332"/>
    </row>
    <row r="5" spans="1:11" ht="15.75">
      <c r="F5" s="142"/>
      <c r="G5" s="143"/>
    </row>
    <row r="6" spans="1:11" ht="65.25" customHeight="1">
      <c r="A6" s="333" t="s">
        <v>1730</v>
      </c>
      <c r="B6" s="333"/>
      <c r="C6" s="333"/>
      <c r="D6" s="333"/>
      <c r="E6" s="333"/>
      <c r="F6" s="333"/>
      <c r="G6" s="333"/>
      <c r="H6" s="333"/>
      <c r="I6" s="333"/>
      <c r="J6" s="333"/>
      <c r="K6" s="333"/>
    </row>
    <row r="7" spans="1:11" ht="18.75">
      <c r="F7" s="144"/>
      <c r="G7" s="145"/>
      <c r="H7" s="145"/>
    </row>
    <row r="8" spans="1:11" ht="18.75">
      <c r="F8" s="144"/>
      <c r="G8" s="145"/>
      <c r="H8" s="145"/>
    </row>
    <row r="9" spans="1:11">
      <c r="A9" s="331" t="s">
        <v>1731</v>
      </c>
      <c r="B9" s="331"/>
      <c r="C9" s="331"/>
      <c r="D9" s="331"/>
      <c r="E9" s="331"/>
      <c r="F9" s="331"/>
      <c r="G9" s="331"/>
      <c r="H9" s="330" t="s">
        <v>1732</v>
      </c>
      <c r="I9" s="330" t="s">
        <v>2142</v>
      </c>
      <c r="J9" s="330" t="s">
        <v>999</v>
      </c>
      <c r="K9" s="330" t="s">
        <v>375</v>
      </c>
    </row>
    <row r="10" spans="1:11" ht="120.75">
      <c r="A10" s="146" t="s">
        <v>1733</v>
      </c>
      <c r="B10" s="146" t="s">
        <v>1734</v>
      </c>
      <c r="C10" s="146" t="s">
        <v>1735</v>
      </c>
      <c r="D10" s="147" t="s">
        <v>1736</v>
      </c>
      <c r="E10" s="146" t="s">
        <v>1737</v>
      </c>
      <c r="F10" s="148" t="s">
        <v>1738</v>
      </c>
      <c r="G10" s="147" t="s">
        <v>1739</v>
      </c>
      <c r="H10" s="330"/>
      <c r="I10" s="330"/>
      <c r="J10" s="330"/>
      <c r="K10" s="330"/>
    </row>
    <row r="11" spans="1:11" ht="15.75">
      <c r="A11" s="149" t="s">
        <v>1740</v>
      </c>
      <c r="B11" s="149" t="s">
        <v>1741</v>
      </c>
      <c r="C11" s="149" t="s">
        <v>1742</v>
      </c>
      <c r="D11" s="149" t="s">
        <v>1743</v>
      </c>
      <c r="E11" s="149" t="s">
        <v>1742</v>
      </c>
      <c r="F11" s="150" t="s">
        <v>1744</v>
      </c>
      <c r="G11" s="150" t="s">
        <v>1740</v>
      </c>
      <c r="H11" s="151" t="s">
        <v>1745</v>
      </c>
      <c r="I11" s="152">
        <v>190363707</v>
      </c>
      <c r="J11" s="152">
        <f>J12+J14+J18+J21+J27+J30+J35+J36</f>
        <v>-11324847</v>
      </c>
      <c r="K11" s="152">
        <f>K12+K14+K18+K21+K27+K30+K35+K36</f>
        <v>179038860</v>
      </c>
    </row>
    <row r="12" spans="1:11" ht="15.75">
      <c r="A12" s="149" t="s">
        <v>1740</v>
      </c>
      <c r="B12" s="149" t="s">
        <v>1741</v>
      </c>
      <c r="C12" s="149" t="s">
        <v>1746</v>
      </c>
      <c r="D12" s="149" t="s">
        <v>1743</v>
      </c>
      <c r="E12" s="149" t="s">
        <v>1742</v>
      </c>
      <c r="F12" s="150" t="s">
        <v>1744</v>
      </c>
      <c r="G12" s="150" t="s">
        <v>1740</v>
      </c>
      <c r="H12" s="18" t="s">
        <v>1747</v>
      </c>
      <c r="I12" s="152">
        <v>89857020</v>
      </c>
      <c r="J12" s="152">
        <f>J13</f>
        <v>0</v>
      </c>
      <c r="K12" s="152">
        <f>K13</f>
        <v>89857020</v>
      </c>
    </row>
    <row r="13" spans="1:11" ht="15.75">
      <c r="A13" s="153" t="s">
        <v>1748</v>
      </c>
      <c r="B13" s="153" t="s">
        <v>1741</v>
      </c>
      <c r="C13" s="153" t="s">
        <v>1746</v>
      </c>
      <c r="D13" s="153" t="s">
        <v>1749</v>
      </c>
      <c r="E13" s="153" t="s">
        <v>1746</v>
      </c>
      <c r="F13" s="154" t="s">
        <v>1744</v>
      </c>
      <c r="G13" s="154" t="s">
        <v>1750</v>
      </c>
      <c r="H13" s="3" t="s">
        <v>1751</v>
      </c>
      <c r="I13" s="155">
        <v>89857020</v>
      </c>
      <c r="J13" s="323"/>
      <c r="K13" s="155">
        <f>I13+J13</f>
        <v>89857020</v>
      </c>
    </row>
    <row r="14" spans="1:11" ht="15.75">
      <c r="A14" s="149" t="s">
        <v>1740</v>
      </c>
      <c r="B14" s="149" t="s">
        <v>1741</v>
      </c>
      <c r="C14" s="149" t="s">
        <v>1752</v>
      </c>
      <c r="D14" s="149" t="s">
        <v>1743</v>
      </c>
      <c r="E14" s="149" t="s">
        <v>1742</v>
      </c>
      <c r="F14" s="150" t="s">
        <v>1744</v>
      </c>
      <c r="G14" s="150" t="s">
        <v>1740</v>
      </c>
      <c r="H14" s="18" t="s">
        <v>1753</v>
      </c>
      <c r="I14" s="152">
        <v>15248000</v>
      </c>
      <c r="J14" s="152">
        <f>SUM(J15:J17)</f>
        <v>0</v>
      </c>
      <c r="K14" s="152">
        <f>SUM(K15:K17)</f>
        <v>15248000</v>
      </c>
    </row>
    <row r="15" spans="1:11" ht="63">
      <c r="A15" s="153" t="s">
        <v>1748</v>
      </c>
      <c r="B15" s="153" t="s">
        <v>1741</v>
      </c>
      <c r="C15" s="153" t="s">
        <v>1752</v>
      </c>
      <c r="D15" s="153" t="s">
        <v>1754</v>
      </c>
      <c r="E15" s="153" t="s">
        <v>1755</v>
      </c>
      <c r="F15" s="154" t="s">
        <v>1744</v>
      </c>
      <c r="G15" s="154" t="s">
        <v>1750</v>
      </c>
      <c r="H15" s="3" t="s">
        <v>1756</v>
      </c>
      <c r="I15" s="155">
        <v>100000</v>
      </c>
      <c r="J15" s="323"/>
      <c r="K15" s="155">
        <f>I15+J15</f>
        <v>100000</v>
      </c>
    </row>
    <row r="16" spans="1:11" ht="31.5">
      <c r="A16" s="153" t="s">
        <v>1748</v>
      </c>
      <c r="B16" s="153" t="s">
        <v>1741</v>
      </c>
      <c r="C16" s="153" t="s">
        <v>1752</v>
      </c>
      <c r="D16" s="153" t="s">
        <v>1749</v>
      </c>
      <c r="E16" s="153" t="s">
        <v>1755</v>
      </c>
      <c r="F16" s="154" t="s">
        <v>1744</v>
      </c>
      <c r="G16" s="154" t="s">
        <v>1750</v>
      </c>
      <c r="H16" s="3" t="s">
        <v>1757</v>
      </c>
      <c r="I16" s="155">
        <v>15070000</v>
      </c>
      <c r="J16" s="323"/>
      <c r="K16" s="155">
        <f>I16+J16</f>
        <v>15070000</v>
      </c>
    </row>
    <row r="17" spans="1:11" ht="15.75">
      <c r="A17" s="153" t="s">
        <v>1748</v>
      </c>
      <c r="B17" s="153" t="s">
        <v>1741</v>
      </c>
      <c r="C17" s="153" t="s">
        <v>1752</v>
      </c>
      <c r="D17" s="153" t="s">
        <v>1758</v>
      </c>
      <c r="E17" s="153" t="s">
        <v>1746</v>
      </c>
      <c r="F17" s="154" t="s">
        <v>1744</v>
      </c>
      <c r="G17" s="154" t="s">
        <v>1750</v>
      </c>
      <c r="H17" s="3" t="s">
        <v>1759</v>
      </c>
      <c r="I17" s="155">
        <v>78000</v>
      </c>
      <c r="J17" s="323"/>
      <c r="K17" s="155">
        <f>I17+J17</f>
        <v>78000</v>
      </c>
    </row>
    <row r="18" spans="1:11" ht="15.75">
      <c r="A18" s="149" t="s">
        <v>1740</v>
      </c>
      <c r="B18" s="149" t="s">
        <v>1741</v>
      </c>
      <c r="C18" s="149" t="s">
        <v>1760</v>
      </c>
      <c r="D18" s="149" t="s">
        <v>1743</v>
      </c>
      <c r="E18" s="149" t="s">
        <v>1742</v>
      </c>
      <c r="F18" s="150" t="s">
        <v>1744</v>
      </c>
      <c r="G18" s="150" t="s">
        <v>1740</v>
      </c>
      <c r="H18" s="18" t="s">
        <v>1761</v>
      </c>
      <c r="I18" s="152">
        <v>3355000</v>
      </c>
      <c r="J18" s="152">
        <f>SUM(J19:J20)</f>
        <v>0</v>
      </c>
      <c r="K18" s="152">
        <f>SUM(K19:K20)</f>
        <v>3355000</v>
      </c>
    </row>
    <row r="19" spans="1:11" ht="47.25">
      <c r="A19" s="153" t="s">
        <v>1748</v>
      </c>
      <c r="B19" s="153" t="s">
        <v>1741</v>
      </c>
      <c r="C19" s="153" t="s">
        <v>1760</v>
      </c>
      <c r="D19" s="153" t="s">
        <v>1758</v>
      </c>
      <c r="E19" s="153" t="s">
        <v>1746</v>
      </c>
      <c r="F19" s="154" t="s">
        <v>1744</v>
      </c>
      <c r="G19" s="154" t="s">
        <v>1750</v>
      </c>
      <c r="H19" s="3" t="s">
        <v>1762</v>
      </c>
      <c r="I19" s="155">
        <v>3325000</v>
      </c>
      <c r="J19" s="323"/>
      <c r="K19" s="155">
        <f t="shared" ref="K19:K34" si="0">I19+J19</f>
        <v>3325000</v>
      </c>
    </row>
    <row r="20" spans="1:11" ht="47.25">
      <c r="A20" s="153" t="s">
        <v>1740</v>
      </c>
      <c r="B20" s="153" t="s">
        <v>1741</v>
      </c>
      <c r="C20" s="153" t="s">
        <v>1760</v>
      </c>
      <c r="D20" s="153" t="s">
        <v>1763</v>
      </c>
      <c r="E20" s="153" t="s">
        <v>1746</v>
      </c>
      <c r="F20" s="154" t="s">
        <v>1744</v>
      </c>
      <c r="G20" s="154" t="s">
        <v>1750</v>
      </c>
      <c r="H20" s="3" t="s">
        <v>1764</v>
      </c>
      <c r="I20" s="155">
        <v>30000</v>
      </c>
      <c r="J20" s="323"/>
      <c r="K20" s="155">
        <f t="shared" si="0"/>
        <v>30000</v>
      </c>
    </row>
    <row r="21" spans="1:11" ht="47.25">
      <c r="A21" s="149" t="s">
        <v>1740</v>
      </c>
      <c r="B21" s="149" t="s">
        <v>1741</v>
      </c>
      <c r="C21" s="149" t="s">
        <v>1765</v>
      </c>
      <c r="D21" s="149" t="s">
        <v>1743</v>
      </c>
      <c r="E21" s="149" t="s">
        <v>1742</v>
      </c>
      <c r="F21" s="150" t="s">
        <v>1744</v>
      </c>
      <c r="G21" s="150" t="s">
        <v>1740</v>
      </c>
      <c r="H21" s="18" t="s">
        <v>1766</v>
      </c>
      <c r="I21" s="152">
        <v>16285082</v>
      </c>
      <c r="J21" s="152">
        <f>J22+J24</f>
        <v>0</v>
      </c>
      <c r="K21" s="152">
        <f>K22+K24</f>
        <v>16285082</v>
      </c>
    </row>
    <row r="22" spans="1:11" ht="94.5">
      <c r="A22" s="156" t="s">
        <v>1740</v>
      </c>
      <c r="B22" s="156" t="s">
        <v>1741</v>
      </c>
      <c r="C22" s="156" t="s">
        <v>1765</v>
      </c>
      <c r="D22" s="156" t="s">
        <v>1767</v>
      </c>
      <c r="E22" s="156" t="s">
        <v>1742</v>
      </c>
      <c r="F22" s="157" t="s">
        <v>1744</v>
      </c>
      <c r="G22" s="157" t="s">
        <v>1768</v>
      </c>
      <c r="H22" s="158" t="s">
        <v>1769</v>
      </c>
      <c r="I22" s="159">
        <v>1000</v>
      </c>
      <c r="J22" s="159">
        <f>J23</f>
        <v>0</v>
      </c>
      <c r="K22" s="159">
        <f>K23</f>
        <v>1000</v>
      </c>
    </row>
    <row r="23" spans="1:11" ht="94.5">
      <c r="A23" s="153" t="s">
        <v>1770</v>
      </c>
      <c r="B23" s="153" t="s">
        <v>1741</v>
      </c>
      <c r="C23" s="153" t="s">
        <v>1765</v>
      </c>
      <c r="D23" s="153" t="s">
        <v>1771</v>
      </c>
      <c r="E23" s="153" t="s">
        <v>1752</v>
      </c>
      <c r="F23" s="154" t="s">
        <v>1744</v>
      </c>
      <c r="G23" s="154" t="s">
        <v>1768</v>
      </c>
      <c r="H23" s="3" t="s">
        <v>1772</v>
      </c>
      <c r="I23" s="159">
        <v>1000</v>
      </c>
      <c r="J23" s="323"/>
      <c r="K23" s="155">
        <f t="shared" si="0"/>
        <v>1000</v>
      </c>
    </row>
    <row r="24" spans="1:11" ht="141.75">
      <c r="A24" s="156" t="s">
        <v>1740</v>
      </c>
      <c r="B24" s="156" t="s">
        <v>1741</v>
      </c>
      <c r="C24" s="156" t="s">
        <v>1765</v>
      </c>
      <c r="D24" s="156" t="s">
        <v>1773</v>
      </c>
      <c r="E24" s="156" t="s">
        <v>1742</v>
      </c>
      <c r="F24" s="157" t="s">
        <v>1744</v>
      </c>
      <c r="G24" s="157" t="s">
        <v>1768</v>
      </c>
      <c r="H24" s="158" t="s">
        <v>1774</v>
      </c>
      <c r="I24" s="155">
        <v>16284082</v>
      </c>
      <c r="J24" s="155">
        <f>SUM(J25:J26)</f>
        <v>0</v>
      </c>
      <c r="K24" s="155">
        <f>SUM(K25:K26)</f>
        <v>16284082</v>
      </c>
    </row>
    <row r="25" spans="1:11" ht="110.25">
      <c r="A25" s="153" t="s">
        <v>1770</v>
      </c>
      <c r="B25" s="153" t="s">
        <v>1741</v>
      </c>
      <c r="C25" s="153" t="s">
        <v>1765</v>
      </c>
      <c r="D25" s="153" t="s">
        <v>1775</v>
      </c>
      <c r="E25" s="153" t="s">
        <v>1776</v>
      </c>
      <c r="F25" s="154" t="s">
        <v>1744</v>
      </c>
      <c r="G25" s="154" t="s">
        <v>1768</v>
      </c>
      <c r="H25" s="3" t="s">
        <v>1777</v>
      </c>
      <c r="I25" s="155">
        <v>6510000</v>
      </c>
      <c r="J25" s="323"/>
      <c r="K25" s="155">
        <f t="shared" si="0"/>
        <v>6510000</v>
      </c>
    </row>
    <row r="26" spans="1:11" ht="94.5">
      <c r="A26" s="153" t="s">
        <v>1770</v>
      </c>
      <c r="B26" s="153" t="s">
        <v>1741</v>
      </c>
      <c r="C26" s="153" t="s">
        <v>1765</v>
      </c>
      <c r="D26" s="153" t="s">
        <v>1778</v>
      </c>
      <c r="E26" s="153" t="s">
        <v>1752</v>
      </c>
      <c r="F26" s="154" t="s">
        <v>1744</v>
      </c>
      <c r="G26" s="154" t="s">
        <v>1768</v>
      </c>
      <c r="H26" s="3" t="s">
        <v>1779</v>
      </c>
      <c r="I26" s="155">
        <v>9774082</v>
      </c>
      <c r="J26" s="323"/>
      <c r="K26" s="155">
        <f t="shared" si="0"/>
        <v>9774082</v>
      </c>
    </row>
    <row r="27" spans="1:11" ht="31.5">
      <c r="A27" s="149" t="s">
        <v>1740</v>
      </c>
      <c r="B27" s="149" t="s">
        <v>1741</v>
      </c>
      <c r="C27" s="149" t="s">
        <v>1780</v>
      </c>
      <c r="D27" s="149" t="s">
        <v>1743</v>
      </c>
      <c r="E27" s="149" t="s">
        <v>1742</v>
      </c>
      <c r="F27" s="150" t="s">
        <v>1744</v>
      </c>
      <c r="G27" s="150" t="s">
        <v>1740</v>
      </c>
      <c r="H27" s="18" t="s">
        <v>1781</v>
      </c>
      <c r="I27" s="152">
        <v>2385000</v>
      </c>
      <c r="J27" s="152">
        <f>SUM(J28:J29)</f>
        <v>0</v>
      </c>
      <c r="K27" s="152">
        <f>SUM(K28:K29)</f>
        <v>2385000</v>
      </c>
    </row>
    <row r="28" spans="1:11" ht="31.5">
      <c r="A28" s="153" t="s">
        <v>1782</v>
      </c>
      <c r="B28" s="153" t="s">
        <v>1741</v>
      </c>
      <c r="C28" s="153" t="s">
        <v>1780</v>
      </c>
      <c r="D28" s="153" t="s">
        <v>1767</v>
      </c>
      <c r="E28" s="153" t="s">
        <v>1746</v>
      </c>
      <c r="F28" s="154" t="s">
        <v>1744</v>
      </c>
      <c r="G28" s="154" t="s">
        <v>1768</v>
      </c>
      <c r="H28" s="3" t="s">
        <v>1783</v>
      </c>
      <c r="I28" s="159">
        <v>2380000</v>
      </c>
      <c r="J28" s="323"/>
      <c r="K28" s="155">
        <f t="shared" si="0"/>
        <v>2380000</v>
      </c>
    </row>
    <row r="29" spans="1:11" ht="78.75">
      <c r="A29" s="153" t="s">
        <v>1748</v>
      </c>
      <c r="B29" s="153" t="s">
        <v>1741</v>
      </c>
      <c r="C29" s="153" t="s">
        <v>1780</v>
      </c>
      <c r="D29" s="153" t="s">
        <v>1784</v>
      </c>
      <c r="E29" s="153" t="s">
        <v>1746</v>
      </c>
      <c r="F29" s="154" t="s">
        <v>1744</v>
      </c>
      <c r="G29" s="154" t="s">
        <v>1768</v>
      </c>
      <c r="H29" s="3" t="s">
        <v>1785</v>
      </c>
      <c r="I29" s="159">
        <v>5000</v>
      </c>
      <c r="J29" s="323"/>
      <c r="K29" s="155">
        <f t="shared" si="0"/>
        <v>5000</v>
      </c>
    </row>
    <row r="30" spans="1:11" s="160" customFormat="1" ht="31.5">
      <c r="A30" s="149" t="s">
        <v>1740</v>
      </c>
      <c r="B30" s="149" t="s">
        <v>1741</v>
      </c>
      <c r="C30" s="149" t="s">
        <v>1786</v>
      </c>
      <c r="D30" s="149" t="s">
        <v>1743</v>
      </c>
      <c r="E30" s="149" t="s">
        <v>1742</v>
      </c>
      <c r="F30" s="150" t="s">
        <v>1744</v>
      </c>
      <c r="G30" s="150" t="s">
        <v>1740</v>
      </c>
      <c r="H30" s="18" t="s">
        <v>1787</v>
      </c>
      <c r="I30" s="152">
        <v>59845000</v>
      </c>
      <c r="J30" s="152">
        <f>J31+J32</f>
        <v>-11324847</v>
      </c>
      <c r="K30" s="152">
        <f>K31+K32</f>
        <v>48520153</v>
      </c>
    </row>
    <row r="31" spans="1:11" s="160" customFormat="1" ht="110.25">
      <c r="A31" s="153" t="s">
        <v>1740</v>
      </c>
      <c r="B31" s="153" t="s">
        <v>1741</v>
      </c>
      <c r="C31" s="153" t="s">
        <v>1786</v>
      </c>
      <c r="D31" s="153" t="s">
        <v>1749</v>
      </c>
      <c r="E31" s="153" t="s">
        <v>1742</v>
      </c>
      <c r="F31" s="154" t="s">
        <v>1744</v>
      </c>
      <c r="G31" s="154" t="s">
        <v>1740</v>
      </c>
      <c r="H31" s="3" t="s">
        <v>1788</v>
      </c>
      <c r="I31" s="155">
        <v>57500000</v>
      </c>
      <c r="J31" s="323">
        <v>-11324847</v>
      </c>
      <c r="K31" s="155">
        <f t="shared" si="0"/>
        <v>46175153</v>
      </c>
    </row>
    <row r="32" spans="1:11" ht="78.75">
      <c r="A32" s="153" t="s">
        <v>1740</v>
      </c>
      <c r="B32" s="153" t="s">
        <v>1741</v>
      </c>
      <c r="C32" s="153" t="s">
        <v>1786</v>
      </c>
      <c r="D32" s="153" t="s">
        <v>1789</v>
      </c>
      <c r="E32" s="153" t="s">
        <v>1742</v>
      </c>
      <c r="F32" s="154" t="s">
        <v>1744</v>
      </c>
      <c r="G32" s="154" t="s">
        <v>1790</v>
      </c>
      <c r="H32" s="3" t="s">
        <v>1791</v>
      </c>
      <c r="I32" s="155">
        <v>2345000</v>
      </c>
      <c r="J32" s="155">
        <f>SUM(J33:J34)</f>
        <v>0</v>
      </c>
      <c r="K32" s="155">
        <f>SUM(K33:K34)</f>
        <v>2345000</v>
      </c>
    </row>
    <row r="33" spans="1:11" ht="47.25">
      <c r="A33" s="153" t="s">
        <v>1770</v>
      </c>
      <c r="B33" s="153" t="s">
        <v>1741</v>
      </c>
      <c r="C33" s="153" t="s">
        <v>1786</v>
      </c>
      <c r="D33" s="153" t="s">
        <v>1792</v>
      </c>
      <c r="E33" s="153" t="s">
        <v>1742</v>
      </c>
      <c r="F33" s="154" t="s">
        <v>1744</v>
      </c>
      <c r="G33" s="154" t="s">
        <v>1790</v>
      </c>
      <c r="H33" s="3" t="s">
        <v>1793</v>
      </c>
      <c r="I33" s="155">
        <v>2290000</v>
      </c>
      <c r="J33" s="323"/>
      <c r="K33" s="155">
        <f t="shared" si="0"/>
        <v>2290000</v>
      </c>
    </row>
    <row r="34" spans="1:11" ht="78.75">
      <c r="A34" s="153" t="s">
        <v>1770</v>
      </c>
      <c r="B34" s="153" t="s">
        <v>1741</v>
      </c>
      <c r="C34" s="153" t="s">
        <v>1786</v>
      </c>
      <c r="D34" s="153" t="s">
        <v>1794</v>
      </c>
      <c r="E34" s="153" t="s">
        <v>1742</v>
      </c>
      <c r="F34" s="154" t="s">
        <v>1744</v>
      </c>
      <c r="G34" s="154" t="s">
        <v>1790</v>
      </c>
      <c r="H34" s="3" t="s">
        <v>1795</v>
      </c>
      <c r="I34" s="155">
        <v>55000</v>
      </c>
      <c r="J34" s="323"/>
      <c r="K34" s="155">
        <f t="shared" si="0"/>
        <v>55000</v>
      </c>
    </row>
    <row r="35" spans="1:11" ht="15.75">
      <c r="A35" s="149" t="s">
        <v>1740</v>
      </c>
      <c r="B35" s="149" t="s">
        <v>1741</v>
      </c>
      <c r="C35" s="149" t="s">
        <v>1796</v>
      </c>
      <c r="D35" s="149" t="s">
        <v>1743</v>
      </c>
      <c r="E35" s="149" t="s">
        <v>1742</v>
      </c>
      <c r="F35" s="150" t="s">
        <v>1744</v>
      </c>
      <c r="G35" s="150" t="s">
        <v>1740</v>
      </c>
      <c r="H35" s="161" t="s">
        <v>1797</v>
      </c>
      <c r="I35" s="162">
        <v>3218605</v>
      </c>
      <c r="J35" s="323"/>
      <c r="K35" s="162">
        <f>I35+J35</f>
        <v>3218605</v>
      </c>
    </row>
    <row r="36" spans="1:11" ht="15.75">
      <c r="A36" s="149" t="s">
        <v>1740</v>
      </c>
      <c r="B36" s="149" t="s">
        <v>1741</v>
      </c>
      <c r="C36" s="149" t="s">
        <v>1798</v>
      </c>
      <c r="D36" s="149" t="s">
        <v>1743</v>
      </c>
      <c r="E36" s="149" t="s">
        <v>1742</v>
      </c>
      <c r="F36" s="150" t="s">
        <v>1744</v>
      </c>
      <c r="G36" s="150" t="s">
        <v>1740</v>
      </c>
      <c r="H36" s="161" t="s">
        <v>1799</v>
      </c>
      <c r="I36" s="162">
        <v>170000</v>
      </c>
      <c r="J36" s="323"/>
      <c r="K36" s="162">
        <f>I36+J36</f>
        <v>170000</v>
      </c>
    </row>
    <row r="37" spans="1:11" ht="15.75">
      <c r="A37" s="149" t="s">
        <v>1740</v>
      </c>
      <c r="B37" s="149" t="s">
        <v>1800</v>
      </c>
      <c r="C37" s="149" t="s">
        <v>1742</v>
      </c>
      <c r="D37" s="149" t="s">
        <v>1743</v>
      </c>
      <c r="E37" s="149" t="s">
        <v>1742</v>
      </c>
      <c r="F37" s="163" t="s">
        <v>1744</v>
      </c>
      <c r="G37" s="163" t="s">
        <v>1740</v>
      </c>
      <c r="H37" s="164" t="s">
        <v>1801</v>
      </c>
      <c r="I37" s="162">
        <v>1339409373</v>
      </c>
      <c r="J37" s="162">
        <f>J38</f>
        <v>8244650</v>
      </c>
      <c r="K37" s="162">
        <f>K38</f>
        <v>1347654023</v>
      </c>
    </row>
    <row r="38" spans="1:11" ht="47.25">
      <c r="A38" s="149" t="s">
        <v>1740</v>
      </c>
      <c r="B38" s="149" t="s">
        <v>1800</v>
      </c>
      <c r="C38" s="149" t="s">
        <v>1755</v>
      </c>
      <c r="D38" s="149" t="s">
        <v>1743</v>
      </c>
      <c r="E38" s="149" t="s">
        <v>1742</v>
      </c>
      <c r="F38" s="163" t="s">
        <v>1744</v>
      </c>
      <c r="G38" s="163" t="s">
        <v>1740</v>
      </c>
      <c r="H38" s="164" t="s">
        <v>1802</v>
      </c>
      <c r="I38" s="162">
        <v>1339409373</v>
      </c>
      <c r="J38" s="162">
        <f>J39+J44+J89+J121</f>
        <v>8244650</v>
      </c>
      <c r="K38" s="162">
        <f>K39+K44+K89+K121</f>
        <v>1347654023</v>
      </c>
    </row>
    <row r="39" spans="1:11" ht="31.5">
      <c r="A39" s="149" t="s">
        <v>1803</v>
      </c>
      <c r="B39" s="149" t="s">
        <v>1800</v>
      </c>
      <c r="C39" s="149" t="s">
        <v>1755</v>
      </c>
      <c r="D39" s="149" t="s">
        <v>1767</v>
      </c>
      <c r="E39" s="149" t="s">
        <v>1742</v>
      </c>
      <c r="F39" s="163" t="s">
        <v>1744</v>
      </c>
      <c r="G39" s="163" t="s">
        <v>1804</v>
      </c>
      <c r="H39" s="164" t="s">
        <v>1805</v>
      </c>
      <c r="I39" s="162">
        <v>263848000</v>
      </c>
      <c r="J39" s="162">
        <f t="shared" ref="J39:K39" si="1">J40+J41+J42+J43</f>
        <v>11324847</v>
      </c>
      <c r="K39" s="162">
        <f t="shared" si="1"/>
        <v>275172847</v>
      </c>
    </row>
    <row r="40" spans="1:11" ht="31.5">
      <c r="A40" s="153" t="s">
        <v>1803</v>
      </c>
      <c r="B40" s="153" t="s">
        <v>1800</v>
      </c>
      <c r="C40" s="153" t="s">
        <v>1755</v>
      </c>
      <c r="D40" s="153" t="s">
        <v>1806</v>
      </c>
      <c r="E40" s="153" t="s">
        <v>1752</v>
      </c>
      <c r="F40" s="168" t="s">
        <v>1744</v>
      </c>
      <c r="G40" s="168" t="s">
        <v>1804</v>
      </c>
      <c r="H40" s="165" t="s">
        <v>1807</v>
      </c>
      <c r="I40" s="155">
        <v>210521000</v>
      </c>
      <c r="J40" s="323"/>
      <c r="K40" s="155">
        <f>I40+J40</f>
        <v>210521000</v>
      </c>
    </row>
    <row r="41" spans="1:11" ht="31.5">
      <c r="A41" s="153" t="s">
        <v>1803</v>
      </c>
      <c r="B41" s="153" t="s">
        <v>1800</v>
      </c>
      <c r="C41" s="153" t="s">
        <v>1755</v>
      </c>
      <c r="D41" s="153" t="s">
        <v>1806</v>
      </c>
      <c r="E41" s="153" t="s">
        <v>1752</v>
      </c>
      <c r="F41" s="168" t="s">
        <v>1744</v>
      </c>
      <c r="G41" s="168" t="s">
        <v>1804</v>
      </c>
      <c r="H41" s="165" t="s">
        <v>1808</v>
      </c>
      <c r="I41" s="155">
        <v>4863000</v>
      </c>
      <c r="J41" s="323"/>
      <c r="K41" s="155">
        <f>I41+J41</f>
        <v>4863000</v>
      </c>
    </row>
    <row r="42" spans="1:11" ht="47.25">
      <c r="A42" s="153" t="s">
        <v>1803</v>
      </c>
      <c r="B42" s="153" t="s">
        <v>1800</v>
      </c>
      <c r="C42" s="153" t="s">
        <v>1755</v>
      </c>
      <c r="D42" s="153" t="s">
        <v>1809</v>
      </c>
      <c r="E42" s="153" t="s">
        <v>1752</v>
      </c>
      <c r="F42" s="168" t="s">
        <v>1744</v>
      </c>
      <c r="G42" s="168" t="s">
        <v>1804</v>
      </c>
      <c r="H42" s="165" t="s">
        <v>1810</v>
      </c>
      <c r="I42" s="155">
        <v>31568000</v>
      </c>
      <c r="J42" s="323"/>
      <c r="K42" s="155">
        <f>I42+J42</f>
        <v>31568000</v>
      </c>
    </row>
    <row r="43" spans="1:11" ht="78.75">
      <c r="A43" s="153" t="s">
        <v>1803</v>
      </c>
      <c r="B43" s="153" t="s">
        <v>1800</v>
      </c>
      <c r="C43" s="153" t="s">
        <v>1755</v>
      </c>
      <c r="D43" s="153" t="s">
        <v>1889</v>
      </c>
      <c r="E43" s="153" t="s">
        <v>1752</v>
      </c>
      <c r="F43" s="168" t="s">
        <v>1890</v>
      </c>
      <c r="G43" s="168" t="s">
        <v>1804</v>
      </c>
      <c r="H43" s="165" t="s">
        <v>1891</v>
      </c>
      <c r="I43" s="155">
        <v>16896000</v>
      </c>
      <c r="J43" s="323">
        <v>11324847</v>
      </c>
      <c r="K43" s="155">
        <f>I43+J43</f>
        <v>28220847</v>
      </c>
    </row>
    <row r="44" spans="1:11" ht="31.5">
      <c r="A44" s="149" t="s">
        <v>1740</v>
      </c>
      <c r="B44" s="149" t="s">
        <v>1800</v>
      </c>
      <c r="C44" s="149" t="s">
        <v>1755</v>
      </c>
      <c r="D44" s="149" t="s">
        <v>1749</v>
      </c>
      <c r="E44" s="149" t="s">
        <v>1742</v>
      </c>
      <c r="F44" s="163" t="s">
        <v>1744</v>
      </c>
      <c r="G44" s="163" t="s">
        <v>1804</v>
      </c>
      <c r="H44" s="164" t="s">
        <v>1811</v>
      </c>
      <c r="I44" s="162">
        <v>495177142</v>
      </c>
      <c r="J44" s="162">
        <f>SUM(J45:J88)</f>
        <v>-6505530</v>
      </c>
      <c r="K44" s="162">
        <f>SUM(K45:K88)</f>
        <v>488671612</v>
      </c>
    </row>
    <row r="45" spans="1:11" ht="31.5">
      <c r="A45" s="149"/>
      <c r="B45" s="149"/>
      <c r="C45" s="149"/>
      <c r="D45" s="149"/>
      <c r="E45" s="149"/>
      <c r="F45" s="163"/>
      <c r="G45" s="163"/>
      <c r="H45" s="165" t="s">
        <v>2131</v>
      </c>
      <c r="I45" s="162">
        <v>227970</v>
      </c>
      <c r="J45" s="323"/>
      <c r="K45" s="155">
        <f>I45+J45</f>
        <v>227970</v>
      </c>
    </row>
    <row r="46" spans="1:11" ht="38.25" customHeight="1">
      <c r="A46" s="149"/>
      <c r="B46" s="149"/>
      <c r="C46" s="149"/>
      <c r="D46" s="149"/>
      <c r="E46" s="149"/>
      <c r="F46" s="163"/>
      <c r="G46" s="163"/>
      <c r="H46" s="165" t="s">
        <v>1812</v>
      </c>
      <c r="I46" s="155">
        <v>26848000</v>
      </c>
      <c r="J46" s="323"/>
      <c r="K46" s="155">
        <f t="shared" ref="K46:K118" si="2">I46+J46</f>
        <v>26848000</v>
      </c>
    </row>
    <row r="47" spans="1:11" ht="55.5" customHeight="1">
      <c r="A47" s="149"/>
      <c r="B47" s="149"/>
      <c r="C47" s="149"/>
      <c r="D47" s="149"/>
      <c r="E47" s="149"/>
      <c r="F47" s="163"/>
      <c r="G47" s="163"/>
      <c r="H47" s="165" t="s">
        <v>2048</v>
      </c>
      <c r="I47" s="155">
        <v>28718434</v>
      </c>
      <c r="J47" s="323"/>
      <c r="K47" s="155">
        <f t="shared" si="2"/>
        <v>28718434</v>
      </c>
    </row>
    <row r="48" spans="1:11" ht="63">
      <c r="A48" s="149"/>
      <c r="B48" s="149"/>
      <c r="C48" s="149"/>
      <c r="D48" s="149"/>
      <c r="E48" s="149"/>
      <c r="F48" s="163"/>
      <c r="G48" s="163"/>
      <c r="H48" s="165" t="s">
        <v>2045</v>
      </c>
      <c r="I48" s="155">
        <v>15103004</v>
      </c>
      <c r="J48" s="323"/>
      <c r="K48" s="155">
        <f t="shared" si="2"/>
        <v>15103004</v>
      </c>
    </row>
    <row r="49" spans="1:11" ht="84.75" customHeight="1">
      <c r="A49" s="149"/>
      <c r="B49" s="149"/>
      <c r="C49" s="149"/>
      <c r="D49" s="149"/>
      <c r="E49" s="149"/>
      <c r="F49" s="163"/>
      <c r="G49" s="163"/>
      <c r="H49" s="165" t="s">
        <v>1885</v>
      </c>
      <c r="I49" s="155">
        <v>11799529</v>
      </c>
      <c r="J49" s="323"/>
      <c r="K49" s="155">
        <f t="shared" si="2"/>
        <v>11799529</v>
      </c>
    </row>
    <row r="50" spans="1:11" ht="52.5" customHeight="1">
      <c r="A50" s="149"/>
      <c r="B50" s="149"/>
      <c r="C50" s="149"/>
      <c r="D50" s="149"/>
      <c r="E50" s="149"/>
      <c r="F50" s="163"/>
      <c r="G50" s="163"/>
      <c r="H50" s="165" t="s">
        <v>1886</v>
      </c>
      <c r="I50" s="155">
        <v>4703075</v>
      </c>
      <c r="J50" s="323"/>
      <c r="K50" s="155">
        <f t="shared" si="2"/>
        <v>4703075</v>
      </c>
    </row>
    <row r="51" spans="1:11" ht="110.25">
      <c r="A51" s="149"/>
      <c r="B51" s="149"/>
      <c r="C51" s="149"/>
      <c r="D51" s="149"/>
      <c r="E51" s="149"/>
      <c r="F51" s="163"/>
      <c r="G51" s="163"/>
      <c r="H51" s="165" t="s">
        <v>2040</v>
      </c>
      <c r="I51" s="155">
        <v>14919000</v>
      </c>
      <c r="J51" s="323"/>
      <c r="K51" s="155">
        <f t="shared" si="2"/>
        <v>14919000</v>
      </c>
    </row>
    <row r="52" spans="1:11" ht="83.25" customHeight="1">
      <c r="A52" s="149"/>
      <c r="B52" s="149"/>
      <c r="C52" s="149"/>
      <c r="D52" s="149"/>
      <c r="E52" s="149"/>
      <c r="F52" s="163"/>
      <c r="G52" s="163"/>
      <c r="H52" s="165" t="s">
        <v>2041</v>
      </c>
      <c r="I52" s="155">
        <v>6922658</v>
      </c>
      <c r="J52" s="323"/>
      <c r="K52" s="155">
        <f t="shared" si="2"/>
        <v>6922658</v>
      </c>
    </row>
    <row r="53" spans="1:11" ht="63">
      <c r="A53" s="149"/>
      <c r="B53" s="149"/>
      <c r="C53" s="149"/>
      <c r="D53" s="149"/>
      <c r="E53" s="149"/>
      <c r="F53" s="163"/>
      <c r="G53" s="163"/>
      <c r="H53" s="166" t="s">
        <v>1813</v>
      </c>
      <c r="I53" s="155">
        <v>1189343</v>
      </c>
      <c r="J53" s="323"/>
      <c r="K53" s="155">
        <f t="shared" si="2"/>
        <v>1189343</v>
      </c>
    </row>
    <row r="54" spans="1:11" ht="47.25">
      <c r="A54" s="149"/>
      <c r="B54" s="149"/>
      <c r="C54" s="149"/>
      <c r="D54" s="149"/>
      <c r="E54" s="149"/>
      <c r="F54" s="163"/>
      <c r="G54" s="163"/>
      <c r="H54" s="166" t="s">
        <v>2046</v>
      </c>
      <c r="I54" s="155">
        <v>483621</v>
      </c>
      <c r="J54" s="323"/>
      <c r="K54" s="155">
        <f t="shared" si="2"/>
        <v>483621</v>
      </c>
    </row>
    <row r="55" spans="1:11" ht="63">
      <c r="A55" s="149"/>
      <c r="B55" s="149"/>
      <c r="C55" s="149"/>
      <c r="D55" s="149"/>
      <c r="E55" s="149"/>
      <c r="F55" s="163"/>
      <c r="G55" s="163"/>
      <c r="H55" s="166" t="s">
        <v>1814</v>
      </c>
      <c r="I55" s="155">
        <v>1700000</v>
      </c>
      <c r="J55" s="323"/>
      <c r="K55" s="155">
        <f t="shared" si="2"/>
        <v>1700000</v>
      </c>
    </row>
    <row r="56" spans="1:11" ht="94.5">
      <c r="A56" s="149"/>
      <c r="B56" s="149"/>
      <c r="C56" s="149"/>
      <c r="D56" s="149"/>
      <c r="E56" s="149"/>
      <c r="F56" s="163"/>
      <c r="G56" s="163"/>
      <c r="H56" s="166" t="s">
        <v>1815</v>
      </c>
      <c r="I56" s="155">
        <v>9109691</v>
      </c>
      <c r="J56" s="323"/>
      <c r="K56" s="155">
        <f t="shared" si="2"/>
        <v>9109691</v>
      </c>
    </row>
    <row r="57" spans="1:11" ht="47.25">
      <c r="A57" s="149"/>
      <c r="B57" s="149"/>
      <c r="C57" s="149"/>
      <c r="D57" s="149"/>
      <c r="E57" s="149"/>
      <c r="F57" s="163"/>
      <c r="G57" s="163"/>
      <c r="H57" s="165" t="s">
        <v>1816</v>
      </c>
      <c r="I57" s="155">
        <v>1750000</v>
      </c>
      <c r="J57" s="323"/>
      <c r="K57" s="155">
        <f t="shared" si="2"/>
        <v>1750000</v>
      </c>
    </row>
    <row r="58" spans="1:11" ht="78.75">
      <c r="A58" s="149"/>
      <c r="B58" s="149"/>
      <c r="C58" s="149"/>
      <c r="D58" s="149"/>
      <c r="E58" s="149"/>
      <c r="F58" s="163"/>
      <c r="G58" s="163"/>
      <c r="H58" s="167" t="s">
        <v>1817</v>
      </c>
      <c r="I58" s="155">
        <v>862500</v>
      </c>
      <c r="J58" s="323"/>
      <c r="K58" s="155">
        <f t="shared" si="2"/>
        <v>862500</v>
      </c>
    </row>
    <row r="59" spans="1:11" ht="63">
      <c r="A59" s="149"/>
      <c r="B59" s="149"/>
      <c r="C59" s="149"/>
      <c r="D59" s="149"/>
      <c r="E59" s="149"/>
      <c r="F59" s="163"/>
      <c r="G59" s="163"/>
      <c r="H59" s="165" t="s">
        <v>1818</v>
      </c>
      <c r="I59" s="155">
        <v>6926120</v>
      </c>
      <c r="J59" s="323"/>
      <c r="K59" s="155">
        <f t="shared" si="2"/>
        <v>6926120</v>
      </c>
    </row>
    <row r="60" spans="1:11" ht="31.5">
      <c r="A60" s="149"/>
      <c r="B60" s="149"/>
      <c r="C60" s="149"/>
      <c r="D60" s="149"/>
      <c r="E60" s="149"/>
      <c r="F60" s="163"/>
      <c r="G60" s="163"/>
      <c r="H60" s="166" t="s">
        <v>1819</v>
      </c>
      <c r="I60" s="155">
        <v>70526940</v>
      </c>
      <c r="J60" s="323"/>
      <c r="K60" s="155">
        <f t="shared" si="2"/>
        <v>70526940</v>
      </c>
    </row>
    <row r="61" spans="1:11" ht="47.25">
      <c r="A61" s="153"/>
      <c r="B61" s="153"/>
      <c r="C61" s="153"/>
      <c r="D61" s="153"/>
      <c r="E61" s="153"/>
      <c r="F61" s="168"/>
      <c r="G61" s="168"/>
      <c r="H61" s="166" t="s">
        <v>1820</v>
      </c>
      <c r="I61" s="155">
        <v>50000</v>
      </c>
      <c r="J61" s="323"/>
      <c r="K61" s="155">
        <f t="shared" si="2"/>
        <v>50000</v>
      </c>
    </row>
    <row r="62" spans="1:11" ht="63">
      <c r="A62" s="153"/>
      <c r="B62" s="153"/>
      <c r="C62" s="153"/>
      <c r="D62" s="153"/>
      <c r="E62" s="153"/>
      <c r="F62" s="168"/>
      <c r="G62" s="168"/>
      <c r="H62" s="166" t="s">
        <v>1821</v>
      </c>
      <c r="I62" s="155">
        <v>4390000</v>
      </c>
      <c r="J62" s="323"/>
      <c r="K62" s="155">
        <f t="shared" si="2"/>
        <v>4390000</v>
      </c>
    </row>
    <row r="63" spans="1:11" ht="117" customHeight="1">
      <c r="A63" s="153"/>
      <c r="B63" s="153"/>
      <c r="C63" s="153"/>
      <c r="D63" s="153"/>
      <c r="E63" s="153"/>
      <c r="F63" s="168"/>
      <c r="G63" s="168"/>
      <c r="H63" s="166" t="s">
        <v>1822</v>
      </c>
      <c r="I63" s="155">
        <v>100000</v>
      </c>
      <c r="J63" s="323"/>
      <c r="K63" s="155">
        <f t="shared" si="2"/>
        <v>100000</v>
      </c>
    </row>
    <row r="64" spans="1:11" ht="47.25">
      <c r="A64" s="153"/>
      <c r="B64" s="153"/>
      <c r="C64" s="153"/>
      <c r="D64" s="153"/>
      <c r="E64" s="153"/>
      <c r="F64" s="168"/>
      <c r="G64" s="168"/>
      <c r="H64" s="169" t="s">
        <v>1823</v>
      </c>
      <c r="I64" s="155">
        <v>85845000</v>
      </c>
      <c r="J64" s="323"/>
      <c r="K64" s="155">
        <f t="shared" si="2"/>
        <v>85845000</v>
      </c>
    </row>
    <row r="65" spans="1:11" ht="83.25" customHeight="1">
      <c r="A65" s="153"/>
      <c r="B65" s="153"/>
      <c r="C65" s="153"/>
      <c r="D65" s="153"/>
      <c r="E65" s="153"/>
      <c r="F65" s="168"/>
      <c r="G65" s="168"/>
      <c r="H65" s="166" t="s">
        <v>2044</v>
      </c>
      <c r="I65" s="155">
        <v>16500000</v>
      </c>
      <c r="J65" s="323"/>
      <c r="K65" s="155">
        <f t="shared" si="2"/>
        <v>16500000</v>
      </c>
    </row>
    <row r="66" spans="1:11" ht="47.25">
      <c r="A66" s="153"/>
      <c r="B66" s="153"/>
      <c r="C66" s="153"/>
      <c r="D66" s="153"/>
      <c r="E66" s="153"/>
      <c r="F66" s="168"/>
      <c r="G66" s="168"/>
      <c r="H66" s="170" t="s">
        <v>1824</v>
      </c>
      <c r="I66" s="155">
        <v>293000</v>
      </c>
      <c r="J66" s="323"/>
      <c r="K66" s="155">
        <f t="shared" si="2"/>
        <v>293000</v>
      </c>
    </row>
    <row r="67" spans="1:11" ht="63">
      <c r="A67" s="153"/>
      <c r="B67" s="153"/>
      <c r="C67" s="153"/>
      <c r="D67" s="153"/>
      <c r="E67" s="153"/>
      <c r="F67" s="168"/>
      <c r="G67" s="168"/>
      <c r="H67" s="170" t="s">
        <v>1825</v>
      </c>
      <c r="I67" s="155">
        <v>783000</v>
      </c>
      <c r="J67" s="323"/>
      <c r="K67" s="155">
        <f t="shared" si="2"/>
        <v>783000</v>
      </c>
    </row>
    <row r="68" spans="1:11" ht="110.25">
      <c r="A68" s="153"/>
      <c r="B68" s="153"/>
      <c r="C68" s="153"/>
      <c r="D68" s="153"/>
      <c r="E68" s="153"/>
      <c r="F68" s="168"/>
      <c r="G68" s="168"/>
      <c r="H68" s="170" t="s">
        <v>1826</v>
      </c>
      <c r="I68" s="155">
        <v>2060000</v>
      </c>
      <c r="J68" s="323"/>
      <c r="K68" s="155">
        <f t="shared" si="2"/>
        <v>2060000</v>
      </c>
    </row>
    <row r="69" spans="1:11" ht="63">
      <c r="A69" s="153"/>
      <c r="B69" s="153"/>
      <c r="C69" s="153"/>
      <c r="D69" s="153"/>
      <c r="E69" s="153"/>
      <c r="F69" s="168"/>
      <c r="G69" s="168"/>
      <c r="H69" s="170" t="s">
        <v>1827</v>
      </c>
      <c r="I69" s="155">
        <v>233199</v>
      </c>
      <c r="J69" s="323"/>
      <c r="K69" s="155">
        <f t="shared" si="2"/>
        <v>233199</v>
      </c>
    </row>
    <row r="70" spans="1:11" ht="94.5">
      <c r="A70" s="153"/>
      <c r="B70" s="153"/>
      <c r="C70" s="153"/>
      <c r="D70" s="153"/>
      <c r="E70" s="153"/>
      <c r="F70" s="168"/>
      <c r="G70" s="168"/>
      <c r="H70" s="170" t="s">
        <v>1828</v>
      </c>
      <c r="I70" s="155">
        <v>1335000</v>
      </c>
      <c r="J70" s="323"/>
      <c r="K70" s="155">
        <f t="shared" si="2"/>
        <v>1335000</v>
      </c>
    </row>
    <row r="71" spans="1:11" ht="63">
      <c r="A71" s="153"/>
      <c r="B71" s="153"/>
      <c r="C71" s="153"/>
      <c r="D71" s="153"/>
      <c r="E71" s="153"/>
      <c r="F71" s="168"/>
      <c r="G71" s="168"/>
      <c r="H71" s="170" t="s">
        <v>1829</v>
      </c>
      <c r="I71" s="155">
        <v>389000</v>
      </c>
      <c r="J71" s="323"/>
      <c r="K71" s="155">
        <f t="shared" si="2"/>
        <v>389000</v>
      </c>
    </row>
    <row r="72" spans="1:11" ht="47.25">
      <c r="A72" s="153"/>
      <c r="B72" s="153"/>
      <c r="C72" s="153"/>
      <c r="D72" s="153"/>
      <c r="E72" s="153"/>
      <c r="F72" s="168"/>
      <c r="G72" s="168"/>
      <c r="H72" s="170" t="s">
        <v>2021</v>
      </c>
      <c r="I72" s="155">
        <v>6214200</v>
      </c>
      <c r="J72" s="323"/>
      <c r="K72" s="155">
        <f t="shared" si="2"/>
        <v>6214200</v>
      </c>
    </row>
    <row r="73" spans="1:11" ht="31.5" hidden="1">
      <c r="A73" s="153"/>
      <c r="B73" s="153"/>
      <c r="C73" s="153"/>
      <c r="D73" s="153"/>
      <c r="E73" s="153"/>
      <c r="F73" s="168"/>
      <c r="G73" s="168"/>
      <c r="H73" s="170" t="s">
        <v>1830</v>
      </c>
      <c r="I73" s="155">
        <v>0</v>
      </c>
      <c r="J73" s="155"/>
      <c r="K73" s="155">
        <f t="shared" si="2"/>
        <v>0</v>
      </c>
    </row>
    <row r="74" spans="1:11" ht="94.5">
      <c r="A74" s="153"/>
      <c r="B74" s="153"/>
      <c r="C74" s="153"/>
      <c r="D74" s="153"/>
      <c r="E74" s="153"/>
      <c r="F74" s="168"/>
      <c r="G74" s="168"/>
      <c r="H74" s="170" t="s">
        <v>1831</v>
      </c>
      <c r="I74" s="155">
        <v>23742000</v>
      </c>
      <c r="J74" s="323"/>
      <c r="K74" s="155">
        <f t="shared" si="2"/>
        <v>23742000</v>
      </c>
    </row>
    <row r="75" spans="1:11" ht="94.5" hidden="1">
      <c r="A75" s="153"/>
      <c r="B75" s="153"/>
      <c r="C75" s="153"/>
      <c r="D75" s="153"/>
      <c r="E75" s="153"/>
      <c r="F75" s="168"/>
      <c r="G75" s="168"/>
      <c r="H75" s="165" t="s">
        <v>1832</v>
      </c>
      <c r="I75" s="155">
        <v>0</v>
      </c>
      <c r="J75" s="323"/>
      <c r="K75" s="155">
        <f t="shared" si="2"/>
        <v>0</v>
      </c>
    </row>
    <row r="76" spans="1:11" ht="63">
      <c r="A76" s="153"/>
      <c r="B76" s="153"/>
      <c r="C76" s="153"/>
      <c r="D76" s="153"/>
      <c r="E76" s="153"/>
      <c r="F76" s="168"/>
      <c r="G76" s="168"/>
      <c r="H76" s="166" t="s">
        <v>1833</v>
      </c>
      <c r="I76" s="155">
        <v>1370038</v>
      </c>
      <c r="J76" s="323"/>
      <c r="K76" s="155">
        <f t="shared" si="2"/>
        <v>1370038</v>
      </c>
    </row>
    <row r="77" spans="1:11" ht="31.5">
      <c r="A77" s="153"/>
      <c r="B77" s="153"/>
      <c r="C77" s="153"/>
      <c r="D77" s="153"/>
      <c r="E77" s="153"/>
      <c r="F77" s="168"/>
      <c r="G77" s="168"/>
      <c r="H77" s="166" t="s">
        <v>1834</v>
      </c>
      <c r="I77" s="155">
        <v>11016200</v>
      </c>
      <c r="J77" s="323"/>
      <c r="K77" s="155">
        <f t="shared" si="2"/>
        <v>11016200</v>
      </c>
    </row>
    <row r="78" spans="1:11" ht="47.25">
      <c r="A78" s="153"/>
      <c r="B78" s="153"/>
      <c r="C78" s="153"/>
      <c r="D78" s="153"/>
      <c r="E78" s="153"/>
      <c r="F78" s="168"/>
      <c r="G78" s="168"/>
      <c r="H78" s="166" t="s">
        <v>1835</v>
      </c>
      <c r="I78" s="155">
        <v>338610</v>
      </c>
      <c r="J78" s="323"/>
      <c r="K78" s="155">
        <f t="shared" si="2"/>
        <v>338610</v>
      </c>
    </row>
    <row r="79" spans="1:11" ht="63">
      <c r="A79" s="153"/>
      <c r="B79" s="153"/>
      <c r="C79" s="153"/>
      <c r="D79" s="153"/>
      <c r="E79" s="153"/>
      <c r="F79" s="168"/>
      <c r="G79" s="168"/>
      <c r="H79" s="170" t="s">
        <v>1836</v>
      </c>
      <c r="I79" s="155">
        <v>88000</v>
      </c>
      <c r="J79" s="323"/>
      <c r="K79" s="155">
        <f t="shared" si="2"/>
        <v>88000</v>
      </c>
    </row>
    <row r="80" spans="1:11" ht="31.5">
      <c r="A80" s="153"/>
      <c r="B80" s="153"/>
      <c r="C80" s="153"/>
      <c r="D80" s="153"/>
      <c r="E80" s="153"/>
      <c r="F80" s="168"/>
      <c r="G80" s="168"/>
      <c r="H80" s="170" t="s">
        <v>1474</v>
      </c>
      <c r="I80" s="155">
        <v>13850000</v>
      </c>
      <c r="J80" s="323"/>
      <c r="K80" s="155">
        <f t="shared" si="2"/>
        <v>13850000</v>
      </c>
    </row>
    <row r="81" spans="1:11" ht="78.75">
      <c r="A81" s="153"/>
      <c r="B81" s="153"/>
      <c r="C81" s="153"/>
      <c r="D81" s="153"/>
      <c r="E81" s="153"/>
      <c r="F81" s="168"/>
      <c r="G81" s="168"/>
      <c r="H81" s="170" t="s">
        <v>1837</v>
      </c>
      <c r="I81" s="155">
        <v>100000000</v>
      </c>
      <c r="J81" s="323"/>
      <c r="K81" s="155">
        <f t="shared" si="2"/>
        <v>100000000</v>
      </c>
    </row>
    <row r="82" spans="1:11" ht="78.75">
      <c r="A82" s="153"/>
      <c r="B82" s="153"/>
      <c r="C82" s="153"/>
      <c r="D82" s="153"/>
      <c r="E82" s="153"/>
      <c r="F82" s="168"/>
      <c r="G82" s="168"/>
      <c r="H82" s="170" t="s">
        <v>1892</v>
      </c>
      <c r="I82" s="155">
        <v>115000</v>
      </c>
      <c r="J82" s="323"/>
      <c r="K82" s="155">
        <f t="shared" si="2"/>
        <v>115000</v>
      </c>
    </row>
    <row r="83" spans="1:11" ht="63">
      <c r="A83" s="153"/>
      <c r="B83" s="153"/>
      <c r="C83" s="153"/>
      <c r="D83" s="153"/>
      <c r="E83" s="153"/>
      <c r="F83" s="168"/>
      <c r="G83" s="168"/>
      <c r="H83" s="170" t="s">
        <v>1880</v>
      </c>
      <c r="I83" s="155">
        <v>4750000</v>
      </c>
      <c r="J83" s="323"/>
      <c r="K83" s="155">
        <f t="shared" si="2"/>
        <v>4750000</v>
      </c>
    </row>
    <row r="84" spans="1:11" ht="78.75">
      <c r="A84" s="153"/>
      <c r="B84" s="153"/>
      <c r="C84" s="153"/>
      <c r="D84" s="153"/>
      <c r="E84" s="153"/>
      <c r="F84" s="168"/>
      <c r="G84" s="168"/>
      <c r="H84" s="170" t="s">
        <v>2042</v>
      </c>
      <c r="I84" s="155">
        <v>200000</v>
      </c>
      <c r="J84" s="323"/>
      <c r="K84" s="155">
        <f t="shared" si="2"/>
        <v>200000</v>
      </c>
    </row>
    <row r="85" spans="1:11" ht="63">
      <c r="A85" s="153"/>
      <c r="B85" s="153"/>
      <c r="C85" s="153"/>
      <c r="D85" s="153"/>
      <c r="E85" s="153"/>
      <c r="F85" s="168"/>
      <c r="G85" s="168"/>
      <c r="H85" s="170" t="s">
        <v>770</v>
      </c>
      <c r="I85" s="155">
        <v>15987780</v>
      </c>
      <c r="J85" s="323">
        <v>-7476500</v>
      </c>
      <c r="K85" s="155">
        <f t="shared" si="2"/>
        <v>8511280</v>
      </c>
    </row>
    <row r="86" spans="1:11" ht="120" customHeight="1">
      <c r="A86" s="153"/>
      <c r="B86" s="153"/>
      <c r="C86" s="153"/>
      <c r="D86" s="153"/>
      <c r="E86" s="153"/>
      <c r="F86" s="168"/>
      <c r="G86" s="168"/>
      <c r="H86" s="175" t="s">
        <v>2094</v>
      </c>
      <c r="I86" s="155">
        <v>1609230</v>
      </c>
      <c r="J86" s="323"/>
      <c r="K86" s="155">
        <f t="shared" si="2"/>
        <v>1609230</v>
      </c>
    </row>
    <row r="87" spans="1:11" ht="33.75" customHeight="1">
      <c r="A87" s="153"/>
      <c r="B87" s="153"/>
      <c r="C87" s="153"/>
      <c r="D87" s="153"/>
      <c r="E87" s="153"/>
      <c r="F87" s="168"/>
      <c r="G87" s="168"/>
      <c r="H87" s="175" t="s">
        <v>2130</v>
      </c>
      <c r="I87" s="155">
        <v>2128000</v>
      </c>
      <c r="J87" s="323"/>
      <c r="K87" s="155">
        <f t="shared" si="2"/>
        <v>2128000</v>
      </c>
    </row>
    <row r="88" spans="1:11" ht="70.5" customHeight="1">
      <c r="A88" s="153"/>
      <c r="B88" s="153"/>
      <c r="C88" s="153"/>
      <c r="D88" s="153"/>
      <c r="E88" s="153"/>
      <c r="F88" s="168"/>
      <c r="G88" s="168"/>
      <c r="H88" s="175" t="s">
        <v>2144</v>
      </c>
      <c r="I88" s="155"/>
      <c r="J88" s="323">
        <v>970970</v>
      </c>
      <c r="K88" s="155">
        <f t="shared" si="2"/>
        <v>970970</v>
      </c>
    </row>
    <row r="89" spans="1:11" s="1" customFormat="1" ht="31.5">
      <c r="A89" s="149" t="s">
        <v>1740</v>
      </c>
      <c r="B89" s="149" t="s">
        <v>1800</v>
      </c>
      <c r="C89" s="149" t="s">
        <v>1755</v>
      </c>
      <c r="D89" s="149" t="s">
        <v>1758</v>
      </c>
      <c r="E89" s="149" t="s">
        <v>1742</v>
      </c>
      <c r="F89" s="163" t="s">
        <v>1744</v>
      </c>
      <c r="G89" s="163" t="s">
        <v>1804</v>
      </c>
      <c r="H89" s="171" t="s">
        <v>1838</v>
      </c>
      <c r="I89" s="162">
        <v>515955880</v>
      </c>
      <c r="J89" s="162">
        <f>SUM(J90:J120)</f>
        <v>148333</v>
      </c>
      <c r="K89" s="162">
        <f>SUM(K90:K120)</f>
        <v>516104213</v>
      </c>
    </row>
    <row r="90" spans="1:11" s="1" customFormat="1" ht="47.25">
      <c r="A90" s="149"/>
      <c r="B90" s="149"/>
      <c r="C90" s="149"/>
      <c r="D90" s="149"/>
      <c r="E90" s="149"/>
      <c r="F90" s="163"/>
      <c r="G90" s="163"/>
      <c r="H90" s="169" t="s">
        <v>1839</v>
      </c>
      <c r="I90" s="155">
        <v>661000</v>
      </c>
      <c r="J90" s="323"/>
      <c r="K90" s="155">
        <f t="shared" si="2"/>
        <v>661000</v>
      </c>
    </row>
    <row r="91" spans="1:11" s="1" customFormat="1" ht="31.5">
      <c r="A91" s="149"/>
      <c r="B91" s="149"/>
      <c r="C91" s="149"/>
      <c r="D91" s="149"/>
      <c r="E91" s="149"/>
      <c r="F91" s="163"/>
      <c r="G91" s="163"/>
      <c r="H91" s="169" t="s">
        <v>1840</v>
      </c>
      <c r="I91" s="155">
        <v>2593000</v>
      </c>
      <c r="J91" s="323"/>
      <c r="K91" s="155">
        <f t="shared" si="2"/>
        <v>2593000</v>
      </c>
    </row>
    <row r="92" spans="1:11" s="1" customFormat="1" ht="63">
      <c r="A92" s="149"/>
      <c r="B92" s="149"/>
      <c r="C92" s="149"/>
      <c r="D92" s="149"/>
      <c r="E92" s="149"/>
      <c r="F92" s="163"/>
      <c r="G92" s="163"/>
      <c r="H92" s="169" t="s">
        <v>1841</v>
      </c>
      <c r="I92" s="155">
        <v>27976</v>
      </c>
      <c r="J92" s="323"/>
      <c r="K92" s="155">
        <f t="shared" si="2"/>
        <v>27976</v>
      </c>
    </row>
    <row r="93" spans="1:11" s="1" customFormat="1" ht="78.75">
      <c r="A93" s="149"/>
      <c r="B93" s="149"/>
      <c r="C93" s="149"/>
      <c r="D93" s="149"/>
      <c r="E93" s="149"/>
      <c r="F93" s="163"/>
      <c r="G93" s="163"/>
      <c r="H93" s="169" t="s">
        <v>1842</v>
      </c>
      <c r="I93" s="155">
        <v>4465000</v>
      </c>
      <c r="J93" s="323"/>
      <c r="K93" s="155">
        <f t="shared" si="2"/>
        <v>4465000</v>
      </c>
    </row>
    <row r="94" spans="1:11" s="1" customFormat="1" ht="47.25">
      <c r="A94" s="149"/>
      <c r="B94" s="149"/>
      <c r="C94" s="149"/>
      <c r="D94" s="149"/>
      <c r="E94" s="149"/>
      <c r="F94" s="163"/>
      <c r="G94" s="163"/>
      <c r="H94" s="169" t="s">
        <v>1843</v>
      </c>
      <c r="I94" s="155">
        <v>188000</v>
      </c>
      <c r="J94" s="323"/>
      <c r="K94" s="155">
        <f t="shared" si="2"/>
        <v>188000</v>
      </c>
    </row>
    <row r="95" spans="1:11" s="1" customFormat="1" ht="94.5">
      <c r="A95" s="149"/>
      <c r="B95" s="149"/>
      <c r="C95" s="149"/>
      <c r="D95" s="149"/>
      <c r="E95" s="149"/>
      <c r="F95" s="163"/>
      <c r="G95" s="163"/>
      <c r="H95" s="169" t="s">
        <v>1844</v>
      </c>
      <c r="I95" s="155">
        <v>747000</v>
      </c>
      <c r="J95" s="323"/>
      <c r="K95" s="155">
        <f t="shared" si="2"/>
        <v>747000</v>
      </c>
    </row>
    <row r="96" spans="1:11" s="1" customFormat="1" ht="78.75">
      <c r="A96" s="149"/>
      <c r="B96" s="149"/>
      <c r="C96" s="149"/>
      <c r="D96" s="149"/>
      <c r="E96" s="149"/>
      <c r="F96" s="163"/>
      <c r="G96" s="163"/>
      <c r="H96" s="169" t="s">
        <v>1845</v>
      </c>
      <c r="I96" s="155">
        <v>9282745</v>
      </c>
      <c r="J96" s="323"/>
      <c r="K96" s="155">
        <f t="shared" si="2"/>
        <v>9282745</v>
      </c>
    </row>
    <row r="97" spans="1:11" s="1" customFormat="1" ht="78.75">
      <c r="A97" s="149"/>
      <c r="B97" s="149"/>
      <c r="C97" s="149"/>
      <c r="D97" s="149"/>
      <c r="E97" s="149"/>
      <c r="F97" s="163"/>
      <c r="G97" s="163"/>
      <c r="H97" s="169" t="s">
        <v>1846</v>
      </c>
      <c r="I97" s="155">
        <v>3407000</v>
      </c>
      <c r="J97" s="323">
        <v>148333</v>
      </c>
      <c r="K97" s="155">
        <f t="shared" si="2"/>
        <v>3555333</v>
      </c>
    </row>
    <row r="98" spans="1:11" s="1" customFormat="1" ht="63">
      <c r="A98" s="149"/>
      <c r="B98" s="149"/>
      <c r="C98" s="149"/>
      <c r="D98" s="149"/>
      <c r="E98" s="149"/>
      <c r="F98" s="163"/>
      <c r="G98" s="163"/>
      <c r="H98" s="169" t="s">
        <v>1847</v>
      </c>
      <c r="I98" s="155">
        <v>21532000</v>
      </c>
      <c r="J98" s="323"/>
      <c r="K98" s="155">
        <f t="shared" si="2"/>
        <v>21532000</v>
      </c>
    </row>
    <row r="99" spans="1:11" s="1" customFormat="1" ht="47.25">
      <c r="A99" s="153"/>
      <c r="B99" s="153"/>
      <c r="C99" s="153"/>
      <c r="D99" s="153"/>
      <c r="E99" s="153"/>
      <c r="F99" s="168"/>
      <c r="G99" s="168"/>
      <c r="H99" s="169" t="s">
        <v>1848</v>
      </c>
      <c r="I99" s="155">
        <v>20559000</v>
      </c>
      <c r="J99" s="323"/>
      <c r="K99" s="155">
        <f t="shared" si="2"/>
        <v>20559000</v>
      </c>
    </row>
    <row r="100" spans="1:11" s="1" customFormat="1" ht="47.25">
      <c r="A100" s="153"/>
      <c r="B100" s="153"/>
      <c r="C100" s="153"/>
      <c r="D100" s="153"/>
      <c r="E100" s="153"/>
      <c r="F100" s="168"/>
      <c r="G100" s="168"/>
      <c r="H100" s="169" t="s">
        <v>1849</v>
      </c>
      <c r="I100" s="155">
        <v>26105000</v>
      </c>
      <c r="J100" s="323"/>
      <c r="K100" s="155">
        <f t="shared" si="2"/>
        <v>26105000</v>
      </c>
    </row>
    <row r="101" spans="1:11" s="1" customFormat="1" ht="63">
      <c r="A101" s="153"/>
      <c r="B101" s="153"/>
      <c r="C101" s="153"/>
      <c r="D101" s="153"/>
      <c r="E101" s="153"/>
      <c r="F101" s="168"/>
      <c r="G101" s="168"/>
      <c r="H101" s="169" t="s">
        <v>1850</v>
      </c>
      <c r="I101" s="155">
        <v>22047000</v>
      </c>
      <c r="J101" s="323"/>
      <c r="K101" s="155">
        <f t="shared" si="2"/>
        <v>22047000</v>
      </c>
    </row>
    <row r="102" spans="1:11" s="1" customFormat="1" ht="63">
      <c r="A102" s="153"/>
      <c r="B102" s="153"/>
      <c r="C102" s="153"/>
      <c r="D102" s="153"/>
      <c r="E102" s="153"/>
      <c r="F102" s="168"/>
      <c r="G102" s="168"/>
      <c r="H102" s="169" t="s">
        <v>1851</v>
      </c>
      <c r="I102" s="155">
        <v>462000</v>
      </c>
      <c r="J102" s="323"/>
      <c r="K102" s="155">
        <f t="shared" si="2"/>
        <v>462000</v>
      </c>
    </row>
    <row r="103" spans="1:11" s="1" customFormat="1" ht="78.75">
      <c r="A103" s="153"/>
      <c r="B103" s="153"/>
      <c r="C103" s="153"/>
      <c r="D103" s="153"/>
      <c r="E103" s="153"/>
      <c r="F103" s="168"/>
      <c r="G103" s="168"/>
      <c r="H103" s="169" t="s">
        <v>1852</v>
      </c>
      <c r="I103" s="155">
        <v>3545000</v>
      </c>
      <c r="J103" s="323"/>
      <c r="K103" s="155">
        <f t="shared" si="2"/>
        <v>3545000</v>
      </c>
    </row>
    <row r="104" spans="1:11" s="1" customFormat="1" ht="47.25">
      <c r="A104" s="153"/>
      <c r="B104" s="153"/>
      <c r="C104" s="153"/>
      <c r="D104" s="153"/>
      <c r="E104" s="153"/>
      <c r="F104" s="168"/>
      <c r="G104" s="168"/>
      <c r="H104" s="169" t="s">
        <v>1853</v>
      </c>
      <c r="I104" s="155">
        <v>5470000</v>
      </c>
      <c r="J104" s="323"/>
      <c r="K104" s="155">
        <f t="shared" si="2"/>
        <v>5470000</v>
      </c>
    </row>
    <row r="105" spans="1:11" s="1" customFormat="1" ht="63">
      <c r="A105" s="153"/>
      <c r="B105" s="153"/>
      <c r="C105" s="153"/>
      <c r="D105" s="153"/>
      <c r="E105" s="153"/>
      <c r="F105" s="168"/>
      <c r="G105" s="168"/>
      <c r="H105" s="169" t="s">
        <v>1854</v>
      </c>
      <c r="I105" s="155">
        <v>21552356</v>
      </c>
      <c r="J105" s="323"/>
      <c r="K105" s="155">
        <f t="shared" si="2"/>
        <v>21552356</v>
      </c>
    </row>
    <row r="106" spans="1:11" s="1" customFormat="1" ht="78.75">
      <c r="A106" s="153"/>
      <c r="B106" s="153"/>
      <c r="C106" s="153"/>
      <c r="D106" s="153"/>
      <c r="E106" s="153"/>
      <c r="F106" s="168"/>
      <c r="G106" s="168"/>
      <c r="H106" s="169" t="s">
        <v>1855</v>
      </c>
      <c r="I106" s="155">
        <v>39589000</v>
      </c>
      <c r="J106" s="323"/>
      <c r="K106" s="155">
        <f t="shared" si="2"/>
        <v>39589000</v>
      </c>
    </row>
    <row r="107" spans="1:11" s="1" customFormat="1" ht="63">
      <c r="A107" s="153"/>
      <c r="B107" s="153"/>
      <c r="C107" s="153"/>
      <c r="D107" s="153"/>
      <c r="E107" s="153"/>
      <c r="F107" s="168"/>
      <c r="G107" s="168"/>
      <c r="H107" s="172" t="s">
        <v>1856</v>
      </c>
      <c r="I107" s="155">
        <v>23400</v>
      </c>
      <c r="J107" s="323"/>
      <c r="K107" s="155">
        <f t="shared" si="2"/>
        <v>23400</v>
      </c>
    </row>
    <row r="108" spans="1:11" s="1" customFormat="1" ht="110.25">
      <c r="A108" s="153"/>
      <c r="B108" s="153"/>
      <c r="C108" s="153"/>
      <c r="D108" s="153"/>
      <c r="E108" s="153"/>
      <c r="F108" s="168"/>
      <c r="G108" s="168"/>
      <c r="H108" s="169" t="s">
        <v>1857</v>
      </c>
      <c r="I108" s="155">
        <v>36071288</v>
      </c>
      <c r="J108" s="323"/>
      <c r="K108" s="155">
        <f t="shared" si="2"/>
        <v>36071288</v>
      </c>
    </row>
    <row r="109" spans="1:11" s="1" customFormat="1" ht="15.75">
      <c r="A109" s="153"/>
      <c r="B109" s="153"/>
      <c r="C109" s="153"/>
      <c r="D109" s="153"/>
      <c r="E109" s="153"/>
      <c r="F109" s="168"/>
      <c r="G109" s="168"/>
      <c r="H109" s="169" t="s">
        <v>1858</v>
      </c>
      <c r="I109" s="155">
        <v>29904000</v>
      </c>
      <c r="J109" s="323"/>
      <c r="K109" s="155">
        <f t="shared" si="2"/>
        <v>29904000</v>
      </c>
    </row>
    <row r="110" spans="1:11" s="1" customFormat="1" ht="78.75">
      <c r="A110" s="153"/>
      <c r="B110" s="153"/>
      <c r="C110" s="153"/>
      <c r="D110" s="153"/>
      <c r="E110" s="153"/>
      <c r="F110" s="168"/>
      <c r="G110" s="168"/>
      <c r="H110" s="169" t="s">
        <v>1859</v>
      </c>
      <c r="I110" s="155">
        <v>19470000</v>
      </c>
      <c r="J110" s="323"/>
      <c r="K110" s="155">
        <f t="shared" si="2"/>
        <v>19470000</v>
      </c>
    </row>
    <row r="111" spans="1:11" s="1" customFormat="1" ht="31.5">
      <c r="A111" s="153"/>
      <c r="B111" s="153"/>
      <c r="C111" s="153"/>
      <c r="D111" s="153"/>
      <c r="E111" s="153"/>
      <c r="F111" s="168"/>
      <c r="G111" s="168"/>
      <c r="H111" s="169" t="s">
        <v>1860</v>
      </c>
      <c r="I111" s="155">
        <v>1148217</v>
      </c>
      <c r="J111" s="323"/>
      <c r="K111" s="155">
        <f t="shared" si="2"/>
        <v>1148217</v>
      </c>
    </row>
    <row r="112" spans="1:11" s="1" customFormat="1" ht="63">
      <c r="A112" s="153"/>
      <c r="B112" s="153"/>
      <c r="C112" s="153"/>
      <c r="D112" s="153"/>
      <c r="E112" s="153"/>
      <c r="F112" s="168"/>
      <c r="G112" s="168"/>
      <c r="H112" s="169" t="s">
        <v>1861</v>
      </c>
      <c r="I112" s="155">
        <v>1115000</v>
      </c>
      <c r="J112" s="323"/>
      <c r="K112" s="155">
        <f t="shared" si="2"/>
        <v>1115000</v>
      </c>
    </row>
    <row r="113" spans="1:11" s="1" customFormat="1" ht="31.5">
      <c r="A113" s="153"/>
      <c r="B113" s="153"/>
      <c r="C113" s="153"/>
      <c r="D113" s="153"/>
      <c r="E113" s="153"/>
      <c r="F113" s="168"/>
      <c r="G113" s="168"/>
      <c r="H113" s="169" t="s">
        <v>1862</v>
      </c>
      <c r="I113" s="155">
        <v>203244000</v>
      </c>
      <c r="J113" s="323"/>
      <c r="K113" s="155">
        <f t="shared" si="2"/>
        <v>203244000</v>
      </c>
    </row>
    <row r="114" spans="1:11" s="1" customFormat="1" ht="47.25">
      <c r="A114" s="153"/>
      <c r="B114" s="153"/>
      <c r="C114" s="153"/>
      <c r="D114" s="153"/>
      <c r="E114" s="153"/>
      <c r="F114" s="168"/>
      <c r="G114" s="168"/>
      <c r="H114" s="169" t="s">
        <v>1863</v>
      </c>
      <c r="I114" s="155">
        <v>23480000</v>
      </c>
      <c r="J114" s="323"/>
      <c r="K114" s="155">
        <f t="shared" si="2"/>
        <v>23480000</v>
      </c>
    </row>
    <row r="115" spans="1:11" s="1" customFormat="1" ht="47.25">
      <c r="A115" s="153"/>
      <c r="B115" s="153"/>
      <c r="C115" s="153"/>
      <c r="D115" s="153"/>
      <c r="E115" s="153"/>
      <c r="F115" s="168"/>
      <c r="G115" s="168"/>
      <c r="H115" s="169" t="s">
        <v>1864</v>
      </c>
      <c r="I115" s="155">
        <v>2075000</v>
      </c>
      <c r="J115" s="323"/>
      <c r="K115" s="155">
        <f t="shared" si="2"/>
        <v>2075000</v>
      </c>
    </row>
    <row r="116" spans="1:11" s="1" customFormat="1" ht="47.25">
      <c r="A116" s="153"/>
      <c r="B116" s="153"/>
      <c r="C116" s="153"/>
      <c r="D116" s="153"/>
      <c r="E116" s="153"/>
      <c r="F116" s="168"/>
      <c r="G116" s="168"/>
      <c r="H116" s="169" t="s">
        <v>1865</v>
      </c>
      <c r="I116" s="155">
        <v>11642000</v>
      </c>
      <c r="J116" s="323"/>
      <c r="K116" s="155">
        <f t="shared" si="2"/>
        <v>11642000</v>
      </c>
    </row>
    <row r="117" spans="1:11" s="1" customFormat="1" ht="31.5">
      <c r="A117" s="153"/>
      <c r="B117" s="153"/>
      <c r="C117" s="153"/>
      <c r="D117" s="153"/>
      <c r="E117" s="153"/>
      <c r="F117" s="168"/>
      <c r="G117" s="168"/>
      <c r="H117" s="169" t="s">
        <v>1866</v>
      </c>
      <c r="I117" s="155">
        <v>2734648</v>
      </c>
      <c r="J117" s="323"/>
      <c r="K117" s="155">
        <f t="shared" si="2"/>
        <v>2734648</v>
      </c>
    </row>
    <row r="118" spans="1:11" s="1" customFormat="1" ht="63">
      <c r="A118" s="153"/>
      <c r="B118" s="153"/>
      <c r="C118" s="153"/>
      <c r="D118" s="153"/>
      <c r="E118" s="153"/>
      <c r="F118" s="168"/>
      <c r="G118" s="168"/>
      <c r="H118" s="173" t="s">
        <v>1867</v>
      </c>
      <c r="I118" s="155">
        <v>106000</v>
      </c>
      <c r="J118" s="323"/>
      <c r="K118" s="155">
        <f t="shared" si="2"/>
        <v>106000</v>
      </c>
    </row>
    <row r="119" spans="1:11" s="1" customFormat="1" ht="31.5">
      <c r="A119" s="153"/>
      <c r="B119" s="153"/>
      <c r="C119" s="153"/>
      <c r="D119" s="153"/>
      <c r="E119" s="153"/>
      <c r="F119" s="168"/>
      <c r="G119" s="168"/>
      <c r="H119" s="169" t="s">
        <v>1868</v>
      </c>
      <c r="I119" s="155">
        <v>2647000</v>
      </c>
      <c r="J119" s="323"/>
      <c r="K119" s="155">
        <f t="shared" ref="K119:K132" si="3">I119+J119</f>
        <v>2647000</v>
      </c>
    </row>
    <row r="120" spans="1:11" s="1" customFormat="1" ht="47.25">
      <c r="A120" s="153"/>
      <c r="B120" s="153"/>
      <c r="C120" s="153"/>
      <c r="D120" s="153"/>
      <c r="E120" s="153"/>
      <c r="F120" s="168"/>
      <c r="G120" s="168"/>
      <c r="H120" s="169" t="s">
        <v>1869</v>
      </c>
      <c r="I120" s="155">
        <v>62250</v>
      </c>
      <c r="J120" s="323"/>
      <c r="K120" s="155">
        <f t="shared" si="3"/>
        <v>62250</v>
      </c>
    </row>
    <row r="121" spans="1:11" s="1" customFormat="1" ht="15.75">
      <c r="A121" s="149" t="s">
        <v>1740</v>
      </c>
      <c r="B121" s="149" t="s">
        <v>1800</v>
      </c>
      <c r="C121" s="149" t="s">
        <v>1755</v>
      </c>
      <c r="D121" s="149" t="s">
        <v>1870</v>
      </c>
      <c r="E121" s="149" t="s">
        <v>1742</v>
      </c>
      <c r="F121" s="163" t="s">
        <v>1744</v>
      </c>
      <c r="G121" s="163" t="s">
        <v>1804</v>
      </c>
      <c r="H121" s="171" t="s">
        <v>1871</v>
      </c>
      <c r="I121" s="174">
        <v>64428351</v>
      </c>
      <c r="J121" s="174">
        <f>SUM(J122:J132)</f>
        <v>3277000</v>
      </c>
      <c r="K121" s="174">
        <f>SUM(K122:K132)</f>
        <v>67705351</v>
      </c>
    </row>
    <row r="122" spans="1:11" s="1" customFormat="1" ht="47.25">
      <c r="A122" s="153"/>
      <c r="B122" s="153"/>
      <c r="C122" s="153"/>
      <c r="D122" s="153"/>
      <c r="E122" s="153"/>
      <c r="F122" s="168"/>
      <c r="G122" s="168"/>
      <c r="H122" s="169" t="s">
        <v>1872</v>
      </c>
      <c r="I122" s="155">
        <v>139000</v>
      </c>
      <c r="J122" s="323"/>
      <c r="K122" s="155">
        <f t="shared" si="3"/>
        <v>139000</v>
      </c>
    </row>
    <row r="123" spans="1:11" s="1" customFormat="1" ht="63">
      <c r="A123" s="153"/>
      <c r="B123" s="153"/>
      <c r="C123" s="153"/>
      <c r="D123" s="153"/>
      <c r="E123" s="153"/>
      <c r="F123" s="168"/>
      <c r="G123" s="168"/>
      <c r="H123" s="169" t="s">
        <v>2039</v>
      </c>
      <c r="I123" s="155">
        <v>853507</v>
      </c>
      <c r="J123" s="323"/>
      <c r="K123" s="155">
        <f t="shared" si="3"/>
        <v>853507</v>
      </c>
    </row>
    <row r="124" spans="1:11" s="1" customFormat="1" ht="63">
      <c r="A124" s="153"/>
      <c r="B124" s="153"/>
      <c r="C124" s="153"/>
      <c r="D124" s="153"/>
      <c r="E124" s="153"/>
      <c r="F124" s="168"/>
      <c r="G124" s="168"/>
      <c r="H124" s="169" t="s">
        <v>1873</v>
      </c>
      <c r="I124" s="155">
        <v>345000</v>
      </c>
      <c r="J124" s="323"/>
      <c r="K124" s="155">
        <f t="shared" si="3"/>
        <v>345000</v>
      </c>
    </row>
    <row r="125" spans="1:11" s="1" customFormat="1" ht="126">
      <c r="A125" s="153"/>
      <c r="B125" s="153"/>
      <c r="C125" s="153"/>
      <c r="D125" s="153"/>
      <c r="E125" s="153"/>
      <c r="F125" s="168"/>
      <c r="G125" s="168"/>
      <c r="H125" s="172" t="s">
        <v>1874</v>
      </c>
      <c r="I125" s="155">
        <v>3914064</v>
      </c>
      <c r="J125" s="323"/>
      <c r="K125" s="155">
        <f t="shared" si="3"/>
        <v>3914064</v>
      </c>
    </row>
    <row r="126" spans="1:11" s="1" customFormat="1" ht="63">
      <c r="A126" s="153"/>
      <c r="B126" s="153"/>
      <c r="C126" s="153"/>
      <c r="D126" s="153"/>
      <c r="E126" s="153"/>
      <c r="F126" s="168"/>
      <c r="G126" s="168"/>
      <c r="H126" s="175" t="s">
        <v>1875</v>
      </c>
      <c r="I126" s="155">
        <v>1420920</v>
      </c>
      <c r="J126" s="323"/>
      <c r="K126" s="155">
        <f>I126+J126</f>
        <v>1420920</v>
      </c>
    </row>
    <row r="127" spans="1:11" s="1" customFormat="1" ht="110.25">
      <c r="A127" s="153"/>
      <c r="B127" s="153"/>
      <c r="C127" s="153"/>
      <c r="D127" s="153"/>
      <c r="E127" s="153"/>
      <c r="F127" s="168"/>
      <c r="G127" s="168"/>
      <c r="H127" s="175" t="s">
        <v>1887</v>
      </c>
      <c r="I127" s="155">
        <v>80000</v>
      </c>
      <c r="J127" s="323"/>
      <c r="K127" s="155">
        <f t="shared" si="3"/>
        <v>80000</v>
      </c>
    </row>
    <row r="128" spans="1:11" s="1" customFormat="1" ht="78.75">
      <c r="A128" s="153"/>
      <c r="B128" s="153"/>
      <c r="C128" s="153"/>
      <c r="D128" s="153"/>
      <c r="E128" s="153"/>
      <c r="F128" s="168"/>
      <c r="G128" s="168"/>
      <c r="H128" s="175" t="s">
        <v>1888</v>
      </c>
      <c r="I128" s="155">
        <v>50000</v>
      </c>
      <c r="J128" s="323"/>
      <c r="K128" s="155">
        <f t="shared" si="3"/>
        <v>50000</v>
      </c>
    </row>
    <row r="129" spans="1:11" s="1" customFormat="1" ht="102.75" customHeight="1">
      <c r="A129" s="153"/>
      <c r="B129" s="153"/>
      <c r="C129" s="153"/>
      <c r="D129" s="153"/>
      <c r="E129" s="153"/>
      <c r="F129" s="168"/>
      <c r="G129" s="168"/>
      <c r="H129" s="175" t="s">
        <v>1876</v>
      </c>
      <c r="I129" s="155">
        <v>42189725</v>
      </c>
      <c r="J129" s="323">
        <v>3254000</v>
      </c>
      <c r="K129" s="155">
        <f t="shared" si="3"/>
        <v>45443725</v>
      </c>
    </row>
    <row r="130" spans="1:11" s="1" customFormat="1" ht="47.25">
      <c r="A130" s="153"/>
      <c r="B130" s="153"/>
      <c r="C130" s="153"/>
      <c r="D130" s="153"/>
      <c r="E130" s="153"/>
      <c r="F130" s="168"/>
      <c r="G130" s="168"/>
      <c r="H130" s="175" t="s">
        <v>2043</v>
      </c>
      <c r="I130" s="155">
        <v>250000</v>
      </c>
      <c r="J130" s="323"/>
      <c r="K130" s="155">
        <f t="shared" si="3"/>
        <v>250000</v>
      </c>
    </row>
    <row r="131" spans="1:11" s="1" customFormat="1" ht="100.5" customHeight="1">
      <c r="A131" s="153"/>
      <c r="B131" s="153"/>
      <c r="C131" s="153"/>
      <c r="D131" s="153"/>
      <c r="E131" s="153"/>
      <c r="F131" s="168"/>
      <c r="G131" s="168"/>
      <c r="H131" s="175" t="s">
        <v>2086</v>
      </c>
      <c r="I131" s="155">
        <v>15186135</v>
      </c>
      <c r="J131" s="323"/>
      <c r="K131" s="155">
        <f t="shared" si="3"/>
        <v>15186135</v>
      </c>
    </row>
    <row r="132" spans="1:11" s="1" customFormat="1" ht="100.5" customHeight="1">
      <c r="A132" s="153"/>
      <c r="B132" s="153"/>
      <c r="C132" s="153"/>
      <c r="D132" s="153"/>
      <c r="E132" s="153"/>
      <c r="F132" s="168"/>
      <c r="G132" s="168"/>
      <c r="H132" s="175" t="s">
        <v>2143</v>
      </c>
      <c r="I132" s="155"/>
      <c r="J132" s="323">
        <v>23000</v>
      </c>
      <c r="K132" s="155">
        <f t="shared" si="3"/>
        <v>23000</v>
      </c>
    </row>
    <row r="133" spans="1:11" s="1" customFormat="1" ht="15.75">
      <c r="A133" s="153"/>
      <c r="B133" s="153"/>
      <c r="C133" s="153"/>
      <c r="D133" s="153"/>
      <c r="E133" s="153"/>
      <c r="F133" s="168"/>
      <c r="G133" s="168"/>
      <c r="H133" s="176" t="s">
        <v>1007</v>
      </c>
      <c r="I133" s="162">
        <v>1529773080</v>
      </c>
      <c r="J133" s="162">
        <f>J11+J37</f>
        <v>-3080197</v>
      </c>
      <c r="K133" s="162">
        <f>K11+K37</f>
        <v>1526692883</v>
      </c>
    </row>
  </sheetData>
  <mergeCells count="10">
    <mergeCell ref="F1:K1"/>
    <mergeCell ref="F2:K2"/>
    <mergeCell ref="F3:K3"/>
    <mergeCell ref="F4:K4"/>
    <mergeCell ref="A6:K6"/>
    <mergeCell ref="J9:J10"/>
    <mergeCell ref="K9:K10"/>
    <mergeCell ref="A9:G9"/>
    <mergeCell ref="H9:H10"/>
    <mergeCell ref="I9:I10"/>
  </mergeCells>
  <phoneticPr fontId="0" type="noConversion"/>
  <pageMargins left="0.78740157480314965" right="0.39370078740157483" top="0.39370078740157483" bottom="0.39370078740157483" header="0.19685039370078741" footer="0.19685039370078741"/>
  <pageSetup paperSize="9" scale="96" fitToHeight="0" orientation="portrait"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7"/>
  <sheetViews>
    <sheetView view="pageBreakPreview" zoomScale="115" zoomScaleNormal="100" zoomScaleSheetLayoutView="115" workbookViewId="0">
      <selection activeCell="E17" sqref="E17"/>
    </sheetView>
  </sheetViews>
  <sheetFormatPr defaultRowHeight="12.75" outlineLevelCol="1"/>
  <cols>
    <col min="1" max="1" width="5.85546875" customWidth="1"/>
    <col min="2" max="2" width="56.5703125" customWidth="1"/>
    <col min="3" max="3" width="15.7109375" customWidth="1" outlineLevel="1"/>
    <col min="4" max="4" width="16.140625" customWidth="1" outlineLevel="1"/>
    <col min="5" max="5" width="13.5703125" customWidth="1"/>
  </cols>
  <sheetData>
    <row r="1" spans="1:11" ht="15.75">
      <c r="B1" s="332" t="s">
        <v>2008</v>
      </c>
      <c r="C1" s="332"/>
      <c r="D1" s="332"/>
      <c r="E1" s="332"/>
    </row>
    <row r="2" spans="1:11" ht="15.75">
      <c r="B2" s="332" t="s">
        <v>914</v>
      </c>
      <c r="C2" s="332"/>
      <c r="D2" s="332"/>
      <c r="E2" s="332"/>
    </row>
    <row r="3" spans="1:11" ht="15.75">
      <c r="B3" s="332" t="s">
        <v>643</v>
      </c>
      <c r="C3" s="332"/>
      <c r="D3" s="332"/>
      <c r="E3" s="332"/>
    </row>
    <row r="4" spans="1:11" ht="15.75">
      <c r="B4" s="332" t="s">
        <v>2133</v>
      </c>
      <c r="C4" s="332"/>
      <c r="D4" s="332"/>
      <c r="E4" s="332"/>
    </row>
    <row r="5" spans="1:11">
      <c r="B5" s="266"/>
      <c r="C5" s="266"/>
      <c r="D5" s="266"/>
    </row>
    <row r="7" spans="1:11" ht="52.5" customHeight="1">
      <c r="A7" s="333" t="s">
        <v>2082</v>
      </c>
      <c r="B7" s="333"/>
      <c r="C7" s="333"/>
      <c r="D7" s="333"/>
      <c r="E7" s="333"/>
    </row>
    <row r="8" spans="1:11" ht="18.75">
      <c r="A8" s="264"/>
      <c r="B8" s="264"/>
      <c r="C8" s="264"/>
      <c r="D8" s="264"/>
      <c r="E8" s="264"/>
    </row>
    <row r="9" spans="1:11" ht="63.75" customHeight="1">
      <c r="A9" s="345" t="s">
        <v>2084</v>
      </c>
      <c r="B9" s="345"/>
      <c r="C9" s="345"/>
      <c r="D9" s="345"/>
      <c r="E9" s="345"/>
    </row>
    <row r="10" spans="1:11" ht="18.75" customHeight="1">
      <c r="A10" s="342" t="s">
        <v>2010</v>
      </c>
      <c r="B10" s="342"/>
      <c r="C10" s="112" t="s">
        <v>2142</v>
      </c>
      <c r="D10" s="90" t="s">
        <v>67</v>
      </c>
      <c r="E10" s="265" t="s">
        <v>375</v>
      </c>
    </row>
    <row r="11" spans="1:11" ht="18.75" customHeight="1">
      <c r="A11" s="271" t="s">
        <v>2023</v>
      </c>
      <c r="B11" s="272" t="s">
        <v>2083</v>
      </c>
      <c r="C11" s="273">
        <v>293000</v>
      </c>
      <c r="D11" s="273">
        <f>SUM(D12:D14)</f>
        <v>0</v>
      </c>
      <c r="E11" s="273">
        <f>SUM(C11:D11)</f>
        <v>293000</v>
      </c>
    </row>
    <row r="12" spans="1:11" ht="19.5" customHeight="1">
      <c r="A12" s="193"/>
      <c r="B12" s="278" t="s">
        <v>2011</v>
      </c>
      <c r="C12" s="195">
        <v>95000</v>
      </c>
      <c r="D12" s="195">
        <v>0</v>
      </c>
      <c r="E12" s="195">
        <v>95000</v>
      </c>
    </row>
    <row r="13" spans="1:11" ht="18.75" customHeight="1">
      <c r="A13" s="200"/>
      <c r="B13" s="278" t="s">
        <v>2014</v>
      </c>
      <c r="C13" s="195">
        <v>99000</v>
      </c>
      <c r="D13" s="195">
        <v>0</v>
      </c>
      <c r="E13" s="195">
        <v>99000</v>
      </c>
    </row>
    <row r="14" spans="1:11" ht="15.75">
      <c r="A14" s="201"/>
      <c r="B14" s="278" t="s">
        <v>2012</v>
      </c>
      <c r="C14" s="195">
        <v>99000</v>
      </c>
      <c r="D14" s="195">
        <v>0</v>
      </c>
      <c r="E14" s="195">
        <v>99000</v>
      </c>
    </row>
    <row r="15" spans="1:11" ht="47.25">
      <c r="A15" s="271" t="s">
        <v>2098</v>
      </c>
      <c r="B15" s="272" t="s">
        <v>2100</v>
      </c>
      <c r="C15" s="273">
        <v>10750000</v>
      </c>
      <c r="D15" s="329">
        <f>D16</f>
        <v>0</v>
      </c>
      <c r="E15" s="273">
        <f>SUM(C15:D15)</f>
        <v>10750000</v>
      </c>
    </row>
    <row r="16" spans="1:11" ht="15.75">
      <c r="A16" s="193"/>
      <c r="B16" s="278" t="s">
        <v>2099</v>
      </c>
      <c r="C16" s="195">
        <v>10750000</v>
      </c>
      <c r="D16" s="195">
        <v>0</v>
      </c>
      <c r="E16" s="195">
        <v>10750000</v>
      </c>
      <c r="I16" s="87"/>
      <c r="K16" s="87"/>
    </row>
    <row r="17" spans="1:5" ht="30" customHeight="1">
      <c r="A17" s="271" t="s">
        <v>2138</v>
      </c>
      <c r="B17" s="272" t="s">
        <v>2139</v>
      </c>
      <c r="C17" s="273">
        <v>99000</v>
      </c>
      <c r="D17" s="273">
        <v>0</v>
      </c>
      <c r="E17" s="273">
        <f>SUM(C17:D17)</f>
        <v>99000</v>
      </c>
    </row>
    <row r="18" spans="1:5" ht="15.75">
      <c r="A18" s="201"/>
      <c r="B18" s="278" t="s">
        <v>2012</v>
      </c>
      <c r="C18" s="195">
        <v>99000</v>
      </c>
      <c r="D18" s="195">
        <f>D17+D15+D11</f>
        <v>0</v>
      </c>
      <c r="E18" s="195">
        <v>99000</v>
      </c>
    </row>
    <row r="19" spans="1:5" ht="15.75">
      <c r="A19" s="196"/>
      <c r="B19" s="197"/>
      <c r="C19" s="269"/>
      <c r="D19" s="269"/>
      <c r="E19" s="269"/>
    </row>
    <row r="20" spans="1:5" ht="15.75">
      <c r="A20" s="354"/>
      <c r="B20" s="354"/>
      <c r="C20" s="270"/>
      <c r="D20" s="270"/>
      <c r="E20" s="270"/>
    </row>
    <row r="21" spans="1:5" ht="15.75">
      <c r="A21" s="198"/>
      <c r="B21" s="197"/>
      <c r="C21" s="197"/>
      <c r="D21" s="197"/>
      <c r="E21" s="203"/>
    </row>
    <row r="22" spans="1:5">
      <c r="A22" s="196"/>
      <c r="B22" s="196"/>
      <c r="C22" s="196"/>
      <c r="D22" s="196"/>
      <c r="E22" s="196"/>
    </row>
    <row r="27" spans="1:5">
      <c r="E27" s="225"/>
    </row>
  </sheetData>
  <mergeCells count="8">
    <mergeCell ref="A20:B20"/>
    <mergeCell ref="A10:B10"/>
    <mergeCell ref="A9:E9"/>
    <mergeCell ref="B1:E1"/>
    <mergeCell ref="B2:E2"/>
    <mergeCell ref="B3:E3"/>
    <mergeCell ref="B4:E4"/>
    <mergeCell ref="A7:E7"/>
  </mergeCells>
  <pageMargins left="0.70866141732283472" right="0.70866141732283472" top="0.74803149606299213" bottom="0.74803149606299213" header="0.31496062992125984" footer="0.31496062992125984"/>
  <pageSetup paperSize="9" scale="82"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dimension ref="A1:I13"/>
  <sheetViews>
    <sheetView view="pageBreakPreview" zoomScale="115" zoomScaleNormal="100" zoomScaleSheetLayoutView="115" workbookViewId="0">
      <selection activeCell="F12" sqref="F12"/>
    </sheetView>
  </sheetViews>
  <sheetFormatPr defaultRowHeight="12.75"/>
  <cols>
    <col min="8" max="8" width="7.28515625" customWidth="1"/>
  </cols>
  <sheetData>
    <row r="1" spans="1:9" ht="15.75">
      <c r="A1" s="23"/>
      <c r="B1" s="23"/>
      <c r="C1" s="23"/>
      <c r="D1" s="23"/>
      <c r="E1" s="332" t="s">
        <v>2016</v>
      </c>
      <c r="F1" s="332"/>
      <c r="G1" s="332"/>
      <c r="H1" s="332"/>
      <c r="I1" s="332"/>
    </row>
    <row r="2" spans="1:9" ht="15.75">
      <c r="A2" s="23"/>
      <c r="B2" s="23"/>
      <c r="C2" s="23"/>
      <c r="D2" s="23"/>
      <c r="E2" s="332" t="s">
        <v>914</v>
      </c>
      <c r="F2" s="332"/>
      <c r="G2" s="332"/>
      <c r="H2" s="332"/>
      <c r="I2" s="332"/>
    </row>
    <row r="3" spans="1:9" ht="15.75">
      <c r="A3" s="23"/>
      <c r="B3" s="23"/>
      <c r="C3" s="23"/>
      <c r="D3" s="23"/>
      <c r="E3" s="332" t="s">
        <v>643</v>
      </c>
      <c r="F3" s="332"/>
      <c r="G3" s="332"/>
      <c r="H3" s="332"/>
      <c r="I3" s="332"/>
    </row>
    <row r="4" spans="1:9" ht="15.75">
      <c r="A4" s="23"/>
      <c r="B4" s="23"/>
      <c r="C4" s="23"/>
      <c r="D4" s="23"/>
      <c r="E4" s="332" t="s">
        <v>2133</v>
      </c>
      <c r="F4" s="332"/>
      <c r="G4" s="332"/>
      <c r="H4" s="332"/>
      <c r="I4" s="332"/>
    </row>
    <row r="5" spans="1:9" ht="24.75" customHeight="1">
      <c r="A5" s="23"/>
      <c r="B5" s="23"/>
      <c r="C5" s="23"/>
      <c r="D5" s="23"/>
      <c r="E5" s="23"/>
    </row>
    <row r="6" spans="1:9" ht="48.75" customHeight="1">
      <c r="A6" s="341" t="s">
        <v>2085</v>
      </c>
      <c r="B6" s="341"/>
      <c r="C6" s="341"/>
      <c r="D6" s="341"/>
      <c r="E6" s="341"/>
      <c r="F6" s="341"/>
      <c r="G6" s="341"/>
      <c r="H6" s="341"/>
      <c r="I6" s="341"/>
    </row>
    <row r="7" spans="1:9" ht="15.75">
      <c r="A7" s="357"/>
      <c r="B7" s="357"/>
      <c r="C7" s="357"/>
      <c r="D7" s="357"/>
      <c r="E7" s="357"/>
    </row>
    <row r="8" spans="1:9" ht="77.25" customHeight="1">
      <c r="A8" s="358" t="s">
        <v>2089</v>
      </c>
      <c r="B8" s="358"/>
      <c r="C8" s="358"/>
      <c r="D8" s="358"/>
      <c r="E8" s="358"/>
      <c r="F8" s="358"/>
      <c r="G8" s="358"/>
      <c r="H8" s="358"/>
      <c r="I8" s="358"/>
    </row>
    <row r="9" spans="1:9" ht="84.75" customHeight="1">
      <c r="A9" s="359" t="s">
        <v>2088</v>
      </c>
      <c r="B9" s="359"/>
      <c r="C9" s="359"/>
      <c r="D9" s="359"/>
      <c r="E9" s="359"/>
      <c r="F9" s="359"/>
      <c r="G9" s="359"/>
      <c r="H9" s="359"/>
      <c r="I9" s="359"/>
    </row>
    <row r="10" spans="1:9" ht="81" customHeight="1">
      <c r="A10" s="359" t="s">
        <v>2128</v>
      </c>
      <c r="B10" s="359"/>
      <c r="C10" s="359"/>
      <c r="D10" s="359"/>
      <c r="E10" s="359"/>
      <c r="F10" s="359"/>
      <c r="G10" s="359"/>
      <c r="H10" s="359"/>
      <c r="I10" s="359"/>
    </row>
    <row r="11" spans="1:9" ht="85.5" customHeight="1">
      <c r="A11" s="360" t="s">
        <v>2140</v>
      </c>
      <c r="B11" s="360"/>
      <c r="C11" s="360"/>
      <c r="D11" s="360"/>
      <c r="E11" s="360"/>
      <c r="F11" s="360"/>
      <c r="G11" s="360"/>
      <c r="H11" s="360"/>
      <c r="I11" s="360"/>
    </row>
    <row r="12" spans="1:9" ht="15.75">
      <c r="A12" s="355"/>
      <c r="B12" s="355"/>
      <c r="C12" s="355"/>
      <c r="D12" s="355"/>
      <c r="E12" s="355"/>
    </row>
    <row r="13" spans="1:9" ht="15.75">
      <c r="A13" s="356"/>
      <c r="B13" s="356"/>
      <c r="C13" s="356"/>
      <c r="D13" s="356"/>
      <c r="E13" s="356"/>
    </row>
  </sheetData>
  <mergeCells count="12">
    <mergeCell ref="A12:E12"/>
    <mergeCell ref="A13:E13"/>
    <mergeCell ref="A7:E7"/>
    <mergeCell ref="A8:I8"/>
    <mergeCell ref="A9:I9"/>
    <mergeCell ref="A10:I10"/>
    <mergeCell ref="A11:I11"/>
    <mergeCell ref="A6:I6"/>
    <mergeCell ref="E4:I4"/>
    <mergeCell ref="E3:I3"/>
    <mergeCell ref="E2:I2"/>
    <mergeCell ref="E1:I1"/>
  </mergeCells>
  <pageMargins left="1.299212598425197" right="0.70866141732283472" top="0.74803149606299213" bottom="0.74803149606299213" header="0.31496062992125984" footer="0.31496062992125984"/>
  <pageSetup paperSize="9"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C29"/>
  <sheetViews>
    <sheetView showGridLines="0" tabSelected="1" view="pageBreakPreview" topLeftCell="A16" zoomScaleSheetLayoutView="100" workbookViewId="0">
      <selection activeCell="C22" sqref="C22"/>
    </sheetView>
  </sheetViews>
  <sheetFormatPr defaultRowHeight="12.75"/>
  <cols>
    <col min="1" max="1" width="28.5703125" customWidth="1"/>
    <col min="2" max="2" width="58.28515625" customWidth="1"/>
    <col min="3" max="3" width="15.140625" bestFit="1" customWidth="1"/>
  </cols>
  <sheetData>
    <row r="1" spans="1:3" ht="15.75">
      <c r="A1" s="332" t="s">
        <v>2008</v>
      </c>
      <c r="B1" s="332"/>
      <c r="C1" s="332"/>
    </row>
    <row r="2" spans="1:3" ht="15.75">
      <c r="A2" s="332" t="s">
        <v>914</v>
      </c>
      <c r="B2" s="332"/>
      <c r="C2" s="332"/>
    </row>
    <row r="3" spans="1:3" ht="15.75">
      <c r="A3" s="332" t="s">
        <v>643</v>
      </c>
      <c r="B3" s="332"/>
      <c r="C3" s="332"/>
    </row>
    <row r="4" spans="1:3" ht="15.75">
      <c r="A4" s="332" t="s">
        <v>2133</v>
      </c>
      <c r="B4" s="332"/>
      <c r="C4" s="332"/>
    </row>
    <row r="6" spans="1:3" ht="15.75">
      <c r="A6" s="179"/>
      <c r="B6" s="141"/>
    </row>
    <row r="7" spans="1:3" ht="46.5" customHeight="1">
      <c r="A7" s="333" t="s">
        <v>1896</v>
      </c>
      <c r="B7" s="333"/>
      <c r="C7" s="333"/>
    </row>
    <row r="8" spans="1:3" ht="19.5" thickBot="1">
      <c r="A8" s="145"/>
      <c r="B8" s="141"/>
    </row>
    <row r="9" spans="1:3" ht="34.5" customHeight="1">
      <c r="A9" s="180" t="s">
        <v>1524</v>
      </c>
      <c r="B9" s="181" t="s">
        <v>1897</v>
      </c>
      <c r="C9" s="182" t="s">
        <v>375</v>
      </c>
    </row>
    <row r="10" spans="1:3" ht="31.5">
      <c r="A10" s="183" t="s">
        <v>1898</v>
      </c>
      <c r="B10" s="184" t="s">
        <v>1899</v>
      </c>
      <c r="C10" s="185">
        <v>2507000</v>
      </c>
    </row>
    <row r="11" spans="1:3" ht="31.5">
      <c r="A11" s="183" t="s">
        <v>1900</v>
      </c>
      <c r="B11" s="186" t="s">
        <v>1901</v>
      </c>
      <c r="C11" s="187">
        <v>10817000</v>
      </c>
    </row>
    <row r="12" spans="1:3" ht="47.25">
      <c r="A12" s="183" t="s">
        <v>1902</v>
      </c>
      <c r="B12" s="186" t="s">
        <v>1903</v>
      </c>
      <c r="C12" s="187">
        <v>10817000</v>
      </c>
    </row>
    <row r="13" spans="1:3" ht="31.5">
      <c r="A13" s="183" t="s">
        <v>1904</v>
      </c>
      <c r="B13" s="186" t="s">
        <v>1905</v>
      </c>
      <c r="C13" s="187">
        <v>-8310000</v>
      </c>
    </row>
    <row r="14" spans="1:3" ht="47.25">
      <c r="A14" s="183" t="s">
        <v>1906</v>
      </c>
      <c r="B14" s="186" t="s">
        <v>1907</v>
      </c>
      <c r="C14" s="187">
        <v>-8310000</v>
      </c>
    </row>
    <row r="15" spans="1:3" ht="31.5">
      <c r="A15" s="183" t="s">
        <v>1908</v>
      </c>
      <c r="B15" s="184" t="s">
        <v>1909</v>
      </c>
      <c r="C15" s="185">
        <f>C16+C18</f>
        <v>10945526</v>
      </c>
    </row>
    <row r="16" spans="1:3" ht="47.25">
      <c r="A16" s="183" t="s">
        <v>2117</v>
      </c>
      <c r="B16" s="186" t="s">
        <v>2115</v>
      </c>
      <c r="C16" s="187">
        <v>30000000</v>
      </c>
    </row>
    <row r="17" spans="1:3" ht="63">
      <c r="A17" s="183" t="s">
        <v>2124</v>
      </c>
      <c r="B17" s="186" t="s">
        <v>2116</v>
      </c>
      <c r="C17" s="187">
        <v>30000000</v>
      </c>
    </row>
    <row r="18" spans="1:3" ht="51" customHeight="1">
      <c r="A18" s="183" t="s">
        <v>1910</v>
      </c>
      <c r="B18" s="186" t="s">
        <v>1911</v>
      </c>
      <c r="C18" s="187">
        <f>C19</f>
        <v>-19054474</v>
      </c>
    </row>
    <row r="19" spans="1:3" ht="55.5" customHeight="1">
      <c r="A19" s="183" t="s">
        <v>2123</v>
      </c>
      <c r="B19" s="186" t="s">
        <v>1912</v>
      </c>
      <c r="C19" s="187">
        <f>-19000000-44464-10010</f>
        <v>-19054474</v>
      </c>
    </row>
    <row r="20" spans="1:3" ht="31.5">
      <c r="A20" s="183" t="s">
        <v>1913</v>
      </c>
      <c r="B20" s="184" t="s">
        <v>1914</v>
      </c>
      <c r="C20" s="185">
        <f>C22+C21</f>
        <v>980290</v>
      </c>
    </row>
    <row r="21" spans="1:3" ht="31.5">
      <c r="A21" s="183" t="s">
        <v>1915</v>
      </c>
      <c r="B21" s="186" t="s">
        <v>1916</v>
      </c>
      <c r="C21" s="187">
        <f>-Пр_1!K133-Пр_5!C11-C17-C27</f>
        <v>-1567564357</v>
      </c>
    </row>
    <row r="22" spans="1:3" ht="31.5">
      <c r="A22" s="227" t="s">
        <v>1917</v>
      </c>
      <c r="B22" s="186" t="s">
        <v>1918</v>
      </c>
      <c r="C22" s="228">
        <f>Пр_2!E121-Пр_5!C13-C19</f>
        <v>1568544647</v>
      </c>
    </row>
    <row r="23" spans="1:3" ht="31.5" hidden="1">
      <c r="A23" s="229" t="s">
        <v>1919</v>
      </c>
      <c r="B23" s="184" t="s">
        <v>1920</v>
      </c>
      <c r="C23" s="230">
        <v>0</v>
      </c>
    </row>
    <row r="24" spans="1:3" ht="31.5" hidden="1">
      <c r="A24" s="227" t="s">
        <v>1921</v>
      </c>
      <c r="B24" s="186" t="s">
        <v>1922</v>
      </c>
      <c r="C24" s="228">
        <v>0</v>
      </c>
    </row>
    <row r="25" spans="1:3" ht="47.25" hidden="1">
      <c r="A25" s="227" t="s">
        <v>1923</v>
      </c>
      <c r="B25" s="186" t="s">
        <v>1924</v>
      </c>
      <c r="C25" s="228">
        <v>0</v>
      </c>
    </row>
    <row r="26" spans="1:3" ht="31.5">
      <c r="A26" s="227" t="s">
        <v>1919</v>
      </c>
      <c r="B26" s="184" t="s">
        <v>1920</v>
      </c>
      <c r="C26" s="230">
        <f>C27</f>
        <v>54474</v>
      </c>
    </row>
    <row r="27" spans="1:3" ht="31.5">
      <c r="A27" s="227" t="s">
        <v>1921</v>
      </c>
      <c r="B27" s="186" t="s">
        <v>2037</v>
      </c>
      <c r="C27" s="228">
        <f>C28</f>
        <v>54474</v>
      </c>
    </row>
    <row r="28" spans="1:3" ht="47.25">
      <c r="A28" s="227" t="s">
        <v>1923</v>
      </c>
      <c r="B28" s="186" t="s">
        <v>2038</v>
      </c>
      <c r="C28" s="228">
        <f>10010+44464</f>
        <v>54474</v>
      </c>
    </row>
    <row r="29" spans="1:3" ht="16.5" thickBot="1">
      <c r="A29" s="361" t="s">
        <v>1925</v>
      </c>
      <c r="B29" s="362"/>
      <c r="C29" s="226">
        <f>C10+C15+C20+C26</f>
        <v>14487290</v>
      </c>
    </row>
  </sheetData>
  <mergeCells count="6">
    <mergeCell ref="A29:B29"/>
    <mergeCell ref="A1:C1"/>
    <mergeCell ref="A2:C2"/>
    <mergeCell ref="A3:C3"/>
    <mergeCell ref="A4:C4"/>
    <mergeCell ref="A7:C7"/>
  </mergeCells>
  <phoneticPr fontId="0" type="noConversion"/>
  <pageMargins left="0.78740157480314965" right="0.39370078740157483" top="0.39370078740157483" bottom="0.39370078740157483" header="0.19685039370078741" footer="0.19685039370078741"/>
  <pageSetup paperSize="9" scale="90" fitToHeight="0" orientation="portrait"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C3963"/>
  <sheetViews>
    <sheetView showGridLines="0" topLeftCell="A3013" zoomScaleSheetLayoutView="100" workbookViewId="0">
      <selection activeCell="B3030" sqref="B3030"/>
    </sheetView>
  </sheetViews>
  <sheetFormatPr defaultRowHeight="12.75"/>
  <cols>
    <col min="1" max="1" width="11.85546875" style="55" customWidth="1"/>
    <col min="2" max="2" width="110.5703125" style="56" customWidth="1"/>
    <col min="3" max="16384" width="9.140625" style="87"/>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idden="1"/>
    <row r="2035" spans="1:2" hidden="1"/>
    <row r="2036" spans="1:2">
      <c r="A2036" s="121">
        <v>10000</v>
      </c>
      <c r="B2036" s="119" t="s">
        <v>1451</v>
      </c>
    </row>
    <row r="2037" spans="1:2">
      <c r="A2037" s="121">
        <v>10100</v>
      </c>
      <c r="B2037" s="119" t="s">
        <v>325</v>
      </c>
    </row>
    <row r="2038" spans="1:2">
      <c r="A2038" s="121">
        <v>10200</v>
      </c>
      <c r="B2038" s="119" t="s">
        <v>1018</v>
      </c>
    </row>
    <row r="2039" spans="1:2">
      <c r="A2039" s="121">
        <v>10300</v>
      </c>
      <c r="B2039" s="119" t="s">
        <v>1052</v>
      </c>
    </row>
    <row r="2040" spans="1:2">
      <c r="A2040" s="121">
        <v>10400</v>
      </c>
      <c r="B2040" s="119" t="s">
        <v>1053</v>
      </c>
    </row>
    <row r="2041" spans="1:2" ht="25.5">
      <c r="A2041" s="121">
        <v>10500</v>
      </c>
      <c r="B2041" s="119" t="s">
        <v>1632</v>
      </c>
    </row>
    <row r="2042" spans="1:2">
      <c r="A2042" s="121">
        <v>10600</v>
      </c>
      <c r="B2042" s="119" t="s">
        <v>1575</v>
      </c>
    </row>
    <row r="2043" spans="1:2">
      <c r="A2043" s="121">
        <v>10700</v>
      </c>
      <c r="B2043" s="119" t="s">
        <v>1576</v>
      </c>
    </row>
    <row r="2044" spans="1:2">
      <c r="A2044" s="121">
        <v>10800</v>
      </c>
      <c r="B2044" s="119" t="s">
        <v>1988</v>
      </c>
    </row>
    <row r="2045" spans="1:2">
      <c r="A2045" s="121">
        <v>10900</v>
      </c>
      <c r="B2045" s="119" t="s">
        <v>1250</v>
      </c>
    </row>
    <row r="2046" spans="1:2">
      <c r="A2046" s="121">
        <v>11000</v>
      </c>
      <c r="B2046" s="119" t="s">
        <v>1251</v>
      </c>
    </row>
    <row r="2047" spans="1:2">
      <c r="A2047" s="121">
        <v>11100</v>
      </c>
      <c r="B2047" s="119" t="s">
        <v>962</v>
      </c>
    </row>
    <row r="2048" spans="1:2">
      <c r="A2048" s="121">
        <v>11200</v>
      </c>
      <c r="B2048" s="119" t="s">
        <v>698</v>
      </c>
    </row>
    <row r="2049" spans="1:2">
      <c r="A2049" s="121">
        <v>11300</v>
      </c>
      <c r="B2049" s="119" t="s">
        <v>323</v>
      </c>
    </row>
    <row r="2050" spans="1:2">
      <c r="A2050" s="121">
        <v>11400</v>
      </c>
      <c r="B2050" s="119" t="s">
        <v>1700</v>
      </c>
    </row>
    <row r="2051" spans="1:2">
      <c r="A2051" s="121">
        <v>11500</v>
      </c>
      <c r="B2051" s="119" t="s">
        <v>1701</v>
      </c>
    </row>
    <row r="2052" spans="1:2">
      <c r="A2052" s="121">
        <v>11600</v>
      </c>
      <c r="B2052" s="119" t="s">
        <v>70</v>
      </c>
    </row>
    <row r="2053" spans="1:2">
      <c r="A2053" s="121">
        <v>11700</v>
      </c>
      <c r="B2053" s="119" t="s">
        <v>1158</v>
      </c>
    </row>
    <row r="2054" spans="1:2" ht="25.5">
      <c r="A2054" s="121">
        <v>11800</v>
      </c>
      <c r="B2054" s="119" t="s">
        <v>1933</v>
      </c>
    </row>
    <row r="2055" spans="1:2">
      <c r="A2055" s="121">
        <v>11900</v>
      </c>
      <c r="B2055" s="119" t="s">
        <v>1934</v>
      </c>
    </row>
    <row r="2056" spans="1:2" ht="76.5">
      <c r="A2056" s="121">
        <v>12000</v>
      </c>
      <c r="B2056" s="120" t="s">
        <v>1697</v>
      </c>
    </row>
    <row r="2057" spans="1:2">
      <c r="A2057" s="121">
        <v>12200</v>
      </c>
      <c r="B2057" s="119" t="s">
        <v>1935</v>
      </c>
    </row>
    <row r="2058" spans="1:2">
      <c r="A2058" s="121">
        <v>12300</v>
      </c>
      <c r="B2058" s="119" t="s">
        <v>1936</v>
      </c>
    </row>
    <row r="2059" spans="1:2">
      <c r="A2059" s="121">
        <v>12400</v>
      </c>
      <c r="B2059" s="119" t="s">
        <v>879</v>
      </c>
    </row>
    <row r="2060" spans="1:2">
      <c r="A2060" s="121">
        <v>12500</v>
      </c>
      <c r="B2060" s="119" t="s">
        <v>1452</v>
      </c>
    </row>
    <row r="2061" spans="1:2">
      <c r="A2061" s="121">
        <v>12600</v>
      </c>
      <c r="B2061" s="119" t="s">
        <v>1453</v>
      </c>
    </row>
    <row r="2062" spans="1:2">
      <c r="A2062" s="121">
        <v>12700</v>
      </c>
      <c r="B2062" s="119" t="s">
        <v>419</v>
      </c>
    </row>
    <row r="2063" spans="1:2">
      <c r="A2063" s="121">
        <v>12900</v>
      </c>
      <c r="B2063" s="119" t="s">
        <v>1698</v>
      </c>
    </row>
    <row r="2064" spans="1:2">
      <c r="A2064" s="121">
        <v>13000</v>
      </c>
      <c r="B2064" s="119" t="s">
        <v>793</v>
      </c>
    </row>
    <row r="2065" spans="1:2">
      <c r="A2065" s="121">
        <v>13100</v>
      </c>
      <c r="B2065" s="119" t="s">
        <v>794</v>
      </c>
    </row>
    <row r="2066" spans="1:2">
      <c r="A2066" s="121">
        <v>13200</v>
      </c>
      <c r="B2066" s="119" t="s">
        <v>795</v>
      </c>
    </row>
    <row r="2067" spans="1:2">
      <c r="A2067" s="121">
        <v>13300</v>
      </c>
      <c r="B2067" s="119" t="s">
        <v>245</v>
      </c>
    </row>
    <row r="2068" spans="1:2">
      <c r="A2068" s="121">
        <v>13400</v>
      </c>
      <c r="B2068" s="119" t="s">
        <v>246</v>
      </c>
    </row>
    <row r="2069" spans="1:2" ht="25.5">
      <c r="A2069" s="121">
        <v>13500</v>
      </c>
      <c r="B2069" s="119" t="s">
        <v>1578</v>
      </c>
    </row>
    <row r="2070" spans="1:2">
      <c r="A2070" s="121">
        <v>13600</v>
      </c>
      <c r="B2070" s="119" t="s">
        <v>1247</v>
      </c>
    </row>
    <row r="2071" spans="1:2" ht="51">
      <c r="A2071" s="121">
        <v>13700</v>
      </c>
      <c r="B2071" s="120" t="s">
        <v>406</v>
      </c>
    </row>
    <row r="2072" spans="1:2">
      <c r="A2072" s="121">
        <v>13800</v>
      </c>
      <c r="B2072" s="119" t="s">
        <v>178</v>
      </c>
    </row>
    <row r="2073" spans="1:2">
      <c r="A2073" s="121">
        <v>13801</v>
      </c>
      <c r="B2073" s="119" t="s">
        <v>178</v>
      </c>
    </row>
    <row r="2074" spans="1:2" ht="25.5">
      <c r="A2074" s="121">
        <v>14000</v>
      </c>
      <c r="B2074" s="119" t="s">
        <v>1340</v>
      </c>
    </row>
    <row r="2075" spans="1:2">
      <c r="A2075" s="121">
        <v>14100</v>
      </c>
      <c r="B2075" s="119" t="s">
        <v>1072</v>
      </c>
    </row>
    <row r="2076" spans="1:2" ht="25.5">
      <c r="A2076" s="121">
        <v>14200</v>
      </c>
      <c r="B2076" s="119" t="s">
        <v>1556</v>
      </c>
    </row>
    <row r="2077" spans="1:2">
      <c r="A2077" s="121">
        <v>14300</v>
      </c>
      <c r="B2077" s="119" t="s">
        <v>1115</v>
      </c>
    </row>
    <row r="2078" spans="1:2" ht="25.5">
      <c r="A2078" s="121">
        <v>14400</v>
      </c>
      <c r="B2078" s="119" t="s">
        <v>1464</v>
      </c>
    </row>
    <row r="2079" spans="1:2" ht="25.5">
      <c r="A2079" s="121">
        <v>14500</v>
      </c>
      <c r="B2079" s="119" t="s">
        <v>446</v>
      </c>
    </row>
    <row r="2080" spans="1:2">
      <c r="A2080" s="121">
        <v>14600</v>
      </c>
      <c r="B2080" s="119" t="s">
        <v>447</v>
      </c>
    </row>
    <row r="2081" spans="1:2">
      <c r="A2081" s="121">
        <v>14700</v>
      </c>
      <c r="B2081" s="119" t="s">
        <v>686</v>
      </c>
    </row>
    <row r="2082" spans="1:2">
      <c r="A2082" s="121">
        <v>14900</v>
      </c>
      <c r="B2082" s="119" t="s">
        <v>1699</v>
      </c>
    </row>
    <row r="2083" spans="1:2" ht="25.5">
      <c r="A2083" s="121">
        <v>15100</v>
      </c>
      <c r="B2083" s="119" t="s">
        <v>783</v>
      </c>
    </row>
    <row r="2084" spans="1:2" ht="38.25">
      <c r="A2084" s="121">
        <v>15200</v>
      </c>
      <c r="B2084" s="119" t="s">
        <v>784</v>
      </c>
    </row>
    <row r="2085" spans="1:2" ht="25.5">
      <c r="A2085" s="121">
        <v>15300</v>
      </c>
      <c r="B2085" s="119" t="s">
        <v>785</v>
      </c>
    </row>
    <row r="2086" spans="1:2">
      <c r="A2086" s="121">
        <v>15500</v>
      </c>
      <c r="B2086" s="119" t="s">
        <v>1689</v>
      </c>
    </row>
    <row r="2087" spans="1:2">
      <c r="A2087" s="121">
        <v>15800</v>
      </c>
      <c r="B2087" s="119" t="s">
        <v>1690</v>
      </c>
    </row>
    <row r="2088" spans="1:2">
      <c r="A2088" s="121">
        <v>16700</v>
      </c>
      <c r="B2088" s="119" t="s">
        <v>170</v>
      </c>
    </row>
    <row r="2089" spans="1:2">
      <c r="A2089" s="121">
        <v>16800</v>
      </c>
      <c r="B2089" s="119" t="s">
        <v>68</v>
      </c>
    </row>
    <row r="2090" spans="1:2">
      <c r="A2090" s="121">
        <v>16801</v>
      </c>
      <c r="B2090" s="119" t="s">
        <v>539</v>
      </c>
    </row>
    <row r="2091" spans="1:2" ht="25.5">
      <c r="A2091" s="121">
        <v>16802</v>
      </c>
      <c r="B2091" s="119" t="s">
        <v>765</v>
      </c>
    </row>
    <row r="2092" spans="1:2">
      <c r="A2092" s="121">
        <v>17000</v>
      </c>
      <c r="B2092" s="119" t="s">
        <v>1488</v>
      </c>
    </row>
    <row r="2093" spans="1:2">
      <c r="A2093" s="121">
        <v>17100</v>
      </c>
      <c r="B2093" s="119" t="s">
        <v>1489</v>
      </c>
    </row>
    <row r="2094" spans="1:2">
      <c r="A2094" s="121">
        <v>17101</v>
      </c>
      <c r="B2094" s="119" t="s">
        <v>1096</v>
      </c>
    </row>
    <row r="2095" spans="1:2">
      <c r="A2095" s="121">
        <v>17102</v>
      </c>
      <c r="B2095" s="119" t="s">
        <v>1385</v>
      </c>
    </row>
    <row r="2096" spans="1:2">
      <c r="A2096" s="121">
        <v>17103</v>
      </c>
      <c r="B2096" s="119" t="s">
        <v>1386</v>
      </c>
    </row>
    <row r="2097" spans="1:2">
      <c r="A2097" s="121">
        <v>17200</v>
      </c>
      <c r="B2097" s="119" t="s">
        <v>836</v>
      </c>
    </row>
    <row r="2098" spans="1:2">
      <c r="A2098" s="121">
        <v>17201</v>
      </c>
      <c r="B2098" s="119" t="s">
        <v>12</v>
      </c>
    </row>
    <row r="2099" spans="1:2">
      <c r="A2099" s="121">
        <v>17202</v>
      </c>
      <c r="B2099" s="119" t="s">
        <v>13</v>
      </c>
    </row>
    <row r="2100" spans="1:2">
      <c r="A2100" s="121">
        <v>17203</v>
      </c>
      <c r="B2100" s="119" t="s">
        <v>1687</v>
      </c>
    </row>
    <row r="2101" spans="1:2">
      <c r="A2101" s="121">
        <v>17500</v>
      </c>
      <c r="B2101" s="119" t="s">
        <v>1156</v>
      </c>
    </row>
    <row r="2102" spans="1:2">
      <c r="A2102" s="121">
        <v>17600</v>
      </c>
      <c r="B2102" s="119" t="s">
        <v>1020</v>
      </c>
    </row>
    <row r="2103" spans="1:2">
      <c r="A2103" s="121">
        <v>17900</v>
      </c>
      <c r="B2103" s="119" t="s">
        <v>1021</v>
      </c>
    </row>
    <row r="2104" spans="1:2">
      <c r="A2104" s="121">
        <v>18200</v>
      </c>
      <c r="B2104" s="119" t="s">
        <v>1022</v>
      </c>
    </row>
    <row r="2105" spans="1:2">
      <c r="A2105" s="121">
        <v>19900</v>
      </c>
      <c r="B2105" s="119" t="s">
        <v>174</v>
      </c>
    </row>
    <row r="2106" spans="1:2" ht="25.5">
      <c r="A2106" s="121">
        <v>20000</v>
      </c>
      <c r="B2106" s="119" t="s">
        <v>890</v>
      </c>
    </row>
    <row r="2107" spans="1:2">
      <c r="A2107" s="121">
        <v>20300</v>
      </c>
      <c r="B2107" s="119" t="s">
        <v>478</v>
      </c>
    </row>
    <row r="2108" spans="1:2">
      <c r="A2108" s="121">
        <v>20400</v>
      </c>
      <c r="B2108" s="119" t="s">
        <v>1053</v>
      </c>
    </row>
    <row r="2109" spans="1:2">
      <c r="A2109" s="121">
        <v>21100</v>
      </c>
      <c r="B2109" s="119" t="s">
        <v>954</v>
      </c>
    </row>
    <row r="2110" spans="1:2">
      <c r="A2110" s="121">
        <v>21200</v>
      </c>
      <c r="B2110" s="119" t="s">
        <v>420</v>
      </c>
    </row>
    <row r="2111" spans="1:2">
      <c r="A2111" s="121">
        <v>22500</v>
      </c>
      <c r="B2111" s="119" t="s">
        <v>477</v>
      </c>
    </row>
    <row r="2112" spans="1:2">
      <c r="A2112" s="121">
        <v>100000</v>
      </c>
      <c r="B2112" s="119" t="s">
        <v>998</v>
      </c>
    </row>
    <row r="2113" spans="1:2">
      <c r="A2113" s="121">
        <v>100100</v>
      </c>
      <c r="B2113" s="119" t="s">
        <v>968</v>
      </c>
    </row>
    <row r="2114" spans="1:2">
      <c r="A2114" s="121">
        <v>100200</v>
      </c>
      <c r="B2114" s="119" t="s">
        <v>979</v>
      </c>
    </row>
    <row r="2115" spans="1:2">
      <c r="A2115" s="121">
        <v>200000</v>
      </c>
      <c r="B2115" s="119" t="s">
        <v>1168</v>
      </c>
    </row>
    <row r="2116" spans="1:2">
      <c r="A2116" s="121">
        <v>200002</v>
      </c>
      <c r="B2116" s="119" t="s">
        <v>1713</v>
      </c>
    </row>
    <row r="2117" spans="1:2">
      <c r="A2117" s="121">
        <v>200003</v>
      </c>
      <c r="B2117" s="119" t="s">
        <v>1946</v>
      </c>
    </row>
    <row r="2118" spans="1:2">
      <c r="A2118" s="121">
        <v>200100</v>
      </c>
      <c r="B2118" s="119" t="s">
        <v>882</v>
      </c>
    </row>
    <row r="2119" spans="1:2">
      <c r="A2119" s="121">
        <v>200200</v>
      </c>
      <c r="B2119" s="119" t="s">
        <v>1012</v>
      </c>
    </row>
    <row r="2120" spans="1:2">
      <c r="A2120" s="121">
        <v>200300</v>
      </c>
      <c r="B2120" s="119" t="s">
        <v>1013</v>
      </c>
    </row>
    <row r="2121" spans="1:2" ht="25.5">
      <c r="A2121" s="121">
        <v>200400</v>
      </c>
      <c r="B2121" s="119" t="s">
        <v>1246</v>
      </c>
    </row>
    <row r="2122" spans="1:2">
      <c r="A2122" s="121">
        <v>210000</v>
      </c>
      <c r="B2122" s="119" t="s">
        <v>669</v>
      </c>
    </row>
    <row r="2123" spans="1:2">
      <c r="A2123" s="121">
        <v>219900</v>
      </c>
      <c r="B2123" s="119" t="s">
        <v>174</v>
      </c>
    </row>
    <row r="2124" spans="1:2">
      <c r="A2124" s="121">
        <v>300000</v>
      </c>
      <c r="B2124" s="119" t="s">
        <v>912</v>
      </c>
    </row>
    <row r="2125" spans="1:2">
      <c r="A2125" s="121">
        <v>300100</v>
      </c>
      <c r="B2125" s="119" t="s">
        <v>315</v>
      </c>
    </row>
    <row r="2126" spans="1:2">
      <c r="A2126" s="121">
        <v>300300</v>
      </c>
      <c r="B2126" s="119" t="s">
        <v>786</v>
      </c>
    </row>
    <row r="2127" spans="1:2">
      <c r="A2127" s="121">
        <v>300301</v>
      </c>
      <c r="B2127" s="119" t="s">
        <v>1948</v>
      </c>
    </row>
    <row r="2128" spans="1:2">
      <c r="A2128" s="121">
        <v>300302</v>
      </c>
      <c r="B2128" s="119" t="s">
        <v>1949</v>
      </c>
    </row>
    <row r="2129" spans="1:2">
      <c r="A2129" s="121">
        <v>300400</v>
      </c>
      <c r="B2129" s="119" t="s">
        <v>324</v>
      </c>
    </row>
    <row r="2130" spans="1:2">
      <c r="A2130" s="121">
        <v>300500</v>
      </c>
      <c r="B2130" s="119" t="s">
        <v>591</v>
      </c>
    </row>
    <row r="2131" spans="1:2">
      <c r="A2131" s="121">
        <v>300600</v>
      </c>
      <c r="B2131" s="119" t="s">
        <v>592</v>
      </c>
    </row>
    <row r="2132" spans="1:2">
      <c r="A2132" s="121">
        <v>300700</v>
      </c>
      <c r="B2132" s="119" t="s">
        <v>97</v>
      </c>
    </row>
    <row r="2133" spans="1:2">
      <c r="A2133" s="121">
        <v>300800</v>
      </c>
      <c r="B2133" s="119" t="s">
        <v>98</v>
      </c>
    </row>
    <row r="2134" spans="1:2" ht="25.5">
      <c r="A2134" s="121">
        <v>300900</v>
      </c>
      <c r="B2134" s="119" t="s">
        <v>787</v>
      </c>
    </row>
    <row r="2135" spans="1:2">
      <c r="A2135" s="121">
        <v>301000</v>
      </c>
      <c r="B2135" s="119" t="s">
        <v>788</v>
      </c>
    </row>
    <row r="2136" spans="1:2">
      <c r="A2136" s="121">
        <v>301100</v>
      </c>
      <c r="B2136" s="119" t="s">
        <v>789</v>
      </c>
    </row>
    <row r="2137" spans="1:2">
      <c r="A2137" s="121">
        <v>301200</v>
      </c>
      <c r="B2137" s="119" t="s">
        <v>790</v>
      </c>
    </row>
    <row r="2138" spans="1:2">
      <c r="A2138" s="121">
        <v>301300</v>
      </c>
      <c r="B2138" s="119" t="s">
        <v>791</v>
      </c>
    </row>
    <row r="2139" spans="1:2">
      <c r="A2139" s="121">
        <v>301400</v>
      </c>
      <c r="B2139" s="119" t="s">
        <v>792</v>
      </c>
    </row>
    <row r="2140" spans="1:2">
      <c r="A2140" s="121">
        <v>309600</v>
      </c>
      <c r="B2140" s="119" t="s">
        <v>99</v>
      </c>
    </row>
    <row r="2141" spans="1:2">
      <c r="A2141" s="121">
        <v>309700</v>
      </c>
      <c r="B2141" s="119" t="s">
        <v>1010</v>
      </c>
    </row>
    <row r="2142" spans="1:2">
      <c r="A2142" s="121">
        <v>309800</v>
      </c>
      <c r="B2142" s="119" t="s">
        <v>1011</v>
      </c>
    </row>
    <row r="2143" spans="1:2">
      <c r="A2143" s="121">
        <v>310000</v>
      </c>
      <c r="B2143" s="119" t="s">
        <v>111</v>
      </c>
    </row>
    <row r="2144" spans="1:2">
      <c r="A2144" s="121">
        <v>310100</v>
      </c>
      <c r="B2144" s="119" t="s">
        <v>574</v>
      </c>
    </row>
    <row r="2145" spans="1:2">
      <c r="A2145" s="121">
        <v>310200</v>
      </c>
      <c r="B2145" s="119" t="s">
        <v>471</v>
      </c>
    </row>
    <row r="2146" spans="1:2">
      <c r="A2146" s="121">
        <v>310300</v>
      </c>
      <c r="B2146" s="119" t="s">
        <v>472</v>
      </c>
    </row>
    <row r="2147" spans="1:2">
      <c r="A2147" s="121">
        <v>320000</v>
      </c>
      <c r="B2147" s="119" t="s">
        <v>73</v>
      </c>
    </row>
    <row r="2148" spans="1:2">
      <c r="A2148" s="121">
        <v>326900</v>
      </c>
      <c r="B2148" s="119" t="s">
        <v>504</v>
      </c>
    </row>
    <row r="2149" spans="1:2">
      <c r="A2149" s="121">
        <v>329600</v>
      </c>
      <c r="B2149" s="119" t="s">
        <v>99</v>
      </c>
    </row>
    <row r="2150" spans="1:2">
      <c r="A2150" s="121">
        <v>329800</v>
      </c>
      <c r="B2150" s="119" t="s">
        <v>1011</v>
      </c>
    </row>
    <row r="2151" spans="1:2">
      <c r="A2151" s="121">
        <v>340000</v>
      </c>
      <c r="B2151" s="119" t="s">
        <v>334</v>
      </c>
    </row>
    <row r="2152" spans="1:2">
      <c r="A2152" s="121">
        <v>340100</v>
      </c>
      <c r="B2152" s="119" t="s">
        <v>670</v>
      </c>
    </row>
    <row r="2153" spans="1:2">
      <c r="A2153" s="121">
        <v>400000</v>
      </c>
      <c r="B2153" s="119" t="s">
        <v>883</v>
      </c>
    </row>
    <row r="2154" spans="1:2">
      <c r="A2154" s="121">
        <v>400100</v>
      </c>
      <c r="B2154" s="119" t="s">
        <v>214</v>
      </c>
    </row>
    <row r="2155" spans="1:2">
      <c r="A2155" s="121">
        <v>400200</v>
      </c>
      <c r="B2155" s="119" t="s">
        <v>143</v>
      </c>
    </row>
    <row r="2156" spans="1:2">
      <c r="A2156" s="121">
        <v>500000</v>
      </c>
      <c r="B2156" s="119" t="s">
        <v>1587</v>
      </c>
    </row>
    <row r="2157" spans="1:2">
      <c r="A2157" s="121">
        <v>500100</v>
      </c>
      <c r="B2157" s="119" t="s">
        <v>548</v>
      </c>
    </row>
    <row r="2158" spans="1:2">
      <c r="A2158" s="121">
        <v>509900</v>
      </c>
      <c r="B2158" s="119" t="s">
        <v>174</v>
      </c>
    </row>
    <row r="2159" spans="1:2">
      <c r="A2159" s="121">
        <v>600000</v>
      </c>
      <c r="B2159" s="119" t="s">
        <v>1945</v>
      </c>
    </row>
    <row r="2160" spans="1:2">
      <c r="A2160" s="121">
        <v>600400</v>
      </c>
      <c r="B2160" s="119" t="s">
        <v>1053</v>
      </c>
    </row>
    <row r="2161" spans="1:2">
      <c r="A2161" s="121">
        <v>607900</v>
      </c>
      <c r="B2161" s="119" t="s">
        <v>1021</v>
      </c>
    </row>
    <row r="2162" spans="1:2">
      <c r="A2162" s="121">
        <v>609200</v>
      </c>
      <c r="B2162" s="119" t="s">
        <v>1261</v>
      </c>
    </row>
    <row r="2163" spans="1:2" ht="25.5">
      <c r="A2163" s="121">
        <v>609300</v>
      </c>
      <c r="B2163" s="119" t="s">
        <v>554</v>
      </c>
    </row>
    <row r="2164" spans="1:2">
      <c r="A2164" s="121">
        <v>609400</v>
      </c>
      <c r="B2164" s="119" t="s">
        <v>4</v>
      </c>
    </row>
    <row r="2165" spans="1:2">
      <c r="A2165" s="121">
        <v>609900</v>
      </c>
      <c r="B2165" s="119" t="s">
        <v>174</v>
      </c>
    </row>
    <row r="2166" spans="1:2">
      <c r="A2166" s="121">
        <v>610000</v>
      </c>
      <c r="B2166" s="119" t="s">
        <v>769</v>
      </c>
    </row>
    <row r="2167" spans="1:2" ht="25.5">
      <c r="A2167" s="121">
        <v>615600</v>
      </c>
      <c r="B2167" s="119" t="s">
        <v>1146</v>
      </c>
    </row>
    <row r="2168" spans="1:2">
      <c r="A2168" s="121">
        <v>619000</v>
      </c>
      <c r="B2168" s="119" t="s">
        <v>94</v>
      </c>
    </row>
    <row r="2169" spans="1:2">
      <c r="A2169" s="121">
        <v>619100</v>
      </c>
      <c r="B2169" s="119" t="s">
        <v>37</v>
      </c>
    </row>
    <row r="2170" spans="1:2">
      <c r="A2170" s="121">
        <v>619200</v>
      </c>
      <c r="B2170" s="119" t="s">
        <v>1261</v>
      </c>
    </row>
    <row r="2171" spans="1:2">
      <c r="A2171" s="121">
        <v>619900</v>
      </c>
      <c r="B2171" s="119" t="s">
        <v>174</v>
      </c>
    </row>
    <row r="2172" spans="1:2">
      <c r="A2172" s="121">
        <v>650000</v>
      </c>
      <c r="B2172" s="119" t="s">
        <v>1710</v>
      </c>
    </row>
    <row r="2173" spans="1:2">
      <c r="A2173" s="121">
        <v>650100</v>
      </c>
      <c r="B2173" s="119" t="s">
        <v>1411</v>
      </c>
    </row>
    <row r="2174" spans="1:2">
      <c r="A2174" s="121">
        <v>650300</v>
      </c>
      <c r="B2174" s="119" t="s">
        <v>661</v>
      </c>
    </row>
    <row r="2175" spans="1:2">
      <c r="A2175" s="121">
        <v>700000</v>
      </c>
      <c r="B2175" s="119" t="s">
        <v>1397</v>
      </c>
    </row>
    <row r="2176" spans="1:2">
      <c r="A2176" s="121">
        <v>700100</v>
      </c>
      <c r="B2176" s="119" t="s">
        <v>20</v>
      </c>
    </row>
    <row r="2177" spans="1:2">
      <c r="A2177" s="121">
        <v>700200</v>
      </c>
      <c r="B2177" s="119" t="s">
        <v>5</v>
      </c>
    </row>
    <row r="2178" spans="1:2" ht="25.5">
      <c r="A2178" s="121">
        <v>700300</v>
      </c>
      <c r="B2178" s="119" t="s">
        <v>749</v>
      </c>
    </row>
    <row r="2179" spans="1:2">
      <c r="A2179" s="121">
        <v>700400</v>
      </c>
      <c r="B2179" s="119" t="s">
        <v>56</v>
      </c>
    </row>
    <row r="2180" spans="1:2">
      <c r="A2180" s="121">
        <v>700500</v>
      </c>
      <c r="B2180" s="119" t="s">
        <v>1473</v>
      </c>
    </row>
    <row r="2181" spans="1:2">
      <c r="A2181" s="121">
        <v>750000</v>
      </c>
      <c r="B2181" s="119" t="s">
        <v>1407</v>
      </c>
    </row>
    <row r="2182" spans="1:2">
      <c r="A2182" s="121">
        <v>750100</v>
      </c>
      <c r="B2182" s="119" t="s">
        <v>1407</v>
      </c>
    </row>
    <row r="2183" spans="1:2">
      <c r="A2183" s="121">
        <v>800000</v>
      </c>
      <c r="B2183" s="119" t="s">
        <v>96</v>
      </c>
    </row>
    <row r="2184" spans="1:2">
      <c r="A2184" s="121">
        <v>800100</v>
      </c>
      <c r="B2184" s="119" t="s">
        <v>1408</v>
      </c>
    </row>
    <row r="2185" spans="1:2">
      <c r="A2185" s="121">
        <v>800200</v>
      </c>
      <c r="B2185" s="119" t="s">
        <v>1409</v>
      </c>
    </row>
    <row r="2186" spans="1:2" ht="25.5">
      <c r="A2186" s="121">
        <v>809300</v>
      </c>
      <c r="B2186" s="119" t="s">
        <v>554</v>
      </c>
    </row>
    <row r="2187" spans="1:2">
      <c r="A2187" s="121">
        <v>810000</v>
      </c>
      <c r="B2187" s="119" t="s">
        <v>84</v>
      </c>
    </row>
    <row r="2188" spans="1:2" ht="25.5">
      <c r="A2188" s="121">
        <v>810100</v>
      </c>
      <c r="B2188" s="119" t="s">
        <v>855</v>
      </c>
    </row>
    <row r="2189" spans="1:2">
      <c r="A2189" s="121">
        <v>810200</v>
      </c>
      <c r="B2189" s="119" t="s">
        <v>844</v>
      </c>
    </row>
    <row r="2190" spans="1:2" ht="25.5">
      <c r="A2190" s="121">
        <v>810300</v>
      </c>
      <c r="B2190" s="119" t="s">
        <v>409</v>
      </c>
    </row>
    <row r="2191" spans="1:2" ht="25.5">
      <c r="A2191" s="121">
        <v>810400</v>
      </c>
      <c r="B2191" s="119" t="s">
        <v>57</v>
      </c>
    </row>
    <row r="2192" spans="1:2">
      <c r="A2192" s="121">
        <v>815800</v>
      </c>
      <c r="B2192" s="119" t="s">
        <v>1690</v>
      </c>
    </row>
    <row r="2193" spans="1:2">
      <c r="A2193" s="121">
        <v>816800</v>
      </c>
      <c r="B2193" s="119" t="s">
        <v>171</v>
      </c>
    </row>
    <row r="2194" spans="1:2">
      <c r="A2194" s="121">
        <v>816801</v>
      </c>
      <c r="B2194" s="119" t="s">
        <v>539</v>
      </c>
    </row>
    <row r="2195" spans="1:2" ht="25.5">
      <c r="A2195" s="121">
        <v>816802</v>
      </c>
      <c r="B2195" s="119" t="s">
        <v>765</v>
      </c>
    </row>
    <row r="2196" spans="1:2">
      <c r="A2196" s="121">
        <v>816900</v>
      </c>
      <c r="B2196" s="119" t="s">
        <v>504</v>
      </c>
    </row>
    <row r="2197" spans="1:2">
      <c r="A2197" s="121">
        <v>817100</v>
      </c>
      <c r="B2197" s="119" t="s">
        <v>1489</v>
      </c>
    </row>
    <row r="2198" spans="1:2">
      <c r="A2198" s="121">
        <v>817101</v>
      </c>
      <c r="B2198" s="119" t="s">
        <v>1096</v>
      </c>
    </row>
    <row r="2199" spans="1:2">
      <c r="A2199" s="121">
        <v>817102</v>
      </c>
      <c r="B2199" s="119" t="s">
        <v>1385</v>
      </c>
    </row>
    <row r="2200" spans="1:2">
      <c r="A2200" s="121">
        <v>817103</v>
      </c>
      <c r="B2200" s="119" t="s">
        <v>1386</v>
      </c>
    </row>
    <row r="2201" spans="1:2">
      <c r="A2201" s="121">
        <v>817200</v>
      </c>
      <c r="B2201" s="119" t="s">
        <v>836</v>
      </c>
    </row>
    <row r="2202" spans="1:2">
      <c r="A2202" s="121">
        <v>817201</v>
      </c>
      <c r="B2202" s="119" t="s">
        <v>12</v>
      </c>
    </row>
    <row r="2203" spans="1:2">
      <c r="A2203" s="121">
        <v>817202</v>
      </c>
      <c r="B2203" s="119" t="s">
        <v>13</v>
      </c>
    </row>
    <row r="2204" spans="1:2">
      <c r="A2204" s="121">
        <v>817203</v>
      </c>
      <c r="B2204" s="119" t="s">
        <v>1687</v>
      </c>
    </row>
    <row r="2205" spans="1:2">
      <c r="A2205" s="121">
        <v>817600</v>
      </c>
      <c r="B2205" s="119" t="s">
        <v>1020</v>
      </c>
    </row>
    <row r="2206" spans="1:2">
      <c r="A2206" s="121">
        <v>818700</v>
      </c>
      <c r="B2206" s="119" t="s">
        <v>410</v>
      </c>
    </row>
    <row r="2207" spans="1:2">
      <c r="A2207" s="121">
        <v>818800</v>
      </c>
      <c r="B2207" s="119" t="s">
        <v>58</v>
      </c>
    </row>
    <row r="2208" spans="1:2">
      <c r="A2208" s="121">
        <v>819200</v>
      </c>
      <c r="B2208" s="119" t="s">
        <v>1261</v>
      </c>
    </row>
    <row r="2209" spans="1:2" ht="25.5">
      <c r="A2209" s="121">
        <v>819300</v>
      </c>
      <c r="B2209" s="119" t="s">
        <v>554</v>
      </c>
    </row>
    <row r="2210" spans="1:2">
      <c r="A2210" s="121">
        <v>819900</v>
      </c>
      <c r="B2210" s="119" t="s">
        <v>174</v>
      </c>
    </row>
    <row r="2211" spans="1:2" ht="25.5">
      <c r="A2211" s="121">
        <v>900000</v>
      </c>
      <c r="B2211" s="119" t="s">
        <v>411</v>
      </c>
    </row>
    <row r="2212" spans="1:2">
      <c r="A2212" s="121">
        <v>900100</v>
      </c>
      <c r="B2212" s="119" t="s">
        <v>412</v>
      </c>
    </row>
    <row r="2213" spans="1:2">
      <c r="A2213" s="121">
        <v>900200</v>
      </c>
      <c r="B2213" s="119" t="s">
        <v>59</v>
      </c>
    </row>
    <row r="2214" spans="1:2">
      <c r="A2214" s="121">
        <v>909900</v>
      </c>
      <c r="B2214" s="119" t="s">
        <v>174</v>
      </c>
    </row>
    <row r="2215" spans="1:2">
      <c r="A2215" s="121">
        <v>910000</v>
      </c>
      <c r="B2215" s="119" t="s">
        <v>798</v>
      </c>
    </row>
    <row r="2216" spans="1:2">
      <c r="A2216" s="121">
        <v>910100</v>
      </c>
      <c r="B2216" s="119" t="s">
        <v>1074</v>
      </c>
    </row>
    <row r="2217" spans="1:2">
      <c r="A2217" s="121">
        <v>910101</v>
      </c>
      <c r="B2217" s="119" t="s">
        <v>407</v>
      </c>
    </row>
    <row r="2218" spans="1:2">
      <c r="A2218" s="121">
        <v>910200</v>
      </c>
      <c r="B2218" s="119" t="s">
        <v>408</v>
      </c>
    </row>
    <row r="2219" spans="1:2">
      <c r="A2219" s="121">
        <v>910300</v>
      </c>
      <c r="B2219" s="119" t="s">
        <v>60</v>
      </c>
    </row>
    <row r="2220" spans="1:2">
      <c r="A2220" s="121">
        <v>920000</v>
      </c>
      <c r="B2220" s="119" t="s">
        <v>649</v>
      </c>
    </row>
    <row r="2221" spans="1:2">
      <c r="A2221" s="121">
        <v>920100</v>
      </c>
      <c r="B2221" s="119" t="s">
        <v>61</v>
      </c>
    </row>
    <row r="2222" spans="1:2" ht="25.5">
      <c r="A2222" s="121">
        <v>920200</v>
      </c>
      <c r="B2222" s="119" t="s">
        <v>1100</v>
      </c>
    </row>
    <row r="2223" spans="1:2">
      <c r="A2223" s="121">
        <v>920300</v>
      </c>
      <c r="B2223" s="119" t="s">
        <v>592</v>
      </c>
    </row>
    <row r="2224" spans="1:2">
      <c r="A2224" s="121">
        <v>920301</v>
      </c>
      <c r="B2224" s="119" t="s">
        <v>658</v>
      </c>
    </row>
    <row r="2225" spans="1:2">
      <c r="A2225" s="121">
        <v>920303</v>
      </c>
      <c r="B2225" s="119" t="s">
        <v>659</v>
      </c>
    </row>
    <row r="2226" spans="1:2">
      <c r="A2226" s="121">
        <v>920305</v>
      </c>
      <c r="B2226" s="119" t="s">
        <v>648</v>
      </c>
    </row>
    <row r="2227" spans="1:2">
      <c r="A2227" s="121">
        <v>920400</v>
      </c>
      <c r="B2227" s="119" t="s">
        <v>436</v>
      </c>
    </row>
    <row r="2228" spans="1:2" ht="25.5">
      <c r="A2228" s="121">
        <v>920500</v>
      </c>
      <c r="B2228" s="119" t="s">
        <v>1551</v>
      </c>
    </row>
    <row r="2229" spans="1:2">
      <c r="A2229" s="121">
        <v>920600</v>
      </c>
      <c r="B2229" s="119" t="s">
        <v>1552</v>
      </c>
    </row>
    <row r="2230" spans="1:2">
      <c r="A2230" s="121">
        <v>920700</v>
      </c>
      <c r="B2230" s="119" t="s">
        <v>1427</v>
      </c>
    </row>
    <row r="2231" spans="1:2" ht="25.5">
      <c r="A2231" s="121">
        <v>920800</v>
      </c>
      <c r="B2231" s="119" t="s">
        <v>254</v>
      </c>
    </row>
    <row r="2232" spans="1:2">
      <c r="A2232" s="121">
        <v>920900</v>
      </c>
      <c r="B2232" s="119" t="s">
        <v>841</v>
      </c>
    </row>
    <row r="2233" spans="1:2" ht="25.5">
      <c r="A2233" s="121">
        <v>921200</v>
      </c>
      <c r="B2233" s="119" t="s">
        <v>62</v>
      </c>
    </row>
    <row r="2234" spans="1:2" ht="25.5">
      <c r="A2234" s="121">
        <v>921300</v>
      </c>
      <c r="B2234" s="119" t="s">
        <v>63</v>
      </c>
    </row>
    <row r="2235" spans="1:2" ht="25.5">
      <c r="A2235" s="121">
        <v>921400</v>
      </c>
      <c r="B2235" s="119" t="s">
        <v>64</v>
      </c>
    </row>
    <row r="2236" spans="1:2" ht="51">
      <c r="A2236" s="121">
        <v>921500</v>
      </c>
      <c r="B2236" s="120" t="s">
        <v>1224</v>
      </c>
    </row>
    <row r="2237" spans="1:2">
      <c r="A2237" s="121">
        <v>921600</v>
      </c>
      <c r="B2237" s="119" t="s">
        <v>1225</v>
      </c>
    </row>
    <row r="2238" spans="1:2">
      <c r="A2238" s="121">
        <v>921700</v>
      </c>
      <c r="B2238" s="119" t="s">
        <v>1330</v>
      </c>
    </row>
    <row r="2239" spans="1:2" ht="25.5">
      <c r="A2239" s="121">
        <v>921800</v>
      </c>
      <c r="B2239" s="119" t="s">
        <v>536</v>
      </c>
    </row>
    <row r="2240" spans="1:2" ht="25.5">
      <c r="A2240" s="121">
        <v>921900</v>
      </c>
      <c r="B2240" s="119" t="s">
        <v>0</v>
      </c>
    </row>
    <row r="2241" spans="1:3" ht="25.5">
      <c r="A2241" s="121">
        <v>922000</v>
      </c>
      <c r="B2241" s="119" t="s">
        <v>1</v>
      </c>
    </row>
    <row r="2242" spans="1:3" ht="25.5">
      <c r="A2242" s="121">
        <v>922100</v>
      </c>
      <c r="B2242" s="119" t="s">
        <v>2</v>
      </c>
    </row>
    <row r="2243" spans="1:3" ht="38.25">
      <c r="A2243" s="121">
        <v>922400</v>
      </c>
      <c r="B2243" s="120" t="s">
        <v>1222</v>
      </c>
    </row>
    <row r="2244" spans="1:3" ht="25.5">
      <c r="A2244" s="121">
        <v>922500</v>
      </c>
      <c r="B2244" s="119" t="s">
        <v>1223</v>
      </c>
    </row>
    <row r="2245" spans="1:3" ht="76.5">
      <c r="A2245" s="121">
        <v>922600</v>
      </c>
      <c r="B2245" s="120" t="s">
        <v>1499</v>
      </c>
    </row>
    <row r="2246" spans="1:3">
      <c r="A2246" s="121">
        <v>922700</v>
      </c>
      <c r="B2246" s="119" t="s">
        <v>1500</v>
      </c>
    </row>
    <row r="2247" spans="1:3">
      <c r="A2247" s="121">
        <v>922800</v>
      </c>
      <c r="B2247" s="119" t="s">
        <v>1501</v>
      </c>
      <c r="C2247" s="87" t="s">
        <v>668</v>
      </c>
    </row>
    <row r="2248" spans="1:3">
      <c r="A2248" s="121">
        <v>922900</v>
      </c>
      <c r="B2248" s="119" t="s">
        <v>1502</v>
      </c>
    </row>
    <row r="2249" spans="1:3" ht="25.5">
      <c r="A2249" s="121">
        <v>923000</v>
      </c>
      <c r="B2249" s="119" t="s">
        <v>1503</v>
      </c>
    </row>
    <row r="2250" spans="1:3" ht="25.5">
      <c r="A2250" s="121">
        <v>923001</v>
      </c>
      <c r="B2250" s="119" t="s">
        <v>1504</v>
      </c>
    </row>
    <row r="2251" spans="1:3">
      <c r="A2251" s="121">
        <v>923100</v>
      </c>
      <c r="B2251" s="119" t="s">
        <v>1505</v>
      </c>
    </row>
    <row r="2252" spans="1:3">
      <c r="A2252" s="121">
        <v>923101</v>
      </c>
      <c r="B2252" s="119" t="s">
        <v>1506</v>
      </c>
    </row>
    <row r="2253" spans="1:3" ht="25.5">
      <c r="A2253" s="121">
        <v>923102</v>
      </c>
      <c r="B2253" s="119" t="s">
        <v>1507</v>
      </c>
    </row>
    <row r="2254" spans="1:3" ht="25.5">
      <c r="A2254" s="121">
        <v>923200</v>
      </c>
      <c r="B2254" s="119" t="s">
        <v>1508</v>
      </c>
    </row>
    <row r="2255" spans="1:3">
      <c r="A2255" s="121">
        <v>923400</v>
      </c>
      <c r="B2255" s="119" t="s">
        <v>1509</v>
      </c>
    </row>
    <row r="2256" spans="1:3" ht="38.25">
      <c r="A2256" s="121">
        <v>923403</v>
      </c>
      <c r="B2256" s="119" t="s">
        <v>433</v>
      </c>
    </row>
    <row r="2257" spans="1:2">
      <c r="A2257" s="121">
        <v>923500</v>
      </c>
      <c r="B2257" s="119" t="s">
        <v>1709</v>
      </c>
    </row>
    <row r="2258" spans="1:2" ht="25.5">
      <c r="A2258" s="121">
        <v>923700</v>
      </c>
      <c r="B2258" s="119" t="s">
        <v>110</v>
      </c>
    </row>
    <row r="2259" spans="1:2" ht="25.5">
      <c r="A2259" s="121">
        <v>923800</v>
      </c>
      <c r="B2259" s="119" t="s">
        <v>514</v>
      </c>
    </row>
    <row r="2260" spans="1:2">
      <c r="A2260" s="121">
        <v>924000</v>
      </c>
      <c r="B2260" s="119" t="s">
        <v>515</v>
      </c>
    </row>
    <row r="2261" spans="1:2" ht="25.5">
      <c r="A2261" s="121">
        <v>924100</v>
      </c>
      <c r="B2261" s="119" t="s">
        <v>159</v>
      </c>
    </row>
    <row r="2262" spans="1:2" ht="25.5">
      <c r="A2262" s="121">
        <v>924200</v>
      </c>
      <c r="B2262" s="119" t="s">
        <v>160</v>
      </c>
    </row>
    <row r="2263" spans="1:2">
      <c r="A2263" s="121">
        <v>926600</v>
      </c>
      <c r="B2263" s="119" t="s">
        <v>326</v>
      </c>
    </row>
    <row r="2264" spans="1:2" ht="25.5">
      <c r="A2264" s="121">
        <v>928000</v>
      </c>
      <c r="B2264" s="119" t="s">
        <v>1666</v>
      </c>
    </row>
    <row r="2265" spans="1:2">
      <c r="A2265" s="121">
        <v>928400</v>
      </c>
      <c r="B2265" s="119" t="s">
        <v>1667</v>
      </c>
    </row>
    <row r="2266" spans="1:2">
      <c r="A2266" s="121">
        <v>928500</v>
      </c>
      <c r="B2266" s="119" t="s">
        <v>1696</v>
      </c>
    </row>
    <row r="2267" spans="1:2">
      <c r="A2267" s="121">
        <v>929900</v>
      </c>
      <c r="B2267" s="119" t="s">
        <v>174</v>
      </c>
    </row>
    <row r="2268" spans="1:2">
      <c r="A2268" s="121">
        <v>930000</v>
      </c>
      <c r="B2268" s="119" t="s">
        <v>9</v>
      </c>
    </row>
    <row r="2269" spans="1:2" ht="25.5">
      <c r="A2269" s="121">
        <v>930100</v>
      </c>
      <c r="B2269" s="119" t="s">
        <v>161</v>
      </c>
    </row>
    <row r="2270" spans="1:2">
      <c r="A2270" s="121">
        <v>936600</v>
      </c>
      <c r="B2270" s="119" t="s">
        <v>326</v>
      </c>
    </row>
    <row r="2271" spans="1:2">
      <c r="A2271" s="121">
        <v>939900</v>
      </c>
      <c r="B2271" s="119" t="s">
        <v>174</v>
      </c>
    </row>
    <row r="2272" spans="1:2">
      <c r="A2272" s="121">
        <v>940000</v>
      </c>
      <c r="B2272" s="119" t="s">
        <v>328</v>
      </c>
    </row>
    <row r="2273" spans="1:2">
      <c r="A2273" s="121">
        <v>948400</v>
      </c>
      <c r="B2273" s="119" t="s">
        <v>376</v>
      </c>
    </row>
    <row r="2274" spans="1:2">
      <c r="A2274" s="121">
        <v>950000</v>
      </c>
      <c r="B2274" s="119" t="s">
        <v>162</v>
      </c>
    </row>
    <row r="2275" spans="1:2" ht="25.5">
      <c r="A2275" s="121">
        <v>960000</v>
      </c>
      <c r="B2275" s="119" t="s">
        <v>640</v>
      </c>
    </row>
    <row r="2276" spans="1:2" ht="25.5">
      <c r="A2276" s="121">
        <v>960100</v>
      </c>
      <c r="B2276" s="119" t="s">
        <v>641</v>
      </c>
    </row>
    <row r="2277" spans="1:2" ht="38.25">
      <c r="A2277" s="121">
        <v>960200</v>
      </c>
      <c r="B2277" s="119" t="s">
        <v>636</v>
      </c>
    </row>
    <row r="2278" spans="1:2" ht="25.5">
      <c r="A2278" s="121">
        <v>960300</v>
      </c>
      <c r="B2278" s="119" t="s">
        <v>637</v>
      </c>
    </row>
    <row r="2279" spans="1:2">
      <c r="A2279" s="121">
        <v>970000</v>
      </c>
      <c r="B2279" s="119" t="s">
        <v>638</v>
      </c>
    </row>
    <row r="2280" spans="1:2">
      <c r="A2280" s="121">
        <v>970100</v>
      </c>
      <c r="B2280" s="119" t="s">
        <v>639</v>
      </c>
    </row>
    <row r="2281" spans="1:2" ht="25.5">
      <c r="A2281" s="121">
        <v>980000</v>
      </c>
      <c r="B2281" s="119" t="s">
        <v>2135</v>
      </c>
    </row>
    <row r="2282" spans="1:2" ht="38.25">
      <c r="A2282" s="121">
        <v>980100</v>
      </c>
      <c r="B2282" s="119" t="s">
        <v>2032</v>
      </c>
    </row>
    <row r="2283" spans="1:2" ht="25.5">
      <c r="A2283" s="121">
        <v>980101</v>
      </c>
      <c r="B2283" s="119" t="s">
        <v>1061</v>
      </c>
    </row>
    <row r="2284" spans="1:2" ht="25.5">
      <c r="A2284" s="121">
        <v>980102</v>
      </c>
      <c r="B2284" s="119" t="s">
        <v>2033</v>
      </c>
    </row>
    <row r="2285" spans="1:2" ht="38.25">
      <c r="A2285" s="121">
        <v>980104</v>
      </c>
      <c r="B2285" s="119" t="s">
        <v>2034</v>
      </c>
    </row>
    <row r="2286" spans="1:2" ht="25.5">
      <c r="A2286" s="121">
        <v>980200</v>
      </c>
      <c r="B2286" s="119" t="s">
        <v>1878</v>
      </c>
    </row>
    <row r="2287" spans="1:2" ht="25.5">
      <c r="A2287" s="121">
        <v>980201</v>
      </c>
      <c r="B2287" s="119" t="s">
        <v>2035</v>
      </c>
    </row>
    <row r="2288" spans="1:2">
      <c r="A2288" s="121">
        <v>980202</v>
      </c>
      <c r="B2288" s="119" t="s">
        <v>2036</v>
      </c>
    </row>
    <row r="2289" spans="1:2" ht="25.5">
      <c r="A2289" s="121">
        <v>980204</v>
      </c>
      <c r="B2289" s="119" t="s">
        <v>1573</v>
      </c>
    </row>
    <row r="2290" spans="1:2" ht="25.5">
      <c r="A2290" s="121">
        <v>980300</v>
      </c>
      <c r="B2290" s="119" t="s">
        <v>1228</v>
      </c>
    </row>
    <row r="2291" spans="1:2">
      <c r="A2291" s="121">
        <v>990000</v>
      </c>
      <c r="B2291" s="119" t="s">
        <v>1229</v>
      </c>
    </row>
    <row r="2292" spans="1:2">
      <c r="A2292" s="121">
        <v>990100</v>
      </c>
      <c r="B2292" s="119" t="s">
        <v>1230</v>
      </c>
    </row>
    <row r="2293" spans="1:2">
      <c r="A2293" s="121" t="s">
        <v>1231</v>
      </c>
      <c r="B2293" s="119"/>
    </row>
    <row r="2294" spans="1:2" ht="25.5">
      <c r="A2294" s="121">
        <v>990102</v>
      </c>
      <c r="B2294" s="119" t="s">
        <v>1232</v>
      </c>
    </row>
    <row r="2295" spans="1:2">
      <c r="A2295" s="121">
        <v>990104</v>
      </c>
      <c r="B2295" s="119" t="s">
        <v>1233</v>
      </c>
    </row>
    <row r="2296" spans="1:2" ht="25.5">
      <c r="A2296" s="121">
        <v>990105</v>
      </c>
      <c r="B2296" s="119" t="s">
        <v>1234</v>
      </c>
    </row>
    <row r="2297" spans="1:2">
      <c r="A2297" s="121">
        <v>990106</v>
      </c>
      <c r="B2297" s="119" t="s">
        <v>1235</v>
      </c>
    </row>
    <row r="2298" spans="1:2">
      <c r="A2298" s="121">
        <v>990107</v>
      </c>
      <c r="B2298" s="119" t="s">
        <v>31</v>
      </c>
    </row>
    <row r="2299" spans="1:2" ht="25.5">
      <c r="A2299" s="121">
        <v>990108</v>
      </c>
      <c r="B2299" s="119" t="s">
        <v>32</v>
      </c>
    </row>
    <row r="2300" spans="1:2" ht="25.5">
      <c r="A2300" s="121">
        <v>990109</v>
      </c>
      <c r="B2300" s="119" t="s">
        <v>33</v>
      </c>
    </row>
    <row r="2301" spans="1:2" ht="25.5">
      <c r="A2301" s="121">
        <v>990110</v>
      </c>
      <c r="B2301" s="119" t="s">
        <v>552</v>
      </c>
    </row>
    <row r="2302" spans="1:2" ht="25.5">
      <c r="A2302" s="121">
        <v>990200</v>
      </c>
      <c r="B2302" s="119" t="s">
        <v>553</v>
      </c>
    </row>
    <row r="2303" spans="1:2" ht="25.5">
      <c r="A2303" s="121">
        <v>990201</v>
      </c>
      <c r="B2303" s="119" t="s">
        <v>28</v>
      </c>
    </row>
    <row r="2304" spans="1:2">
      <c r="A2304" s="121">
        <v>990300</v>
      </c>
      <c r="B2304" s="119" t="s">
        <v>1241</v>
      </c>
    </row>
    <row r="2305" spans="1:2" ht="25.5">
      <c r="A2305" s="121">
        <v>990302</v>
      </c>
      <c r="B2305" s="119" t="s">
        <v>868</v>
      </c>
    </row>
    <row r="2306" spans="1:2" ht="25.5">
      <c r="A2306" s="121">
        <v>990400</v>
      </c>
      <c r="B2306" s="119" t="s">
        <v>869</v>
      </c>
    </row>
    <row r="2307" spans="1:2" ht="51">
      <c r="A2307" s="121">
        <v>990401</v>
      </c>
      <c r="B2307" s="120" t="s">
        <v>870</v>
      </c>
    </row>
    <row r="2308" spans="1:2" ht="38.25">
      <c r="A2308" s="121">
        <v>990402</v>
      </c>
      <c r="B2308" s="120" t="s">
        <v>871</v>
      </c>
    </row>
    <row r="2309" spans="1:2" ht="63.75">
      <c r="A2309" s="121">
        <v>990403</v>
      </c>
      <c r="B2309" s="120" t="s">
        <v>610</v>
      </c>
    </row>
    <row r="2310" spans="1:2" ht="38.25">
      <c r="A2310" s="121">
        <v>990404</v>
      </c>
      <c r="B2310" s="119" t="s">
        <v>611</v>
      </c>
    </row>
    <row r="2311" spans="1:2" ht="38.25">
      <c r="A2311" s="121">
        <v>990405</v>
      </c>
      <c r="B2311" s="119" t="s">
        <v>144</v>
      </c>
    </row>
    <row r="2312" spans="1:2" ht="25.5">
      <c r="A2312" s="121">
        <v>990407</v>
      </c>
      <c r="B2312" s="119" t="s">
        <v>145</v>
      </c>
    </row>
    <row r="2313" spans="1:2">
      <c r="A2313" s="121" t="s">
        <v>146</v>
      </c>
      <c r="B2313" s="119"/>
    </row>
    <row r="2314" spans="1:2">
      <c r="A2314" s="121">
        <v>990600</v>
      </c>
      <c r="B2314" s="119" t="s">
        <v>147</v>
      </c>
    </row>
    <row r="2315" spans="1:2" ht="38.25">
      <c r="A2315" s="121">
        <v>990601</v>
      </c>
      <c r="B2315" s="119" t="s">
        <v>148</v>
      </c>
    </row>
    <row r="2316" spans="1:2">
      <c r="A2316" s="121">
        <v>990700</v>
      </c>
      <c r="B2316" s="119" t="s">
        <v>149</v>
      </c>
    </row>
    <row r="2317" spans="1:2">
      <c r="A2317" s="121" t="s">
        <v>150</v>
      </c>
      <c r="B2317" s="119"/>
    </row>
    <row r="2318" spans="1:2">
      <c r="A2318" s="121">
        <v>990701</v>
      </c>
      <c r="B2318" s="119" t="s">
        <v>151</v>
      </c>
    </row>
    <row r="2319" spans="1:2">
      <c r="A2319" s="121" t="s">
        <v>152</v>
      </c>
      <c r="B2319" s="119"/>
    </row>
    <row r="2320" spans="1:2" ht="25.5">
      <c r="A2320" s="121">
        <v>990702</v>
      </c>
      <c r="B2320" s="119" t="s">
        <v>339</v>
      </c>
    </row>
    <row r="2321" spans="1:2">
      <c r="A2321" s="121">
        <v>990800</v>
      </c>
      <c r="B2321" s="119" t="s">
        <v>340</v>
      </c>
    </row>
    <row r="2322" spans="1:2">
      <c r="A2322" s="121">
        <v>990801</v>
      </c>
      <c r="B2322" s="119" t="s">
        <v>341</v>
      </c>
    </row>
    <row r="2323" spans="1:2">
      <c r="A2323" s="121">
        <v>1000000</v>
      </c>
      <c r="B2323" s="119" t="s">
        <v>1950</v>
      </c>
    </row>
    <row r="2324" spans="1:2">
      <c r="A2324" s="121">
        <v>1000100</v>
      </c>
      <c r="B2324" s="119" t="s">
        <v>71</v>
      </c>
    </row>
    <row r="2325" spans="1:2">
      <c r="A2325" s="121">
        <v>1000101</v>
      </c>
      <c r="B2325" s="119" t="s">
        <v>72</v>
      </c>
    </row>
    <row r="2326" spans="1:2">
      <c r="A2326" s="121">
        <v>1000102</v>
      </c>
      <c r="B2326" s="119" t="s">
        <v>205</v>
      </c>
    </row>
    <row r="2327" spans="1:2">
      <c r="A2327" s="121">
        <v>1000103</v>
      </c>
      <c r="B2327" s="119" t="s">
        <v>1421</v>
      </c>
    </row>
    <row r="2328" spans="1:2">
      <c r="A2328" s="121">
        <v>1000104</v>
      </c>
      <c r="B2328" s="119" t="s">
        <v>342</v>
      </c>
    </row>
    <row r="2329" spans="1:2">
      <c r="A2329" s="121">
        <v>1000105</v>
      </c>
      <c r="B2329" s="119" t="s">
        <v>1422</v>
      </c>
    </row>
    <row r="2330" spans="1:2">
      <c r="A2330" s="121">
        <v>1000106</v>
      </c>
      <c r="B2330" s="119" t="s">
        <v>343</v>
      </c>
    </row>
    <row r="2331" spans="1:2">
      <c r="A2331" s="121">
        <v>1000107</v>
      </c>
      <c r="B2331" s="119" t="s">
        <v>1423</v>
      </c>
    </row>
    <row r="2332" spans="1:2">
      <c r="A2332" s="121">
        <v>1000108</v>
      </c>
      <c r="B2332" s="119" t="s">
        <v>344</v>
      </c>
    </row>
    <row r="2333" spans="1:2">
      <c r="A2333" s="121">
        <v>1000109</v>
      </c>
      <c r="B2333" s="119" t="s">
        <v>345</v>
      </c>
    </row>
    <row r="2334" spans="1:2">
      <c r="A2334" s="121">
        <v>1000110</v>
      </c>
      <c r="B2334" s="119" t="s">
        <v>346</v>
      </c>
    </row>
    <row r="2335" spans="1:2" ht="25.5">
      <c r="A2335" s="121">
        <v>1000112</v>
      </c>
      <c r="B2335" s="119" t="s">
        <v>1024</v>
      </c>
    </row>
    <row r="2336" spans="1:2">
      <c r="A2336" s="121">
        <v>1000113</v>
      </c>
      <c r="B2336" s="119" t="s">
        <v>415</v>
      </c>
    </row>
    <row r="2337" spans="1:2">
      <c r="A2337" s="121">
        <v>1000200</v>
      </c>
      <c r="B2337" s="119" t="s">
        <v>347</v>
      </c>
    </row>
    <row r="2338" spans="1:2">
      <c r="A2338" s="121">
        <v>1000201</v>
      </c>
      <c r="B2338" s="119" t="s">
        <v>348</v>
      </c>
    </row>
    <row r="2339" spans="1:2">
      <c r="A2339" s="121">
        <v>1000202</v>
      </c>
      <c r="B2339" s="119" t="s">
        <v>349</v>
      </c>
    </row>
    <row r="2340" spans="1:2" ht="25.5">
      <c r="A2340" s="121">
        <v>1000203</v>
      </c>
      <c r="B2340" s="119" t="s">
        <v>2007</v>
      </c>
    </row>
    <row r="2341" spans="1:2">
      <c r="A2341" s="121">
        <v>1000204</v>
      </c>
      <c r="B2341" s="119" t="s">
        <v>350</v>
      </c>
    </row>
    <row r="2342" spans="1:2">
      <c r="A2342" s="121">
        <v>1000300</v>
      </c>
      <c r="B2342" s="119" t="s">
        <v>351</v>
      </c>
    </row>
    <row r="2343" spans="1:2" ht="25.5">
      <c r="A2343" s="121">
        <v>1000400</v>
      </c>
      <c r="B2343" s="119" t="s">
        <v>352</v>
      </c>
    </row>
    <row r="2344" spans="1:2">
      <c r="A2344" s="121">
        <v>1000500</v>
      </c>
      <c r="B2344" s="119" t="s">
        <v>546</v>
      </c>
    </row>
    <row r="2345" spans="1:2">
      <c r="A2345" s="121">
        <v>1000502</v>
      </c>
      <c r="B2345" s="119" t="s">
        <v>1354</v>
      </c>
    </row>
    <row r="2346" spans="1:2">
      <c r="A2346" s="121">
        <v>1000503</v>
      </c>
      <c r="B2346" s="119" t="s">
        <v>52</v>
      </c>
    </row>
    <row r="2347" spans="1:2">
      <c r="A2347" s="121">
        <v>1000505</v>
      </c>
      <c r="B2347" s="119" t="s">
        <v>353</v>
      </c>
    </row>
    <row r="2348" spans="1:2">
      <c r="A2348" s="121">
        <v>1000506</v>
      </c>
      <c r="B2348" s="119" t="s">
        <v>354</v>
      </c>
    </row>
    <row r="2349" spans="1:2">
      <c r="A2349" s="121">
        <v>1000507</v>
      </c>
      <c r="B2349" s="119" t="s">
        <v>53</v>
      </c>
    </row>
    <row r="2350" spans="1:2">
      <c r="A2350" s="121">
        <v>1000509</v>
      </c>
      <c r="B2350" s="119" t="s">
        <v>54</v>
      </c>
    </row>
    <row r="2351" spans="1:2">
      <c r="A2351" s="121">
        <v>1000510</v>
      </c>
      <c r="B2351" s="119" t="s">
        <v>355</v>
      </c>
    </row>
    <row r="2352" spans="1:2">
      <c r="A2352" s="121">
        <v>1000512</v>
      </c>
      <c r="B2352" s="119" t="s">
        <v>356</v>
      </c>
    </row>
    <row r="2353" spans="1:2">
      <c r="A2353" s="121">
        <v>1000600</v>
      </c>
      <c r="B2353" s="119" t="s">
        <v>382</v>
      </c>
    </row>
    <row r="2354" spans="1:2">
      <c r="A2354" s="121">
        <v>1000700</v>
      </c>
      <c r="B2354" s="119" t="s">
        <v>224</v>
      </c>
    </row>
    <row r="2355" spans="1:2">
      <c r="A2355" s="121">
        <v>1000701</v>
      </c>
      <c r="B2355" s="119" t="s">
        <v>1029</v>
      </c>
    </row>
    <row r="2356" spans="1:2" ht="25.5">
      <c r="A2356" s="121">
        <v>1000702</v>
      </c>
      <c r="B2356" s="119" t="s">
        <v>383</v>
      </c>
    </row>
    <row r="2357" spans="1:2" ht="25.5">
      <c r="A2357" s="121">
        <v>1000900</v>
      </c>
      <c r="B2357" s="119" t="s">
        <v>1512</v>
      </c>
    </row>
    <row r="2358" spans="1:2">
      <c r="A2358" s="121">
        <v>1001000</v>
      </c>
      <c r="B2358" s="119" t="s">
        <v>384</v>
      </c>
    </row>
    <row r="2359" spans="1:2">
      <c r="A2359" s="121">
        <v>1001100</v>
      </c>
      <c r="B2359" s="119" t="s">
        <v>729</v>
      </c>
    </row>
    <row r="2360" spans="1:2" ht="25.5">
      <c r="A2360" s="121">
        <v>1001102</v>
      </c>
      <c r="B2360" s="119" t="s">
        <v>709</v>
      </c>
    </row>
    <row r="2361" spans="1:2" ht="25.5">
      <c r="A2361" s="121">
        <v>1001122</v>
      </c>
      <c r="B2361" s="119" t="s">
        <v>710</v>
      </c>
    </row>
    <row r="2362" spans="1:2">
      <c r="A2362" s="121">
        <v>1001200</v>
      </c>
      <c r="B2362" s="119" t="s">
        <v>2092</v>
      </c>
    </row>
    <row r="2363" spans="1:2">
      <c r="A2363" s="121">
        <v>1001202</v>
      </c>
      <c r="B2363" s="119" t="s">
        <v>2093</v>
      </c>
    </row>
    <row r="2364" spans="1:2">
      <c r="A2364" s="121">
        <v>1001300</v>
      </c>
      <c r="B2364" s="119" t="s">
        <v>39</v>
      </c>
    </row>
    <row r="2365" spans="1:2">
      <c r="A2365" s="121">
        <v>1001301</v>
      </c>
      <c r="B2365" s="119" t="s">
        <v>40</v>
      </c>
    </row>
    <row r="2366" spans="1:2">
      <c r="A2366" s="121">
        <v>1001302</v>
      </c>
      <c r="B2366" s="119" t="s">
        <v>41</v>
      </c>
    </row>
    <row r="2367" spans="1:2">
      <c r="A2367" s="121">
        <v>1001303</v>
      </c>
      <c r="B2367" s="119" t="s">
        <v>853</v>
      </c>
    </row>
    <row r="2368" spans="1:2">
      <c r="A2368" s="121">
        <v>1001400</v>
      </c>
      <c r="B2368" s="119" t="s">
        <v>711</v>
      </c>
    </row>
    <row r="2369" spans="1:2" ht="25.5">
      <c r="A2369" s="121">
        <v>1001401</v>
      </c>
      <c r="B2369" s="119" t="s">
        <v>726</v>
      </c>
    </row>
    <row r="2370" spans="1:2">
      <c r="A2370" s="121">
        <v>1001402</v>
      </c>
      <c r="B2370" s="119" t="s">
        <v>727</v>
      </c>
    </row>
    <row r="2371" spans="1:2">
      <c r="A2371" s="121">
        <v>1001500</v>
      </c>
      <c r="B2371" s="119" t="s">
        <v>728</v>
      </c>
    </row>
    <row r="2372" spans="1:2">
      <c r="A2372" s="121">
        <v>1001600</v>
      </c>
      <c r="B2372" s="119" t="s">
        <v>233</v>
      </c>
    </row>
    <row r="2373" spans="1:2">
      <c r="A2373" s="121">
        <v>1001700</v>
      </c>
      <c r="B2373" s="119" t="s">
        <v>1293</v>
      </c>
    </row>
    <row r="2374" spans="1:2" ht="25.5">
      <c r="A2374" s="121">
        <v>1001800</v>
      </c>
      <c r="B2374" s="119" t="s">
        <v>47</v>
      </c>
    </row>
    <row r="2375" spans="1:2">
      <c r="A2375" s="121">
        <v>1001900</v>
      </c>
      <c r="B2375" s="119" t="s">
        <v>1294</v>
      </c>
    </row>
    <row r="2376" spans="1:2" ht="25.5">
      <c r="A2376" s="121">
        <v>1001901</v>
      </c>
      <c r="B2376" s="119" t="s">
        <v>1265</v>
      </c>
    </row>
    <row r="2377" spans="1:2" ht="25.5">
      <c r="A2377" s="121">
        <v>1001902</v>
      </c>
      <c r="B2377" s="119" t="s">
        <v>917</v>
      </c>
    </row>
    <row r="2378" spans="1:2">
      <c r="A2378" s="121">
        <v>1002000</v>
      </c>
      <c r="B2378" s="119" t="s">
        <v>918</v>
      </c>
    </row>
    <row r="2379" spans="1:2" ht="25.5">
      <c r="A2379" s="121">
        <v>1002100</v>
      </c>
      <c r="B2379" s="119" t="s">
        <v>202</v>
      </c>
    </row>
    <row r="2380" spans="1:2">
      <c r="A2380" s="121">
        <v>1002200</v>
      </c>
      <c r="B2380" s="119" t="s">
        <v>919</v>
      </c>
    </row>
    <row r="2381" spans="1:2">
      <c r="A2381" s="121">
        <v>1002201</v>
      </c>
      <c r="B2381" s="119" t="s">
        <v>920</v>
      </c>
    </row>
    <row r="2382" spans="1:2">
      <c r="A2382" s="121">
        <v>1002203</v>
      </c>
      <c r="B2382" s="119" t="s">
        <v>921</v>
      </c>
    </row>
    <row r="2383" spans="1:2">
      <c r="A2383" s="121">
        <v>1002204</v>
      </c>
      <c r="B2383" s="119" t="s">
        <v>922</v>
      </c>
    </row>
    <row r="2384" spans="1:2">
      <c r="A2384" s="121">
        <v>1002208</v>
      </c>
      <c r="B2384" s="119" t="s">
        <v>923</v>
      </c>
    </row>
    <row r="2385" spans="1:2">
      <c r="A2385" s="121">
        <v>1002209</v>
      </c>
      <c r="B2385" s="119" t="s">
        <v>924</v>
      </c>
    </row>
    <row r="2386" spans="1:2" ht="25.5">
      <c r="A2386" s="121">
        <v>1002211</v>
      </c>
      <c r="B2386" s="119" t="s">
        <v>925</v>
      </c>
    </row>
    <row r="2387" spans="1:2" ht="25.5">
      <c r="A2387" s="121">
        <v>1002300</v>
      </c>
      <c r="B2387" s="119" t="s">
        <v>926</v>
      </c>
    </row>
    <row r="2388" spans="1:2">
      <c r="A2388" s="121">
        <v>1002301</v>
      </c>
      <c r="B2388" s="119" t="s">
        <v>589</v>
      </c>
    </row>
    <row r="2389" spans="1:2">
      <c r="A2389" s="121">
        <v>1002302</v>
      </c>
      <c r="B2389" s="119" t="s">
        <v>590</v>
      </c>
    </row>
    <row r="2390" spans="1:2">
      <c r="A2390" s="121">
        <v>1002303</v>
      </c>
      <c r="B2390" s="119" t="s">
        <v>1095</v>
      </c>
    </row>
    <row r="2391" spans="1:2">
      <c r="A2391" s="121">
        <v>1002304</v>
      </c>
      <c r="B2391" s="119" t="s">
        <v>377</v>
      </c>
    </row>
    <row r="2392" spans="1:2">
      <c r="A2392" s="121">
        <v>1002305</v>
      </c>
      <c r="B2392" s="119" t="s">
        <v>1425</v>
      </c>
    </row>
    <row r="2393" spans="1:2">
      <c r="A2393" s="121">
        <v>1002306</v>
      </c>
      <c r="B2393" s="119" t="s">
        <v>1426</v>
      </c>
    </row>
    <row r="2394" spans="1:2">
      <c r="A2394" s="121">
        <v>1002307</v>
      </c>
      <c r="B2394" s="119" t="s">
        <v>452</v>
      </c>
    </row>
    <row r="2395" spans="1:2">
      <c r="A2395" s="121">
        <v>1002308</v>
      </c>
      <c r="B2395" s="119" t="s">
        <v>656</v>
      </c>
    </row>
    <row r="2396" spans="1:2">
      <c r="A2396" s="121">
        <v>1002309</v>
      </c>
      <c r="B2396" s="119" t="s">
        <v>1553</v>
      </c>
    </row>
    <row r="2397" spans="1:2" ht="25.5">
      <c r="A2397" s="121">
        <v>1002500</v>
      </c>
      <c r="B2397" s="119" t="s">
        <v>1584</v>
      </c>
    </row>
    <row r="2398" spans="1:2" ht="25.5">
      <c r="A2398" s="121">
        <v>1002601</v>
      </c>
      <c r="B2398" s="119" t="s">
        <v>927</v>
      </c>
    </row>
    <row r="2399" spans="1:2">
      <c r="A2399" s="121">
        <v>1002602</v>
      </c>
      <c r="B2399" s="119" t="s">
        <v>928</v>
      </c>
    </row>
    <row r="2400" spans="1:2">
      <c r="A2400" s="121">
        <v>1002603</v>
      </c>
      <c r="B2400" s="119" t="s">
        <v>929</v>
      </c>
    </row>
    <row r="2401" spans="1:2" ht="25.5">
      <c r="A2401" s="121">
        <v>1002604</v>
      </c>
      <c r="B2401" s="119" t="s">
        <v>930</v>
      </c>
    </row>
    <row r="2402" spans="1:2">
      <c r="A2402" s="121">
        <v>1002605</v>
      </c>
      <c r="B2402" s="119" t="s">
        <v>931</v>
      </c>
    </row>
    <row r="2403" spans="1:2" ht="25.5">
      <c r="A2403" s="121">
        <v>1002606</v>
      </c>
      <c r="B2403" s="119" t="s">
        <v>932</v>
      </c>
    </row>
    <row r="2404" spans="1:2">
      <c r="A2404" s="121">
        <v>1002607</v>
      </c>
      <c r="B2404" s="119" t="s">
        <v>933</v>
      </c>
    </row>
    <row r="2405" spans="1:2">
      <c r="A2405" s="121">
        <v>1002608</v>
      </c>
      <c r="B2405" s="119" t="s">
        <v>934</v>
      </c>
    </row>
    <row r="2406" spans="1:2" ht="25.5">
      <c r="A2406" s="121">
        <v>1002609</v>
      </c>
      <c r="B2406" s="119" t="s">
        <v>935</v>
      </c>
    </row>
    <row r="2407" spans="1:2" ht="25.5">
      <c r="A2407" s="121">
        <v>1002610</v>
      </c>
      <c r="B2407" s="119" t="s">
        <v>1266</v>
      </c>
    </row>
    <row r="2408" spans="1:2" ht="25.5">
      <c r="A2408" s="121">
        <v>1002611</v>
      </c>
      <c r="B2408" s="119" t="s">
        <v>1267</v>
      </c>
    </row>
    <row r="2409" spans="1:2" ht="25.5">
      <c r="A2409" s="121">
        <v>1002612</v>
      </c>
      <c r="B2409" s="119" t="s">
        <v>1268</v>
      </c>
    </row>
    <row r="2410" spans="1:2" ht="25.5">
      <c r="A2410" s="121">
        <v>1002613</v>
      </c>
      <c r="B2410" s="119" t="s">
        <v>1269</v>
      </c>
    </row>
    <row r="2411" spans="1:2" ht="25.5">
      <c r="A2411" s="121">
        <v>1002614</v>
      </c>
      <c r="B2411" s="119" t="s">
        <v>1961</v>
      </c>
    </row>
    <row r="2412" spans="1:2" ht="25.5">
      <c r="A2412" s="121">
        <v>1002615</v>
      </c>
      <c r="B2412" s="119" t="s">
        <v>1962</v>
      </c>
    </row>
    <row r="2413" spans="1:2" ht="25.5">
      <c r="A2413" s="121">
        <v>1002616</v>
      </c>
      <c r="B2413" s="119" t="s">
        <v>1963</v>
      </c>
    </row>
    <row r="2414" spans="1:2">
      <c r="A2414" s="121">
        <v>1002617</v>
      </c>
      <c r="B2414" s="119" t="s">
        <v>1964</v>
      </c>
    </row>
    <row r="2415" spans="1:2">
      <c r="A2415" s="121">
        <v>1002618</v>
      </c>
      <c r="B2415" s="119" t="s">
        <v>1965</v>
      </c>
    </row>
    <row r="2416" spans="1:2" ht="25.5">
      <c r="A2416" s="121">
        <v>1002619</v>
      </c>
      <c r="B2416" s="119" t="s">
        <v>1966</v>
      </c>
    </row>
    <row r="2417" spans="1:2" ht="25.5">
      <c r="A2417" s="121">
        <v>1002620</v>
      </c>
      <c r="B2417" s="119" t="s">
        <v>1967</v>
      </c>
    </row>
    <row r="2418" spans="1:2">
      <c r="A2418" s="121">
        <v>1002800</v>
      </c>
      <c r="B2418" s="119" t="s">
        <v>1968</v>
      </c>
    </row>
    <row r="2419" spans="1:2">
      <c r="A2419" s="121">
        <v>1002900</v>
      </c>
      <c r="B2419" s="119" t="s">
        <v>1159</v>
      </c>
    </row>
    <row r="2420" spans="1:2" ht="25.5">
      <c r="A2420" s="121">
        <v>1003000</v>
      </c>
      <c r="B2420" s="119" t="s">
        <v>21</v>
      </c>
    </row>
    <row r="2421" spans="1:2">
      <c r="A2421" s="121">
        <v>1003200</v>
      </c>
      <c r="B2421" s="119" t="s">
        <v>1108</v>
      </c>
    </row>
    <row r="2422" spans="1:2">
      <c r="A2422" s="121">
        <v>1003300</v>
      </c>
      <c r="B2422" s="119" t="s">
        <v>1969</v>
      </c>
    </row>
    <row r="2423" spans="1:2">
      <c r="A2423" s="121">
        <v>1003400</v>
      </c>
      <c r="B2423" s="119" t="s">
        <v>837</v>
      </c>
    </row>
    <row r="2424" spans="1:2" ht="25.5">
      <c r="A2424" s="121">
        <v>1003500</v>
      </c>
      <c r="B2424" s="119" t="s">
        <v>1970</v>
      </c>
    </row>
    <row r="2425" spans="1:2" ht="25.5">
      <c r="A2425" s="121">
        <v>1003501</v>
      </c>
      <c r="B2425" s="119" t="s">
        <v>498</v>
      </c>
    </row>
    <row r="2426" spans="1:2" ht="25.5">
      <c r="A2426" s="121">
        <v>1003502</v>
      </c>
      <c r="B2426" s="119" t="s">
        <v>585</v>
      </c>
    </row>
    <row r="2427" spans="1:2">
      <c r="A2427" s="121">
        <v>1003503</v>
      </c>
      <c r="B2427" s="119" t="s">
        <v>1541</v>
      </c>
    </row>
    <row r="2428" spans="1:2" ht="25.5">
      <c r="A2428" s="121">
        <v>1003504</v>
      </c>
      <c r="B2428" s="119" t="s">
        <v>1542</v>
      </c>
    </row>
    <row r="2429" spans="1:2">
      <c r="A2429" s="121">
        <v>1003600</v>
      </c>
      <c r="B2429" s="119" t="s">
        <v>1951</v>
      </c>
    </row>
    <row r="2430" spans="1:2">
      <c r="A2430" s="121">
        <v>1003601</v>
      </c>
      <c r="B2430" s="119" t="s">
        <v>1399</v>
      </c>
    </row>
    <row r="2431" spans="1:2" ht="25.5">
      <c r="A2431" s="121">
        <v>1003602</v>
      </c>
      <c r="B2431" s="119" t="s">
        <v>16</v>
      </c>
    </row>
    <row r="2432" spans="1:2">
      <c r="A2432" s="121">
        <v>1003603</v>
      </c>
      <c r="B2432" s="119" t="s">
        <v>671</v>
      </c>
    </row>
    <row r="2433" spans="1:2">
      <c r="A2433" s="121">
        <v>1003604</v>
      </c>
      <c r="B2433" s="119" t="s">
        <v>802</v>
      </c>
    </row>
    <row r="2434" spans="1:2">
      <c r="A2434" s="121">
        <v>1003605</v>
      </c>
      <c r="B2434" s="119" t="s">
        <v>1559</v>
      </c>
    </row>
    <row r="2435" spans="1:2">
      <c r="A2435" s="121">
        <v>1003700</v>
      </c>
      <c r="B2435" s="119" t="s">
        <v>1065</v>
      </c>
    </row>
    <row r="2436" spans="1:2">
      <c r="A2436" s="121">
        <v>1003701</v>
      </c>
      <c r="B2436" s="119" t="s">
        <v>1543</v>
      </c>
    </row>
    <row r="2437" spans="1:2" ht="25.5">
      <c r="A2437" s="121">
        <v>1003702</v>
      </c>
      <c r="B2437" s="119" t="s">
        <v>1363</v>
      </c>
    </row>
    <row r="2438" spans="1:2" ht="25.5">
      <c r="A2438" s="121">
        <v>1003703</v>
      </c>
      <c r="B2438" s="119" t="s">
        <v>1364</v>
      </c>
    </row>
    <row r="2439" spans="1:2">
      <c r="A2439" s="121">
        <v>1003704</v>
      </c>
      <c r="B2439" s="119" t="s">
        <v>1365</v>
      </c>
    </row>
    <row r="2440" spans="1:2" ht="25.5">
      <c r="A2440" s="121">
        <v>1003800</v>
      </c>
      <c r="B2440" s="119" t="s">
        <v>1671</v>
      </c>
    </row>
    <row r="2441" spans="1:2" ht="25.5">
      <c r="A2441" s="121">
        <v>1003900</v>
      </c>
      <c r="B2441" s="119" t="s">
        <v>687</v>
      </c>
    </row>
    <row r="2442" spans="1:2" ht="25.5">
      <c r="A2442" s="121">
        <v>1003901</v>
      </c>
      <c r="B2442" s="119" t="s">
        <v>953</v>
      </c>
    </row>
    <row r="2443" spans="1:2" ht="25.5">
      <c r="A2443" s="121">
        <v>1003902</v>
      </c>
      <c r="B2443" s="119" t="s">
        <v>1070</v>
      </c>
    </row>
    <row r="2444" spans="1:2" ht="25.5">
      <c r="A2444" s="121">
        <v>1004000</v>
      </c>
      <c r="B2444" s="119" t="s">
        <v>1071</v>
      </c>
    </row>
    <row r="2445" spans="1:2">
      <c r="A2445" s="121">
        <v>1004100</v>
      </c>
      <c r="B2445" s="119" t="s">
        <v>456</v>
      </c>
    </row>
    <row r="2446" spans="1:2">
      <c r="A2446" s="121">
        <v>1004200</v>
      </c>
      <c r="B2446" s="119" t="s">
        <v>457</v>
      </c>
    </row>
    <row r="2447" spans="1:2">
      <c r="A2447" s="121">
        <v>1004400</v>
      </c>
      <c r="B2447" s="119" t="s">
        <v>228</v>
      </c>
    </row>
    <row r="2448" spans="1:2">
      <c r="A2448" s="121">
        <v>1004500</v>
      </c>
      <c r="B2448" s="119" t="s">
        <v>458</v>
      </c>
    </row>
    <row r="2449" spans="1:2" ht="25.5">
      <c r="A2449" s="121">
        <v>1004600</v>
      </c>
      <c r="B2449" s="119" t="s">
        <v>1154</v>
      </c>
    </row>
    <row r="2450" spans="1:2">
      <c r="A2450" s="121">
        <v>1004601</v>
      </c>
      <c r="B2450" s="119" t="s">
        <v>459</v>
      </c>
    </row>
    <row r="2451" spans="1:2">
      <c r="A2451" s="121">
        <v>1004602</v>
      </c>
      <c r="B2451" s="119" t="s">
        <v>460</v>
      </c>
    </row>
    <row r="2452" spans="1:2" ht="25.5">
      <c r="A2452" s="121">
        <v>1004700</v>
      </c>
      <c r="B2452" s="119" t="s">
        <v>1133</v>
      </c>
    </row>
    <row r="2453" spans="1:2">
      <c r="A2453" s="121">
        <v>1004800</v>
      </c>
      <c r="B2453" s="119" t="s">
        <v>461</v>
      </c>
    </row>
    <row r="2454" spans="1:2">
      <c r="A2454" s="121">
        <v>1004901</v>
      </c>
      <c r="B2454" s="119" t="s">
        <v>462</v>
      </c>
    </row>
    <row r="2455" spans="1:2" ht="25.5">
      <c r="A2455" s="121">
        <v>1005000</v>
      </c>
      <c r="B2455" s="119" t="s">
        <v>112</v>
      </c>
    </row>
    <row r="2456" spans="1:2">
      <c r="A2456" s="121">
        <v>1005200</v>
      </c>
      <c r="B2456" s="119" t="s">
        <v>980</v>
      </c>
    </row>
    <row r="2457" spans="1:2" ht="25.5">
      <c r="A2457" s="121">
        <v>1005300</v>
      </c>
      <c r="B2457" s="119" t="s">
        <v>276</v>
      </c>
    </row>
    <row r="2458" spans="1:2">
      <c r="A2458" s="121">
        <v>1005400</v>
      </c>
      <c r="B2458" s="119" t="s">
        <v>1170</v>
      </c>
    </row>
    <row r="2459" spans="1:2" ht="38.25">
      <c r="A2459" s="121">
        <v>1005401</v>
      </c>
      <c r="B2459" s="119" t="s">
        <v>832</v>
      </c>
    </row>
    <row r="2460" spans="1:2">
      <c r="A2460" s="121">
        <v>1005402</v>
      </c>
      <c r="B2460" s="119" t="s">
        <v>705</v>
      </c>
    </row>
    <row r="2461" spans="1:2" ht="25.5">
      <c r="A2461" s="121">
        <v>1005403</v>
      </c>
      <c r="B2461" s="119" t="s">
        <v>508</v>
      </c>
    </row>
    <row r="2462" spans="1:2" ht="25.5">
      <c r="A2462" s="121">
        <v>1005500</v>
      </c>
      <c r="B2462" s="119" t="s">
        <v>463</v>
      </c>
    </row>
    <row r="2463" spans="1:2" ht="25.5">
      <c r="A2463" s="121">
        <v>1005600</v>
      </c>
      <c r="B2463" s="119" t="s">
        <v>464</v>
      </c>
    </row>
    <row r="2464" spans="1:2">
      <c r="A2464" s="121">
        <v>1005700</v>
      </c>
      <c r="B2464" s="119" t="s">
        <v>1585</v>
      </c>
    </row>
    <row r="2465" spans="1:2">
      <c r="A2465" s="121">
        <v>1005701</v>
      </c>
      <c r="B2465" s="119" t="s">
        <v>1086</v>
      </c>
    </row>
    <row r="2466" spans="1:2">
      <c r="A2466" s="121">
        <v>1005702</v>
      </c>
      <c r="B2466" s="119" t="s">
        <v>1087</v>
      </c>
    </row>
    <row r="2467" spans="1:2">
      <c r="A2467" s="121">
        <v>1005800</v>
      </c>
      <c r="B2467" s="119" t="s">
        <v>1952</v>
      </c>
    </row>
    <row r="2468" spans="1:2">
      <c r="A2468" s="121">
        <v>1005801</v>
      </c>
      <c r="B2468" s="119" t="s">
        <v>1088</v>
      </c>
    </row>
    <row r="2469" spans="1:2" ht="25.5">
      <c r="A2469" s="121">
        <v>1005802</v>
      </c>
      <c r="B2469" s="119" t="s">
        <v>1089</v>
      </c>
    </row>
    <row r="2470" spans="1:2">
      <c r="A2470" s="121">
        <v>1005900</v>
      </c>
      <c r="B2470" s="119" t="s">
        <v>1262</v>
      </c>
    </row>
    <row r="2471" spans="1:2" ht="25.5">
      <c r="A2471" s="121">
        <v>1006000</v>
      </c>
      <c r="B2471" s="119" t="s">
        <v>1331</v>
      </c>
    </row>
    <row r="2472" spans="1:2" ht="25.5">
      <c r="A2472" s="121">
        <v>1006100</v>
      </c>
      <c r="B2472" s="119" t="s">
        <v>177</v>
      </c>
    </row>
    <row r="2473" spans="1:2">
      <c r="A2473" s="121">
        <v>1006200</v>
      </c>
      <c r="B2473" s="119" t="s">
        <v>1490</v>
      </c>
    </row>
    <row r="2474" spans="1:2" ht="25.5">
      <c r="A2474" s="121">
        <v>1006300</v>
      </c>
      <c r="B2474" s="119" t="s">
        <v>216</v>
      </c>
    </row>
    <row r="2475" spans="1:2" ht="25.5">
      <c r="A2475" s="121">
        <v>1006400</v>
      </c>
      <c r="B2475" s="119" t="s">
        <v>556</v>
      </c>
    </row>
    <row r="2476" spans="1:2">
      <c r="A2476" s="121">
        <v>1006500</v>
      </c>
      <c r="B2476" s="119" t="s">
        <v>38</v>
      </c>
    </row>
    <row r="2477" spans="1:2">
      <c r="A2477" s="121">
        <v>1006600</v>
      </c>
      <c r="B2477" s="119" t="s">
        <v>217</v>
      </c>
    </row>
    <row r="2478" spans="1:2" ht="25.5">
      <c r="A2478" s="121">
        <v>1006700</v>
      </c>
      <c r="B2478" s="119" t="s">
        <v>1301</v>
      </c>
    </row>
    <row r="2479" spans="1:2">
      <c r="A2479" s="121">
        <v>1006800</v>
      </c>
      <c r="B2479" s="119" t="s">
        <v>1302</v>
      </c>
    </row>
    <row r="2480" spans="1:2" ht="25.5">
      <c r="A2480" s="121">
        <v>1006900</v>
      </c>
      <c r="B2480" s="119" t="s">
        <v>1987</v>
      </c>
    </row>
    <row r="2481" spans="1:2">
      <c r="A2481" s="121">
        <v>1007000</v>
      </c>
      <c r="B2481" s="119" t="s">
        <v>1944</v>
      </c>
    </row>
    <row r="2482" spans="1:2" ht="25.5">
      <c r="A2482" s="121">
        <v>1007100</v>
      </c>
      <c r="B2482" s="119" t="s">
        <v>676</v>
      </c>
    </row>
    <row r="2483" spans="1:2">
      <c r="A2483" s="121">
        <v>1007200</v>
      </c>
      <c r="B2483" s="119" t="s">
        <v>1381</v>
      </c>
    </row>
    <row r="2484" spans="1:2">
      <c r="A2484" s="121">
        <v>1007300</v>
      </c>
      <c r="B2484" s="119" t="s">
        <v>1382</v>
      </c>
    </row>
    <row r="2485" spans="1:2">
      <c r="A2485" s="121">
        <v>1007400</v>
      </c>
      <c r="B2485" s="119" t="s">
        <v>1378</v>
      </c>
    </row>
    <row r="2486" spans="1:2" ht="25.5">
      <c r="A2486" s="121">
        <v>1007500</v>
      </c>
      <c r="B2486" s="119" t="s">
        <v>1379</v>
      </c>
    </row>
    <row r="2487" spans="1:2" ht="25.5">
      <c r="A2487" s="121">
        <v>1007600</v>
      </c>
      <c r="B2487" s="119" t="s">
        <v>1380</v>
      </c>
    </row>
    <row r="2488" spans="1:2">
      <c r="A2488" s="121">
        <v>1007700</v>
      </c>
      <c r="B2488" s="119" t="s">
        <v>1438</v>
      </c>
    </row>
    <row r="2489" spans="1:2" ht="25.5">
      <c r="A2489" s="121">
        <v>1007800</v>
      </c>
      <c r="B2489" s="119" t="s">
        <v>1439</v>
      </c>
    </row>
    <row r="2490" spans="1:2" ht="38.25">
      <c r="A2490" s="121">
        <v>1007900</v>
      </c>
      <c r="B2490" s="119" t="s">
        <v>1440</v>
      </c>
    </row>
    <row r="2491" spans="1:2" ht="63.75">
      <c r="A2491" s="121">
        <v>1008000</v>
      </c>
      <c r="B2491" s="120" t="s">
        <v>1441</v>
      </c>
    </row>
    <row r="2492" spans="1:2">
      <c r="A2492" s="121">
        <v>1008100</v>
      </c>
      <c r="B2492" s="119" t="s">
        <v>1442</v>
      </c>
    </row>
    <row r="2493" spans="1:2">
      <c r="A2493" s="121">
        <v>1008101</v>
      </c>
      <c r="B2493" s="119" t="s">
        <v>1443</v>
      </c>
    </row>
    <row r="2494" spans="1:2">
      <c r="A2494" s="121">
        <v>1008102</v>
      </c>
      <c r="B2494" s="119" t="s">
        <v>72</v>
      </c>
    </row>
    <row r="2495" spans="1:2">
      <c r="A2495" s="121">
        <v>1008103</v>
      </c>
      <c r="B2495" s="119" t="s">
        <v>205</v>
      </c>
    </row>
    <row r="2496" spans="1:2">
      <c r="A2496" s="121">
        <v>1008104</v>
      </c>
      <c r="B2496" s="119" t="s">
        <v>1422</v>
      </c>
    </row>
    <row r="2497" spans="1:2">
      <c r="A2497" s="121">
        <v>1008105</v>
      </c>
      <c r="B2497" s="119" t="s">
        <v>1444</v>
      </c>
    </row>
    <row r="2498" spans="1:2">
      <c r="A2498" s="121">
        <v>1008106</v>
      </c>
      <c r="B2498" s="119" t="s">
        <v>1421</v>
      </c>
    </row>
    <row r="2499" spans="1:2" ht="25.5">
      <c r="A2499" s="121">
        <v>1008107</v>
      </c>
      <c r="B2499" s="119" t="s">
        <v>1445</v>
      </c>
    </row>
    <row r="2500" spans="1:2" ht="25.5">
      <c r="A2500" s="121">
        <v>1008200</v>
      </c>
      <c r="B2500" s="119" t="s">
        <v>1446</v>
      </c>
    </row>
    <row r="2501" spans="1:2" ht="25.5">
      <c r="A2501" s="121">
        <v>1008300</v>
      </c>
      <c r="B2501" s="119" t="s">
        <v>1447</v>
      </c>
    </row>
    <row r="2502" spans="1:2">
      <c r="A2502" s="121">
        <v>1008400</v>
      </c>
      <c r="B2502" s="119" t="s">
        <v>1448</v>
      </c>
    </row>
    <row r="2503" spans="1:2">
      <c r="A2503" s="121">
        <v>1008500</v>
      </c>
      <c r="B2503" s="119" t="s">
        <v>1449</v>
      </c>
    </row>
    <row r="2504" spans="1:2">
      <c r="A2504" s="121">
        <v>1008600</v>
      </c>
      <c r="B2504" s="119" t="s">
        <v>1343</v>
      </c>
    </row>
    <row r="2505" spans="1:2" ht="25.5">
      <c r="A2505" s="121">
        <v>1008700</v>
      </c>
      <c r="B2505" s="119" t="s">
        <v>1344</v>
      </c>
    </row>
    <row r="2506" spans="1:2">
      <c r="A2506" s="121">
        <v>1008800</v>
      </c>
      <c r="B2506" s="119" t="s">
        <v>1345</v>
      </c>
    </row>
    <row r="2507" spans="1:2" ht="25.5">
      <c r="A2507" s="121">
        <v>1008810</v>
      </c>
      <c r="B2507" s="119" t="s">
        <v>1346</v>
      </c>
    </row>
    <row r="2508" spans="1:2">
      <c r="A2508" s="121">
        <v>1008811</v>
      </c>
      <c r="B2508" s="119" t="s">
        <v>417</v>
      </c>
    </row>
    <row r="2509" spans="1:2" ht="25.5">
      <c r="A2509" s="121">
        <v>1008812</v>
      </c>
      <c r="B2509" s="119" t="s">
        <v>1641</v>
      </c>
    </row>
    <row r="2510" spans="1:2">
      <c r="A2510" s="121">
        <v>1008813</v>
      </c>
      <c r="B2510" s="119" t="s">
        <v>1394</v>
      </c>
    </row>
    <row r="2511" spans="1:2" ht="25.5">
      <c r="A2511" s="121">
        <v>1008814</v>
      </c>
      <c r="B2511" s="119" t="s">
        <v>1347</v>
      </c>
    </row>
    <row r="2512" spans="1:2">
      <c r="A2512" s="121">
        <v>1008815</v>
      </c>
      <c r="B2512" s="119" t="s">
        <v>851</v>
      </c>
    </row>
    <row r="2513" spans="1:2">
      <c r="A2513" s="121">
        <v>1008816</v>
      </c>
      <c r="B2513" s="119" t="s">
        <v>1712</v>
      </c>
    </row>
    <row r="2514" spans="1:2">
      <c r="A2514" s="121">
        <v>1008821</v>
      </c>
      <c r="B2514" s="119" t="s">
        <v>2047</v>
      </c>
    </row>
    <row r="2515" spans="1:2">
      <c r="A2515" s="121">
        <v>1008822</v>
      </c>
      <c r="B2515" s="119" t="s">
        <v>443</v>
      </c>
    </row>
    <row r="2516" spans="1:2">
      <c r="A2516" s="121">
        <v>1008830</v>
      </c>
      <c r="B2516" s="119" t="s">
        <v>1476</v>
      </c>
    </row>
    <row r="2517" spans="1:2">
      <c r="A2517" s="121">
        <v>1008840</v>
      </c>
      <c r="B2517" s="119" t="s">
        <v>1200</v>
      </c>
    </row>
    <row r="2518" spans="1:2">
      <c r="A2518" s="121">
        <v>1008850</v>
      </c>
      <c r="B2518" s="119" t="s">
        <v>1639</v>
      </c>
    </row>
    <row r="2519" spans="1:2">
      <c r="A2519" s="121">
        <v>1008851</v>
      </c>
      <c r="B2519" s="119" t="s">
        <v>512</v>
      </c>
    </row>
    <row r="2520" spans="1:2">
      <c r="A2520" s="121">
        <v>1008852</v>
      </c>
      <c r="B2520" s="119" t="s">
        <v>1477</v>
      </c>
    </row>
    <row r="2521" spans="1:2" ht="25.5">
      <c r="A2521" s="121">
        <v>1008853</v>
      </c>
      <c r="B2521" s="119" t="s">
        <v>1478</v>
      </c>
    </row>
    <row r="2522" spans="1:2">
      <c r="A2522" s="121">
        <v>1008854</v>
      </c>
      <c r="B2522" s="119" t="s">
        <v>513</v>
      </c>
    </row>
    <row r="2523" spans="1:2">
      <c r="A2523" s="121">
        <v>1008855</v>
      </c>
      <c r="B2523" s="119" t="s">
        <v>1479</v>
      </c>
    </row>
    <row r="2524" spans="1:2" ht="25.5">
      <c r="A2524" s="121">
        <v>1008856</v>
      </c>
      <c r="B2524" s="119" t="s">
        <v>1480</v>
      </c>
    </row>
    <row r="2525" spans="1:2" ht="25.5">
      <c r="A2525" s="121">
        <v>1008857</v>
      </c>
      <c r="B2525" s="119" t="s">
        <v>1481</v>
      </c>
    </row>
    <row r="2526" spans="1:2" ht="25.5">
      <c r="A2526" s="121">
        <v>1008858</v>
      </c>
      <c r="B2526" s="119" t="s">
        <v>1482</v>
      </c>
    </row>
    <row r="2527" spans="1:2">
      <c r="A2527" s="121">
        <v>1008860</v>
      </c>
      <c r="B2527" s="119" t="s">
        <v>1483</v>
      </c>
    </row>
    <row r="2528" spans="1:2">
      <c r="A2528" s="121">
        <v>1008900</v>
      </c>
      <c r="B2528" s="119" t="s">
        <v>1484</v>
      </c>
    </row>
    <row r="2529" spans="1:2">
      <c r="A2529" s="121">
        <v>1009000</v>
      </c>
      <c r="B2529" s="119" t="s">
        <v>1485</v>
      </c>
    </row>
    <row r="2530" spans="1:2">
      <c r="A2530" s="121">
        <v>1009100</v>
      </c>
      <c r="B2530" s="119" t="s">
        <v>1623</v>
      </c>
    </row>
    <row r="2531" spans="1:2" ht="25.5">
      <c r="A2531" s="121">
        <v>1009200</v>
      </c>
      <c r="B2531" s="119" t="s">
        <v>1624</v>
      </c>
    </row>
    <row r="2532" spans="1:2">
      <c r="A2532" s="121">
        <v>1009300</v>
      </c>
      <c r="B2532" s="119" t="s">
        <v>1625</v>
      </c>
    </row>
    <row r="2533" spans="1:2">
      <c r="A2533" s="121">
        <v>1009301</v>
      </c>
      <c r="B2533" s="119" t="s">
        <v>2021</v>
      </c>
    </row>
    <row r="2534" spans="1:2" ht="25.5">
      <c r="A2534" s="121">
        <v>1009400</v>
      </c>
      <c r="B2534" s="119" t="s">
        <v>2020</v>
      </c>
    </row>
    <row r="2535" spans="1:2">
      <c r="A2535" s="121" t="s">
        <v>1626</v>
      </c>
      <c r="B2535" s="119"/>
    </row>
    <row r="2536" spans="1:2" ht="25.5">
      <c r="A2536" s="121">
        <v>1009500</v>
      </c>
      <c r="B2536" s="119" t="s">
        <v>1627</v>
      </c>
    </row>
    <row r="2537" spans="1:2" ht="25.5">
      <c r="A2537" s="121">
        <v>1009600</v>
      </c>
      <c r="B2537" s="119" t="s">
        <v>1628</v>
      </c>
    </row>
    <row r="2538" spans="1:2">
      <c r="A2538" s="121">
        <v>1009700</v>
      </c>
      <c r="B2538" s="119" t="s">
        <v>1629</v>
      </c>
    </row>
    <row r="2539" spans="1:2" ht="25.5">
      <c r="A2539" s="121">
        <v>1009800</v>
      </c>
      <c r="B2539" s="119" t="s">
        <v>1630</v>
      </c>
    </row>
    <row r="2540" spans="1:2" ht="25.5">
      <c r="A2540" s="121">
        <v>1009900</v>
      </c>
      <c r="B2540" s="119" t="s">
        <v>1631</v>
      </c>
    </row>
    <row r="2541" spans="1:2">
      <c r="A2541" s="121">
        <v>1009901</v>
      </c>
      <c r="B2541" s="119" t="s">
        <v>809</v>
      </c>
    </row>
    <row r="2542" spans="1:2" ht="38.25">
      <c r="A2542" s="121">
        <v>1009902</v>
      </c>
      <c r="B2542" s="119" t="s">
        <v>1494</v>
      </c>
    </row>
    <row r="2543" spans="1:2">
      <c r="A2543" s="121">
        <v>1010000</v>
      </c>
      <c r="B2543" s="119" t="s">
        <v>945</v>
      </c>
    </row>
    <row r="2544" spans="1:2">
      <c r="A2544" s="121">
        <v>1010100</v>
      </c>
      <c r="B2544" s="119" t="s">
        <v>14</v>
      </c>
    </row>
    <row r="2545" spans="1:2" ht="25.5">
      <c r="A2545" s="121">
        <v>1010200</v>
      </c>
      <c r="B2545" s="119" t="s">
        <v>169</v>
      </c>
    </row>
    <row r="2546" spans="1:2" ht="25.5">
      <c r="A2546" s="121">
        <v>1010300</v>
      </c>
      <c r="B2546" s="119" t="s">
        <v>1173</v>
      </c>
    </row>
    <row r="2547" spans="1:2">
      <c r="A2547" s="121">
        <v>1015700</v>
      </c>
      <c r="B2547" s="119" t="s">
        <v>475</v>
      </c>
    </row>
    <row r="2548" spans="1:2">
      <c r="A2548" s="121">
        <v>1016300</v>
      </c>
      <c r="B2548" s="119" t="s">
        <v>476</v>
      </c>
    </row>
    <row r="2549" spans="1:2">
      <c r="A2549" s="121">
        <v>1016700</v>
      </c>
      <c r="B2549" s="119" t="s">
        <v>170</v>
      </c>
    </row>
    <row r="2550" spans="1:2">
      <c r="A2550" s="121">
        <v>1020000</v>
      </c>
      <c r="B2550" s="119" t="s">
        <v>69</v>
      </c>
    </row>
    <row r="2551" spans="1:2" ht="25.5">
      <c r="A2551" s="121">
        <v>1020100</v>
      </c>
      <c r="B2551" s="119" t="s">
        <v>750</v>
      </c>
    </row>
    <row r="2552" spans="1:2" ht="25.5">
      <c r="A2552" s="121">
        <v>1020101</v>
      </c>
      <c r="B2552" s="119" t="s">
        <v>229</v>
      </c>
    </row>
    <row r="2553" spans="1:2">
      <c r="A2553" s="121">
        <v>1020102</v>
      </c>
      <c r="B2553" s="119" t="s">
        <v>1495</v>
      </c>
    </row>
    <row r="2554" spans="1:2" ht="25.5">
      <c r="A2554" s="121">
        <v>1020103</v>
      </c>
      <c r="B2554" s="119" t="s">
        <v>1592</v>
      </c>
    </row>
    <row r="2555" spans="1:2">
      <c r="A2555" s="121">
        <v>1020107</v>
      </c>
      <c r="B2555" s="119" t="s">
        <v>805</v>
      </c>
    </row>
    <row r="2556" spans="1:2">
      <c r="A2556" s="121">
        <v>1020108</v>
      </c>
      <c r="B2556" s="119" t="s">
        <v>810</v>
      </c>
    </row>
    <row r="2557" spans="1:2">
      <c r="A2557" s="121">
        <v>1020200</v>
      </c>
      <c r="B2557" s="119" t="s">
        <v>1339</v>
      </c>
    </row>
    <row r="2558" spans="1:2" ht="25.5">
      <c r="A2558" s="121">
        <v>1020201</v>
      </c>
      <c r="B2558" s="119" t="s">
        <v>235</v>
      </c>
    </row>
    <row r="2559" spans="1:2">
      <c r="A2559" s="121">
        <v>1020202</v>
      </c>
      <c r="B2559" s="119" t="s">
        <v>759</v>
      </c>
    </row>
    <row r="2560" spans="1:2" ht="25.5">
      <c r="A2560" s="121">
        <v>1020203</v>
      </c>
      <c r="B2560" s="119" t="s">
        <v>811</v>
      </c>
    </row>
    <row r="2561" spans="1:2">
      <c r="A2561" s="121">
        <v>1020204</v>
      </c>
      <c r="B2561" s="119" t="s">
        <v>329</v>
      </c>
    </row>
    <row r="2562" spans="1:2" ht="38.25">
      <c r="A2562" s="121">
        <v>1020205</v>
      </c>
      <c r="B2562" s="119" t="s">
        <v>838</v>
      </c>
    </row>
    <row r="2563" spans="1:2" ht="38.25">
      <c r="A2563" s="121">
        <v>1020206</v>
      </c>
      <c r="B2563" s="120" t="s">
        <v>812</v>
      </c>
    </row>
    <row r="2564" spans="1:2" ht="25.5">
      <c r="A2564" s="121">
        <v>1020208</v>
      </c>
      <c r="B2564" s="119" t="s">
        <v>825</v>
      </c>
    </row>
    <row r="2565" spans="1:2">
      <c r="A2565" s="121">
        <v>1020300</v>
      </c>
      <c r="B2565" s="119" t="s">
        <v>839</v>
      </c>
    </row>
    <row r="2566" spans="1:2">
      <c r="A2566" s="121">
        <v>1020400</v>
      </c>
      <c r="B2566" s="119" t="s">
        <v>840</v>
      </c>
    </row>
    <row r="2567" spans="1:2" ht="25.5">
      <c r="A2567" s="121">
        <v>1020401</v>
      </c>
      <c r="B2567" s="119" t="s">
        <v>772</v>
      </c>
    </row>
    <row r="2568" spans="1:2" ht="25.5">
      <c r="A2568" s="121">
        <v>1020402</v>
      </c>
      <c r="B2568" s="119" t="s">
        <v>1019</v>
      </c>
    </row>
    <row r="2569" spans="1:2" ht="25.5">
      <c r="A2569" s="121">
        <v>1020500</v>
      </c>
      <c r="B2569" s="119" t="s">
        <v>1201</v>
      </c>
    </row>
    <row r="2570" spans="1:2" ht="38.25">
      <c r="A2570" s="121">
        <v>1020501</v>
      </c>
      <c r="B2570" s="119" t="s">
        <v>140</v>
      </c>
    </row>
    <row r="2571" spans="1:2" ht="25.5">
      <c r="A2571" s="121">
        <v>1020502</v>
      </c>
      <c r="B2571" s="119" t="s">
        <v>580</v>
      </c>
    </row>
    <row r="2572" spans="1:2">
      <c r="A2572" s="121">
        <v>1020600</v>
      </c>
      <c r="B2572" s="119" t="s">
        <v>436</v>
      </c>
    </row>
    <row r="2573" spans="1:2">
      <c r="A2573" s="121">
        <v>1040000</v>
      </c>
      <c r="B2573" s="119" t="s">
        <v>826</v>
      </c>
    </row>
    <row r="2574" spans="1:2" ht="25.5">
      <c r="A2574" s="121">
        <v>1040100</v>
      </c>
      <c r="B2574" s="119" t="s">
        <v>827</v>
      </c>
    </row>
    <row r="2575" spans="1:2" ht="25.5">
      <c r="A2575" s="121">
        <v>1040101</v>
      </c>
      <c r="B2575" s="119" t="s">
        <v>1641</v>
      </c>
    </row>
    <row r="2576" spans="1:2">
      <c r="A2576" s="121">
        <v>1040102</v>
      </c>
      <c r="B2576" s="119" t="s">
        <v>417</v>
      </c>
    </row>
    <row r="2577" spans="1:2">
      <c r="A2577" s="121">
        <v>1040103</v>
      </c>
      <c r="B2577" s="119" t="s">
        <v>1394</v>
      </c>
    </row>
    <row r="2578" spans="1:2" ht="25.5">
      <c r="A2578" s="121">
        <v>1040104</v>
      </c>
      <c r="B2578" s="119" t="s">
        <v>850</v>
      </c>
    </row>
    <row r="2579" spans="1:2">
      <c r="A2579" s="121">
        <v>1040105</v>
      </c>
      <c r="B2579" s="119" t="s">
        <v>851</v>
      </c>
    </row>
    <row r="2580" spans="1:2">
      <c r="A2580" s="121">
        <v>1040106</v>
      </c>
      <c r="B2580" s="119" t="s">
        <v>1712</v>
      </c>
    </row>
    <row r="2581" spans="1:2">
      <c r="A2581" s="121">
        <v>1040200</v>
      </c>
      <c r="B2581" s="119" t="s">
        <v>443</v>
      </c>
    </row>
    <row r="2582" spans="1:2">
      <c r="A2582" s="121">
        <v>1040300</v>
      </c>
      <c r="B2582" s="119" t="s">
        <v>1200</v>
      </c>
    </row>
    <row r="2583" spans="1:2" ht="25.5">
      <c r="A2583" s="121">
        <v>1040400</v>
      </c>
      <c r="B2583" s="119" t="s">
        <v>1491</v>
      </c>
    </row>
    <row r="2584" spans="1:2">
      <c r="A2584" s="121">
        <v>1040500</v>
      </c>
      <c r="B2584" s="119" t="s">
        <v>1153</v>
      </c>
    </row>
    <row r="2585" spans="1:2" ht="25.5">
      <c r="A2585" s="121">
        <v>1040600</v>
      </c>
      <c r="B2585" s="119" t="s">
        <v>577</v>
      </c>
    </row>
    <row r="2586" spans="1:2">
      <c r="A2586" s="121">
        <v>1040700</v>
      </c>
      <c r="B2586" s="119" t="s">
        <v>828</v>
      </c>
    </row>
    <row r="2587" spans="1:2">
      <c r="A2587" s="121">
        <v>1040800</v>
      </c>
      <c r="B2587" s="119" t="s">
        <v>1639</v>
      </c>
    </row>
    <row r="2588" spans="1:2">
      <c r="A2588" s="121">
        <v>1040801</v>
      </c>
      <c r="B2588" s="119" t="s">
        <v>512</v>
      </c>
    </row>
    <row r="2589" spans="1:2">
      <c r="A2589" s="121">
        <v>1040802</v>
      </c>
      <c r="B2589" s="119" t="s">
        <v>513</v>
      </c>
    </row>
    <row r="2590" spans="1:2">
      <c r="A2590" s="121">
        <v>1040803</v>
      </c>
      <c r="B2590" s="119" t="s">
        <v>1075</v>
      </c>
    </row>
    <row r="2591" spans="1:2" ht="25.5">
      <c r="A2591" s="121">
        <v>1040804</v>
      </c>
      <c r="B2591" s="119" t="s">
        <v>484</v>
      </c>
    </row>
    <row r="2592" spans="1:2" ht="25.5">
      <c r="A2592" s="121">
        <v>1100000</v>
      </c>
      <c r="B2592" s="119" t="s">
        <v>485</v>
      </c>
    </row>
    <row r="2593" spans="1:2">
      <c r="A2593" s="121">
        <v>1100100</v>
      </c>
      <c r="B2593" s="119" t="s">
        <v>486</v>
      </c>
    </row>
    <row r="2594" spans="1:2" ht="25.5">
      <c r="A2594" s="121">
        <v>1300000</v>
      </c>
      <c r="B2594" s="119" t="s">
        <v>575</v>
      </c>
    </row>
    <row r="2595" spans="1:2">
      <c r="A2595" s="121">
        <v>1300100</v>
      </c>
      <c r="B2595" s="119" t="s">
        <v>576</v>
      </c>
    </row>
    <row r="2596" spans="1:2" ht="25.5">
      <c r="A2596" s="121">
        <v>1305700</v>
      </c>
      <c r="B2596" s="119" t="s">
        <v>45</v>
      </c>
    </row>
    <row r="2597" spans="1:2">
      <c r="A2597" s="121">
        <v>1306700</v>
      </c>
      <c r="B2597" s="119" t="s">
        <v>170</v>
      </c>
    </row>
    <row r="2598" spans="1:2">
      <c r="A2598" s="121">
        <v>1308000</v>
      </c>
      <c r="B2598" s="119" t="s">
        <v>46</v>
      </c>
    </row>
    <row r="2599" spans="1:2">
      <c r="A2599" s="121">
        <v>1309900</v>
      </c>
      <c r="B2599" s="119" t="s">
        <v>174</v>
      </c>
    </row>
    <row r="2600" spans="1:2" ht="25.5">
      <c r="A2600" s="121">
        <v>1310000</v>
      </c>
      <c r="B2600" s="119" t="s">
        <v>899</v>
      </c>
    </row>
    <row r="2601" spans="1:2">
      <c r="A2601" s="121">
        <v>1310100</v>
      </c>
      <c r="B2601" s="119" t="s">
        <v>900</v>
      </c>
    </row>
    <row r="2602" spans="1:2">
      <c r="A2602" s="121">
        <v>1320000</v>
      </c>
      <c r="B2602" s="119" t="s">
        <v>1384</v>
      </c>
    </row>
    <row r="2603" spans="1:2">
      <c r="A2603" s="121">
        <v>1328000</v>
      </c>
      <c r="B2603" s="119" t="s">
        <v>46</v>
      </c>
    </row>
    <row r="2604" spans="1:2" ht="25.5">
      <c r="A2604" s="121">
        <v>1330000</v>
      </c>
      <c r="B2604" s="119" t="s">
        <v>1332</v>
      </c>
    </row>
    <row r="2605" spans="1:2" ht="25.5">
      <c r="A2605" s="121">
        <v>1330100</v>
      </c>
      <c r="B2605" s="119" t="s">
        <v>1333</v>
      </c>
    </row>
    <row r="2606" spans="1:2" ht="25.5">
      <c r="A2606" s="121">
        <v>1340000</v>
      </c>
      <c r="B2606" s="119" t="s">
        <v>1332</v>
      </c>
    </row>
    <row r="2607" spans="1:2" ht="25.5">
      <c r="A2607" s="121">
        <v>1340100</v>
      </c>
      <c r="B2607" s="119" t="s">
        <v>1334</v>
      </c>
    </row>
    <row r="2608" spans="1:2">
      <c r="A2608" s="121">
        <v>1340200</v>
      </c>
      <c r="B2608" s="119" t="s">
        <v>1598</v>
      </c>
    </row>
    <row r="2609" spans="1:2">
      <c r="A2609" s="121">
        <v>1350000</v>
      </c>
      <c r="B2609" s="119" t="s">
        <v>1599</v>
      </c>
    </row>
    <row r="2610" spans="1:2" ht="25.5">
      <c r="A2610" s="121">
        <v>1350100</v>
      </c>
      <c r="B2610" s="119" t="s">
        <v>1600</v>
      </c>
    </row>
    <row r="2611" spans="1:2">
      <c r="A2611" s="121">
        <v>1350200</v>
      </c>
      <c r="B2611" s="119" t="s">
        <v>1601</v>
      </c>
    </row>
    <row r="2612" spans="1:2">
      <c r="A2612" s="121">
        <v>1360000</v>
      </c>
      <c r="B2612" s="119" t="s">
        <v>1602</v>
      </c>
    </row>
    <row r="2613" spans="1:2">
      <c r="A2613" s="121">
        <v>1360100</v>
      </c>
      <c r="B2613" s="119" t="s">
        <v>1603</v>
      </c>
    </row>
    <row r="2614" spans="1:2">
      <c r="A2614" s="121">
        <v>1360200</v>
      </c>
      <c r="B2614" s="119" t="s">
        <v>1604</v>
      </c>
    </row>
    <row r="2615" spans="1:2">
      <c r="A2615" s="121">
        <v>2000000</v>
      </c>
      <c r="B2615" s="119" t="s">
        <v>1059</v>
      </c>
    </row>
    <row r="2616" spans="1:2">
      <c r="A2616" s="121">
        <v>2006600</v>
      </c>
      <c r="B2616" s="119" t="s">
        <v>326</v>
      </c>
    </row>
    <row r="2617" spans="1:2">
      <c r="A2617" s="121">
        <v>2006700</v>
      </c>
      <c r="B2617" s="119" t="s">
        <v>170</v>
      </c>
    </row>
    <row r="2618" spans="1:2">
      <c r="A2618" s="121">
        <v>2006800</v>
      </c>
      <c r="B2618" s="119" t="s">
        <v>68</v>
      </c>
    </row>
    <row r="2619" spans="1:2">
      <c r="A2619" s="121">
        <v>2006801</v>
      </c>
      <c r="B2619" s="119" t="s">
        <v>539</v>
      </c>
    </row>
    <row r="2620" spans="1:2" ht="25.5">
      <c r="A2620" s="121">
        <v>2006802</v>
      </c>
      <c r="B2620" s="119" t="s">
        <v>765</v>
      </c>
    </row>
    <row r="2621" spans="1:2">
      <c r="A2621" s="121">
        <v>2007000</v>
      </c>
      <c r="B2621" s="119" t="s">
        <v>1488</v>
      </c>
    </row>
    <row r="2622" spans="1:2">
      <c r="A2622" s="121">
        <v>2009700</v>
      </c>
      <c r="B2622" s="119" t="s">
        <v>1010</v>
      </c>
    </row>
    <row r="2623" spans="1:2">
      <c r="A2623" s="121">
        <v>2010000</v>
      </c>
      <c r="B2623" s="119" t="s">
        <v>573</v>
      </c>
    </row>
    <row r="2624" spans="1:2">
      <c r="A2624" s="121">
        <v>2016700</v>
      </c>
      <c r="B2624" s="119" t="s">
        <v>170</v>
      </c>
    </row>
    <row r="2625" spans="1:2">
      <c r="A2625" s="121">
        <v>2016800</v>
      </c>
      <c r="B2625" s="119" t="s">
        <v>68</v>
      </c>
    </row>
    <row r="2626" spans="1:2">
      <c r="A2626" s="121">
        <v>2016801</v>
      </c>
      <c r="B2626" s="119" t="s">
        <v>539</v>
      </c>
    </row>
    <row r="2627" spans="1:2" ht="25.5">
      <c r="A2627" s="121">
        <v>2016802</v>
      </c>
      <c r="B2627" s="119" t="s">
        <v>765</v>
      </c>
    </row>
    <row r="2628" spans="1:2">
      <c r="A2628" s="121">
        <v>2017000</v>
      </c>
      <c r="B2628" s="119" t="s">
        <v>1488</v>
      </c>
    </row>
    <row r="2629" spans="1:2">
      <c r="A2629" s="121">
        <v>2018200</v>
      </c>
      <c r="B2629" s="119" t="s">
        <v>1022</v>
      </c>
    </row>
    <row r="2630" spans="1:2">
      <c r="A2630" s="121">
        <v>2020000</v>
      </c>
      <c r="B2630" s="119" t="s">
        <v>1114</v>
      </c>
    </row>
    <row r="2631" spans="1:2" ht="25.5">
      <c r="A2631" s="121">
        <v>2020100</v>
      </c>
      <c r="B2631" s="119" t="s">
        <v>976</v>
      </c>
    </row>
    <row r="2632" spans="1:2">
      <c r="A2632" s="121">
        <v>2020800</v>
      </c>
      <c r="B2632" s="119" t="s">
        <v>1988</v>
      </c>
    </row>
    <row r="2633" spans="1:2">
      <c r="A2633" s="121">
        <v>2020900</v>
      </c>
      <c r="B2633" s="119" t="s">
        <v>1605</v>
      </c>
    </row>
    <row r="2634" spans="1:2" ht="25.5">
      <c r="A2634" s="121">
        <v>2024200</v>
      </c>
      <c r="B2634" s="119" t="s">
        <v>1556</v>
      </c>
    </row>
    <row r="2635" spans="1:2">
      <c r="A2635" s="121">
        <v>2025800</v>
      </c>
      <c r="B2635" s="119" t="s">
        <v>1690</v>
      </c>
    </row>
    <row r="2636" spans="1:2">
      <c r="A2636" s="121">
        <v>2026400</v>
      </c>
      <c r="B2636" s="119" t="s">
        <v>963</v>
      </c>
    </row>
    <row r="2637" spans="1:2">
      <c r="A2637" s="121">
        <v>2026500</v>
      </c>
      <c r="B2637" s="119" t="s">
        <v>46</v>
      </c>
    </row>
    <row r="2638" spans="1:2">
      <c r="A2638" s="121">
        <v>2026700</v>
      </c>
      <c r="B2638" s="119" t="s">
        <v>170</v>
      </c>
    </row>
    <row r="2639" spans="1:2">
      <c r="A2639" s="121">
        <v>2027000</v>
      </c>
      <c r="B2639" s="119" t="s">
        <v>1488</v>
      </c>
    </row>
    <row r="2640" spans="1:2">
      <c r="A2640" s="121">
        <v>2027100</v>
      </c>
      <c r="B2640" s="119" t="s">
        <v>1489</v>
      </c>
    </row>
    <row r="2641" spans="1:2">
      <c r="A2641" s="121">
        <v>2027101</v>
      </c>
      <c r="B2641" s="119" t="s">
        <v>1096</v>
      </c>
    </row>
    <row r="2642" spans="1:2">
      <c r="A2642" s="121">
        <v>2027102</v>
      </c>
      <c r="B2642" s="119" t="s">
        <v>1385</v>
      </c>
    </row>
    <row r="2643" spans="1:2">
      <c r="A2643" s="121">
        <v>2027103</v>
      </c>
      <c r="B2643" s="119" t="s">
        <v>1386</v>
      </c>
    </row>
    <row r="2644" spans="1:2">
      <c r="A2644" s="121">
        <v>2027200</v>
      </c>
      <c r="B2644" s="119" t="s">
        <v>836</v>
      </c>
    </row>
    <row r="2645" spans="1:2">
      <c r="A2645" s="121">
        <v>2027201</v>
      </c>
      <c r="B2645" s="119" t="s">
        <v>12</v>
      </c>
    </row>
    <row r="2646" spans="1:2">
      <c r="A2646" s="121">
        <v>2027202</v>
      </c>
      <c r="B2646" s="119" t="s">
        <v>13</v>
      </c>
    </row>
    <row r="2647" spans="1:2">
      <c r="A2647" s="121">
        <v>2027203</v>
      </c>
      <c r="B2647" s="119" t="s">
        <v>1687</v>
      </c>
    </row>
    <row r="2648" spans="1:2">
      <c r="A2648" s="121">
        <v>2027600</v>
      </c>
      <c r="B2648" s="119" t="s">
        <v>1020</v>
      </c>
    </row>
    <row r="2649" spans="1:2">
      <c r="A2649" s="121">
        <v>2029900</v>
      </c>
      <c r="B2649" s="119" t="s">
        <v>174</v>
      </c>
    </row>
    <row r="2650" spans="1:2">
      <c r="A2650" s="121">
        <v>2040000</v>
      </c>
      <c r="B2650" s="119" t="s">
        <v>1693</v>
      </c>
    </row>
    <row r="2651" spans="1:2">
      <c r="A2651" s="121">
        <v>2070000</v>
      </c>
      <c r="B2651" s="119" t="s">
        <v>1137</v>
      </c>
    </row>
    <row r="2652" spans="1:2" ht="25.5">
      <c r="A2652" s="121">
        <v>2070100</v>
      </c>
      <c r="B2652" s="119" t="s">
        <v>385</v>
      </c>
    </row>
    <row r="2653" spans="1:2">
      <c r="A2653" s="121">
        <v>2075800</v>
      </c>
      <c r="B2653" s="119" t="s">
        <v>1690</v>
      </c>
    </row>
    <row r="2654" spans="1:2">
      <c r="A2654" s="121">
        <v>2079900</v>
      </c>
      <c r="B2654" s="119" t="s">
        <v>174</v>
      </c>
    </row>
    <row r="2655" spans="1:2">
      <c r="A2655" s="121">
        <v>2080000</v>
      </c>
      <c r="B2655" s="119" t="s">
        <v>36</v>
      </c>
    </row>
    <row r="2656" spans="1:2">
      <c r="A2656" s="121">
        <v>2080200</v>
      </c>
      <c r="B2656" s="119" t="s">
        <v>386</v>
      </c>
    </row>
    <row r="2657" spans="1:2" ht="38.25">
      <c r="A2657" s="121">
        <v>2080300</v>
      </c>
      <c r="B2657" s="119" t="s">
        <v>1116</v>
      </c>
    </row>
    <row r="2658" spans="1:2" ht="25.5">
      <c r="A2658" s="121">
        <v>2080400</v>
      </c>
      <c r="B2658" s="119" t="s">
        <v>1117</v>
      </c>
    </row>
    <row r="2659" spans="1:2">
      <c r="A2659" s="121">
        <v>2086100</v>
      </c>
      <c r="B2659" s="119" t="s">
        <v>497</v>
      </c>
    </row>
    <row r="2660" spans="1:2">
      <c r="A2660" s="121">
        <v>2086200</v>
      </c>
      <c r="B2660" s="119" t="s">
        <v>741</v>
      </c>
    </row>
    <row r="2661" spans="1:2">
      <c r="A2661" s="121">
        <v>2086300</v>
      </c>
      <c r="B2661" s="119" t="s">
        <v>476</v>
      </c>
    </row>
    <row r="2662" spans="1:2">
      <c r="A2662" s="121">
        <v>2090000</v>
      </c>
      <c r="B2662" s="119" t="s">
        <v>473</v>
      </c>
    </row>
    <row r="2663" spans="1:2">
      <c r="A2663" s="121">
        <v>2090100</v>
      </c>
      <c r="B2663" s="119" t="s">
        <v>1577</v>
      </c>
    </row>
    <row r="2664" spans="1:2">
      <c r="A2664" s="121">
        <v>2100000</v>
      </c>
      <c r="B2664" s="119" t="s">
        <v>1143</v>
      </c>
    </row>
    <row r="2665" spans="1:2">
      <c r="A2665" s="121">
        <v>2105800</v>
      </c>
      <c r="B2665" s="119" t="s">
        <v>1690</v>
      </c>
    </row>
    <row r="2666" spans="1:2">
      <c r="A2666" s="121">
        <v>2110000</v>
      </c>
      <c r="B2666" s="119" t="s">
        <v>1144</v>
      </c>
    </row>
    <row r="2667" spans="1:2">
      <c r="A2667" s="121">
        <v>2110100</v>
      </c>
      <c r="B2667" s="119" t="s">
        <v>1560</v>
      </c>
    </row>
    <row r="2668" spans="1:2">
      <c r="A2668" s="121">
        <v>2120000</v>
      </c>
      <c r="B2668" s="119" t="s">
        <v>388</v>
      </c>
    </row>
    <row r="2669" spans="1:2">
      <c r="A2669" s="121">
        <v>2120100</v>
      </c>
      <c r="B2669" s="119" t="s">
        <v>388</v>
      </c>
    </row>
    <row r="2670" spans="1:2">
      <c r="A2670" s="121">
        <v>2130000</v>
      </c>
      <c r="B2670" s="119" t="s">
        <v>1545</v>
      </c>
    </row>
    <row r="2671" spans="1:2">
      <c r="A2671" s="121">
        <v>2130200</v>
      </c>
      <c r="B2671" s="119" t="s">
        <v>1118</v>
      </c>
    </row>
    <row r="2672" spans="1:2">
      <c r="A2672" s="121">
        <v>2140000</v>
      </c>
      <c r="B2672" s="119" t="s">
        <v>1351</v>
      </c>
    </row>
    <row r="2673" spans="1:2">
      <c r="A2673" s="121">
        <v>2140100</v>
      </c>
      <c r="B2673" s="119" t="s">
        <v>497</v>
      </c>
    </row>
    <row r="2674" spans="1:2">
      <c r="A2674" s="121">
        <v>2140200</v>
      </c>
      <c r="B2674" s="119" t="s">
        <v>650</v>
      </c>
    </row>
    <row r="2675" spans="1:2">
      <c r="A2675" s="121">
        <v>2140400</v>
      </c>
      <c r="B2675" s="119" t="s">
        <v>222</v>
      </c>
    </row>
    <row r="2676" spans="1:2">
      <c r="A2676" s="121">
        <v>2140500</v>
      </c>
      <c r="B2676" s="119" t="s">
        <v>1339</v>
      </c>
    </row>
    <row r="2677" spans="1:2">
      <c r="A2677" s="121">
        <v>2140600</v>
      </c>
      <c r="B2677" s="119" t="s">
        <v>223</v>
      </c>
    </row>
    <row r="2678" spans="1:2">
      <c r="A2678" s="121">
        <v>2140700</v>
      </c>
      <c r="B2678" s="119" t="s">
        <v>1539</v>
      </c>
    </row>
    <row r="2679" spans="1:2">
      <c r="A2679" s="121">
        <v>2140800</v>
      </c>
      <c r="B2679" s="119" t="s">
        <v>1588</v>
      </c>
    </row>
    <row r="2680" spans="1:2">
      <c r="A2680" s="121">
        <v>2140900</v>
      </c>
      <c r="B2680" s="119" t="s">
        <v>1119</v>
      </c>
    </row>
    <row r="2681" spans="1:2">
      <c r="A2681" s="121">
        <v>2141000</v>
      </c>
      <c r="B2681" s="119" t="s">
        <v>87</v>
      </c>
    </row>
    <row r="2682" spans="1:2">
      <c r="A2682" s="121">
        <v>2143000</v>
      </c>
      <c r="B2682" s="119" t="s">
        <v>88</v>
      </c>
    </row>
    <row r="2683" spans="1:2">
      <c r="A2683" s="121">
        <v>2146500</v>
      </c>
      <c r="B2683" s="119" t="s">
        <v>46</v>
      </c>
    </row>
    <row r="2684" spans="1:2">
      <c r="A2684" s="121">
        <v>2147000</v>
      </c>
      <c r="B2684" s="119" t="s">
        <v>1488</v>
      </c>
    </row>
    <row r="2685" spans="1:2" ht="25.5">
      <c r="A2685" s="121">
        <v>2149300</v>
      </c>
      <c r="B2685" s="119" t="s">
        <v>554</v>
      </c>
    </row>
    <row r="2686" spans="1:2">
      <c r="A2686" s="121">
        <v>2149400</v>
      </c>
      <c r="B2686" s="119" t="s">
        <v>4</v>
      </c>
    </row>
    <row r="2687" spans="1:2">
      <c r="A2687" s="121">
        <v>2150000</v>
      </c>
      <c r="B2687" s="119" t="s">
        <v>35</v>
      </c>
    </row>
    <row r="2688" spans="1:2">
      <c r="A2688" s="121">
        <v>2150100</v>
      </c>
      <c r="B2688" s="119" t="s">
        <v>89</v>
      </c>
    </row>
    <row r="2689" spans="1:2">
      <c r="A2689" s="121">
        <v>2155800</v>
      </c>
      <c r="B2689" s="119" t="s">
        <v>1690</v>
      </c>
    </row>
    <row r="2690" spans="1:2">
      <c r="A2690" s="121">
        <v>2156700</v>
      </c>
      <c r="B2690" s="119" t="s">
        <v>170</v>
      </c>
    </row>
    <row r="2691" spans="1:2">
      <c r="A2691" s="121">
        <v>2156800</v>
      </c>
      <c r="B2691" s="119" t="s">
        <v>68</v>
      </c>
    </row>
    <row r="2692" spans="1:2">
      <c r="A2692" s="121">
        <v>2156801</v>
      </c>
      <c r="B2692" s="119" t="s">
        <v>539</v>
      </c>
    </row>
    <row r="2693" spans="1:2" ht="25.5">
      <c r="A2693" s="121">
        <v>2156802</v>
      </c>
      <c r="B2693" s="119" t="s">
        <v>765</v>
      </c>
    </row>
    <row r="2694" spans="1:2">
      <c r="A2694" s="121">
        <v>2157100</v>
      </c>
      <c r="B2694" s="119" t="s">
        <v>1489</v>
      </c>
    </row>
    <row r="2695" spans="1:2">
      <c r="A2695" s="121">
        <v>2157101</v>
      </c>
      <c r="B2695" s="119" t="s">
        <v>1096</v>
      </c>
    </row>
    <row r="2696" spans="1:2">
      <c r="A2696" s="121">
        <v>2157102</v>
      </c>
      <c r="B2696" s="119" t="s">
        <v>1385</v>
      </c>
    </row>
    <row r="2697" spans="1:2">
      <c r="A2697" s="121">
        <v>2157103</v>
      </c>
      <c r="B2697" s="119" t="s">
        <v>1386</v>
      </c>
    </row>
    <row r="2698" spans="1:2">
      <c r="A2698" s="121">
        <v>2157200</v>
      </c>
      <c r="B2698" s="119" t="s">
        <v>836</v>
      </c>
    </row>
    <row r="2699" spans="1:2">
      <c r="A2699" s="121">
        <v>2157201</v>
      </c>
      <c r="B2699" s="119" t="s">
        <v>12</v>
      </c>
    </row>
    <row r="2700" spans="1:2">
      <c r="A2700" s="121">
        <v>2157202</v>
      </c>
      <c r="B2700" s="119" t="s">
        <v>13</v>
      </c>
    </row>
    <row r="2701" spans="1:2">
      <c r="A2701" s="121">
        <v>2157203</v>
      </c>
      <c r="B2701" s="119" t="s">
        <v>1687</v>
      </c>
    </row>
    <row r="2702" spans="1:2">
      <c r="A2702" s="121">
        <v>2157600</v>
      </c>
      <c r="B2702" s="119" t="s">
        <v>1020</v>
      </c>
    </row>
    <row r="2703" spans="1:2">
      <c r="A2703" s="121">
        <v>2159900</v>
      </c>
      <c r="B2703" s="119" t="s">
        <v>174</v>
      </c>
    </row>
    <row r="2704" spans="1:2">
      <c r="A2704" s="121">
        <v>2160000</v>
      </c>
      <c r="B2704" s="119" t="s">
        <v>90</v>
      </c>
    </row>
    <row r="2705" spans="1:2">
      <c r="A2705" s="121">
        <v>2166700</v>
      </c>
      <c r="B2705" s="119" t="s">
        <v>170</v>
      </c>
    </row>
    <row r="2706" spans="1:2">
      <c r="A2706" s="121">
        <v>2167100</v>
      </c>
      <c r="B2706" s="119" t="s">
        <v>1489</v>
      </c>
    </row>
    <row r="2707" spans="1:2">
      <c r="A2707" s="121">
        <v>2167101</v>
      </c>
      <c r="B2707" s="119" t="s">
        <v>1096</v>
      </c>
    </row>
    <row r="2708" spans="1:2">
      <c r="A2708" s="121">
        <v>2167102</v>
      </c>
      <c r="B2708" s="119" t="s">
        <v>1385</v>
      </c>
    </row>
    <row r="2709" spans="1:2">
      <c r="A2709" s="121">
        <v>2167103</v>
      </c>
      <c r="B2709" s="119" t="s">
        <v>1386</v>
      </c>
    </row>
    <row r="2710" spans="1:2">
      <c r="A2710" s="121">
        <v>2167200</v>
      </c>
      <c r="B2710" s="119" t="s">
        <v>836</v>
      </c>
    </row>
    <row r="2711" spans="1:2">
      <c r="A2711" s="121">
        <v>2167201</v>
      </c>
      <c r="B2711" s="119" t="s">
        <v>12</v>
      </c>
    </row>
    <row r="2712" spans="1:2">
      <c r="A2712" s="121">
        <v>2167202</v>
      </c>
      <c r="B2712" s="119" t="s">
        <v>13</v>
      </c>
    </row>
    <row r="2713" spans="1:2">
      <c r="A2713" s="121">
        <v>2167203</v>
      </c>
      <c r="B2713" s="119" t="s">
        <v>1687</v>
      </c>
    </row>
    <row r="2714" spans="1:2">
      <c r="A2714" s="121">
        <v>2170000</v>
      </c>
      <c r="B2714" s="119" t="s">
        <v>91</v>
      </c>
    </row>
    <row r="2715" spans="1:2">
      <c r="A2715" s="121">
        <v>2180000</v>
      </c>
      <c r="B2715" s="119" t="s">
        <v>960</v>
      </c>
    </row>
    <row r="2716" spans="1:2" ht="25.5">
      <c r="A2716" s="121">
        <v>2180100</v>
      </c>
      <c r="B2716" s="119" t="s">
        <v>1572</v>
      </c>
    </row>
    <row r="2717" spans="1:2" ht="25.5">
      <c r="A2717" s="121">
        <v>2180200</v>
      </c>
      <c r="B2717" s="119" t="s">
        <v>65</v>
      </c>
    </row>
    <row r="2718" spans="1:2" ht="25.5">
      <c r="A2718" s="121">
        <v>2180300</v>
      </c>
      <c r="B2718" s="119" t="s">
        <v>92</v>
      </c>
    </row>
    <row r="2719" spans="1:2">
      <c r="A2719" s="121">
        <v>2190000</v>
      </c>
      <c r="B2719" s="119" t="s">
        <v>961</v>
      </c>
    </row>
    <row r="2720" spans="1:2">
      <c r="A2720" s="121">
        <v>2190100</v>
      </c>
      <c r="B2720" s="119" t="s">
        <v>1676</v>
      </c>
    </row>
    <row r="2721" spans="1:2">
      <c r="A2721" s="121">
        <v>2200000</v>
      </c>
      <c r="B2721" s="119" t="s">
        <v>1135</v>
      </c>
    </row>
    <row r="2722" spans="1:2">
      <c r="A2722" s="121">
        <v>2200100</v>
      </c>
      <c r="B2722" s="119" t="s">
        <v>1677</v>
      </c>
    </row>
    <row r="2723" spans="1:2">
      <c r="A2723" s="121">
        <v>2200200</v>
      </c>
      <c r="B2723" s="119" t="s">
        <v>823</v>
      </c>
    </row>
    <row r="2724" spans="1:2">
      <c r="A2724" s="121">
        <v>2200300</v>
      </c>
      <c r="B2724" s="119" t="s">
        <v>29</v>
      </c>
    </row>
    <row r="2725" spans="1:2">
      <c r="A2725" s="121">
        <v>2200400</v>
      </c>
      <c r="B2725" s="119" t="s">
        <v>30</v>
      </c>
    </row>
    <row r="2726" spans="1:2">
      <c r="A2726" s="121">
        <v>2200500</v>
      </c>
      <c r="B2726" s="119" t="s">
        <v>93</v>
      </c>
    </row>
    <row r="2727" spans="1:2">
      <c r="A2727" s="121">
        <v>2200600</v>
      </c>
      <c r="B2727" s="119" t="s">
        <v>487</v>
      </c>
    </row>
    <row r="2728" spans="1:2">
      <c r="A2728" s="121">
        <v>2210000</v>
      </c>
      <c r="B2728" s="119" t="s">
        <v>1337</v>
      </c>
    </row>
    <row r="2729" spans="1:2">
      <c r="A2729" s="121">
        <v>2210100</v>
      </c>
      <c r="B2729" s="119" t="s">
        <v>581</v>
      </c>
    </row>
    <row r="2730" spans="1:2">
      <c r="A2730" s="121">
        <v>2219900</v>
      </c>
      <c r="B2730" s="119" t="s">
        <v>174</v>
      </c>
    </row>
    <row r="2731" spans="1:2" ht="25.5">
      <c r="A2731" s="121">
        <v>2220000</v>
      </c>
      <c r="B2731" s="119" t="s">
        <v>582</v>
      </c>
    </row>
    <row r="2732" spans="1:2">
      <c r="A2732" s="121">
        <v>2220100</v>
      </c>
      <c r="B2732" s="119" t="s">
        <v>97</v>
      </c>
    </row>
    <row r="2733" spans="1:2" ht="25.5">
      <c r="A2733" s="121">
        <v>2220200</v>
      </c>
      <c r="B2733" s="119" t="s">
        <v>441</v>
      </c>
    </row>
    <row r="2734" spans="1:2" ht="25.5">
      <c r="A2734" s="121">
        <v>2220300</v>
      </c>
      <c r="B2734" s="119" t="s">
        <v>488</v>
      </c>
    </row>
    <row r="2735" spans="1:2">
      <c r="A2735" s="121">
        <v>2230000</v>
      </c>
      <c r="B2735" s="119" t="s">
        <v>655</v>
      </c>
    </row>
    <row r="2736" spans="1:2">
      <c r="A2736" s="121">
        <v>2230100</v>
      </c>
      <c r="B2736" s="119" t="s">
        <v>1300</v>
      </c>
    </row>
    <row r="2737" spans="1:2" ht="25.5">
      <c r="A2737" s="121">
        <v>2240000</v>
      </c>
      <c r="B2737" s="119" t="s">
        <v>1117</v>
      </c>
    </row>
    <row r="2738" spans="1:2">
      <c r="A2738" s="121">
        <v>2240100</v>
      </c>
      <c r="B2738" s="119" t="s">
        <v>489</v>
      </c>
    </row>
    <row r="2739" spans="1:2">
      <c r="A2739" s="121">
        <v>2240200</v>
      </c>
      <c r="B2739" s="119" t="s">
        <v>490</v>
      </c>
    </row>
    <row r="2740" spans="1:2">
      <c r="A2740" s="121">
        <v>2240300</v>
      </c>
      <c r="B2740" s="119" t="s">
        <v>491</v>
      </c>
    </row>
    <row r="2741" spans="1:2">
      <c r="A2741" s="121">
        <v>2400000</v>
      </c>
      <c r="B2741" s="119" t="s">
        <v>492</v>
      </c>
    </row>
    <row r="2742" spans="1:2">
      <c r="A2742" s="121">
        <v>2400100</v>
      </c>
      <c r="B2742" s="119" t="s">
        <v>493</v>
      </c>
    </row>
    <row r="2743" spans="1:2">
      <c r="A2743" s="121">
        <v>2400101</v>
      </c>
      <c r="B2743" s="119" t="s">
        <v>1606</v>
      </c>
    </row>
    <row r="2744" spans="1:2">
      <c r="A2744" s="121">
        <v>2470000</v>
      </c>
      <c r="B2744" s="119" t="s">
        <v>1296</v>
      </c>
    </row>
    <row r="2745" spans="1:2" ht="25.5">
      <c r="A2745" s="121">
        <v>2470100</v>
      </c>
      <c r="B2745" s="119" t="s">
        <v>1428</v>
      </c>
    </row>
    <row r="2746" spans="1:2">
      <c r="A2746" s="121">
        <v>2470200</v>
      </c>
      <c r="B2746" s="119" t="s">
        <v>1429</v>
      </c>
    </row>
    <row r="2747" spans="1:2">
      <c r="A2747" s="121">
        <v>2470700</v>
      </c>
      <c r="B2747" s="119" t="s">
        <v>1427</v>
      </c>
    </row>
    <row r="2748" spans="1:2">
      <c r="A2748" s="121">
        <v>2476300</v>
      </c>
      <c r="B2748" s="119" t="s">
        <v>476</v>
      </c>
    </row>
    <row r="2749" spans="1:2">
      <c r="A2749" s="121">
        <v>2476500</v>
      </c>
      <c r="B2749" s="119" t="s">
        <v>46</v>
      </c>
    </row>
    <row r="2750" spans="1:2">
      <c r="A2750" s="121">
        <v>2476600</v>
      </c>
      <c r="B2750" s="119" t="s">
        <v>326</v>
      </c>
    </row>
    <row r="2751" spans="1:2">
      <c r="A2751" s="121">
        <v>2476700</v>
      </c>
      <c r="B2751" s="119" t="s">
        <v>170</v>
      </c>
    </row>
    <row r="2752" spans="1:2">
      <c r="A2752" s="121">
        <v>2479900</v>
      </c>
      <c r="B2752" s="119" t="s">
        <v>174</v>
      </c>
    </row>
    <row r="2753" spans="1:2">
      <c r="A2753" s="121">
        <v>2480000</v>
      </c>
      <c r="B2753" s="119" t="s">
        <v>200</v>
      </c>
    </row>
    <row r="2754" spans="1:2">
      <c r="A2754" s="121">
        <v>2480100</v>
      </c>
      <c r="B2754" s="119" t="s">
        <v>1486</v>
      </c>
    </row>
    <row r="2755" spans="1:2" ht="25.5">
      <c r="A2755" s="121">
        <v>2480200</v>
      </c>
      <c r="B2755" s="119" t="s">
        <v>1017</v>
      </c>
    </row>
    <row r="2756" spans="1:2">
      <c r="A2756" s="121">
        <v>2480300</v>
      </c>
      <c r="B2756" s="119" t="s">
        <v>203</v>
      </c>
    </row>
    <row r="2757" spans="1:2" ht="63.75">
      <c r="A2757" s="121">
        <v>2480400</v>
      </c>
      <c r="B2757" s="120" t="s">
        <v>1927</v>
      </c>
    </row>
    <row r="2758" spans="1:2">
      <c r="A2758" s="121">
        <v>2488300</v>
      </c>
      <c r="B2758" s="119" t="s">
        <v>204</v>
      </c>
    </row>
    <row r="2759" spans="1:2">
      <c r="A2759" s="121">
        <v>2490000</v>
      </c>
      <c r="B2759" s="119" t="s">
        <v>1111</v>
      </c>
    </row>
    <row r="2760" spans="1:2" ht="25.5">
      <c r="A2760" s="121">
        <v>2490100</v>
      </c>
      <c r="B2760" s="119" t="s">
        <v>1928</v>
      </c>
    </row>
    <row r="2761" spans="1:2">
      <c r="A2761" s="121">
        <v>2490200</v>
      </c>
      <c r="B2761" s="119" t="s">
        <v>1929</v>
      </c>
    </row>
    <row r="2762" spans="1:2">
      <c r="A2762" s="121">
        <v>2500000</v>
      </c>
      <c r="B2762" s="119" t="s">
        <v>1112</v>
      </c>
    </row>
    <row r="2763" spans="1:2">
      <c r="A2763" s="121">
        <v>2500100</v>
      </c>
      <c r="B2763" s="119" t="s">
        <v>1538</v>
      </c>
    </row>
    <row r="2764" spans="1:2">
      <c r="A2764" s="121">
        <v>2510000</v>
      </c>
      <c r="B2764" s="119" t="s">
        <v>1113</v>
      </c>
    </row>
    <row r="2765" spans="1:2">
      <c r="A2765" s="121">
        <v>2519900</v>
      </c>
      <c r="B2765" s="119" t="s">
        <v>174</v>
      </c>
    </row>
    <row r="2766" spans="1:2">
      <c r="A2766" s="121">
        <v>2520000</v>
      </c>
      <c r="B2766" s="119" t="s">
        <v>1930</v>
      </c>
    </row>
    <row r="2767" spans="1:2">
      <c r="A2767" s="121">
        <v>2529900</v>
      </c>
      <c r="B2767" s="119" t="s">
        <v>174</v>
      </c>
    </row>
    <row r="2768" spans="1:2">
      <c r="A2768" s="121">
        <v>2530000</v>
      </c>
      <c r="B2768" s="119" t="s">
        <v>1703</v>
      </c>
    </row>
    <row r="2769" spans="1:2">
      <c r="A2769" s="121">
        <v>2539900</v>
      </c>
      <c r="B2769" s="119" t="s">
        <v>174</v>
      </c>
    </row>
    <row r="2770" spans="1:2">
      <c r="A2770" s="121">
        <v>2540000</v>
      </c>
      <c r="B2770" s="119" t="s">
        <v>1931</v>
      </c>
    </row>
    <row r="2771" spans="1:2" ht="25.5">
      <c r="A2771" s="121">
        <v>2540100</v>
      </c>
      <c r="B2771" s="119" t="s">
        <v>1475</v>
      </c>
    </row>
    <row r="2772" spans="1:2">
      <c r="A2772" s="121">
        <v>2600000</v>
      </c>
      <c r="B2772" s="119" t="s">
        <v>1678</v>
      </c>
    </row>
    <row r="2773" spans="1:2" ht="63.75">
      <c r="A2773" s="121">
        <v>2600100</v>
      </c>
      <c r="B2773" s="120" t="s">
        <v>333</v>
      </c>
    </row>
    <row r="2774" spans="1:2" ht="51">
      <c r="A2774" s="121">
        <v>2600200</v>
      </c>
      <c r="B2774" s="120" t="s">
        <v>1518</v>
      </c>
    </row>
    <row r="2775" spans="1:2" ht="38.25">
      <c r="A2775" s="121">
        <v>2600300</v>
      </c>
      <c r="B2775" s="120" t="s">
        <v>1694</v>
      </c>
    </row>
    <row r="2776" spans="1:2">
      <c r="A2776" s="121">
        <v>2600400</v>
      </c>
      <c r="B2776" s="119" t="s">
        <v>1519</v>
      </c>
    </row>
    <row r="2777" spans="1:2" ht="51">
      <c r="A2777" s="121">
        <v>2600500</v>
      </c>
      <c r="B2777" s="120" t="s">
        <v>501</v>
      </c>
    </row>
    <row r="2778" spans="1:2">
      <c r="A2778" s="121">
        <v>2600600</v>
      </c>
      <c r="B2778" s="119" t="s">
        <v>44</v>
      </c>
    </row>
    <row r="2779" spans="1:2">
      <c r="A2779" s="121">
        <v>2600700</v>
      </c>
      <c r="B2779" s="119" t="s">
        <v>1303</v>
      </c>
    </row>
    <row r="2780" spans="1:2">
      <c r="A2780" s="121">
        <v>2600800</v>
      </c>
      <c r="B2780" s="119" t="s">
        <v>95</v>
      </c>
    </row>
    <row r="2781" spans="1:2">
      <c r="A2781" s="121">
        <v>2600900</v>
      </c>
      <c r="B2781" s="119" t="s">
        <v>494</v>
      </c>
    </row>
    <row r="2782" spans="1:2">
      <c r="A2782" s="121">
        <v>2601000</v>
      </c>
      <c r="B2782" s="119" t="s">
        <v>100</v>
      </c>
    </row>
    <row r="2783" spans="1:2" ht="25.5">
      <c r="A2783" s="121">
        <v>2601100</v>
      </c>
      <c r="B2783" s="119" t="s">
        <v>752</v>
      </c>
    </row>
    <row r="2784" spans="1:2">
      <c r="A2784" s="121">
        <v>2601200</v>
      </c>
      <c r="B2784" s="119" t="s">
        <v>753</v>
      </c>
    </row>
    <row r="2785" spans="1:2">
      <c r="A2785" s="121">
        <v>2601300</v>
      </c>
      <c r="B2785" s="119" t="s">
        <v>754</v>
      </c>
    </row>
    <row r="2786" spans="1:2" ht="63.75">
      <c r="A2786" s="121">
        <v>2601400</v>
      </c>
      <c r="B2786" s="120" t="s">
        <v>234</v>
      </c>
    </row>
    <row r="2787" spans="1:2" ht="63.75">
      <c r="A2787" s="121">
        <v>2601500</v>
      </c>
      <c r="B2787" s="120" t="s">
        <v>1695</v>
      </c>
    </row>
    <row r="2788" spans="1:2" ht="25.5">
      <c r="A2788" s="121">
        <v>2602400</v>
      </c>
      <c r="B2788" s="119" t="s">
        <v>1176</v>
      </c>
    </row>
    <row r="2789" spans="1:2" ht="25.5">
      <c r="A2789" s="121">
        <v>2610000</v>
      </c>
      <c r="B2789" s="119" t="s">
        <v>1177</v>
      </c>
    </row>
    <row r="2790" spans="1:2">
      <c r="A2790" s="121">
        <v>2619900</v>
      </c>
      <c r="B2790" s="119" t="s">
        <v>174</v>
      </c>
    </row>
    <row r="2791" spans="1:2">
      <c r="A2791" s="121">
        <v>2620000</v>
      </c>
      <c r="B2791" s="119" t="s">
        <v>873</v>
      </c>
    </row>
    <row r="2792" spans="1:2" ht="25.5">
      <c r="A2792" s="121">
        <v>2620100</v>
      </c>
      <c r="B2792" s="119" t="s">
        <v>1178</v>
      </c>
    </row>
    <row r="2793" spans="1:2">
      <c r="A2793" s="121">
        <v>2620200</v>
      </c>
      <c r="B2793" s="119" t="s">
        <v>499</v>
      </c>
    </row>
    <row r="2794" spans="1:2">
      <c r="A2794" s="121">
        <v>2630000</v>
      </c>
      <c r="B2794" s="119" t="s">
        <v>985</v>
      </c>
    </row>
    <row r="2795" spans="1:2">
      <c r="A2795" s="121">
        <v>2639900</v>
      </c>
      <c r="B2795" s="119" t="s">
        <v>174</v>
      </c>
    </row>
    <row r="2796" spans="1:2">
      <c r="A2796" s="121">
        <v>2640000</v>
      </c>
      <c r="B2796" s="119" t="s">
        <v>500</v>
      </c>
    </row>
    <row r="2797" spans="1:2">
      <c r="A2797" s="121">
        <v>2640100</v>
      </c>
      <c r="B2797" s="119" t="s">
        <v>1179</v>
      </c>
    </row>
    <row r="2798" spans="1:2" ht="25.5">
      <c r="A2798" s="121">
        <v>2640200</v>
      </c>
      <c r="B2798" s="119" t="s">
        <v>1180</v>
      </c>
    </row>
    <row r="2799" spans="1:2">
      <c r="A2799" s="121">
        <v>2649900</v>
      </c>
      <c r="B2799" s="119" t="s">
        <v>174</v>
      </c>
    </row>
    <row r="2800" spans="1:2">
      <c r="A2800" s="121">
        <v>2650000</v>
      </c>
      <c r="B2800" s="119" t="s">
        <v>1181</v>
      </c>
    </row>
    <row r="2801" spans="1:2">
      <c r="A2801" s="121">
        <v>2659900</v>
      </c>
      <c r="B2801" s="119" t="s">
        <v>174</v>
      </c>
    </row>
    <row r="2802" spans="1:2" ht="25.5">
      <c r="A2802" s="121">
        <v>2660000</v>
      </c>
      <c r="B2802" s="119" t="s">
        <v>1182</v>
      </c>
    </row>
    <row r="2803" spans="1:2">
      <c r="A2803" s="121">
        <v>2669900</v>
      </c>
      <c r="B2803" s="119" t="s">
        <v>174</v>
      </c>
    </row>
    <row r="2804" spans="1:2" ht="25.5">
      <c r="A2804" s="121">
        <v>2670000</v>
      </c>
      <c r="B2804" s="119" t="s">
        <v>1215</v>
      </c>
    </row>
    <row r="2805" spans="1:2">
      <c r="A2805" s="121">
        <v>2670100</v>
      </c>
      <c r="B2805" s="119" t="s">
        <v>82</v>
      </c>
    </row>
    <row r="2806" spans="1:2" ht="25.5">
      <c r="A2806" s="121">
        <v>2670400</v>
      </c>
      <c r="B2806" s="119" t="s">
        <v>1216</v>
      </c>
    </row>
    <row r="2807" spans="1:2">
      <c r="A2807" s="121">
        <v>2670402</v>
      </c>
      <c r="B2807" s="119" t="s">
        <v>1519</v>
      </c>
    </row>
    <row r="2808" spans="1:2">
      <c r="A2808" s="121">
        <v>2670403</v>
      </c>
      <c r="B2808" s="119" t="s">
        <v>237</v>
      </c>
    </row>
    <row r="2809" spans="1:2">
      <c r="A2809" s="121">
        <v>2670500</v>
      </c>
      <c r="B2809" s="119" t="s">
        <v>238</v>
      </c>
    </row>
    <row r="2810" spans="1:2" ht="51">
      <c r="A2810" s="121">
        <v>2670501</v>
      </c>
      <c r="B2810" s="120" t="s">
        <v>239</v>
      </c>
    </row>
    <row r="2811" spans="1:2">
      <c r="A2811" s="121">
        <v>2670502</v>
      </c>
      <c r="B2811" s="119" t="s">
        <v>240</v>
      </c>
    </row>
    <row r="2812" spans="1:2">
      <c r="A2812" s="121">
        <v>2670503</v>
      </c>
      <c r="B2812" s="119" t="s">
        <v>283</v>
      </c>
    </row>
    <row r="2813" spans="1:2" ht="25.5">
      <c r="A2813" s="121">
        <v>2670504</v>
      </c>
      <c r="B2813" s="119" t="s">
        <v>284</v>
      </c>
    </row>
    <row r="2814" spans="1:2">
      <c r="A2814" s="121">
        <v>2670505</v>
      </c>
      <c r="B2814" s="119" t="s">
        <v>285</v>
      </c>
    </row>
    <row r="2815" spans="1:2">
      <c r="A2815" s="121">
        <v>2670506</v>
      </c>
      <c r="B2815" s="119" t="s">
        <v>286</v>
      </c>
    </row>
    <row r="2816" spans="1:2" ht="25.5">
      <c r="A2816" s="121">
        <v>2670507</v>
      </c>
      <c r="B2816" s="119" t="s">
        <v>287</v>
      </c>
    </row>
    <row r="2817" spans="1:2">
      <c r="A2817" s="121">
        <v>2670508</v>
      </c>
      <c r="B2817" s="119" t="s">
        <v>250</v>
      </c>
    </row>
    <row r="2818" spans="1:2">
      <c r="A2818" s="121">
        <v>2670509</v>
      </c>
      <c r="B2818" s="119" t="s">
        <v>251</v>
      </c>
    </row>
    <row r="2819" spans="1:2" ht="63.75">
      <c r="A2819" s="121">
        <v>2670510</v>
      </c>
      <c r="B2819" s="120" t="s">
        <v>130</v>
      </c>
    </row>
    <row r="2820" spans="1:2">
      <c r="A2820" s="121">
        <v>2670511</v>
      </c>
      <c r="B2820" s="119" t="s">
        <v>131</v>
      </c>
    </row>
    <row r="2821" spans="1:2" ht="63.75">
      <c r="A2821" s="121">
        <v>2670513</v>
      </c>
      <c r="B2821" s="120" t="s">
        <v>132</v>
      </c>
    </row>
    <row r="2822" spans="1:2">
      <c r="A2822" s="121">
        <v>2670514</v>
      </c>
      <c r="B2822" s="119" t="s">
        <v>133</v>
      </c>
    </row>
    <row r="2823" spans="1:2">
      <c r="A2823" s="121">
        <v>2670515</v>
      </c>
      <c r="B2823" s="119" t="s">
        <v>134</v>
      </c>
    </row>
    <row r="2824" spans="1:2" ht="25.5">
      <c r="A2824" s="121">
        <v>2670600</v>
      </c>
      <c r="B2824" s="119" t="s">
        <v>135</v>
      </c>
    </row>
    <row r="2825" spans="1:2">
      <c r="A2825" s="121">
        <v>2700000</v>
      </c>
      <c r="B2825" s="119" t="s">
        <v>249</v>
      </c>
    </row>
    <row r="2826" spans="1:2">
      <c r="A2826" s="121">
        <v>2700100</v>
      </c>
      <c r="B2826" s="119" t="s">
        <v>83</v>
      </c>
    </row>
    <row r="2827" spans="1:2">
      <c r="A2827" s="121">
        <v>2700200</v>
      </c>
      <c r="B2827" s="119" t="s">
        <v>796</v>
      </c>
    </row>
    <row r="2828" spans="1:2">
      <c r="A2828" s="121">
        <v>2700300</v>
      </c>
      <c r="B2828" s="119" t="s">
        <v>136</v>
      </c>
    </row>
    <row r="2829" spans="1:2">
      <c r="A2829" s="121">
        <v>2700400</v>
      </c>
      <c r="B2829" s="119" t="s">
        <v>1138</v>
      </c>
    </row>
    <row r="2830" spans="1:2" ht="38.25">
      <c r="A2830" s="121">
        <v>2700500</v>
      </c>
      <c r="B2830" s="120" t="s">
        <v>137</v>
      </c>
    </row>
    <row r="2831" spans="1:2" ht="38.25">
      <c r="A2831" s="121">
        <v>2700600</v>
      </c>
      <c r="B2831" s="120" t="s">
        <v>311</v>
      </c>
    </row>
    <row r="2832" spans="1:2" ht="38.25">
      <c r="A2832" s="121">
        <v>2700700</v>
      </c>
      <c r="B2832" s="120" t="s">
        <v>312</v>
      </c>
    </row>
    <row r="2833" spans="1:2">
      <c r="A2833" s="121">
        <v>2710000</v>
      </c>
      <c r="B2833" s="119" t="s">
        <v>902</v>
      </c>
    </row>
    <row r="2834" spans="1:2">
      <c r="A2834" s="121">
        <v>2710100</v>
      </c>
      <c r="B2834" s="119" t="s">
        <v>215</v>
      </c>
    </row>
    <row r="2835" spans="1:2">
      <c r="A2835" s="121">
        <v>2719900</v>
      </c>
      <c r="B2835" s="119" t="s">
        <v>174</v>
      </c>
    </row>
    <row r="2836" spans="1:2">
      <c r="A2836" s="121">
        <v>2800000</v>
      </c>
      <c r="B2836" s="119" t="s">
        <v>903</v>
      </c>
    </row>
    <row r="2837" spans="1:2">
      <c r="A2837" s="121">
        <v>2800100</v>
      </c>
      <c r="B2837" s="119" t="s">
        <v>6</v>
      </c>
    </row>
    <row r="2838" spans="1:2">
      <c r="A2838" s="121">
        <v>2800200</v>
      </c>
      <c r="B2838" s="119" t="s">
        <v>706</v>
      </c>
    </row>
    <row r="2839" spans="1:2" ht="25.5">
      <c r="A2839" s="121">
        <v>2800300</v>
      </c>
      <c r="B2839" s="119" t="s">
        <v>1544</v>
      </c>
    </row>
    <row r="2840" spans="1:2">
      <c r="A2840" s="121">
        <v>2800400</v>
      </c>
      <c r="B2840" s="119" t="s">
        <v>1297</v>
      </c>
    </row>
    <row r="2841" spans="1:2">
      <c r="A2841" s="121">
        <v>2800500</v>
      </c>
      <c r="B2841" s="119" t="s">
        <v>313</v>
      </c>
    </row>
    <row r="2842" spans="1:2">
      <c r="A2842" s="121">
        <v>2810000</v>
      </c>
      <c r="B2842" s="119" t="s">
        <v>801</v>
      </c>
    </row>
    <row r="2843" spans="1:2">
      <c r="A2843" s="121">
        <v>2819900</v>
      </c>
      <c r="B2843" s="119" t="s">
        <v>174</v>
      </c>
    </row>
    <row r="2844" spans="1:2">
      <c r="A2844" s="121">
        <v>2910000</v>
      </c>
      <c r="B2844" s="119" t="s">
        <v>126</v>
      </c>
    </row>
    <row r="2845" spans="1:2">
      <c r="A2845" s="121">
        <v>2919900</v>
      </c>
      <c r="B2845" s="119" t="s">
        <v>174</v>
      </c>
    </row>
    <row r="2846" spans="1:2">
      <c r="A2846" s="121">
        <v>2920000</v>
      </c>
      <c r="B2846" s="119" t="s">
        <v>127</v>
      </c>
    </row>
    <row r="2847" spans="1:2">
      <c r="A2847" s="121">
        <v>2920100</v>
      </c>
      <c r="B2847" s="119" t="s">
        <v>1702</v>
      </c>
    </row>
    <row r="2848" spans="1:2">
      <c r="A2848" s="121">
        <v>2920200</v>
      </c>
      <c r="B2848" s="119" t="s">
        <v>943</v>
      </c>
    </row>
    <row r="2849" spans="1:2">
      <c r="A2849" s="121">
        <v>3000000</v>
      </c>
      <c r="B2849" s="119" t="s">
        <v>852</v>
      </c>
    </row>
    <row r="2850" spans="1:2">
      <c r="A2850" s="121">
        <v>3000100</v>
      </c>
      <c r="B2850" s="119" t="s">
        <v>1416</v>
      </c>
    </row>
    <row r="2851" spans="1:2">
      <c r="A2851" s="121">
        <v>3000101</v>
      </c>
      <c r="B2851" s="119" t="s">
        <v>321</v>
      </c>
    </row>
    <row r="2852" spans="1:2">
      <c r="A2852" s="121">
        <v>3000102</v>
      </c>
      <c r="B2852" s="119" t="s">
        <v>683</v>
      </c>
    </row>
    <row r="2853" spans="1:2" ht="38.25">
      <c r="A2853" s="121">
        <v>3000103</v>
      </c>
      <c r="B2853" s="119" t="s">
        <v>944</v>
      </c>
    </row>
    <row r="2854" spans="1:2" ht="25.5">
      <c r="A2854" s="121">
        <v>3000104</v>
      </c>
      <c r="B2854" s="119" t="s">
        <v>1254</v>
      </c>
    </row>
    <row r="2855" spans="1:2">
      <c r="A2855" s="121">
        <v>3000105</v>
      </c>
      <c r="B2855" s="119" t="s">
        <v>1255</v>
      </c>
    </row>
    <row r="2856" spans="1:2">
      <c r="A2856" s="121">
        <v>3000200</v>
      </c>
      <c r="B2856" s="119" t="s">
        <v>684</v>
      </c>
    </row>
    <row r="2857" spans="1:2">
      <c r="A2857" s="121">
        <v>3000201</v>
      </c>
      <c r="B2857" s="119" t="s">
        <v>280</v>
      </c>
    </row>
    <row r="2858" spans="1:2">
      <c r="A2858" s="121">
        <v>3000202</v>
      </c>
      <c r="B2858" s="119" t="s">
        <v>1256</v>
      </c>
    </row>
    <row r="2859" spans="1:2" ht="51">
      <c r="A2859" s="121">
        <v>3000203</v>
      </c>
      <c r="B2859" s="120" t="s">
        <v>949</v>
      </c>
    </row>
    <row r="2860" spans="1:2">
      <c r="A2860" s="121">
        <v>3000204</v>
      </c>
      <c r="B2860" s="119" t="s">
        <v>1257</v>
      </c>
    </row>
    <row r="2861" spans="1:2" ht="25.5">
      <c r="A2861" s="121">
        <v>3000205</v>
      </c>
      <c r="B2861" s="119" t="s">
        <v>1258</v>
      </c>
    </row>
    <row r="2862" spans="1:2" ht="38.25">
      <c r="A2862" s="121">
        <v>3000206</v>
      </c>
      <c r="B2862" s="119" t="s">
        <v>1955</v>
      </c>
    </row>
    <row r="2863" spans="1:2" ht="38.25">
      <c r="A2863" s="121">
        <v>3000207</v>
      </c>
      <c r="B2863" s="120" t="s">
        <v>1259</v>
      </c>
    </row>
    <row r="2864" spans="1:2" ht="25.5">
      <c r="A2864" s="121">
        <v>3000208</v>
      </c>
      <c r="B2864" s="119" t="s">
        <v>1260</v>
      </c>
    </row>
    <row r="2865" spans="1:2" ht="25.5">
      <c r="A2865" s="121">
        <v>3000209</v>
      </c>
      <c r="B2865" s="119" t="s">
        <v>116</v>
      </c>
    </row>
    <row r="2866" spans="1:2" ht="25.5">
      <c r="A2866" s="121">
        <v>3000300</v>
      </c>
      <c r="B2866" s="119" t="s">
        <v>117</v>
      </c>
    </row>
    <row r="2867" spans="1:2">
      <c r="A2867" s="121">
        <v>3010000</v>
      </c>
      <c r="B2867" s="119" t="s">
        <v>950</v>
      </c>
    </row>
    <row r="2868" spans="1:2">
      <c r="A2868" s="121">
        <v>3010100</v>
      </c>
      <c r="B2868" s="119" t="s">
        <v>951</v>
      </c>
    </row>
    <row r="2869" spans="1:2">
      <c r="A2869" s="121">
        <v>3010101</v>
      </c>
      <c r="B2869" s="119" t="s">
        <v>952</v>
      </c>
    </row>
    <row r="2870" spans="1:2">
      <c r="A2870" s="121">
        <v>3010200</v>
      </c>
      <c r="B2870" s="119" t="s">
        <v>8</v>
      </c>
    </row>
    <row r="2871" spans="1:2">
      <c r="A2871" s="121">
        <v>3010201</v>
      </c>
      <c r="B2871" s="119" t="s">
        <v>593</v>
      </c>
    </row>
    <row r="2872" spans="1:2">
      <c r="A2872" s="121">
        <v>3010202</v>
      </c>
      <c r="B2872" s="119" t="s">
        <v>85</v>
      </c>
    </row>
    <row r="2873" spans="1:2">
      <c r="A2873" s="121">
        <v>3010300</v>
      </c>
      <c r="B2873" s="119" t="s">
        <v>755</v>
      </c>
    </row>
    <row r="2874" spans="1:2">
      <c r="A2874" s="121">
        <v>3010301</v>
      </c>
      <c r="B2874" s="119" t="s">
        <v>401</v>
      </c>
    </row>
    <row r="2875" spans="1:2">
      <c r="A2875" s="121">
        <v>3010302</v>
      </c>
      <c r="B2875" s="119" t="s">
        <v>1092</v>
      </c>
    </row>
    <row r="2876" spans="1:2">
      <c r="A2876" s="121">
        <v>3010303</v>
      </c>
      <c r="B2876" s="119" t="s">
        <v>1396</v>
      </c>
    </row>
    <row r="2877" spans="1:2" ht="25.5">
      <c r="A2877" s="121">
        <v>3010304</v>
      </c>
      <c r="B2877" s="119" t="s">
        <v>118</v>
      </c>
    </row>
    <row r="2878" spans="1:2">
      <c r="A2878" s="121">
        <v>3017100</v>
      </c>
      <c r="B2878" s="119" t="s">
        <v>1489</v>
      </c>
    </row>
    <row r="2879" spans="1:2">
      <c r="A2879" s="121">
        <v>3017101</v>
      </c>
      <c r="B2879" s="119" t="s">
        <v>1096</v>
      </c>
    </row>
    <row r="2880" spans="1:2">
      <c r="A2880" s="121">
        <v>3017102</v>
      </c>
      <c r="B2880" s="119" t="s">
        <v>1385</v>
      </c>
    </row>
    <row r="2881" spans="1:2">
      <c r="A2881" s="121">
        <v>3017103</v>
      </c>
      <c r="B2881" s="119" t="s">
        <v>1386</v>
      </c>
    </row>
    <row r="2882" spans="1:2">
      <c r="A2882" s="121">
        <v>3017200</v>
      </c>
      <c r="B2882" s="119" t="s">
        <v>836</v>
      </c>
    </row>
    <row r="2883" spans="1:2">
      <c r="A2883" s="121">
        <v>3017201</v>
      </c>
      <c r="B2883" s="119" t="s">
        <v>12</v>
      </c>
    </row>
    <row r="2884" spans="1:2">
      <c r="A2884" s="121">
        <v>3017202</v>
      </c>
      <c r="B2884" s="119" t="s">
        <v>13</v>
      </c>
    </row>
    <row r="2885" spans="1:2">
      <c r="A2885" s="121">
        <v>3017203</v>
      </c>
      <c r="B2885" s="119" t="s">
        <v>1687</v>
      </c>
    </row>
    <row r="2886" spans="1:2">
      <c r="A2886" s="121">
        <v>3020000</v>
      </c>
      <c r="B2886" s="119" t="s">
        <v>593</v>
      </c>
    </row>
    <row r="2887" spans="1:2">
      <c r="A2887" s="121">
        <v>3020100</v>
      </c>
      <c r="B2887" s="119" t="s">
        <v>657</v>
      </c>
    </row>
    <row r="2888" spans="1:2">
      <c r="A2888" s="121">
        <v>3026800</v>
      </c>
      <c r="B2888" s="119" t="s">
        <v>68</v>
      </c>
    </row>
    <row r="2889" spans="1:2">
      <c r="A2889" s="121">
        <v>3026801</v>
      </c>
      <c r="B2889" s="119" t="s">
        <v>539</v>
      </c>
    </row>
    <row r="2890" spans="1:2" ht="25.5">
      <c r="A2890" s="121">
        <v>3026802</v>
      </c>
      <c r="B2890" s="119" t="s">
        <v>765</v>
      </c>
    </row>
    <row r="2891" spans="1:2">
      <c r="A2891" s="121">
        <v>3027100</v>
      </c>
      <c r="B2891" s="119" t="s">
        <v>1489</v>
      </c>
    </row>
    <row r="2892" spans="1:2">
      <c r="A2892" s="121">
        <v>3027101</v>
      </c>
      <c r="B2892" s="119" t="s">
        <v>1096</v>
      </c>
    </row>
    <row r="2893" spans="1:2">
      <c r="A2893" s="121">
        <v>3027102</v>
      </c>
      <c r="B2893" s="119" t="s">
        <v>1385</v>
      </c>
    </row>
    <row r="2894" spans="1:2">
      <c r="A2894" s="121">
        <v>3027103</v>
      </c>
      <c r="B2894" s="119" t="s">
        <v>1386</v>
      </c>
    </row>
    <row r="2895" spans="1:2">
      <c r="A2895" s="121">
        <v>3027200</v>
      </c>
      <c r="B2895" s="119" t="s">
        <v>836</v>
      </c>
    </row>
    <row r="2896" spans="1:2">
      <c r="A2896" s="121">
        <v>3027201</v>
      </c>
      <c r="B2896" s="119" t="s">
        <v>12</v>
      </c>
    </row>
    <row r="2897" spans="1:2">
      <c r="A2897" s="121">
        <v>3027202</v>
      </c>
      <c r="B2897" s="119" t="s">
        <v>13</v>
      </c>
    </row>
    <row r="2898" spans="1:2">
      <c r="A2898" s="121">
        <v>3027203</v>
      </c>
      <c r="B2898" s="119" t="s">
        <v>1687</v>
      </c>
    </row>
    <row r="2899" spans="1:2">
      <c r="A2899" s="121">
        <v>3029900</v>
      </c>
      <c r="B2899" s="119" t="s">
        <v>174</v>
      </c>
    </row>
    <row r="2900" spans="1:2">
      <c r="A2900" s="121">
        <v>3050000</v>
      </c>
      <c r="B2900" s="119" t="s">
        <v>594</v>
      </c>
    </row>
    <row r="2901" spans="1:2">
      <c r="A2901" s="121">
        <v>3050100</v>
      </c>
      <c r="B2901" s="119" t="s">
        <v>1057</v>
      </c>
    </row>
    <row r="2902" spans="1:2" ht="25.5">
      <c r="A2902" s="121">
        <v>3050101</v>
      </c>
      <c r="B2902" s="119" t="s">
        <v>1295</v>
      </c>
    </row>
    <row r="2903" spans="1:2" ht="38.25">
      <c r="A2903" s="121">
        <v>3050102</v>
      </c>
      <c r="B2903" s="119" t="s">
        <v>762</v>
      </c>
    </row>
    <row r="2904" spans="1:2" ht="38.25">
      <c r="A2904" s="121">
        <v>3050103</v>
      </c>
      <c r="B2904" s="120" t="s">
        <v>119</v>
      </c>
    </row>
    <row r="2905" spans="1:2" ht="38.25">
      <c r="A2905" s="121">
        <v>3050104</v>
      </c>
      <c r="B2905" s="119" t="s">
        <v>138</v>
      </c>
    </row>
    <row r="2906" spans="1:2" ht="63.75">
      <c r="A2906" s="121">
        <v>3050105</v>
      </c>
      <c r="B2906" s="120" t="s">
        <v>566</v>
      </c>
    </row>
    <row r="2907" spans="1:2" ht="25.5">
      <c r="A2907" s="121">
        <v>3050106</v>
      </c>
      <c r="B2907" s="119" t="s">
        <v>1263</v>
      </c>
    </row>
    <row r="2908" spans="1:2" ht="51">
      <c r="A2908" s="121">
        <v>3050107</v>
      </c>
      <c r="B2908" s="120" t="s">
        <v>915</v>
      </c>
    </row>
    <row r="2909" spans="1:2" ht="63.75">
      <c r="A2909" s="121">
        <v>3050108</v>
      </c>
      <c r="B2909" s="120" t="s">
        <v>372</v>
      </c>
    </row>
    <row r="2910" spans="1:2" ht="38.25">
      <c r="A2910" s="121">
        <v>3050112</v>
      </c>
      <c r="B2910" s="119" t="s">
        <v>373</v>
      </c>
    </row>
    <row r="2911" spans="1:2" ht="51">
      <c r="A2911" s="121">
        <v>3050113</v>
      </c>
      <c r="B2911" s="120" t="s">
        <v>181</v>
      </c>
    </row>
    <row r="2912" spans="1:2">
      <c r="A2912" s="121">
        <v>3060000</v>
      </c>
      <c r="B2912" s="119" t="s">
        <v>182</v>
      </c>
    </row>
    <row r="2913" spans="1:2" ht="25.5">
      <c r="A2913" s="121">
        <v>3060100</v>
      </c>
      <c r="B2913" s="119" t="s">
        <v>183</v>
      </c>
    </row>
    <row r="2914" spans="1:2" ht="25.5">
      <c r="A2914" s="121">
        <v>3060200</v>
      </c>
      <c r="B2914" s="119" t="s">
        <v>184</v>
      </c>
    </row>
    <row r="2915" spans="1:2" ht="25.5">
      <c r="A2915" s="121">
        <v>3060300</v>
      </c>
      <c r="B2915" s="119" t="s">
        <v>185</v>
      </c>
    </row>
    <row r="2916" spans="1:2" ht="25.5">
      <c r="A2916" s="121">
        <v>3060400</v>
      </c>
      <c r="B2916" s="119" t="s">
        <v>186</v>
      </c>
    </row>
    <row r="2917" spans="1:2">
      <c r="A2917" s="121">
        <v>3100000</v>
      </c>
      <c r="B2917" s="119" t="s">
        <v>173</v>
      </c>
    </row>
    <row r="2918" spans="1:2">
      <c r="A2918" s="121">
        <v>3100100</v>
      </c>
      <c r="B2918" s="119" t="s">
        <v>763</v>
      </c>
    </row>
    <row r="2919" spans="1:2">
      <c r="A2919" s="121">
        <v>3100101</v>
      </c>
      <c r="B2919" s="119" t="s">
        <v>764</v>
      </c>
    </row>
    <row r="2920" spans="1:2">
      <c r="A2920" s="121">
        <v>3150000</v>
      </c>
      <c r="B2920" s="119" t="s">
        <v>248</v>
      </c>
    </row>
    <row r="2921" spans="1:2">
      <c r="A2921" s="121">
        <v>3150100</v>
      </c>
      <c r="B2921" s="119" t="s">
        <v>187</v>
      </c>
    </row>
    <row r="2922" spans="1:2">
      <c r="A2922" s="121">
        <v>3150101</v>
      </c>
      <c r="B2922" s="119" t="s">
        <v>247</v>
      </c>
    </row>
    <row r="2923" spans="1:2">
      <c r="A2923" s="121">
        <v>3150102</v>
      </c>
      <c r="B2923" s="119" t="s">
        <v>188</v>
      </c>
    </row>
    <row r="2924" spans="1:2">
      <c r="A2924" s="121">
        <v>3150200</v>
      </c>
      <c r="B2924" s="119" t="s">
        <v>1050</v>
      </c>
    </row>
    <row r="2925" spans="1:2" ht="25.5">
      <c r="A2925" s="121">
        <v>3150201</v>
      </c>
      <c r="B2925" s="119" t="s">
        <v>189</v>
      </c>
    </row>
    <row r="2926" spans="1:2">
      <c r="A2926" s="121">
        <v>3150202</v>
      </c>
      <c r="B2926" s="119" t="s">
        <v>607</v>
      </c>
    </row>
    <row r="2927" spans="1:2">
      <c r="A2927" s="121">
        <v>3150203</v>
      </c>
      <c r="B2927" s="119" t="s">
        <v>190</v>
      </c>
    </row>
    <row r="2928" spans="1:2" ht="25.5">
      <c r="A2928" s="121">
        <v>3150204</v>
      </c>
      <c r="B2928" s="119" t="s">
        <v>191</v>
      </c>
    </row>
    <row r="2929" spans="1:2" ht="25.5">
      <c r="A2929" s="121">
        <v>3150205</v>
      </c>
      <c r="B2929" s="119" t="s">
        <v>192</v>
      </c>
    </row>
    <row r="2930" spans="1:2" ht="25.5">
      <c r="A2930" s="121">
        <v>3150206</v>
      </c>
      <c r="B2930" s="119" t="s">
        <v>193</v>
      </c>
    </row>
    <row r="2931" spans="1:2">
      <c r="A2931" s="121">
        <v>3150300</v>
      </c>
      <c r="B2931" s="119" t="s">
        <v>608</v>
      </c>
    </row>
    <row r="2932" spans="1:2" ht="25.5">
      <c r="A2932" s="121">
        <v>3150301</v>
      </c>
      <c r="B2932" s="119" t="s">
        <v>1550</v>
      </c>
    </row>
    <row r="2933" spans="1:2" ht="25.5">
      <c r="A2933" s="121">
        <v>3150302</v>
      </c>
      <c r="B2933" s="119" t="s">
        <v>194</v>
      </c>
    </row>
    <row r="2934" spans="1:2">
      <c r="A2934" s="121">
        <v>3170000</v>
      </c>
      <c r="B2934" s="119" t="s">
        <v>1640</v>
      </c>
    </row>
    <row r="2935" spans="1:2">
      <c r="A2935" s="121">
        <v>3170100</v>
      </c>
      <c r="B2935" s="119" t="s">
        <v>955</v>
      </c>
    </row>
    <row r="2936" spans="1:2" ht="25.5">
      <c r="A2936" s="121">
        <v>3170101</v>
      </c>
      <c r="B2936" s="119" t="s">
        <v>1532</v>
      </c>
    </row>
    <row r="2937" spans="1:2" ht="25.5">
      <c r="A2937" s="121">
        <v>3170110</v>
      </c>
      <c r="B2937" s="119" t="s">
        <v>1338</v>
      </c>
    </row>
    <row r="2938" spans="1:2">
      <c r="A2938" s="121">
        <v>3300000</v>
      </c>
      <c r="B2938" s="119" t="s">
        <v>480</v>
      </c>
    </row>
    <row r="2939" spans="1:2">
      <c r="A2939" s="121">
        <v>3300100</v>
      </c>
      <c r="B2939" s="119" t="s">
        <v>549</v>
      </c>
    </row>
    <row r="2940" spans="1:2" ht="25.5">
      <c r="A2940" s="121">
        <v>3300101</v>
      </c>
      <c r="B2940" s="119" t="s">
        <v>195</v>
      </c>
    </row>
    <row r="2941" spans="1:2" ht="25.5">
      <c r="A2941" s="121">
        <v>3300102</v>
      </c>
      <c r="B2941" s="119" t="s">
        <v>196</v>
      </c>
    </row>
    <row r="2942" spans="1:2">
      <c r="A2942" s="121">
        <v>3300200</v>
      </c>
      <c r="B2942" s="119" t="s">
        <v>1129</v>
      </c>
    </row>
    <row r="2943" spans="1:2">
      <c r="A2943" s="121">
        <v>3300201</v>
      </c>
      <c r="B2943" s="119" t="s">
        <v>1130</v>
      </c>
    </row>
    <row r="2944" spans="1:2" ht="25.5">
      <c r="A2944" s="121">
        <v>3300202</v>
      </c>
      <c r="B2944" s="119" t="s">
        <v>439</v>
      </c>
    </row>
    <row r="2945" spans="1:2" ht="25.5">
      <c r="A2945" s="121">
        <v>3300203</v>
      </c>
      <c r="B2945" s="119" t="s">
        <v>940</v>
      </c>
    </row>
    <row r="2946" spans="1:2">
      <c r="A2946" s="121">
        <v>3300204</v>
      </c>
      <c r="B2946" s="119" t="s">
        <v>941</v>
      </c>
    </row>
    <row r="2947" spans="1:2">
      <c r="A2947" s="121">
        <v>3300205</v>
      </c>
      <c r="B2947" s="119" t="s">
        <v>942</v>
      </c>
    </row>
    <row r="2948" spans="1:2">
      <c r="A2948" s="121">
        <v>3300206</v>
      </c>
      <c r="B2948" s="119" t="s">
        <v>440</v>
      </c>
    </row>
    <row r="2949" spans="1:2">
      <c r="A2949" s="121">
        <v>3300207</v>
      </c>
      <c r="B2949" s="119" t="s">
        <v>1427</v>
      </c>
    </row>
    <row r="2950" spans="1:2" ht="25.5">
      <c r="A2950" s="121">
        <v>3300208</v>
      </c>
      <c r="B2950" s="119" t="s">
        <v>872</v>
      </c>
    </row>
    <row r="2951" spans="1:2">
      <c r="A2951" s="121">
        <v>3300300</v>
      </c>
      <c r="B2951" s="119" t="s">
        <v>218</v>
      </c>
    </row>
    <row r="2952" spans="1:2">
      <c r="A2952" s="121">
        <v>3300301</v>
      </c>
      <c r="B2952" s="119" t="s">
        <v>948</v>
      </c>
    </row>
    <row r="2953" spans="1:2">
      <c r="A2953" s="121">
        <v>3300400</v>
      </c>
      <c r="B2953" s="119" t="s">
        <v>1982</v>
      </c>
    </row>
    <row r="2954" spans="1:2">
      <c r="A2954" s="121">
        <v>3300401</v>
      </c>
      <c r="B2954" s="119" t="s">
        <v>1983</v>
      </c>
    </row>
    <row r="2955" spans="1:2" ht="38.25">
      <c r="A2955" s="121">
        <v>3300402</v>
      </c>
      <c r="B2955" s="119" t="s">
        <v>1984</v>
      </c>
    </row>
    <row r="2956" spans="1:2">
      <c r="A2956" s="121">
        <v>3300600</v>
      </c>
      <c r="B2956" s="119" t="s">
        <v>613</v>
      </c>
    </row>
    <row r="2957" spans="1:2" ht="25.5">
      <c r="A2957" s="121">
        <v>3300700</v>
      </c>
      <c r="B2957" s="119" t="s">
        <v>614</v>
      </c>
    </row>
    <row r="2958" spans="1:2">
      <c r="A2958" s="121">
        <v>3308200</v>
      </c>
      <c r="B2958" s="119" t="s">
        <v>1022</v>
      </c>
    </row>
    <row r="2959" spans="1:2">
      <c r="A2959" s="121">
        <v>3309900</v>
      </c>
      <c r="B2959" s="119" t="s">
        <v>174</v>
      </c>
    </row>
    <row r="2960" spans="1:2" ht="25.5">
      <c r="A2960" s="121">
        <v>3350000</v>
      </c>
      <c r="B2960" s="119" t="s">
        <v>481</v>
      </c>
    </row>
    <row r="2961" spans="1:2" ht="25.5">
      <c r="A2961" s="121">
        <v>3350100</v>
      </c>
      <c r="B2961" s="119" t="s">
        <v>1134</v>
      </c>
    </row>
    <row r="2962" spans="1:2">
      <c r="A2962" s="121">
        <v>3350200</v>
      </c>
      <c r="B2962" s="119" t="s">
        <v>1300</v>
      </c>
    </row>
    <row r="2963" spans="1:2">
      <c r="A2963" s="121">
        <v>3350300</v>
      </c>
      <c r="B2963" s="119" t="s">
        <v>1315</v>
      </c>
    </row>
    <row r="2964" spans="1:2">
      <c r="A2964" s="121">
        <v>3360000</v>
      </c>
      <c r="B2964" s="119" t="s">
        <v>615</v>
      </c>
    </row>
    <row r="2965" spans="1:2" ht="25.5">
      <c r="A2965" s="121">
        <v>3360100</v>
      </c>
      <c r="B2965" s="119" t="s">
        <v>1270</v>
      </c>
    </row>
    <row r="2966" spans="1:2">
      <c r="A2966" s="121">
        <v>3370000</v>
      </c>
      <c r="B2966" s="119" t="s">
        <v>219</v>
      </c>
    </row>
    <row r="2967" spans="1:2">
      <c r="A2967" s="121">
        <v>3379900</v>
      </c>
      <c r="B2967" s="119" t="s">
        <v>174</v>
      </c>
    </row>
    <row r="2968" spans="1:2">
      <c r="A2968" s="121">
        <v>3390000</v>
      </c>
      <c r="B2968" s="119" t="s">
        <v>874</v>
      </c>
    </row>
    <row r="2969" spans="1:2">
      <c r="A2969" s="121">
        <v>3399900</v>
      </c>
      <c r="B2969" s="119" t="s">
        <v>174</v>
      </c>
    </row>
    <row r="2970" spans="1:2">
      <c r="A2970" s="121">
        <v>3400000</v>
      </c>
      <c r="B2970" s="119" t="s">
        <v>875</v>
      </c>
    </row>
    <row r="2971" spans="1:2">
      <c r="A2971" s="121">
        <v>3400100</v>
      </c>
      <c r="B2971" s="119" t="s">
        <v>1316</v>
      </c>
    </row>
    <row r="2972" spans="1:2">
      <c r="A2972" s="121">
        <v>3400101</v>
      </c>
      <c r="B2972" s="119" t="s">
        <v>1317</v>
      </c>
    </row>
    <row r="2973" spans="1:2">
      <c r="A2973" s="121">
        <v>3400102</v>
      </c>
      <c r="B2973" s="119" t="s">
        <v>1271</v>
      </c>
    </row>
    <row r="2974" spans="1:2">
      <c r="A2974" s="121">
        <v>3400103</v>
      </c>
      <c r="B2974" s="119" t="s">
        <v>1318</v>
      </c>
    </row>
    <row r="2975" spans="1:2">
      <c r="A2975" s="121">
        <v>3400104</v>
      </c>
      <c r="B2975" s="119" t="s">
        <v>1272</v>
      </c>
    </row>
    <row r="2976" spans="1:2" ht="25.5">
      <c r="A2976" s="121">
        <v>3400105</v>
      </c>
      <c r="B2976" s="119" t="s">
        <v>747</v>
      </c>
    </row>
    <row r="2977" spans="1:2">
      <c r="A2977" s="121">
        <v>3400106</v>
      </c>
      <c r="B2977" s="119" t="s">
        <v>1015</v>
      </c>
    </row>
    <row r="2978" spans="1:2">
      <c r="A2978" s="121">
        <v>3400200</v>
      </c>
      <c r="B2978" s="119" t="s">
        <v>436</v>
      </c>
    </row>
    <row r="2979" spans="1:2">
      <c r="A2979" s="121">
        <v>3400300</v>
      </c>
      <c r="B2979" s="119" t="s">
        <v>1016</v>
      </c>
    </row>
    <row r="2980" spans="1:2">
      <c r="A2980" s="121">
        <v>3400400</v>
      </c>
      <c r="B2980" s="119" t="s">
        <v>1273</v>
      </c>
    </row>
    <row r="2981" spans="1:2" ht="25.5">
      <c r="A2981" s="121">
        <v>3400500</v>
      </c>
      <c r="B2981" s="119" t="s">
        <v>1691</v>
      </c>
    </row>
    <row r="2982" spans="1:2">
      <c r="A2982" s="121">
        <v>3400600</v>
      </c>
      <c r="B2982" s="119" t="s">
        <v>1574</v>
      </c>
    </row>
    <row r="2983" spans="1:2">
      <c r="A2983" s="121">
        <v>3400700</v>
      </c>
      <c r="B2983" s="119" t="s">
        <v>1274</v>
      </c>
    </row>
    <row r="2984" spans="1:2">
      <c r="A2984" s="121">
        <v>3400701</v>
      </c>
      <c r="B2984" s="119" t="s">
        <v>1275</v>
      </c>
    </row>
    <row r="2985" spans="1:2">
      <c r="A2985" s="121">
        <v>3400702</v>
      </c>
      <c r="B2985" s="119" t="s">
        <v>1276</v>
      </c>
    </row>
    <row r="2986" spans="1:2" ht="25.5">
      <c r="A2986" s="121">
        <v>3400800</v>
      </c>
      <c r="B2986" s="119" t="s">
        <v>1277</v>
      </c>
    </row>
    <row r="2987" spans="1:2" ht="38.25">
      <c r="A2987" s="121">
        <v>3400900</v>
      </c>
      <c r="B2987" s="119" t="s">
        <v>1994</v>
      </c>
    </row>
    <row r="2988" spans="1:2" ht="25.5">
      <c r="A2988" s="121">
        <v>3401000</v>
      </c>
      <c r="B2988" s="119" t="s">
        <v>1995</v>
      </c>
    </row>
    <row r="2989" spans="1:2" ht="25.5">
      <c r="A2989" s="121">
        <v>3401100</v>
      </c>
      <c r="B2989" s="119" t="s">
        <v>1996</v>
      </c>
    </row>
    <row r="2990" spans="1:2">
      <c r="A2990" s="121">
        <v>3401200</v>
      </c>
      <c r="B2990" s="119" t="s">
        <v>1997</v>
      </c>
    </row>
    <row r="2991" spans="1:2" ht="25.5">
      <c r="A2991" s="121">
        <v>3401500</v>
      </c>
      <c r="B2991" s="119" t="s">
        <v>1998</v>
      </c>
    </row>
    <row r="2992" spans="1:2" ht="25.5">
      <c r="A2992" s="121">
        <v>3401600</v>
      </c>
      <c r="B2992" s="119" t="s">
        <v>1999</v>
      </c>
    </row>
    <row r="2993" spans="1:2" ht="25.5">
      <c r="A2993" s="121">
        <v>3401700</v>
      </c>
      <c r="B2993" s="119" t="s">
        <v>2000</v>
      </c>
    </row>
    <row r="2994" spans="1:2" ht="25.5">
      <c r="A2994" s="121">
        <v>3401800</v>
      </c>
      <c r="B2994" s="119" t="s">
        <v>2001</v>
      </c>
    </row>
    <row r="2995" spans="1:2" ht="25.5">
      <c r="A2995" s="121">
        <v>3408000</v>
      </c>
      <c r="B2995" s="119" t="s">
        <v>1277</v>
      </c>
    </row>
    <row r="2996" spans="1:2">
      <c r="A2996" s="121">
        <v>3408300</v>
      </c>
      <c r="B2996" s="119" t="s">
        <v>204</v>
      </c>
    </row>
    <row r="2997" spans="1:2" ht="38.25">
      <c r="A2997" s="121">
        <v>3408301</v>
      </c>
      <c r="B2997" s="120" t="s">
        <v>2002</v>
      </c>
    </row>
    <row r="2998" spans="1:2" ht="51">
      <c r="A2998" s="121">
        <v>3408302</v>
      </c>
      <c r="B2998" s="120" t="s">
        <v>1286</v>
      </c>
    </row>
    <row r="2999" spans="1:2" ht="51">
      <c r="A2999" s="121">
        <v>3408303</v>
      </c>
      <c r="B2999" s="120" t="s">
        <v>1287</v>
      </c>
    </row>
    <row r="3000" spans="1:2" ht="38.25">
      <c r="A3000" s="121">
        <v>3408304</v>
      </c>
      <c r="B3000" s="119" t="s">
        <v>1433</v>
      </c>
    </row>
    <row r="3001" spans="1:2" ht="38.25">
      <c r="A3001" s="121">
        <v>3408305</v>
      </c>
      <c r="B3001" s="120" t="s">
        <v>168</v>
      </c>
    </row>
    <row r="3002" spans="1:2" ht="76.5">
      <c r="A3002" s="121">
        <v>3408306</v>
      </c>
      <c r="B3002" s="120" t="s">
        <v>1643</v>
      </c>
    </row>
    <row r="3003" spans="1:2" ht="38.25">
      <c r="A3003" s="121">
        <v>3408307</v>
      </c>
      <c r="B3003" s="120" t="s">
        <v>1645</v>
      </c>
    </row>
    <row r="3004" spans="1:2" ht="63.75">
      <c r="A3004" s="121">
        <v>3408308</v>
      </c>
      <c r="B3004" s="120" t="s">
        <v>1646</v>
      </c>
    </row>
    <row r="3005" spans="1:2" ht="51">
      <c r="A3005" s="121">
        <v>3408309</v>
      </c>
      <c r="B3005" s="120" t="s">
        <v>1647</v>
      </c>
    </row>
    <row r="3006" spans="1:2" ht="25.5">
      <c r="A3006" s="121">
        <v>3408310</v>
      </c>
      <c r="B3006" s="119" t="s">
        <v>642</v>
      </c>
    </row>
    <row r="3007" spans="1:2" ht="63.75">
      <c r="A3007" s="121">
        <v>3408311</v>
      </c>
      <c r="B3007" s="120" t="s">
        <v>1648</v>
      </c>
    </row>
    <row r="3008" spans="1:2" ht="51">
      <c r="A3008" s="121">
        <v>3408313</v>
      </c>
      <c r="B3008" s="120" t="s">
        <v>1090</v>
      </c>
    </row>
    <row r="3009" spans="1:2" ht="63.75">
      <c r="A3009" s="121">
        <v>3408314</v>
      </c>
      <c r="B3009" s="120" t="s">
        <v>1715</v>
      </c>
    </row>
    <row r="3010" spans="1:2" ht="51">
      <c r="A3010" s="121">
        <v>3408315</v>
      </c>
      <c r="B3010" s="120" t="s">
        <v>1312</v>
      </c>
    </row>
    <row r="3011" spans="1:2" ht="38.25">
      <c r="A3011" s="121">
        <v>3408316</v>
      </c>
      <c r="B3011" s="119" t="s">
        <v>1323</v>
      </c>
    </row>
    <row r="3012" spans="1:2" ht="38.25">
      <c r="A3012" s="121">
        <v>3408317</v>
      </c>
      <c r="B3012" s="120" t="s">
        <v>1324</v>
      </c>
    </row>
    <row r="3013" spans="1:2" ht="38.25">
      <c r="A3013" s="121">
        <v>3408318</v>
      </c>
      <c r="B3013" s="120" t="s">
        <v>1325</v>
      </c>
    </row>
    <row r="3014" spans="1:2" ht="63.75">
      <c r="A3014" s="121">
        <v>3408319</v>
      </c>
      <c r="B3014" s="120" t="s">
        <v>1659</v>
      </c>
    </row>
    <row r="3015" spans="1:2" ht="38.25">
      <c r="A3015" s="121">
        <v>3408320</v>
      </c>
      <c r="B3015" s="120" t="s">
        <v>1660</v>
      </c>
    </row>
    <row r="3016" spans="1:2" ht="63.75">
      <c r="A3016" s="121">
        <v>3408321</v>
      </c>
      <c r="B3016" s="120" t="s">
        <v>1593</v>
      </c>
    </row>
    <row r="3017" spans="1:2" ht="25.5">
      <c r="A3017" s="121">
        <v>3408322</v>
      </c>
      <c r="B3017" s="119" t="s">
        <v>1594</v>
      </c>
    </row>
    <row r="3018" spans="1:2">
      <c r="A3018" s="121">
        <v>3410000</v>
      </c>
      <c r="B3018" s="119" t="s">
        <v>1526</v>
      </c>
    </row>
    <row r="3019" spans="1:2">
      <c r="A3019" s="121">
        <v>3419900</v>
      </c>
      <c r="B3019" s="119" t="s">
        <v>174</v>
      </c>
    </row>
    <row r="3020" spans="1:2">
      <c r="A3020" s="121">
        <v>3450000</v>
      </c>
      <c r="B3020" s="119" t="s">
        <v>1595</v>
      </c>
    </row>
    <row r="3021" spans="1:2" ht="25.5">
      <c r="A3021" s="121">
        <v>3450100</v>
      </c>
      <c r="B3021" s="119" t="s">
        <v>1596</v>
      </c>
    </row>
    <row r="3022" spans="1:2">
      <c r="A3022" s="121">
        <v>3500000</v>
      </c>
      <c r="B3022" s="119" t="s">
        <v>2141</v>
      </c>
    </row>
    <row r="3023" spans="1:2" ht="25.5">
      <c r="A3023" s="121">
        <v>3500100</v>
      </c>
      <c r="B3023" s="119" t="s">
        <v>79</v>
      </c>
    </row>
    <row r="3024" spans="1:2">
      <c r="A3024" s="121">
        <v>3500200</v>
      </c>
      <c r="B3024" s="119" t="s">
        <v>260</v>
      </c>
    </row>
    <row r="3025" spans="1:2" ht="25.5">
      <c r="A3025" s="121">
        <v>3500300</v>
      </c>
      <c r="B3025" s="119" t="s">
        <v>80</v>
      </c>
    </row>
    <row r="3026" spans="1:2" ht="25.5">
      <c r="A3026" s="121">
        <v>3500301</v>
      </c>
      <c r="B3026" s="119" t="s">
        <v>584</v>
      </c>
    </row>
    <row r="3027" spans="1:2">
      <c r="A3027" s="121">
        <v>3510000</v>
      </c>
      <c r="B3027" s="119" t="s">
        <v>261</v>
      </c>
    </row>
    <row r="3028" spans="1:2" ht="25.5">
      <c r="A3028" s="121">
        <v>3510100</v>
      </c>
      <c r="B3028" s="119" t="s">
        <v>981</v>
      </c>
    </row>
    <row r="3029" spans="1:2" ht="25.5">
      <c r="A3029" s="121">
        <v>3510200</v>
      </c>
      <c r="B3029" s="119" t="s">
        <v>1051</v>
      </c>
    </row>
    <row r="3030" spans="1:2" ht="25.5">
      <c r="A3030" s="121">
        <v>3510300</v>
      </c>
      <c r="B3030" s="119" t="s">
        <v>738</v>
      </c>
    </row>
    <row r="3031" spans="1:2">
      <c r="A3031" s="121">
        <v>3510500</v>
      </c>
      <c r="B3031" s="119" t="s">
        <v>403</v>
      </c>
    </row>
    <row r="3032" spans="1:2" ht="25.5">
      <c r="A3032" s="121">
        <v>3510600</v>
      </c>
      <c r="B3032" s="119" t="s">
        <v>605</v>
      </c>
    </row>
    <row r="3033" spans="1:2" ht="25.5">
      <c r="A3033" s="121">
        <v>3510700</v>
      </c>
      <c r="B3033" s="119" t="s">
        <v>604</v>
      </c>
    </row>
    <row r="3034" spans="1:2" ht="25.5">
      <c r="A3034" s="121">
        <v>3510800</v>
      </c>
      <c r="B3034" s="119" t="s">
        <v>1881</v>
      </c>
    </row>
    <row r="3035" spans="1:2">
      <c r="A3035" s="121">
        <v>3510900</v>
      </c>
      <c r="B3035" s="119" t="s">
        <v>2005</v>
      </c>
    </row>
    <row r="3036" spans="1:2" ht="25.5">
      <c r="A3036" s="121">
        <v>3602600</v>
      </c>
      <c r="B3036" s="119" t="s">
        <v>777</v>
      </c>
    </row>
    <row r="3037" spans="1:2" ht="25.5">
      <c r="A3037" s="121">
        <v>3610000</v>
      </c>
      <c r="B3037" s="119" t="s">
        <v>778</v>
      </c>
    </row>
    <row r="3038" spans="1:2">
      <c r="A3038" s="121">
        <v>3610100</v>
      </c>
      <c r="B3038" s="119" t="s">
        <v>779</v>
      </c>
    </row>
    <row r="3039" spans="1:2">
      <c r="A3039" s="121">
        <v>3610101</v>
      </c>
      <c r="B3039" s="119" t="s">
        <v>780</v>
      </c>
    </row>
    <row r="3040" spans="1:2">
      <c r="A3040" s="121">
        <v>3610103</v>
      </c>
      <c r="B3040" s="119" t="s">
        <v>781</v>
      </c>
    </row>
    <row r="3041" spans="1:2" ht="25.5">
      <c r="A3041" s="121">
        <v>3610105</v>
      </c>
      <c r="B3041" s="119" t="s">
        <v>782</v>
      </c>
    </row>
    <row r="3042" spans="1:2" ht="25.5">
      <c r="A3042" s="121">
        <v>3610106</v>
      </c>
      <c r="B3042" s="119" t="s">
        <v>81</v>
      </c>
    </row>
    <row r="3043" spans="1:2" ht="38.25">
      <c r="A3043" s="121">
        <v>3610107</v>
      </c>
      <c r="B3043" s="119" t="s">
        <v>1883</v>
      </c>
    </row>
    <row r="3044" spans="1:2">
      <c r="A3044" s="121">
        <v>3610300</v>
      </c>
      <c r="B3044" s="119" t="s">
        <v>1124</v>
      </c>
    </row>
    <row r="3045" spans="1:2">
      <c r="A3045" s="121">
        <v>3610301</v>
      </c>
      <c r="B3045" s="119" t="s">
        <v>1125</v>
      </c>
    </row>
    <row r="3046" spans="1:2">
      <c r="A3046" s="121">
        <v>3610302</v>
      </c>
      <c r="B3046" s="119" t="s">
        <v>1126</v>
      </c>
    </row>
    <row r="3047" spans="1:2">
      <c r="A3047" s="121">
        <v>3610303</v>
      </c>
      <c r="B3047" s="119" t="s">
        <v>519</v>
      </c>
    </row>
    <row r="3048" spans="1:2">
      <c r="A3048" s="121">
        <v>3610304</v>
      </c>
      <c r="B3048" s="119" t="s">
        <v>520</v>
      </c>
    </row>
    <row r="3049" spans="1:2">
      <c r="A3049" s="121">
        <v>3610305</v>
      </c>
      <c r="B3049" s="119" t="s">
        <v>521</v>
      </c>
    </row>
    <row r="3050" spans="1:2">
      <c r="A3050" s="121">
        <v>3610400</v>
      </c>
      <c r="B3050" s="119" t="s">
        <v>522</v>
      </c>
    </row>
    <row r="3051" spans="1:2" ht="25.5">
      <c r="A3051" s="121">
        <v>3610403</v>
      </c>
      <c r="B3051" s="119" t="s">
        <v>523</v>
      </c>
    </row>
    <row r="3052" spans="1:2">
      <c r="A3052" s="121">
        <v>3610500</v>
      </c>
      <c r="B3052" s="119" t="s">
        <v>524</v>
      </c>
    </row>
    <row r="3053" spans="1:2">
      <c r="A3053" s="121">
        <v>3610502</v>
      </c>
      <c r="B3053" s="119" t="s">
        <v>525</v>
      </c>
    </row>
    <row r="3054" spans="1:2" ht="25.5">
      <c r="A3054" s="121">
        <v>3610600</v>
      </c>
      <c r="B3054" s="119" t="s">
        <v>526</v>
      </c>
    </row>
    <row r="3055" spans="1:2">
      <c r="A3055" s="121">
        <v>4100000</v>
      </c>
      <c r="B3055" s="119" t="s">
        <v>701</v>
      </c>
    </row>
    <row r="3056" spans="1:2">
      <c r="A3056" s="121">
        <v>4100100</v>
      </c>
      <c r="B3056" s="119" t="s">
        <v>845</v>
      </c>
    </row>
    <row r="3057" spans="1:2">
      <c r="A3057" s="121">
        <v>4110000</v>
      </c>
      <c r="B3057" s="119" t="s">
        <v>278</v>
      </c>
    </row>
    <row r="3058" spans="1:2">
      <c r="A3058" s="121">
        <v>4119900</v>
      </c>
      <c r="B3058" s="119" t="s">
        <v>174</v>
      </c>
    </row>
    <row r="3059" spans="1:2">
      <c r="A3059" s="121">
        <v>4130000</v>
      </c>
      <c r="B3059" s="119" t="s">
        <v>310</v>
      </c>
    </row>
    <row r="3060" spans="1:2">
      <c r="A3060" s="121">
        <v>4200000</v>
      </c>
      <c r="B3060" s="119" t="s">
        <v>674</v>
      </c>
    </row>
    <row r="3061" spans="1:2" ht="25.5">
      <c r="A3061" s="121">
        <v>4200100</v>
      </c>
      <c r="B3061" s="119" t="s">
        <v>820</v>
      </c>
    </row>
    <row r="3062" spans="1:2">
      <c r="A3062" s="121">
        <v>4207100</v>
      </c>
      <c r="B3062" s="119" t="s">
        <v>1489</v>
      </c>
    </row>
    <row r="3063" spans="1:2">
      <c r="A3063" s="121">
        <v>4207101</v>
      </c>
      <c r="B3063" s="119" t="s">
        <v>1096</v>
      </c>
    </row>
    <row r="3064" spans="1:2">
      <c r="A3064" s="121">
        <v>4207102</v>
      </c>
      <c r="B3064" s="119" t="s">
        <v>1385</v>
      </c>
    </row>
    <row r="3065" spans="1:2">
      <c r="A3065" s="121">
        <v>4207103</v>
      </c>
      <c r="B3065" s="119" t="s">
        <v>1386</v>
      </c>
    </row>
    <row r="3066" spans="1:2">
      <c r="A3066" s="121">
        <v>4209900</v>
      </c>
      <c r="B3066" s="119" t="s">
        <v>174</v>
      </c>
    </row>
    <row r="3067" spans="1:2">
      <c r="A3067" s="121">
        <v>4210000</v>
      </c>
      <c r="B3067" s="119" t="s">
        <v>821</v>
      </c>
    </row>
    <row r="3068" spans="1:2" ht="25.5">
      <c r="A3068" s="121">
        <v>4215600</v>
      </c>
      <c r="B3068" s="119" t="s">
        <v>1146</v>
      </c>
    </row>
    <row r="3069" spans="1:2">
      <c r="A3069" s="121">
        <v>4215800</v>
      </c>
      <c r="B3069" s="119" t="s">
        <v>1690</v>
      </c>
    </row>
    <row r="3070" spans="1:2">
      <c r="A3070" s="121">
        <v>4216800</v>
      </c>
      <c r="B3070" s="119" t="s">
        <v>68</v>
      </c>
    </row>
    <row r="3071" spans="1:2">
      <c r="A3071" s="121">
        <v>4216801</v>
      </c>
      <c r="B3071" s="119" t="s">
        <v>539</v>
      </c>
    </row>
    <row r="3072" spans="1:2" ht="25.5">
      <c r="A3072" s="121">
        <v>4216802</v>
      </c>
      <c r="B3072" s="119" t="s">
        <v>765</v>
      </c>
    </row>
    <row r="3073" spans="1:2">
      <c r="A3073" s="121">
        <v>4217100</v>
      </c>
      <c r="B3073" s="119" t="s">
        <v>1489</v>
      </c>
    </row>
    <row r="3074" spans="1:2">
      <c r="A3074" s="121">
        <v>4217101</v>
      </c>
      <c r="B3074" s="119" t="s">
        <v>1096</v>
      </c>
    </row>
    <row r="3075" spans="1:2">
      <c r="A3075" s="121">
        <v>4217102</v>
      </c>
      <c r="B3075" s="119" t="s">
        <v>1385</v>
      </c>
    </row>
    <row r="3076" spans="1:2">
      <c r="A3076" s="121">
        <v>4217103</v>
      </c>
      <c r="B3076" s="119" t="s">
        <v>1386</v>
      </c>
    </row>
    <row r="3077" spans="1:2">
      <c r="A3077" s="121">
        <v>4217200</v>
      </c>
      <c r="B3077" s="119" t="s">
        <v>836</v>
      </c>
    </row>
    <row r="3078" spans="1:2">
      <c r="A3078" s="121">
        <v>4217201</v>
      </c>
      <c r="B3078" s="119" t="s">
        <v>12</v>
      </c>
    </row>
    <row r="3079" spans="1:2">
      <c r="A3079" s="121">
        <v>4217202</v>
      </c>
      <c r="B3079" s="119" t="s">
        <v>13</v>
      </c>
    </row>
    <row r="3080" spans="1:2">
      <c r="A3080" s="121">
        <v>4217203</v>
      </c>
      <c r="B3080" s="119" t="s">
        <v>1687</v>
      </c>
    </row>
    <row r="3081" spans="1:2">
      <c r="A3081" s="121">
        <v>4219900</v>
      </c>
      <c r="B3081" s="119" t="s">
        <v>174</v>
      </c>
    </row>
    <row r="3082" spans="1:2">
      <c r="A3082" s="121">
        <v>4220000</v>
      </c>
      <c r="B3082" s="119" t="s">
        <v>1203</v>
      </c>
    </row>
    <row r="3083" spans="1:2">
      <c r="A3083" s="121">
        <v>4229900</v>
      </c>
      <c r="B3083" s="119" t="s">
        <v>174</v>
      </c>
    </row>
    <row r="3084" spans="1:2">
      <c r="A3084" s="121">
        <v>4230000</v>
      </c>
      <c r="B3084" s="119" t="s">
        <v>49</v>
      </c>
    </row>
    <row r="3085" spans="1:2">
      <c r="A3085" s="121">
        <v>4231200</v>
      </c>
      <c r="B3085" s="119" t="s">
        <v>761</v>
      </c>
    </row>
    <row r="3086" spans="1:2" ht="25.5">
      <c r="A3086" s="121">
        <v>4235600</v>
      </c>
      <c r="B3086" s="119" t="s">
        <v>1146</v>
      </c>
    </row>
    <row r="3087" spans="1:2">
      <c r="A3087" s="121">
        <v>4239900</v>
      </c>
      <c r="B3087" s="119" t="s">
        <v>174</v>
      </c>
    </row>
    <row r="3088" spans="1:2">
      <c r="A3088" s="121">
        <v>4240000</v>
      </c>
      <c r="B3088" s="119" t="s">
        <v>1523</v>
      </c>
    </row>
    <row r="3089" spans="1:2" ht="25.5">
      <c r="A3089" s="121">
        <v>4240200</v>
      </c>
      <c r="B3089" s="119" t="s">
        <v>15</v>
      </c>
    </row>
    <row r="3090" spans="1:2">
      <c r="A3090" s="121">
        <v>4249900</v>
      </c>
      <c r="B3090" s="119" t="s">
        <v>174</v>
      </c>
    </row>
    <row r="3091" spans="1:2">
      <c r="A3091" s="121">
        <v>4250000</v>
      </c>
      <c r="B3091" s="119" t="s">
        <v>1000</v>
      </c>
    </row>
    <row r="3092" spans="1:2">
      <c r="A3092" s="121">
        <v>4259900</v>
      </c>
      <c r="B3092" s="119" t="s">
        <v>174</v>
      </c>
    </row>
    <row r="3093" spans="1:2">
      <c r="A3093" s="121">
        <v>4260000</v>
      </c>
      <c r="B3093" s="119" t="s">
        <v>505</v>
      </c>
    </row>
    <row r="3094" spans="1:2">
      <c r="A3094" s="121">
        <v>4265800</v>
      </c>
      <c r="B3094" s="119" t="s">
        <v>1690</v>
      </c>
    </row>
    <row r="3095" spans="1:2">
      <c r="A3095" s="121">
        <v>4269900</v>
      </c>
      <c r="B3095" s="119" t="s">
        <v>174</v>
      </c>
    </row>
    <row r="3096" spans="1:2">
      <c r="A3096" s="121">
        <v>4270000</v>
      </c>
      <c r="B3096" s="119" t="s">
        <v>506</v>
      </c>
    </row>
    <row r="3097" spans="1:2">
      <c r="A3097" s="121">
        <v>4275800</v>
      </c>
      <c r="B3097" s="119" t="s">
        <v>1690</v>
      </c>
    </row>
    <row r="3098" spans="1:2">
      <c r="A3098" s="121">
        <v>4276800</v>
      </c>
      <c r="B3098" s="119" t="s">
        <v>68</v>
      </c>
    </row>
    <row r="3099" spans="1:2">
      <c r="A3099" s="121">
        <v>4276801</v>
      </c>
      <c r="B3099" s="119" t="s">
        <v>539</v>
      </c>
    </row>
    <row r="3100" spans="1:2" ht="25.5">
      <c r="A3100" s="121">
        <v>4276802</v>
      </c>
      <c r="B3100" s="119" t="s">
        <v>765</v>
      </c>
    </row>
    <row r="3101" spans="1:2">
      <c r="A3101" s="121">
        <v>4277100</v>
      </c>
      <c r="B3101" s="119" t="s">
        <v>1489</v>
      </c>
    </row>
    <row r="3102" spans="1:2">
      <c r="A3102" s="121">
        <v>4277101</v>
      </c>
      <c r="B3102" s="119" t="s">
        <v>1096</v>
      </c>
    </row>
    <row r="3103" spans="1:2">
      <c r="A3103" s="121">
        <v>4277102</v>
      </c>
      <c r="B3103" s="119" t="s">
        <v>1385</v>
      </c>
    </row>
    <row r="3104" spans="1:2">
      <c r="A3104" s="121">
        <v>4277103</v>
      </c>
      <c r="B3104" s="119" t="s">
        <v>1386</v>
      </c>
    </row>
    <row r="3105" spans="1:2">
      <c r="A3105" s="121">
        <v>4277200</v>
      </c>
      <c r="B3105" s="119" t="s">
        <v>836</v>
      </c>
    </row>
    <row r="3106" spans="1:2">
      <c r="A3106" s="121">
        <v>4277201</v>
      </c>
      <c r="B3106" s="119" t="s">
        <v>12</v>
      </c>
    </row>
    <row r="3107" spans="1:2">
      <c r="A3107" s="121">
        <v>4277202</v>
      </c>
      <c r="B3107" s="119" t="s">
        <v>13</v>
      </c>
    </row>
    <row r="3108" spans="1:2">
      <c r="A3108" s="121">
        <v>4277203</v>
      </c>
      <c r="B3108" s="119" t="s">
        <v>1687</v>
      </c>
    </row>
    <row r="3109" spans="1:2">
      <c r="A3109" s="121">
        <v>4277600</v>
      </c>
      <c r="B3109" s="119" t="s">
        <v>1706</v>
      </c>
    </row>
    <row r="3110" spans="1:2">
      <c r="A3110" s="121">
        <v>4279900</v>
      </c>
      <c r="B3110" s="119" t="s">
        <v>174</v>
      </c>
    </row>
    <row r="3111" spans="1:2">
      <c r="A3111" s="121">
        <v>4280000</v>
      </c>
      <c r="B3111" s="119" t="s">
        <v>507</v>
      </c>
    </row>
    <row r="3112" spans="1:2">
      <c r="A3112" s="121">
        <v>4280100</v>
      </c>
      <c r="B3112" s="119" t="s">
        <v>1299</v>
      </c>
    </row>
    <row r="3113" spans="1:2">
      <c r="A3113" s="121">
        <v>4285800</v>
      </c>
      <c r="B3113" s="119" t="s">
        <v>1690</v>
      </c>
    </row>
    <row r="3114" spans="1:2">
      <c r="A3114" s="121">
        <v>4286800</v>
      </c>
      <c r="B3114" s="119" t="s">
        <v>68</v>
      </c>
    </row>
    <row r="3115" spans="1:2">
      <c r="A3115" s="121">
        <v>4286801</v>
      </c>
      <c r="B3115" s="119" t="s">
        <v>539</v>
      </c>
    </row>
    <row r="3116" spans="1:2" ht="25.5">
      <c r="A3116" s="121">
        <v>4286802</v>
      </c>
      <c r="B3116" s="119" t="s">
        <v>765</v>
      </c>
    </row>
    <row r="3117" spans="1:2">
      <c r="A3117" s="121">
        <v>4287100</v>
      </c>
      <c r="B3117" s="119" t="s">
        <v>1489</v>
      </c>
    </row>
    <row r="3118" spans="1:2">
      <c r="A3118" s="121">
        <v>4287101</v>
      </c>
      <c r="B3118" s="119" t="s">
        <v>1096</v>
      </c>
    </row>
    <row r="3119" spans="1:2">
      <c r="A3119" s="121">
        <v>4287102</v>
      </c>
      <c r="B3119" s="119" t="s">
        <v>1385</v>
      </c>
    </row>
    <row r="3120" spans="1:2">
      <c r="A3120" s="121">
        <v>4287103</v>
      </c>
      <c r="B3120" s="119" t="s">
        <v>1386</v>
      </c>
    </row>
    <row r="3121" spans="1:2">
      <c r="A3121" s="121">
        <v>4287200</v>
      </c>
      <c r="B3121" s="119" t="s">
        <v>836</v>
      </c>
    </row>
    <row r="3122" spans="1:2">
      <c r="A3122" s="121">
        <v>4287201</v>
      </c>
      <c r="B3122" s="119" t="s">
        <v>12</v>
      </c>
    </row>
    <row r="3123" spans="1:2">
      <c r="A3123" s="121">
        <v>4287202</v>
      </c>
      <c r="B3123" s="119" t="s">
        <v>13</v>
      </c>
    </row>
    <row r="3124" spans="1:2">
      <c r="A3124" s="121">
        <v>4287203</v>
      </c>
      <c r="B3124" s="119" t="s">
        <v>1687</v>
      </c>
    </row>
    <row r="3125" spans="1:2">
      <c r="A3125" s="121">
        <v>4287300</v>
      </c>
      <c r="B3125" s="119" t="s">
        <v>167</v>
      </c>
    </row>
    <row r="3126" spans="1:2">
      <c r="A3126" s="121">
        <v>4287600</v>
      </c>
      <c r="B3126" s="119" t="s">
        <v>1020</v>
      </c>
    </row>
    <row r="3127" spans="1:2">
      <c r="A3127" s="121">
        <v>4287800</v>
      </c>
      <c r="B3127" s="119" t="s">
        <v>1145</v>
      </c>
    </row>
    <row r="3128" spans="1:2">
      <c r="A3128" s="121">
        <v>4289900</v>
      </c>
      <c r="B3128" s="119" t="s">
        <v>174</v>
      </c>
    </row>
    <row r="3129" spans="1:2">
      <c r="A3129" s="121">
        <v>4290000</v>
      </c>
      <c r="B3129" s="119" t="s">
        <v>880</v>
      </c>
    </row>
    <row r="3130" spans="1:2">
      <c r="A3130" s="121">
        <v>4297800</v>
      </c>
      <c r="B3130" s="119" t="s">
        <v>1145</v>
      </c>
    </row>
    <row r="3131" spans="1:2">
      <c r="A3131" s="121">
        <v>4299900</v>
      </c>
      <c r="B3131" s="119" t="s">
        <v>174</v>
      </c>
    </row>
    <row r="3132" spans="1:2">
      <c r="A3132" s="121">
        <v>4300000</v>
      </c>
      <c r="B3132" s="119" t="s">
        <v>881</v>
      </c>
    </row>
    <row r="3133" spans="1:2">
      <c r="A3133" s="121">
        <v>4300100</v>
      </c>
      <c r="B3133" s="119" t="s">
        <v>1993</v>
      </c>
    </row>
    <row r="3134" spans="1:2">
      <c r="A3134" s="121">
        <v>4300200</v>
      </c>
      <c r="B3134" s="119" t="s">
        <v>455</v>
      </c>
    </row>
    <row r="3135" spans="1:2">
      <c r="A3135" s="121">
        <v>4300201</v>
      </c>
      <c r="B3135" s="119" t="s">
        <v>822</v>
      </c>
    </row>
    <row r="3136" spans="1:2" ht="38.25">
      <c r="A3136" s="121">
        <v>4300202</v>
      </c>
      <c r="B3136" s="119" t="s">
        <v>1510</v>
      </c>
    </row>
    <row r="3137" spans="1:2">
      <c r="A3137" s="121">
        <v>4300300</v>
      </c>
      <c r="B3137" s="119" t="s">
        <v>418</v>
      </c>
    </row>
    <row r="3138" spans="1:2" ht="25.5">
      <c r="A3138" s="121">
        <v>4300400</v>
      </c>
      <c r="B3138" s="119" t="s">
        <v>1511</v>
      </c>
    </row>
    <row r="3139" spans="1:2" ht="38.25">
      <c r="A3139" s="121">
        <v>4300500</v>
      </c>
      <c r="B3139" s="119" t="s">
        <v>1205</v>
      </c>
    </row>
    <row r="3140" spans="1:2" ht="25.5">
      <c r="A3140" s="121">
        <v>4305600</v>
      </c>
      <c r="B3140" s="119" t="s">
        <v>1146</v>
      </c>
    </row>
    <row r="3141" spans="1:2">
      <c r="A3141" s="121">
        <v>4305800</v>
      </c>
      <c r="B3141" s="119" t="s">
        <v>1690</v>
      </c>
    </row>
    <row r="3142" spans="1:2">
      <c r="A3142" s="121">
        <v>4306200</v>
      </c>
      <c r="B3142" s="119" t="s">
        <v>741</v>
      </c>
    </row>
    <row r="3143" spans="1:2">
      <c r="A3143" s="121">
        <v>4306800</v>
      </c>
      <c r="B3143" s="119" t="s">
        <v>68</v>
      </c>
    </row>
    <row r="3144" spans="1:2">
      <c r="A3144" s="121">
        <v>4306801</v>
      </c>
      <c r="B3144" s="119" t="s">
        <v>539</v>
      </c>
    </row>
    <row r="3145" spans="1:2" ht="25.5">
      <c r="A3145" s="121">
        <v>4306802</v>
      </c>
      <c r="B3145" s="119" t="s">
        <v>765</v>
      </c>
    </row>
    <row r="3146" spans="1:2">
      <c r="A3146" s="121">
        <v>4307100</v>
      </c>
      <c r="B3146" s="119" t="s">
        <v>1489</v>
      </c>
    </row>
    <row r="3147" spans="1:2">
      <c r="A3147" s="121">
        <v>4307101</v>
      </c>
      <c r="B3147" s="119" t="s">
        <v>1096</v>
      </c>
    </row>
    <row r="3148" spans="1:2">
      <c r="A3148" s="121">
        <v>4307102</v>
      </c>
      <c r="B3148" s="119" t="s">
        <v>1385</v>
      </c>
    </row>
    <row r="3149" spans="1:2">
      <c r="A3149" s="121">
        <v>4307103</v>
      </c>
      <c r="B3149" s="119" t="s">
        <v>1386</v>
      </c>
    </row>
    <row r="3150" spans="1:2">
      <c r="A3150" s="121">
        <v>4307200</v>
      </c>
      <c r="B3150" s="119" t="s">
        <v>836</v>
      </c>
    </row>
    <row r="3151" spans="1:2">
      <c r="A3151" s="121">
        <v>4307201</v>
      </c>
      <c r="B3151" s="119" t="s">
        <v>12</v>
      </c>
    </row>
    <row r="3152" spans="1:2">
      <c r="A3152" s="121">
        <v>4307202</v>
      </c>
      <c r="B3152" s="119" t="s">
        <v>13</v>
      </c>
    </row>
    <row r="3153" spans="1:2">
      <c r="A3153" s="121">
        <v>4307203</v>
      </c>
      <c r="B3153" s="119" t="s">
        <v>1687</v>
      </c>
    </row>
    <row r="3154" spans="1:2">
      <c r="A3154" s="121">
        <v>4307300</v>
      </c>
      <c r="B3154" s="119" t="s">
        <v>167</v>
      </c>
    </row>
    <row r="3155" spans="1:2">
      <c r="A3155" s="121">
        <v>4307600</v>
      </c>
      <c r="B3155" s="119" t="s">
        <v>1020</v>
      </c>
    </row>
    <row r="3156" spans="1:2">
      <c r="A3156" s="121">
        <v>4309200</v>
      </c>
      <c r="B3156" s="119" t="s">
        <v>1261</v>
      </c>
    </row>
    <row r="3157" spans="1:2">
      <c r="A3157" s="121">
        <v>4309900</v>
      </c>
      <c r="B3157" s="119" t="s">
        <v>174</v>
      </c>
    </row>
    <row r="3158" spans="1:2">
      <c r="A3158" s="121">
        <v>4310000</v>
      </c>
      <c r="B3158" s="119" t="s">
        <v>1350</v>
      </c>
    </row>
    <row r="3159" spans="1:2">
      <c r="A3159" s="121">
        <v>4310100</v>
      </c>
      <c r="B3159" s="119" t="s">
        <v>846</v>
      </c>
    </row>
    <row r="3160" spans="1:2">
      <c r="A3160" s="121">
        <v>4310102</v>
      </c>
      <c r="B3160" s="119" t="s">
        <v>74</v>
      </c>
    </row>
    <row r="3161" spans="1:2">
      <c r="A3161" s="121">
        <v>4310104</v>
      </c>
      <c r="B3161" s="119" t="s">
        <v>846</v>
      </c>
    </row>
    <row r="3162" spans="1:2" ht="25.5">
      <c r="A3162" s="121">
        <v>4310200</v>
      </c>
      <c r="B3162" s="119" t="s">
        <v>1206</v>
      </c>
    </row>
    <row r="3163" spans="1:2">
      <c r="A3163" s="121">
        <v>4319400</v>
      </c>
      <c r="B3163" s="119" t="s">
        <v>4</v>
      </c>
    </row>
    <row r="3164" spans="1:2">
      <c r="A3164" s="121">
        <v>4319900</v>
      </c>
      <c r="B3164" s="119" t="s">
        <v>174</v>
      </c>
    </row>
    <row r="3165" spans="1:2">
      <c r="A3165" s="121">
        <v>4320000</v>
      </c>
      <c r="B3165" s="119" t="s">
        <v>437</v>
      </c>
    </row>
    <row r="3166" spans="1:2">
      <c r="A3166" s="121">
        <v>4320100</v>
      </c>
      <c r="B3166" s="119" t="s">
        <v>540</v>
      </c>
    </row>
    <row r="3167" spans="1:2">
      <c r="A3167" s="121">
        <v>4320200</v>
      </c>
      <c r="B3167" s="119" t="s">
        <v>399</v>
      </c>
    </row>
    <row r="3168" spans="1:2">
      <c r="A3168" s="121">
        <v>4320201</v>
      </c>
      <c r="B3168" s="119" t="s">
        <v>27</v>
      </c>
    </row>
    <row r="3169" spans="1:2">
      <c r="A3169" s="121">
        <v>4320202</v>
      </c>
      <c r="B3169" s="119" t="s">
        <v>1207</v>
      </c>
    </row>
    <row r="3170" spans="1:2">
      <c r="A3170" s="121">
        <v>4320203</v>
      </c>
      <c r="B3170" s="119" t="s">
        <v>1956</v>
      </c>
    </row>
    <row r="3171" spans="1:2">
      <c r="A3171" s="121">
        <v>4325800</v>
      </c>
      <c r="B3171" s="119" t="s">
        <v>1690</v>
      </c>
    </row>
    <row r="3172" spans="1:2">
      <c r="A3172" s="121">
        <v>4326200</v>
      </c>
      <c r="B3172" s="119" t="s">
        <v>741</v>
      </c>
    </row>
    <row r="3173" spans="1:2">
      <c r="A3173" s="121">
        <v>4326800</v>
      </c>
      <c r="B3173" s="119" t="s">
        <v>68</v>
      </c>
    </row>
    <row r="3174" spans="1:2">
      <c r="A3174" s="121">
        <v>4326801</v>
      </c>
      <c r="B3174" s="119" t="s">
        <v>539</v>
      </c>
    </row>
    <row r="3175" spans="1:2" ht="25.5">
      <c r="A3175" s="121">
        <v>4326802</v>
      </c>
      <c r="B3175" s="119" t="s">
        <v>765</v>
      </c>
    </row>
    <row r="3176" spans="1:2">
      <c r="A3176" s="121">
        <v>4327100</v>
      </c>
      <c r="B3176" s="119" t="s">
        <v>1489</v>
      </c>
    </row>
    <row r="3177" spans="1:2">
      <c r="A3177" s="121">
        <v>4327101</v>
      </c>
      <c r="B3177" s="119" t="s">
        <v>1096</v>
      </c>
    </row>
    <row r="3178" spans="1:2">
      <c r="A3178" s="121">
        <v>4327102</v>
      </c>
      <c r="B3178" s="119" t="s">
        <v>1385</v>
      </c>
    </row>
    <row r="3179" spans="1:2">
      <c r="A3179" s="121">
        <v>4327103</v>
      </c>
      <c r="B3179" s="119" t="s">
        <v>1386</v>
      </c>
    </row>
    <row r="3180" spans="1:2">
      <c r="A3180" s="121">
        <v>4327200</v>
      </c>
      <c r="B3180" s="119" t="s">
        <v>836</v>
      </c>
    </row>
    <row r="3181" spans="1:2">
      <c r="A3181" s="121">
        <v>4327201</v>
      </c>
      <c r="B3181" s="119" t="s">
        <v>12</v>
      </c>
    </row>
    <row r="3182" spans="1:2">
      <c r="A3182" s="121">
        <v>4327202</v>
      </c>
      <c r="B3182" s="119" t="s">
        <v>13</v>
      </c>
    </row>
    <row r="3183" spans="1:2">
      <c r="A3183" s="121">
        <v>4327203</v>
      </c>
      <c r="B3183" s="119" t="s">
        <v>1687</v>
      </c>
    </row>
    <row r="3184" spans="1:2">
      <c r="A3184" s="121">
        <v>4329900</v>
      </c>
      <c r="B3184" s="119" t="s">
        <v>174</v>
      </c>
    </row>
    <row r="3185" spans="1:2">
      <c r="A3185" s="121">
        <v>4350000</v>
      </c>
      <c r="B3185" s="119" t="s">
        <v>279</v>
      </c>
    </row>
    <row r="3186" spans="1:2">
      <c r="A3186" s="121">
        <v>4359900</v>
      </c>
      <c r="B3186" s="119" t="s">
        <v>174</v>
      </c>
    </row>
    <row r="3187" spans="1:2">
      <c r="A3187" s="121">
        <v>4360000</v>
      </c>
      <c r="B3187" s="119" t="s">
        <v>123</v>
      </c>
    </row>
    <row r="3188" spans="1:2">
      <c r="A3188" s="121">
        <v>4360100</v>
      </c>
      <c r="B3188" s="119" t="s">
        <v>449</v>
      </c>
    </row>
    <row r="3189" spans="1:2">
      <c r="A3189" s="121">
        <v>4360200</v>
      </c>
      <c r="B3189" s="119" t="s">
        <v>400</v>
      </c>
    </row>
    <row r="3190" spans="1:2">
      <c r="A3190" s="121">
        <v>4360300</v>
      </c>
      <c r="B3190" s="119" t="s">
        <v>314</v>
      </c>
    </row>
    <row r="3191" spans="1:2">
      <c r="A3191" s="121">
        <v>4360400</v>
      </c>
      <c r="B3191" s="119" t="s">
        <v>555</v>
      </c>
    </row>
    <row r="3192" spans="1:2">
      <c r="A3192" s="121">
        <v>4360500</v>
      </c>
      <c r="B3192" s="119" t="s">
        <v>274</v>
      </c>
    </row>
    <row r="3193" spans="1:2">
      <c r="A3193" s="121">
        <v>4360600</v>
      </c>
      <c r="B3193" s="119" t="s">
        <v>275</v>
      </c>
    </row>
    <row r="3194" spans="1:2">
      <c r="A3194" s="121">
        <v>4360700</v>
      </c>
      <c r="B3194" s="119" t="s">
        <v>416</v>
      </c>
    </row>
    <row r="3195" spans="1:2" ht="25.5">
      <c r="A3195" s="121">
        <v>4360800</v>
      </c>
      <c r="B3195" s="119" t="s">
        <v>571</v>
      </c>
    </row>
    <row r="3196" spans="1:2">
      <c r="A3196" s="121">
        <v>4360900</v>
      </c>
      <c r="B3196" s="119" t="s">
        <v>846</v>
      </c>
    </row>
    <row r="3197" spans="1:2">
      <c r="A3197" s="121">
        <v>4361000</v>
      </c>
      <c r="B3197" s="119" t="s">
        <v>1156</v>
      </c>
    </row>
    <row r="3198" spans="1:2">
      <c r="A3198" s="121">
        <v>4361100</v>
      </c>
      <c r="B3198" s="119" t="s">
        <v>572</v>
      </c>
    </row>
    <row r="3199" spans="1:2">
      <c r="A3199" s="121">
        <v>4361200</v>
      </c>
      <c r="B3199" s="119" t="s">
        <v>761</v>
      </c>
    </row>
    <row r="3200" spans="1:2">
      <c r="A3200" s="121">
        <v>4361400</v>
      </c>
      <c r="B3200" s="119" t="s">
        <v>1208</v>
      </c>
    </row>
    <row r="3201" spans="1:2" ht="25.5">
      <c r="A3201" s="121">
        <v>4361500</v>
      </c>
      <c r="B3201" s="119" t="s">
        <v>1209</v>
      </c>
    </row>
    <row r="3202" spans="1:2">
      <c r="A3202" s="121">
        <v>4361600</v>
      </c>
      <c r="B3202" s="119" t="s">
        <v>1210</v>
      </c>
    </row>
    <row r="3203" spans="1:2">
      <c r="A3203" s="121">
        <v>4361700</v>
      </c>
      <c r="B3203" s="119" t="s">
        <v>558</v>
      </c>
    </row>
    <row r="3204" spans="1:2">
      <c r="A3204" s="121">
        <v>4361800</v>
      </c>
      <c r="B3204" s="119" t="s">
        <v>559</v>
      </c>
    </row>
    <row r="3205" spans="1:2">
      <c r="A3205" s="121">
        <v>4361900</v>
      </c>
      <c r="B3205" s="119" t="s">
        <v>560</v>
      </c>
    </row>
    <row r="3206" spans="1:2" ht="25.5">
      <c r="A3206" s="121">
        <v>4361901</v>
      </c>
      <c r="B3206" s="119" t="s">
        <v>561</v>
      </c>
    </row>
    <row r="3207" spans="1:2" ht="25.5">
      <c r="A3207" s="121">
        <v>4361902</v>
      </c>
      <c r="B3207" s="119" t="s">
        <v>562</v>
      </c>
    </row>
    <row r="3208" spans="1:2">
      <c r="A3208" s="121">
        <v>4362000</v>
      </c>
      <c r="B3208" s="119" t="s">
        <v>563</v>
      </c>
    </row>
    <row r="3209" spans="1:2">
      <c r="A3209" s="121">
        <v>4362100</v>
      </c>
      <c r="B3209" s="119" t="s">
        <v>564</v>
      </c>
    </row>
    <row r="3210" spans="1:2" ht="25.5">
      <c r="A3210" s="121">
        <v>4369300</v>
      </c>
      <c r="B3210" s="119" t="s">
        <v>554</v>
      </c>
    </row>
    <row r="3211" spans="1:2">
      <c r="A3211" s="121">
        <v>4369400</v>
      </c>
      <c r="B3211" s="119" t="s">
        <v>4</v>
      </c>
    </row>
    <row r="3212" spans="1:2">
      <c r="A3212" s="121">
        <v>4400000</v>
      </c>
      <c r="B3212" s="119" t="s">
        <v>565</v>
      </c>
    </row>
    <row r="3213" spans="1:2">
      <c r="A3213" s="121">
        <v>4400100</v>
      </c>
      <c r="B3213" s="119" t="s">
        <v>1169</v>
      </c>
    </row>
    <row r="3214" spans="1:2">
      <c r="A3214" s="121">
        <v>4400200</v>
      </c>
      <c r="B3214" s="119" t="s">
        <v>227</v>
      </c>
    </row>
    <row r="3215" spans="1:2" ht="25.5">
      <c r="A3215" s="121">
        <v>4400300</v>
      </c>
      <c r="B3215" s="119" t="s">
        <v>1633</v>
      </c>
    </row>
    <row r="3216" spans="1:2">
      <c r="A3216" s="121">
        <v>4400400</v>
      </c>
      <c r="B3216" s="119" t="s">
        <v>1634</v>
      </c>
    </row>
    <row r="3217" spans="1:2">
      <c r="A3217" s="121">
        <v>4400500</v>
      </c>
      <c r="B3217" s="119" t="s">
        <v>1026</v>
      </c>
    </row>
    <row r="3218" spans="1:2">
      <c r="A3218" s="121">
        <v>4400600</v>
      </c>
      <c r="B3218" s="119" t="s">
        <v>974</v>
      </c>
    </row>
    <row r="3219" spans="1:2">
      <c r="A3219" s="121">
        <v>4400700</v>
      </c>
      <c r="B3219" s="119" t="s">
        <v>496</v>
      </c>
    </row>
    <row r="3220" spans="1:2" ht="25.5">
      <c r="A3220" s="121">
        <v>4400800</v>
      </c>
      <c r="B3220" s="119" t="s">
        <v>1635</v>
      </c>
    </row>
    <row r="3221" spans="1:2">
      <c r="A3221" s="121">
        <v>4400900</v>
      </c>
      <c r="B3221" s="119" t="s">
        <v>1636</v>
      </c>
    </row>
    <row r="3222" spans="1:2">
      <c r="A3222" s="121">
        <v>4405800</v>
      </c>
      <c r="B3222" s="119" t="s">
        <v>1690</v>
      </c>
    </row>
    <row r="3223" spans="1:2">
      <c r="A3223" s="121">
        <v>4409200</v>
      </c>
      <c r="B3223" s="119" t="s">
        <v>1261</v>
      </c>
    </row>
    <row r="3224" spans="1:2">
      <c r="A3224" s="121">
        <v>4409400</v>
      </c>
      <c r="B3224" s="119" t="s">
        <v>4</v>
      </c>
    </row>
    <row r="3225" spans="1:2">
      <c r="A3225" s="121">
        <v>4409900</v>
      </c>
      <c r="B3225" s="119" t="s">
        <v>174</v>
      </c>
    </row>
    <row r="3226" spans="1:2">
      <c r="A3226" s="121">
        <v>4410000</v>
      </c>
      <c r="B3226" s="119" t="s">
        <v>1517</v>
      </c>
    </row>
    <row r="3227" spans="1:2">
      <c r="A3227" s="121">
        <v>4415800</v>
      </c>
      <c r="B3227" s="119" t="s">
        <v>1690</v>
      </c>
    </row>
    <row r="3228" spans="1:2">
      <c r="A3228" s="121">
        <v>4417100</v>
      </c>
      <c r="B3228" s="119" t="s">
        <v>1489</v>
      </c>
    </row>
    <row r="3229" spans="1:2">
      <c r="A3229" s="121">
        <v>4417101</v>
      </c>
      <c r="B3229" s="119" t="s">
        <v>1096</v>
      </c>
    </row>
    <row r="3230" spans="1:2">
      <c r="A3230" s="121">
        <v>4417102</v>
      </c>
      <c r="B3230" s="119" t="s">
        <v>1385</v>
      </c>
    </row>
    <row r="3231" spans="1:2">
      <c r="A3231" s="121">
        <v>4417103</v>
      </c>
      <c r="B3231" s="119" t="s">
        <v>1386</v>
      </c>
    </row>
    <row r="3232" spans="1:2">
      <c r="A3232" s="121">
        <v>4417200</v>
      </c>
      <c r="B3232" s="119" t="s">
        <v>836</v>
      </c>
    </row>
    <row r="3233" spans="1:2">
      <c r="A3233" s="121">
        <v>4417201</v>
      </c>
      <c r="B3233" s="119" t="s">
        <v>12</v>
      </c>
    </row>
    <row r="3234" spans="1:2">
      <c r="A3234" s="121">
        <v>4417202</v>
      </c>
      <c r="B3234" s="119" t="s">
        <v>13</v>
      </c>
    </row>
    <row r="3235" spans="1:2">
      <c r="A3235" s="121">
        <v>4417203</v>
      </c>
      <c r="B3235" s="119" t="s">
        <v>1687</v>
      </c>
    </row>
    <row r="3236" spans="1:2">
      <c r="A3236" s="121">
        <v>4419200</v>
      </c>
      <c r="B3236" s="119" t="s">
        <v>1261</v>
      </c>
    </row>
    <row r="3237" spans="1:2">
      <c r="A3237" s="121">
        <v>4419900</v>
      </c>
      <c r="B3237" s="119" t="s">
        <v>174</v>
      </c>
    </row>
    <row r="3238" spans="1:2">
      <c r="A3238" s="121">
        <v>4420000</v>
      </c>
      <c r="B3238" s="119" t="s">
        <v>50</v>
      </c>
    </row>
    <row r="3239" spans="1:2">
      <c r="A3239" s="121">
        <v>4420100</v>
      </c>
      <c r="B3239" s="119" t="s">
        <v>833</v>
      </c>
    </row>
    <row r="3240" spans="1:2">
      <c r="A3240" s="121">
        <v>4429200</v>
      </c>
      <c r="B3240" s="119" t="s">
        <v>1261</v>
      </c>
    </row>
    <row r="3241" spans="1:2">
      <c r="A3241" s="121">
        <v>4429900</v>
      </c>
      <c r="B3241" s="119" t="s">
        <v>174</v>
      </c>
    </row>
    <row r="3242" spans="1:2">
      <c r="A3242" s="121">
        <v>4430000</v>
      </c>
      <c r="B3242" s="119" t="s">
        <v>848</v>
      </c>
    </row>
    <row r="3243" spans="1:2">
      <c r="A3243" s="121">
        <v>4430100</v>
      </c>
      <c r="B3243" s="119" t="s">
        <v>1567</v>
      </c>
    </row>
    <row r="3244" spans="1:2">
      <c r="A3244" s="121">
        <v>4438500</v>
      </c>
      <c r="B3244" s="119" t="s">
        <v>1533</v>
      </c>
    </row>
    <row r="3245" spans="1:2">
      <c r="A3245" s="121">
        <v>4439200</v>
      </c>
      <c r="B3245" s="119" t="s">
        <v>1261</v>
      </c>
    </row>
    <row r="3246" spans="1:2">
      <c r="A3246" s="121">
        <v>4439900</v>
      </c>
      <c r="B3246" s="119" t="s">
        <v>174</v>
      </c>
    </row>
    <row r="3247" spans="1:2">
      <c r="A3247" s="121">
        <v>4440000</v>
      </c>
      <c r="B3247" s="119" t="s">
        <v>1637</v>
      </c>
    </row>
    <row r="3248" spans="1:2">
      <c r="A3248" s="121">
        <v>4440100</v>
      </c>
      <c r="B3248" s="119" t="s">
        <v>1638</v>
      </c>
    </row>
    <row r="3249" spans="1:2">
      <c r="A3249" s="121">
        <v>4440200</v>
      </c>
      <c r="B3249" s="119" t="s">
        <v>1498</v>
      </c>
    </row>
    <row r="3250" spans="1:2">
      <c r="A3250" s="121">
        <v>4500000</v>
      </c>
      <c r="B3250" s="119" t="s">
        <v>1496</v>
      </c>
    </row>
    <row r="3251" spans="1:2">
      <c r="A3251" s="121">
        <v>4500100</v>
      </c>
      <c r="B3251" s="119" t="s">
        <v>1026</v>
      </c>
    </row>
    <row r="3252" spans="1:2">
      <c r="A3252" s="121">
        <v>4500200</v>
      </c>
      <c r="B3252" s="119" t="s">
        <v>974</v>
      </c>
    </row>
    <row r="3253" spans="1:2">
      <c r="A3253" s="121">
        <v>4500300</v>
      </c>
      <c r="B3253" s="119" t="s">
        <v>496</v>
      </c>
    </row>
    <row r="3254" spans="1:2">
      <c r="A3254" s="121">
        <v>4500500</v>
      </c>
      <c r="B3254" s="119" t="s">
        <v>1387</v>
      </c>
    </row>
    <row r="3255" spans="1:2">
      <c r="A3255" s="121">
        <v>4500600</v>
      </c>
      <c r="B3255" s="119" t="s">
        <v>227</v>
      </c>
    </row>
    <row r="3256" spans="1:2" ht="25.5">
      <c r="A3256" s="121">
        <v>4500700</v>
      </c>
      <c r="B3256" s="119" t="s">
        <v>1497</v>
      </c>
    </row>
    <row r="3257" spans="1:2">
      <c r="A3257" s="121">
        <v>4505800</v>
      </c>
      <c r="B3257" s="119" t="s">
        <v>1690</v>
      </c>
    </row>
    <row r="3258" spans="1:2">
      <c r="A3258" s="121">
        <v>4506700</v>
      </c>
      <c r="B3258" s="119" t="s">
        <v>170</v>
      </c>
    </row>
    <row r="3259" spans="1:2">
      <c r="A3259" s="121">
        <v>4508500</v>
      </c>
      <c r="B3259" s="119" t="s">
        <v>1533</v>
      </c>
    </row>
    <row r="3260" spans="1:2">
      <c r="A3260" s="121">
        <v>4509000</v>
      </c>
      <c r="B3260" s="119" t="s">
        <v>94</v>
      </c>
    </row>
    <row r="3261" spans="1:2" ht="25.5">
      <c r="A3261" s="121">
        <v>4509300</v>
      </c>
      <c r="B3261" s="119" t="s">
        <v>554</v>
      </c>
    </row>
    <row r="3262" spans="1:2">
      <c r="A3262" s="121">
        <v>4509400</v>
      </c>
      <c r="B3262" s="119" t="s">
        <v>4</v>
      </c>
    </row>
    <row r="3263" spans="1:2">
      <c r="A3263" s="121">
        <v>4510000</v>
      </c>
      <c r="B3263" s="119" t="s">
        <v>849</v>
      </c>
    </row>
    <row r="3264" spans="1:2">
      <c r="A3264" s="121">
        <v>4510100</v>
      </c>
      <c r="B3264" s="119" t="s">
        <v>42</v>
      </c>
    </row>
    <row r="3265" spans="1:2" ht="76.5">
      <c r="A3265" s="121">
        <v>4510102</v>
      </c>
      <c r="B3265" s="120" t="s">
        <v>164</v>
      </c>
    </row>
    <row r="3266" spans="1:2" ht="63.75">
      <c r="A3266" s="121">
        <v>4510103</v>
      </c>
      <c r="B3266" s="120" t="s">
        <v>697</v>
      </c>
    </row>
    <row r="3267" spans="1:2">
      <c r="A3267" s="121">
        <v>4518500</v>
      </c>
      <c r="B3267" s="119" t="s">
        <v>1533</v>
      </c>
    </row>
    <row r="3268" spans="1:2" ht="25.5">
      <c r="A3268" s="121">
        <v>4520000</v>
      </c>
      <c r="B3268" s="119" t="s">
        <v>516</v>
      </c>
    </row>
    <row r="3269" spans="1:2">
      <c r="A3269" s="121">
        <v>4529900</v>
      </c>
      <c r="B3269" s="119" t="s">
        <v>174</v>
      </c>
    </row>
    <row r="3270" spans="1:2">
      <c r="A3270" s="121">
        <v>4530000</v>
      </c>
      <c r="B3270" s="119" t="s">
        <v>517</v>
      </c>
    </row>
    <row r="3271" spans="1:2">
      <c r="A3271" s="121">
        <v>4530100</v>
      </c>
      <c r="B3271" s="119" t="s">
        <v>518</v>
      </c>
    </row>
    <row r="3272" spans="1:2" ht="38.25">
      <c r="A3272" s="121">
        <v>4530101</v>
      </c>
      <c r="B3272" s="120" t="s">
        <v>465</v>
      </c>
    </row>
    <row r="3273" spans="1:2" ht="63.75">
      <c r="A3273" s="121">
        <v>4530102</v>
      </c>
      <c r="B3273" s="120" t="s">
        <v>797</v>
      </c>
    </row>
    <row r="3274" spans="1:2" ht="63.75">
      <c r="A3274" s="121">
        <v>4530103</v>
      </c>
      <c r="B3274" s="120" t="s">
        <v>813</v>
      </c>
    </row>
    <row r="3275" spans="1:2" ht="51">
      <c r="A3275" s="121">
        <v>4530104</v>
      </c>
      <c r="B3275" s="120" t="s">
        <v>1589</v>
      </c>
    </row>
    <row r="3276" spans="1:2" ht="25.5">
      <c r="A3276" s="121">
        <v>4530105</v>
      </c>
      <c r="B3276" s="119" t="s">
        <v>814</v>
      </c>
    </row>
    <row r="3277" spans="1:2" ht="38.25">
      <c r="A3277" s="121">
        <v>4530106</v>
      </c>
      <c r="B3277" s="119" t="s">
        <v>815</v>
      </c>
    </row>
    <row r="3278" spans="1:2" ht="51">
      <c r="A3278" s="121">
        <v>4530107</v>
      </c>
      <c r="B3278" s="120" t="s">
        <v>816</v>
      </c>
    </row>
    <row r="3279" spans="1:2" ht="25.5">
      <c r="A3279" s="121">
        <v>4530109</v>
      </c>
      <c r="B3279" s="119" t="s">
        <v>817</v>
      </c>
    </row>
    <row r="3280" spans="1:2" ht="25.5">
      <c r="A3280" s="121">
        <v>4530111</v>
      </c>
      <c r="B3280" s="119" t="s">
        <v>818</v>
      </c>
    </row>
    <row r="3281" spans="1:2">
      <c r="A3281" s="121">
        <v>4538500</v>
      </c>
      <c r="B3281" s="119" t="s">
        <v>1533</v>
      </c>
    </row>
    <row r="3282" spans="1:2">
      <c r="A3282" s="121">
        <v>4539400</v>
      </c>
      <c r="B3282" s="119" t="s">
        <v>4</v>
      </c>
    </row>
    <row r="3283" spans="1:2">
      <c r="A3283" s="121">
        <v>4539900</v>
      </c>
      <c r="B3283" s="119" t="s">
        <v>174</v>
      </c>
    </row>
    <row r="3284" spans="1:2">
      <c r="A3284" s="121">
        <v>4550000</v>
      </c>
      <c r="B3284" s="119" t="s">
        <v>704</v>
      </c>
    </row>
    <row r="3285" spans="1:2" ht="25.5">
      <c r="A3285" s="121">
        <v>4550100</v>
      </c>
      <c r="B3285" s="119" t="s">
        <v>414</v>
      </c>
    </row>
    <row r="3286" spans="1:2" ht="25.5">
      <c r="A3286" s="121">
        <v>4550101</v>
      </c>
      <c r="B3286" s="119" t="s">
        <v>847</v>
      </c>
    </row>
    <row r="3287" spans="1:2" ht="25.5">
      <c r="A3287" s="121">
        <v>4550102</v>
      </c>
      <c r="B3287" s="119" t="s">
        <v>319</v>
      </c>
    </row>
    <row r="3288" spans="1:2">
      <c r="A3288" s="121">
        <v>4555800</v>
      </c>
      <c r="B3288" s="119" t="s">
        <v>1690</v>
      </c>
    </row>
    <row r="3289" spans="1:2">
      <c r="A3289" s="121">
        <v>4556800</v>
      </c>
      <c r="B3289" s="119" t="s">
        <v>68</v>
      </c>
    </row>
    <row r="3290" spans="1:2">
      <c r="A3290" s="121">
        <v>4556801</v>
      </c>
      <c r="B3290" s="119" t="s">
        <v>539</v>
      </c>
    </row>
    <row r="3291" spans="1:2" ht="25.5">
      <c r="A3291" s="121">
        <v>4556802</v>
      </c>
      <c r="B3291" s="119" t="s">
        <v>765</v>
      </c>
    </row>
    <row r="3292" spans="1:2">
      <c r="A3292" s="121">
        <v>4557100</v>
      </c>
      <c r="B3292" s="119" t="s">
        <v>1489</v>
      </c>
    </row>
    <row r="3293" spans="1:2">
      <c r="A3293" s="121">
        <v>4557101</v>
      </c>
      <c r="B3293" s="119" t="s">
        <v>1096</v>
      </c>
    </row>
    <row r="3294" spans="1:2" ht="13.5" customHeight="1">
      <c r="A3294" s="121">
        <v>4557102</v>
      </c>
      <c r="B3294" s="119" t="s">
        <v>1385</v>
      </c>
    </row>
    <row r="3295" spans="1:2">
      <c r="A3295" s="121">
        <v>4557103</v>
      </c>
      <c r="B3295" s="119" t="s">
        <v>1386</v>
      </c>
    </row>
    <row r="3296" spans="1:2">
      <c r="A3296" s="121">
        <v>4557200</v>
      </c>
      <c r="B3296" s="119" t="s">
        <v>836</v>
      </c>
    </row>
    <row r="3297" spans="1:2">
      <c r="A3297" s="121">
        <v>4557201</v>
      </c>
      <c r="B3297" s="119" t="s">
        <v>12</v>
      </c>
    </row>
    <row r="3298" spans="1:2">
      <c r="A3298" s="121">
        <v>4557202</v>
      </c>
      <c r="B3298" s="119" t="s">
        <v>13</v>
      </c>
    </row>
    <row r="3299" spans="1:2">
      <c r="A3299" s="121">
        <v>4557203</v>
      </c>
      <c r="B3299" s="119" t="s">
        <v>1687</v>
      </c>
    </row>
    <row r="3300" spans="1:2">
      <c r="A3300" s="121">
        <v>4558500</v>
      </c>
      <c r="B3300" s="119" t="s">
        <v>1533</v>
      </c>
    </row>
    <row r="3301" spans="1:2">
      <c r="A3301" s="121">
        <v>4559900</v>
      </c>
      <c r="B3301" s="119" t="s">
        <v>174</v>
      </c>
    </row>
    <row r="3302" spans="1:2">
      <c r="A3302" s="121">
        <v>4560000</v>
      </c>
      <c r="B3302" s="119" t="s">
        <v>176</v>
      </c>
    </row>
    <row r="3303" spans="1:2" ht="25.5">
      <c r="A3303" s="121">
        <v>4560100</v>
      </c>
      <c r="B3303" s="119" t="s">
        <v>1245</v>
      </c>
    </row>
    <row r="3304" spans="1:2">
      <c r="A3304" s="121">
        <v>4560101</v>
      </c>
      <c r="B3304" s="119" t="s">
        <v>946</v>
      </c>
    </row>
    <row r="3305" spans="1:2">
      <c r="A3305" s="121">
        <v>4560102</v>
      </c>
      <c r="B3305" s="119" t="s">
        <v>947</v>
      </c>
    </row>
    <row r="3306" spans="1:2">
      <c r="A3306" s="121">
        <v>4568500</v>
      </c>
      <c r="B3306" s="119" t="s">
        <v>1533</v>
      </c>
    </row>
    <row r="3307" spans="1:2">
      <c r="A3307" s="121">
        <v>4570000</v>
      </c>
      <c r="B3307" s="119" t="s">
        <v>1412</v>
      </c>
    </row>
    <row r="3308" spans="1:2" ht="25.5">
      <c r="A3308" s="121">
        <v>4570100</v>
      </c>
      <c r="B3308" s="119" t="s">
        <v>819</v>
      </c>
    </row>
    <row r="3309" spans="1:2">
      <c r="A3309" s="121">
        <v>4575800</v>
      </c>
      <c r="B3309" s="119" t="s">
        <v>1690</v>
      </c>
    </row>
    <row r="3310" spans="1:2">
      <c r="A3310" s="121">
        <v>4577100</v>
      </c>
      <c r="B3310" s="119" t="s">
        <v>1489</v>
      </c>
    </row>
    <row r="3311" spans="1:2">
      <c r="A3311" s="121">
        <v>4577101</v>
      </c>
      <c r="B3311" s="119" t="s">
        <v>1096</v>
      </c>
    </row>
    <row r="3312" spans="1:2">
      <c r="A3312" s="121">
        <v>4577102</v>
      </c>
      <c r="B3312" s="119" t="s">
        <v>1385</v>
      </c>
    </row>
    <row r="3313" spans="1:2">
      <c r="A3313" s="121">
        <v>4577103</v>
      </c>
      <c r="B3313" s="119" t="s">
        <v>1386</v>
      </c>
    </row>
    <row r="3314" spans="1:2">
      <c r="A3314" s="121">
        <v>4577200</v>
      </c>
      <c r="B3314" s="119" t="s">
        <v>836</v>
      </c>
    </row>
    <row r="3315" spans="1:2">
      <c r="A3315" s="121">
        <v>4577201</v>
      </c>
      <c r="B3315" s="119" t="s">
        <v>12</v>
      </c>
    </row>
    <row r="3316" spans="1:2">
      <c r="A3316" s="121">
        <v>4577202</v>
      </c>
      <c r="B3316" s="119" t="s">
        <v>13</v>
      </c>
    </row>
    <row r="3317" spans="1:2">
      <c r="A3317" s="121">
        <v>4577203</v>
      </c>
      <c r="B3317" s="119" t="s">
        <v>1687</v>
      </c>
    </row>
    <row r="3318" spans="1:2">
      <c r="A3318" s="121">
        <v>4577600</v>
      </c>
      <c r="B3318" s="119" t="s">
        <v>1020</v>
      </c>
    </row>
    <row r="3319" spans="1:2">
      <c r="A3319" s="121">
        <v>4578500</v>
      </c>
      <c r="B3319" s="119" t="s">
        <v>1533</v>
      </c>
    </row>
    <row r="3320" spans="1:2">
      <c r="A3320" s="121">
        <v>4579900</v>
      </c>
      <c r="B3320" s="119" t="s">
        <v>174</v>
      </c>
    </row>
    <row r="3321" spans="1:2">
      <c r="A3321" s="121">
        <v>4680000</v>
      </c>
      <c r="B3321" s="119" t="s">
        <v>199</v>
      </c>
    </row>
    <row r="3322" spans="1:2">
      <c r="A3322" s="121">
        <v>4689900</v>
      </c>
      <c r="B3322" s="119" t="s">
        <v>174</v>
      </c>
    </row>
    <row r="3323" spans="1:2">
      <c r="A3323" s="121">
        <v>4690000</v>
      </c>
      <c r="B3323" s="119" t="s">
        <v>1413</v>
      </c>
    </row>
    <row r="3324" spans="1:2">
      <c r="A3324" s="121">
        <v>4695800</v>
      </c>
      <c r="B3324" s="119" t="s">
        <v>1690</v>
      </c>
    </row>
    <row r="3325" spans="1:2">
      <c r="A3325" s="121">
        <v>4697100</v>
      </c>
      <c r="B3325" s="119" t="s">
        <v>1489</v>
      </c>
    </row>
    <row r="3326" spans="1:2">
      <c r="A3326" s="121">
        <v>4697101</v>
      </c>
      <c r="B3326" s="119" t="s">
        <v>1096</v>
      </c>
    </row>
    <row r="3327" spans="1:2">
      <c r="A3327" s="121">
        <v>4697102</v>
      </c>
      <c r="B3327" s="119" t="s">
        <v>1385</v>
      </c>
    </row>
    <row r="3328" spans="1:2">
      <c r="A3328" s="121">
        <v>4697103</v>
      </c>
      <c r="B3328" s="119" t="s">
        <v>1386</v>
      </c>
    </row>
    <row r="3329" spans="1:2">
      <c r="A3329" s="121">
        <v>4697200</v>
      </c>
      <c r="B3329" s="119" t="s">
        <v>836</v>
      </c>
    </row>
    <row r="3330" spans="1:2">
      <c r="A3330" s="121">
        <v>4697201</v>
      </c>
      <c r="B3330" s="119" t="s">
        <v>12</v>
      </c>
    </row>
    <row r="3331" spans="1:2">
      <c r="A3331" s="121">
        <v>4697202</v>
      </c>
      <c r="B3331" s="119" t="s">
        <v>13</v>
      </c>
    </row>
    <row r="3332" spans="1:2">
      <c r="A3332" s="121">
        <v>4697203</v>
      </c>
      <c r="B3332" s="119" t="s">
        <v>1687</v>
      </c>
    </row>
    <row r="3333" spans="1:2">
      <c r="A3333" s="121">
        <v>4699900</v>
      </c>
      <c r="B3333" s="119" t="s">
        <v>174</v>
      </c>
    </row>
    <row r="3334" spans="1:2">
      <c r="A3334" s="121">
        <v>4700000</v>
      </c>
      <c r="B3334" s="119" t="s">
        <v>1450</v>
      </c>
    </row>
    <row r="3335" spans="1:2" ht="51">
      <c r="A3335" s="121">
        <v>4700100</v>
      </c>
      <c r="B3335" s="120" t="s">
        <v>1252</v>
      </c>
    </row>
    <row r="3336" spans="1:2">
      <c r="A3336" s="121">
        <v>4700200</v>
      </c>
      <c r="B3336" s="119" t="s">
        <v>201</v>
      </c>
    </row>
    <row r="3337" spans="1:2" ht="38.25">
      <c r="A3337" s="121">
        <v>4700300</v>
      </c>
      <c r="B3337" s="120" t="s">
        <v>1253</v>
      </c>
    </row>
    <row r="3338" spans="1:2">
      <c r="A3338" s="121">
        <v>4705800</v>
      </c>
      <c r="B3338" s="119" t="s">
        <v>1690</v>
      </c>
    </row>
    <row r="3339" spans="1:2">
      <c r="A3339" s="121">
        <v>4706200</v>
      </c>
      <c r="B3339" s="119" t="s">
        <v>741</v>
      </c>
    </row>
    <row r="3340" spans="1:2">
      <c r="A3340" s="121">
        <v>4706800</v>
      </c>
      <c r="B3340" s="119" t="s">
        <v>68</v>
      </c>
    </row>
    <row r="3341" spans="1:2">
      <c r="A3341" s="121">
        <v>4706801</v>
      </c>
      <c r="B3341" s="119" t="s">
        <v>539</v>
      </c>
    </row>
    <row r="3342" spans="1:2" ht="25.5">
      <c r="A3342" s="121">
        <v>4706802</v>
      </c>
      <c r="B3342" s="119" t="s">
        <v>765</v>
      </c>
    </row>
    <row r="3343" spans="1:2">
      <c r="A3343" s="121">
        <v>4707100</v>
      </c>
      <c r="B3343" s="119" t="s">
        <v>1489</v>
      </c>
    </row>
    <row r="3344" spans="1:2">
      <c r="A3344" s="121">
        <v>4707101</v>
      </c>
      <c r="B3344" s="119" t="s">
        <v>1096</v>
      </c>
    </row>
    <row r="3345" spans="1:2">
      <c r="A3345" s="121">
        <v>4707102</v>
      </c>
      <c r="B3345" s="119" t="s">
        <v>1385</v>
      </c>
    </row>
    <row r="3346" spans="1:2">
      <c r="A3346" s="121">
        <v>4707103</v>
      </c>
      <c r="B3346" s="119" t="s">
        <v>1386</v>
      </c>
    </row>
    <row r="3347" spans="1:2">
      <c r="A3347" s="121">
        <v>4707200</v>
      </c>
      <c r="B3347" s="119" t="s">
        <v>836</v>
      </c>
    </row>
    <row r="3348" spans="1:2">
      <c r="A3348" s="121">
        <v>4707201</v>
      </c>
      <c r="B3348" s="119" t="s">
        <v>12</v>
      </c>
    </row>
    <row r="3349" spans="1:2">
      <c r="A3349" s="121">
        <v>4707202</v>
      </c>
      <c r="B3349" s="119" t="s">
        <v>13</v>
      </c>
    </row>
    <row r="3350" spans="1:2">
      <c r="A3350" s="121">
        <v>4707203</v>
      </c>
      <c r="B3350" s="119" t="s">
        <v>1687</v>
      </c>
    </row>
    <row r="3351" spans="1:2">
      <c r="A3351" s="121">
        <v>4707600</v>
      </c>
      <c r="B3351" s="119" t="s">
        <v>1020</v>
      </c>
    </row>
    <row r="3352" spans="1:2">
      <c r="A3352" s="121">
        <v>4709900</v>
      </c>
      <c r="B3352" s="119" t="s">
        <v>174</v>
      </c>
    </row>
    <row r="3353" spans="1:2">
      <c r="A3353" s="121">
        <v>4710000</v>
      </c>
      <c r="B3353" s="119" t="s">
        <v>1414</v>
      </c>
    </row>
    <row r="3354" spans="1:2">
      <c r="A3354" s="121">
        <v>4715800</v>
      </c>
      <c r="B3354" s="119" t="s">
        <v>1690</v>
      </c>
    </row>
    <row r="3355" spans="1:2">
      <c r="A3355" s="121">
        <v>4716200</v>
      </c>
      <c r="B3355" s="119" t="s">
        <v>741</v>
      </c>
    </row>
    <row r="3356" spans="1:2">
      <c r="A3356" s="121">
        <v>4716800</v>
      </c>
      <c r="B3356" s="119" t="s">
        <v>171</v>
      </c>
    </row>
    <row r="3357" spans="1:2">
      <c r="A3357" s="121">
        <v>4716801</v>
      </c>
      <c r="B3357" s="119" t="s">
        <v>539</v>
      </c>
    </row>
    <row r="3358" spans="1:2" ht="25.5">
      <c r="A3358" s="121">
        <v>4716802</v>
      </c>
      <c r="B3358" s="119" t="s">
        <v>765</v>
      </c>
    </row>
    <row r="3359" spans="1:2">
      <c r="A3359" s="121">
        <v>4717100</v>
      </c>
      <c r="B3359" s="119" t="s">
        <v>1489</v>
      </c>
    </row>
    <row r="3360" spans="1:2">
      <c r="A3360" s="121">
        <v>4717101</v>
      </c>
      <c r="B3360" s="119" t="s">
        <v>1096</v>
      </c>
    </row>
    <row r="3361" spans="1:2">
      <c r="A3361" s="121">
        <v>4717102</v>
      </c>
      <c r="B3361" s="119" t="s">
        <v>1385</v>
      </c>
    </row>
    <row r="3362" spans="1:2">
      <c r="A3362" s="121">
        <v>4717103</v>
      </c>
      <c r="B3362" s="119" t="s">
        <v>1386</v>
      </c>
    </row>
    <row r="3363" spans="1:2">
      <c r="A3363" s="121">
        <v>4717200</v>
      </c>
      <c r="B3363" s="119" t="s">
        <v>836</v>
      </c>
    </row>
    <row r="3364" spans="1:2">
      <c r="A3364" s="121">
        <v>4717201</v>
      </c>
      <c r="B3364" s="119" t="s">
        <v>12</v>
      </c>
    </row>
    <row r="3365" spans="1:2">
      <c r="A3365" s="121">
        <v>4717202</v>
      </c>
      <c r="B3365" s="119" t="s">
        <v>13</v>
      </c>
    </row>
    <row r="3366" spans="1:2">
      <c r="A3366" s="121">
        <v>4717203</v>
      </c>
      <c r="B3366" s="119" t="s">
        <v>1687</v>
      </c>
    </row>
    <row r="3367" spans="1:2">
      <c r="A3367" s="121">
        <v>4717600</v>
      </c>
      <c r="B3367" s="119" t="s">
        <v>1706</v>
      </c>
    </row>
    <row r="3368" spans="1:2">
      <c r="A3368" s="121">
        <v>4719900</v>
      </c>
      <c r="B3368" s="119" t="s">
        <v>174</v>
      </c>
    </row>
    <row r="3369" spans="1:2">
      <c r="A3369" s="121">
        <v>4720000</v>
      </c>
      <c r="B3369" s="119" t="s">
        <v>206</v>
      </c>
    </row>
    <row r="3370" spans="1:2">
      <c r="A3370" s="121">
        <v>4729900</v>
      </c>
      <c r="B3370" s="119" t="s">
        <v>174</v>
      </c>
    </row>
    <row r="3371" spans="1:2">
      <c r="A3371" s="121">
        <v>4730000</v>
      </c>
      <c r="B3371" s="119" t="s">
        <v>703</v>
      </c>
    </row>
    <row r="3372" spans="1:2">
      <c r="A3372" s="121">
        <v>4739900</v>
      </c>
      <c r="B3372" s="119" t="s">
        <v>174</v>
      </c>
    </row>
    <row r="3373" spans="1:2">
      <c r="A3373" s="121">
        <v>4740000</v>
      </c>
      <c r="B3373" s="119" t="s">
        <v>1093</v>
      </c>
    </row>
    <row r="3374" spans="1:2">
      <c r="A3374" s="121">
        <v>4749900</v>
      </c>
      <c r="B3374" s="119" t="s">
        <v>174</v>
      </c>
    </row>
    <row r="3375" spans="1:2">
      <c r="A3375" s="121">
        <v>4750000</v>
      </c>
      <c r="B3375" s="119" t="s">
        <v>470</v>
      </c>
    </row>
    <row r="3376" spans="1:2">
      <c r="A3376" s="121">
        <v>4755800</v>
      </c>
      <c r="B3376" s="119" t="s">
        <v>1690</v>
      </c>
    </row>
    <row r="3377" spans="1:2">
      <c r="A3377" s="121">
        <v>4756800</v>
      </c>
      <c r="B3377" s="119" t="s">
        <v>68</v>
      </c>
    </row>
    <row r="3378" spans="1:2">
      <c r="A3378" s="121">
        <v>4756801</v>
      </c>
      <c r="B3378" s="119" t="s">
        <v>539</v>
      </c>
    </row>
    <row r="3379" spans="1:2" ht="25.5">
      <c r="A3379" s="121">
        <v>4756802</v>
      </c>
      <c r="B3379" s="119" t="s">
        <v>765</v>
      </c>
    </row>
    <row r="3380" spans="1:2">
      <c r="A3380" s="121">
        <v>4757100</v>
      </c>
      <c r="B3380" s="119" t="s">
        <v>1489</v>
      </c>
    </row>
    <row r="3381" spans="1:2">
      <c r="A3381" s="121">
        <v>4757101</v>
      </c>
      <c r="B3381" s="119" t="s">
        <v>1096</v>
      </c>
    </row>
    <row r="3382" spans="1:2">
      <c r="A3382" s="121">
        <v>4757102</v>
      </c>
      <c r="B3382" s="119" t="s">
        <v>1385</v>
      </c>
    </row>
    <row r="3383" spans="1:2">
      <c r="A3383" s="121">
        <v>4757103</v>
      </c>
      <c r="B3383" s="119" t="s">
        <v>1386</v>
      </c>
    </row>
    <row r="3384" spans="1:2">
      <c r="A3384" s="121">
        <v>4757200</v>
      </c>
      <c r="B3384" s="119" t="s">
        <v>836</v>
      </c>
    </row>
    <row r="3385" spans="1:2">
      <c r="A3385" s="121">
        <v>4757201</v>
      </c>
      <c r="B3385" s="119" t="s">
        <v>12</v>
      </c>
    </row>
    <row r="3386" spans="1:2">
      <c r="A3386" s="121">
        <v>4757202</v>
      </c>
      <c r="B3386" s="119" t="s">
        <v>13</v>
      </c>
    </row>
    <row r="3387" spans="1:2">
      <c r="A3387" s="121">
        <v>4757203</v>
      </c>
      <c r="B3387" s="119" t="s">
        <v>1687</v>
      </c>
    </row>
    <row r="3388" spans="1:2">
      <c r="A3388" s="121">
        <v>4757600</v>
      </c>
      <c r="B3388" s="119" t="s">
        <v>1020</v>
      </c>
    </row>
    <row r="3389" spans="1:2">
      <c r="A3389" s="121">
        <v>4759900</v>
      </c>
      <c r="B3389" s="119" t="s">
        <v>174</v>
      </c>
    </row>
    <row r="3390" spans="1:2">
      <c r="A3390" s="121">
        <v>4790000</v>
      </c>
      <c r="B3390" s="119" t="s">
        <v>208</v>
      </c>
    </row>
    <row r="3391" spans="1:2">
      <c r="A3391" s="121">
        <v>4799900</v>
      </c>
      <c r="B3391" s="119" t="s">
        <v>174</v>
      </c>
    </row>
    <row r="3392" spans="1:2">
      <c r="A3392" s="121">
        <v>4800000</v>
      </c>
      <c r="B3392" s="119" t="s">
        <v>86</v>
      </c>
    </row>
    <row r="3393" spans="1:2">
      <c r="A3393" s="121">
        <v>4805800</v>
      </c>
      <c r="B3393" s="119" t="s">
        <v>1690</v>
      </c>
    </row>
    <row r="3394" spans="1:2">
      <c r="A3394" s="121">
        <v>4806800</v>
      </c>
      <c r="B3394" s="119" t="s">
        <v>171</v>
      </c>
    </row>
    <row r="3395" spans="1:2">
      <c r="A3395" s="121">
        <v>4806801</v>
      </c>
      <c r="B3395" s="119" t="s">
        <v>539</v>
      </c>
    </row>
    <row r="3396" spans="1:2" ht="25.5">
      <c r="A3396" s="121">
        <v>4806802</v>
      </c>
      <c r="B3396" s="119" t="s">
        <v>765</v>
      </c>
    </row>
    <row r="3397" spans="1:2">
      <c r="A3397" s="121">
        <v>4807100</v>
      </c>
      <c r="B3397" s="119" t="s">
        <v>1489</v>
      </c>
    </row>
    <row r="3398" spans="1:2">
      <c r="A3398" s="121">
        <v>4807101</v>
      </c>
      <c r="B3398" s="119" t="s">
        <v>1096</v>
      </c>
    </row>
    <row r="3399" spans="1:2">
      <c r="A3399" s="121">
        <v>4807102</v>
      </c>
      <c r="B3399" s="119" t="s">
        <v>1385</v>
      </c>
    </row>
    <row r="3400" spans="1:2">
      <c r="A3400" s="121">
        <v>4807103</v>
      </c>
      <c r="B3400" s="119" t="s">
        <v>1386</v>
      </c>
    </row>
    <row r="3401" spans="1:2">
      <c r="A3401" s="121">
        <v>4807200</v>
      </c>
      <c r="B3401" s="119" t="s">
        <v>836</v>
      </c>
    </row>
    <row r="3402" spans="1:2">
      <c r="A3402" s="121">
        <v>4807201</v>
      </c>
      <c r="B3402" s="119" t="s">
        <v>12</v>
      </c>
    </row>
    <row r="3403" spans="1:2">
      <c r="A3403" s="121">
        <v>4807202</v>
      </c>
      <c r="B3403" s="119" t="s">
        <v>13</v>
      </c>
    </row>
    <row r="3404" spans="1:2">
      <c r="A3404" s="121">
        <v>4807203</v>
      </c>
      <c r="B3404" s="119" t="s">
        <v>1687</v>
      </c>
    </row>
    <row r="3405" spans="1:2">
      <c r="A3405" s="121">
        <v>4807600</v>
      </c>
      <c r="B3405" s="119" t="s">
        <v>1020</v>
      </c>
    </row>
    <row r="3406" spans="1:2">
      <c r="A3406" s="121">
        <v>4809900</v>
      </c>
      <c r="B3406" s="119" t="s">
        <v>174</v>
      </c>
    </row>
    <row r="3407" spans="1:2">
      <c r="A3407" s="121">
        <v>4810000</v>
      </c>
      <c r="B3407" s="119" t="s">
        <v>664</v>
      </c>
    </row>
    <row r="3408" spans="1:2">
      <c r="A3408" s="121">
        <v>4810100</v>
      </c>
      <c r="B3408" s="119" t="s">
        <v>410</v>
      </c>
    </row>
    <row r="3409" spans="1:2">
      <c r="A3409" s="121">
        <v>4810200</v>
      </c>
      <c r="B3409" s="119" t="s">
        <v>909</v>
      </c>
    </row>
    <row r="3410" spans="1:2" ht="25.5">
      <c r="A3410" s="121">
        <v>4810300</v>
      </c>
      <c r="B3410" s="119" t="s">
        <v>557</v>
      </c>
    </row>
    <row r="3411" spans="1:2" ht="25.5">
      <c r="A3411" s="121">
        <v>4810400</v>
      </c>
      <c r="B3411" s="119" t="s">
        <v>616</v>
      </c>
    </row>
    <row r="3412" spans="1:2">
      <c r="A3412" s="121">
        <v>4817700</v>
      </c>
      <c r="B3412" s="119" t="s">
        <v>1167</v>
      </c>
    </row>
    <row r="3413" spans="1:2">
      <c r="A3413" s="121">
        <v>4820000</v>
      </c>
      <c r="B3413" s="119" t="s">
        <v>665</v>
      </c>
    </row>
    <row r="3414" spans="1:2">
      <c r="A3414" s="121">
        <v>4825800</v>
      </c>
      <c r="B3414" s="119" t="s">
        <v>1690</v>
      </c>
    </row>
    <row r="3415" spans="1:2">
      <c r="A3415" s="121">
        <v>4827100</v>
      </c>
      <c r="B3415" s="119" t="s">
        <v>1489</v>
      </c>
    </row>
    <row r="3416" spans="1:2">
      <c r="A3416" s="121">
        <v>4827101</v>
      </c>
      <c r="B3416" s="119" t="s">
        <v>1096</v>
      </c>
    </row>
    <row r="3417" spans="1:2">
      <c r="A3417" s="121">
        <v>4827102</v>
      </c>
      <c r="B3417" s="119" t="s">
        <v>1385</v>
      </c>
    </row>
    <row r="3418" spans="1:2">
      <c r="A3418" s="121">
        <v>4827103</v>
      </c>
      <c r="B3418" s="119" t="s">
        <v>1386</v>
      </c>
    </row>
    <row r="3419" spans="1:2">
      <c r="A3419" s="121">
        <v>4827200</v>
      </c>
      <c r="B3419" s="119" t="s">
        <v>836</v>
      </c>
    </row>
    <row r="3420" spans="1:2">
      <c r="A3420" s="121">
        <v>4827201</v>
      </c>
      <c r="B3420" s="119" t="s">
        <v>12</v>
      </c>
    </row>
    <row r="3421" spans="1:2">
      <c r="A3421" s="121">
        <v>4827202</v>
      </c>
      <c r="B3421" s="119" t="s">
        <v>13</v>
      </c>
    </row>
    <row r="3422" spans="1:2">
      <c r="A3422" s="121">
        <v>4827203</v>
      </c>
      <c r="B3422" s="119" t="s">
        <v>1687</v>
      </c>
    </row>
    <row r="3423" spans="1:2">
      <c r="A3423" s="121">
        <v>4829900</v>
      </c>
      <c r="B3423" s="119" t="s">
        <v>174</v>
      </c>
    </row>
    <row r="3424" spans="1:2">
      <c r="A3424" s="121">
        <v>4830000</v>
      </c>
      <c r="B3424" s="119" t="s">
        <v>666</v>
      </c>
    </row>
    <row r="3425" spans="1:2">
      <c r="A3425" s="121">
        <v>4839900</v>
      </c>
      <c r="B3425" s="119" t="s">
        <v>174</v>
      </c>
    </row>
    <row r="3426" spans="1:2">
      <c r="A3426" s="121">
        <v>4840000</v>
      </c>
      <c r="B3426" s="119" t="s">
        <v>806</v>
      </c>
    </row>
    <row r="3427" spans="1:2">
      <c r="A3427" s="121">
        <v>4849900</v>
      </c>
      <c r="B3427" s="119" t="s">
        <v>174</v>
      </c>
    </row>
    <row r="3428" spans="1:2">
      <c r="A3428" s="121">
        <v>4850000</v>
      </c>
      <c r="B3428" s="119" t="s">
        <v>617</v>
      </c>
    </row>
    <row r="3429" spans="1:2">
      <c r="A3429" s="121">
        <v>4850100</v>
      </c>
      <c r="B3429" s="119" t="s">
        <v>241</v>
      </c>
    </row>
    <row r="3430" spans="1:2">
      <c r="A3430" s="121">
        <v>4850200</v>
      </c>
      <c r="B3430" s="119" t="s">
        <v>55</v>
      </c>
    </row>
    <row r="3431" spans="1:2" ht="38.25">
      <c r="A3431" s="121">
        <v>4850300</v>
      </c>
      <c r="B3431" s="120" t="s">
        <v>618</v>
      </c>
    </row>
    <row r="3432" spans="1:2" ht="25.5">
      <c r="A3432" s="121">
        <v>4850400</v>
      </c>
      <c r="B3432" s="119" t="s">
        <v>619</v>
      </c>
    </row>
    <row r="3433" spans="1:2">
      <c r="A3433" s="121">
        <v>4850500</v>
      </c>
      <c r="B3433" s="119" t="s">
        <v>620</v>
      </c>
    </row>
    <row r="3434" spans="1:2">
      <c r="A3434" s="121">
        <v>4850600</v>
      </c>
      <c r="B3434" s="119" t="s">
        <v>1353</v>
      </c>
    </row>
    <row r="3435" spans="1:2">
      <c r="A3435" s="121">
        <v>4850700</v>
      </c>
      <c r="B3435" s="119" t="s">
        <v>1156</v>
      </c>
    </row>
    <row r="3436" spans="1:2">
      <c r="A3436" s="121">
        <v>4850800</v>
      </c>
      <c r="B3436" s="119" t="s">
        <v>1085</v>
      </c>
    </row>
    <row r="3437" spans="1:2">
      <c r="A3437" s="121">
        <v>4850900</v>
      </c>
      <c r="B3437" s="119" t="s">
        <v>207</v>
      </c>
    </row>
    <row r="3438" spans="1:2" ht="38.25">
      <c r="A3438" s="121">
        <v>4851000</v>
      </c>
      <c r="B3438" s="120" t="s">
        <v>101</v>
      </c>
    </row>
    <row r="3439" spans="1:2">
      <c r="A3439" s="121">
        <v>4851300</v>
      </c>
      <c r="B3439" s="119" t="s">
        <v>102</v>
      </c>
    </row>
    <row r="3440" spans="1:2" ht="51">
      <c r="A3440" s="121">
        <v>4851400</v>
      </c>
      <c r="B3440" s="120" t="s">
        <v>103</v>
      </c>
    </row>
    <row r="3441" spans="1:2">
      <c r="A3441" s="121">
        <v>4851600</v>
      </c>
      <c r="B3441" s="119" t="s">
        <v>104</v>
      </c>
    </row>
    <row r="3442" spans="1:2" ht="25.5">
      <c r="A3442" s="121">
        <v>4851700</v>
      </c>
      <c r="B3442" s="119" t="s">
        <v>105</v>
      </c>
    </row>
    <row r="3443" spans="1:2">
      <c r="A3443" s="121">
        <v>4851800</v>
      </c>
      <c r="B3443" s="119" t="s">
        <v>106</v>
      </c>
    </row>
    <row r="3444" spans="1:2" ht="25.5">
      <c r="A3444" s="121">
        <v>4851900</v>
      </c>
      <c r="B3444" s="119" t="s">
        <v>107</v>
      </c>
    </row>
    <row r="3445" spans="1:2">
      <c r="A3445" s="121">
        <v>4852000</v>
      </c>
      <c r="B3445" s="119" t="s">
        <v>108</v>
      </c>
    </row>
    <row r="3446" spans="1:2">
      <c r="A3446" s="121">
        <v>4852300</v>
      </c>
      <c r="B3446" s="119" t="s">
        <v>109</v>
      </c>
    </row>
    <row r="3447" spans="1:2">
      <c r="A3447" s="121">
        <v>4852400</v>
      </c>
      <c r="B3447" s="119" t="s">
        <v>623</v>
      </c>
    </row>
    <row r="3448" spans="1:2">
      <c r="A3448" s="121">
        <v>4852500</v>
      </c>
      <c r="B3448" s="119" t="s">
        <v>624</v>
      </c>
    </row>
    <row r="3449" spans="1:2">
      <c r="A3449" s="121">
        <v>4857700</v>
      </c>
      <c r="B3449" s="119" t="s">
        <v>625</v>
      </c>
    </row>
    <row r="3450" spans="1:2">
      <c r="A3450" s="121">
        <v>4859700</v>
      </c>
      <c r="B3450" s="119" t="s">
        <v>1010</v>
      </c>
    </row>
    <row r="3451" spans="1:2">
      <c r="A3451" s="121">
        <v>4870000</v>
      </c>
      <c r="B3451" s="119" t="s">
        <v>626</v>
      </c>
    </row>
    <row r="3452" spans="1:2">
      <c r="A3452" s="121">
        <v>4870100</v>
      </c>
      <c r="B3452" s="119" t="s">
        <v>241</v>
      </c>
    </row>
    <row r="3453" spans="1:2" ht="25.5">
      <c r="A3453" s="121">
        <v>4870200</v>
      </c>
      <c r="B3453" s="119" t="s">
        <v>627</v>
      </c>
    </row>
    <row r="3454" spans="1:2">
      <c r="A3454" s="121">
        <v>4880000</v>
      </c>
      <c r="B3454" s="119" t="s">
        <v>628</v>
      </c>
    </row>
    <row r="3455" spans="1:2">
      <c r="A3455" s="121">
        <v>4900000</v>
      </c>
      <c r="B3455" s="119" t="s">
        <v>1352</v>
      </c>
    </row>
    <row r="3456" spans="1:2" ht="38.25">
      <c r="A3456" s="121">
        <v>4900100</v>
      </c>
      <c r="B3456" s="120" t="s">
        <v>829</v>
      </c>
    </row>
    <row r="3457" spans="1:2" ht="25.5">
      <c r="A3457" s="121">
        <v>4900101</v>
      </c>
      <c r="B3457" s="119" t="s">
        <v>629</v>
      </c>
    </row>
    <row r="3458" spans="1:2" ht="38.25">
      <c r="A3458" s="121">
        <v>4900200</v>
      </c>
      <c r="B3458" s="119" t="s">
        <v>361</v>
      </c>
    </row>
    <row r="3459" spans="1:2">
      <c r="A3459" s="121">
        <v>4900201</v>
      </c>
      <c r="B3459" s="119" t="s">
        <v>362</v>
      </c>
    </row>
    <row r="3460" spans="1:2" ht="25.5">
      <c r="A3460" s="121">
        <v>4900300</v>
      </c>
      <c r="B3460" s="119" t="s">
        <v>630</v>
      </c>
    </row>
    <row r="3461" spans="1:2">
      <c r="A3461" s="121">
        <v>4900301</v>
      </c>
      <c r="B3461" s="119" t="s">
        <v>799</v>
      </c>
    </row>
    <row r="3462" spans="1:2">
      <c r="A3462" s="121">
        <v>4900400</v>
      </c>
      <c r="B3462" s="119" t="s">
        <v>631</v>
      </c>
    </row>
    <row r="3463" spans="1:2" ht="25.5">
      <c r="A3463" s="121">
        <v>4900500</v>
      </c>
      <c r="B3463" s="119" t="s">
        <v>632</v>
      </c>
    </row>
    <row r="3464" spans="1:2">
      <c r="A3464" s="121">
        <v>4900501</v>
      </c>
      <c r="B3464" s="119" t="s">
        <v>153</v>
      </c>
    </row>
    <row r="3465" spans="1:2">
      <c r="A3465" s="121">
        <v>4910000</v>
      </c>
      <c r="B3465" s="119" t="s">
        <v>760</v>
      </c>
    </row>
    <row r="3466" spans="1:2" ht="56.25" customHeight="1">
      <c r="A3466" s="121">
        <v>4910100</v>
      </c>
      <c r="B3466" s="119" t="s">
        <v>1492</v>
      </c>
    </row>
    <row r="3467" spans="1:2">
      <c r="A3467" s="121">
        <v>5000000</v>
      </c>
      <c r="B3467" s="119" t="s">
        <v>390</v>
      </c>
    </row>
    <row r="3468" spans="1:2">
      <c r="A3468" s="121">
        <v>5009900</v>
      </c>
      <c r="B3468" s="119" t="s">
        <v>174</v>
      </c>
    </row>
    <row r="3469" spans="1:2">
      <c r="A3469" s="121">
        <v>5010000</v>
      </c>
      <c r="B3469" s="119" t="s">
        <v>1546</v>
      </c>
    </row>
    <row r="3470" spans="1:2">
      <c r="A3470" s="121">
        <v>5019900</v>
      </c>
      <c r="B3470" s="119" t="s">
        <v>174</v>
      </c>
    </row>
    <row r="3471" spans="1:2">
      <c r="A3471" s="121">
        <v>5020000</v>
      </c>
      <c r="B3471" s="119" t="s">
        <v>1547</v>
      </c>
    </row>
    <row r="3472" spans="1:2">
      <c r="A3472" s="121">
        <v>5029900</v>
      </c>
      <c r="B3472" s="119" t="s">
        <v>174</v>
      </c>
    </row>
    <row r="3473" spans="1:2">
      <c r="A3473" s="121">
        <v>5050000</v>
      </c>
      <c r="B3473" s="119" t="s">
        <v>800</v>
      </c>
    </row>
    <row r="3474" spans="1:2" ht="25.5">
      <c r="A3474" s="121">
        <v>5050100</v>
      </c>
      <c r="B3474" s="119" t="s">
        <v>253</v>
      </c>
    </row>
    <row r="3475" spans="1:2" ht="25.5">
      <c r="A3475" s="121">
        <v>5050101</v>
      </c>
      <c r="B3475" s="119" t="s">
        <v>467</v>
      </c>
    </row>
    <row r="3476" spans="1:2" ht="25.5">
      <c r="A3476" s="121">
        <v>5050102</v>
      </c>
      <c r="B3476" s="119" t="s">
        <v>1211</v>
      </c>
    </row>
    <row r="3477" spans="1:2">
      <c r="A3477" s="121">
        <v>5050103</v>
      </c>
      <c r="B3477" s="119" t="s">
        <v>1335</v>
      </c>
    </row>
    <row r="3478" spans="1:2">
      <c r="A3478" s="121">
        <v>5050104</v>
      </c>
      <c r="B3478" s="119" t="s">
        <v>983</v>
      </c>
    </row>
    <row r="3479" spans="1:2">
      <c r="A3479" s="121">
        <v>5050105</v>
      </c>
      <c r="B3479" s="119" t="s">
        <v>662</v>
      </c>
    </row>
    <row r="3480" spans="1:2">
      <c r="A3480" s="121">
        <v>5050200</v>
      </c>
      <c r="B3480" s="119" t="s">
        <v>663</v>
      </c>
    </row>
    <row r="3481" spans="1:2" ht="25.5">
      <c r="A3481" s="121">
        <v>5050201</v>
      </c>
      <c r="B3481" s="119" t="s">
        <v>898</v>
      </c>
    </row>
    <row r="3482" spans="1:2">
      <c r="A3482" s="121">
        <v>5050202</v>
      </c>
      <c r="B3482" s="119" t="s">
        <v>66</v>
      </c>
    </row>
    <row r="3483" spans="1:2">
      <c r="A3483" s="121">
        <v>5050300</v>
      </c>
      <c r="B3483" s="119" t="s">
        <v>154</v>
      </c>
    </row>
    <row r="3484" spans="1:2" ht="25.5">
      <c r="A3484" s="121">
        <v>5050301</v>
      </c>
      <c r="B3484" s="119" t="s">
        <v>155</v>
      </c>
    </row>
    <row r="3485" spans="1:2" ht="38.25">
      <c r="A3485" s="121">
        <v>5050302</v>
      </c>
      <c r="B3485" s="119" t="s">
        <v>156</v>
      </c>
    </row>
    <row r="3486" spans="1:2" ht="25.5">
      <c r="A3486" s="121">
        <v>5050303</v>
      </c>
      <c r="B3486" s="119" t="s">
        <v>964</v>
      </c>
    </row>
    <row r="3487" spans="1:2">
      <c r="A3487" s="121">
        <v>5050304</v>
      </c>
      <c r="B3487" s="119" t="s">
        <v>157</v>
      </c>
    </row>
    <row r="3488" spans="1:2">
      <c r="A3488" s="121">
        <v>5050400</v>
      </c>
      <c r="B3488" s="119" t="s">
        <v>1389</v>
      </c>
    </row>
    <row r="3489" spans="1:2">
      <c r="A3489" s="121">
        <v>5050401</v>
      </c>
      <c r="B3489" s="119" t="s">
        <v>121</v>
      </c>
    </row>
    <row r="3490" spans="1:2">
      <c r="A3490" s="121">
        <v>5050500</v>
      </c>
      <c r="B3490" s="119" t="s">
        <v>122</v>
      </c>
    </row>
    <row r="3491" spans="1:2" ht="25.5">
      <c r="A3491" s="121">
        <v>5050501</v>
      </c>
      <c r="B3491" s="119" t="s">
        <v>158</v>
      </c>
    </row>
    <row r="3492" spans="1:2">
      <c r="A3492" s="121">
        <v>5050502</v>
      </c>
      <c r="B3492" s="119" t="s">
        <v>244</v>
      </c>
    </row>
    <row r="3493" spans="1:2" ht="25.5">
      <c r="A3493" s="121">
        <v>5050503</v>
      </c>
      <c r="B3493" s="119" t="s">
        <v>633</v>
      </c>
    </row>
    <row r="3494" spans="1:2" ht="25.5">
      <c r="A3494" s="121">
        <v>5050504</v>
      </c>
      <c r="B3494" s="119" t="s">
        <v>634</v>
      </c>
    </row>
    <row r="3495" spans="1:2" ht="38.25">
      <c r="A3495" s="121">
        <v>5050505</v>
      </c>
      <c r="B3495" s="119" t="s">
        <v>635</v>
      </c>
    </row>
    <row r="3496" spans="1:2">
      <c r="A3496" s="121">
        <v>5050506</v>
      </c>
      <c r="B3496" s="119" t="s">
        <v>748</v>
      </c>
    </row>
    <row r="3497" spans="1:2" ht="25.5">
      <c r="A3497" s="121">
        <v>5050507</v>
      </c>
      <c r="B3497" s="119" t="s">
        <v>1221</v>
      </c>
    </row>
    <row r="3498" spans="1:2" ht="38.25">
      <c r="A3498" s="121">
        <v>5050508</v>
      </c>
      <c r="B3498" s="119" t="s">
        <v>1227</v>
      </c>
    </row>
    <row r="3499" spans="1:2" ht="25.5">
      <c r="A3499" s="121">
        <v>5050509</v>
      </c>
      <c r="B3499" s="119" t="s">
        <v>860</v>
      </c>
    </row>
    <row r="3500" spans="1:2" ht="25.5">
      <c r="A3500" s="121">
        <v>5050600</v>
      </c>
      <c r="B3500" s="119" t="s">
        <v>242</v>
      </c>
    </row>
    <row r="3501" spans="1:2" ht="25.5">
      <c r="A3501" s="121">
        <v>5050601</v>
      </c>
      <c r="B3501" s="119" t="s">
        <v>467</v>
      </c>
    </row>
    <row r="3502" spans="1:2" ht="25.5">
      <c r="A3502" s="121">
        <v>5050602</v>
      </c>
      <c r="B3502" s="119" t="s">
        <v>1211</v>
      </c>
    </row>
    <row r="3503" spans="1:2">
      <c r="A3503" s="121">
        <v>5050604</v>
      </c>
      <c r="B3503" s="119" t="s">
        <v>983</v>
      </c>
    </row>
    <row r="3504" spans="1:2" ht="38.25">
      <c r="A3504" s="121">
        <v>5050700</v>
      </c>
      <c r="B3504" s="119" t="s">
        <v>861</v>
      </c>
    </row>
    <row r="3505" spans="1:2" ht="25.5">
      <c r="A3505" s="121">
        <v>5050701</v>
      </c>
      <c r="B3505" s="119" t="s">
        <v>467</v>
      </c>
    </row>
    <row r="3506" spans="1:2" ht="25.5">
      <c r="A3506" s="121">
        <v>5050702</v>
      </c>
      <c r="B3506" s="119" t="s">
        <v>1211</v>
      </c>
    </row>
    <row r="3507" spans="1:2">
      <c r="A3507" s="121">
        <v>5050703</v>
      </c>
      <c r="B3507" s="119" t="s">
        <v>1335</v>
      </c>
    </row>
    <row r="3508" spans="1:2">
      <c r="A3508" s="121">
        <v>5050704</v>
      </c>
      <c r="B3508" s="119" t="s">
        <v>983</v>
      </c>
    </row>
    <row r="3509" spans="1:2">
      <c r="A3509" s="121">
        <v>5050705</v>
      </c>
      <c r="B3509" s="119" t="s">
        <v>662</v>
      </c>
    </row>
    <row r="3510" spans="1:2" ht="25.5">
      <c r="A3510" s="121">
        <v>5050800</v>
      </c>
      <c r="B3510" s="119" t="s">
        <v>1306</v>
      </c>
    </row>
    <row r="3511" spans="1:2" ht="25.5">
      <c r="A3511" s="121">
        <v>5050801</v>
      </c>
      <c r="B3511" s="119" t="s">
        <v>1390</v>
      </c>
    </row>
    <row r="3512" spans="1:2">
      <c r="A3512" s="121">
        <v>5050802</v>
      </c>
      <c r="B3512" s="119" t="s">
        <v>327</v>
      </c>
    </row>
    <row r="3513" spans="1:2" ht="25.5">
      <c r="A3513" s="121">
        <v>5050900</v>
      </c>
      <c r="B3513" s="119" t="s">
        <v>862</v>
      </c>
    </row>
    <row r="3514" spans="1:2" ht="25.5">
      <c r="A3514" s="121">
        <v>5050901</v>
      </c>
      <c r="B3514" s="119" t="s">
        <v>1684</v>
      </c>
    </row>
    <row r="3515" spans="1:2">
      <c r="A3515" s="121">
        <v>5050902</v>
      </c>
      <c r="B3515" s="119" t="s">
        <v>863</v>
      </c>
    </row>
    <row r="3516" spans="1:2" ht="25.5">
      <c r="A3516" s="121">
        <v>5051000</v>
      </c>
      <c r="B3516" s="119" t="s">
        <v>1487</v>
      </c>
    </row>
    <row r="3517" spans="1:2">
      <c r="A3517" s="121">
        <v>5051001</v>
      </c>
      <c r="B3517" s="119" t="s">
        <v>544</v>
      </c>
    </row>
    <row r="3518" spans="1:2" ht="38.25">
      <c r="A3518" s="121">
        <v>5051100</v>
      </c>
      <c r="B3518" s="119" t="s">
        <v>864</v>
      </c>
    </row>
    <row r="3519" spans="1:2" ht="25.5">
      <c r="A3519" s="121">
        <v>5051101</v>
      </c>
      <c r="B3519" s="119" t="s">
        <v>1236</v>
      </c>
    </row>
    <row r="3520" spans="1:2" ht="25.5">
      <c r="A3520" s="121">
        <v>5051200</v>
      </c>
      <c r="B3520" s="119" t="s">
        <v>1237</v>
      </c>
    </row>
    <row r="3521" spans="1:2">
      <c r="A3521" s="121">
        <v>5051201</v>
      </c>
      <c r="B3521" s="119" t="s">
        <v>141</v>
      </c>
    </row>
    <row r="3522" spans="1:2">
      <c r="A3522" s="121">
        <v>5051300</v>
      </c>
      <c r="B3522" s="119" t="s">
        <v>685</v>
      </c>
    </row>
    <row r="3523" spans="1:2">
      <c r="A3523" s="121">
        <v>5051301</v>
      </c>
      <c r="B3523" s="119" t="s">
        <v>1642</v>
      </c>
    </row>
    <row r="3524" spans="1:2">
      <c r="A3524" s="121">
        <v>5051302</v>
      </c>
      <c r="B3524" s="119" t="s">
        <v>1249</v>
      </c>
    </row>
    <row r="3525" spans="1:2">
      <c r="A3525" s="121">
        <v>5051303</v>
      </c>
      <c r="B3525" s="119" t="s">
        <v>1056</v>
      </c>
    </row>
    <row r="3526" spans="1:2">
      <c r="A3526" s="121">
        <v>5051304</v>
      </c>
      <c r="B3526" s="119" t="s">
        <v>1937</v>
      </c>
    </row>
    <row r="3527" spans="1:2" ht="25.5">
      <c r="A3527" s="121">
        <v>5051400</v>
      </c>
      <c r="B3527" s="119" t="s">
        <v>1298</v>
      </c>
    </row>
    <row r="3528" spans="1:2">
      <c r="A3528" s="121">
        <v>5051401</v>
      </c>
      <c r="B3528" s="119" t="s">
        <v>1400</v>
      </c>
    </row>
    <row r="3529" spans="1:2" ht="25.5">
      <c r="A3529" s="121">
        <v>5051500</v>
      </c>
      <c r="B3529" s="119" t="s">
        <v>1406</v>
      </c>
    </row>
    <row r="3530" spans="1:2">
      <c r="A3530" s="121">
        <v>5051501</v>
      </c>
      <c r="B3530" s="119" t="s">
        <v>1102</v>
      </c>
    </row>
    <row r="3531" spans="1:2" ht="63.75">
      <c r="A3531" s="121">
        <v>5051600</v>
      </c>
      <c r="B3531" s="120" t="s">
        <v>1238</v>
      </c>
    </row>
    <row r="3532" spans="1:2">
      <c r="A3532" s="121">
        <v>5051601</v>
      </c>
      <c r="B3532" s="119" t="s">
        <v>586</v>
      </c>
    </row>
    <row r="3533" spans="1:2" ht="25.5">
      <c r="A3533" s="121">
        <v>5051700</v>
      </c>
      <c r="B3533" s="119" t="s">
        <v>1239</v>
      </c>
    </row>
    <row r="3534" spans="1:2">
      <c r="A3534" s="121">
        <v>5051701</v>
      </c>
      <c r="B3534" s="119" t="s">
        <v>1175</v>
      </c>
    </row>
    <row r="3535" spans="1:2" ht="25.5">
      <c r="A3535" s="121">
        <v>5051702</v>
      </c>
      <c r="B3535" s="119" t="s">
        <v>768</v>
      </c>
    </row>
    <row r="3536" spans="1:2" ht="25.5">
      <c r="A3536" s="121">
        <v>5051703</v>
      </c>
      <c r="B3536" s="119" t="s">
        <v>1314</v>
      </c>
    </row>
    <row r="3537" spans="1:2">
      <c r="A3537" s="121">
        <v>5051704</v>
      </c>
      <c r="B3537" s="119" t="s">
        <v>1520</v>
      </c>
    </row>
    <row r="3538" spans="1:2" ht="25.5">
      <c r="A3538" s="121">
        <v>5051800</v>
      </c>
      <c r="B3538" s="119" t="s">
        <v>1683</v>
      </c>
    </row>
    <row r="3539" spans="1:2" ht="25.5">
      <c r="A3539" s="121">
        <v>5051900</v>
      </c>
      <c r="B3539" s="119" t="s">
        <v>1240</v>
      </c>
    </row>
    <row r="3540" spans="1:2" ht="25.5">
      <c r="A3540" s="121">
        <v>5052000</v>
      </c>
      <c r="B3540" s="119" t="s">
        <v>865</v>
      </c>
    </row>
    <row r="3541" spans="1:2">
      <c r="A3541" s="121">
        <v>5052001</v>
      </c>
      <c r="B3541" s="119" t="s">
        <v>866</v>
      </c>
    </row>
    <row r="3542" spans="1:2" ht="25.5">
      <c r="A3542" s="121">
        <v>5052100</v>
      </c>
      <c r="B3542" s="119" t="s">
        <v>1471</v>
      </c>
    </row>
    <row r="3543" spans="1:2" ht="25.5">
      <c r="A3543" s="121">
        <v>5052102</v>
      </c>
      <c r="B3543" s="119" t="s">
        <v>1529</v>
      </c>
    </row>
    <row r="3544" spans="1:2">
      <c r="A3544" s="121">
        <v>5052200</v>
      </c>
      <c r="B3544" s="119" t="s">
        <v>1522</v>
      </c>
    </row>
    <row r="3545" spans="1:2" ht="25.5">
      <c r="A3545" s="121">
        <v>5052201</v>
      </c>
      <c r="B3545" s="119" t="s">
        <v>867</v>
      </c>
    </row>
    <row r="3546" spans="1:2" ht="25.5">
      <c r="A3546" s="121">
        <v>5052202</v>
      </c>
      <c r="B3546" s="119" t="s">
        <v>1978</v>
      </c>
    </row>
    <row r="3547" spans="1:2" ht="38.25">
      <c r="A3547" s="121">
        <v>5052203</v>
      </c>
      <c r="B3547" s="119" t="s">
        <v>1979</v>
      </c>
    </row>
    <row r="3548" spans="1:2" ht="25.5">
      <c r="A3548" s="121">
        <v>5052204</v>
      </c>
      <c r="B3548" s="119" t="s">
        <v>1980</v>
      </c>
    </row>
    <row r="3549" spans="1:2">
      <c r="A3549" s="121">
        <v>5052205</v>
      </c>
      <c r="B3549" s="119" t="s">
        <v>1981</v>
      </c>
    </row>
    <row r="3550" spans="1:2" ht="25.5">
      <c r="A3550" s="121">
        <v>5052300</v>
      </c>
      <c r="B3550" s="119" t="s">
        <v>1023</v>
      </c>
    </row>
    <row r="3551" spans="1:2" ht="25.5">
      <c r="A3551" s="121">
        <v>5052301</v>
      </c>
      <c r="B3551" s="119" t="s">
        <v>1688</v>
      </c>
    </row>
    <row r="3552" spans="1:2">
      <c r="A3552" s="121">
        <v>5052302</v>
      </c>
      <c r="B3552" s="119" t="s">
        <v>766</v>
      </c>
    </row>
    <row r="3553" spans="1:2">
      <c r="A3553" s="121">
        <v>5052400</v>
      </c>
      <c r="B3553" s="119" t="s">
        <v>767</v>
      </c>
    </row>
    <row r="3554" spans="1:2" ht="25.5">
      <c r="A3554" s="121">
        <v>5052500</v>
      </c>
      <c r="B3554" s="119" t="s">
        <v>1063</v>
      </c>
    </row>
    <row r="3555" spans="1:2">
      <c r="A3555" s="121">
        <v>5052501</v>
      </c>
      <c r="B3555" s="119" t="s">
        <v>1064</v>
      </c>
    </row>
    <row r="3556" spans="1:2" ht="38.25">
      <c r="A3556" s="121">
        <v>5052600</v>
      </c>
      <c r="B3556" s="119" t="s">
        <v>612</v>
      </c>
    </row>
    <row r="3557" spans="1:2">
      <c r="A3557" s="121">
        <v>5052601</v>
      </c>
      <c r="B3557" s="119" t="s">
        <v>688</v>
      </c>
    </row>
    <row r="3558" spans="1:2" ht="38.25">
      <c r="A3558" s="121">
        <v>5052700</v>
      </c>
      <c r="B3558" s="119" t="s">
        <v>689</v>
      </c>
    </row>
    <row r="3559" spans="1:2" ht="25.5">
      <c r="A3559" s="121">
        <v>5052701</v>
      </c>
      <c r="B3559" s="119" t="s">
        <v>690</v>
      </c>
    </row>
    <row r="3560" spans="1:2">
      <c r="A3560" s="121">
        <v>5052800</v>
      </c>
      <c r="B3560" s="119" t="s">
        <v>1424</v>
      </c>
    </row>
    <row r="3561" spans="1:2">
      <c r="A3561" s="121">
        <v>5052900</v>
      </c>
      <c r="B3561" s="119" t="s">
        <v>1008</v>
      </c>
    </row>
    <row r="3562" spans="1:2" ht="25.5">
      <c r="A3562" s="121">
        <v>5052901</v>
      </c>
      <c r="B3562" s="119" t="s">
        <v>691</v>
      </c>
    </row>
    <row r="3563" spans="1:2">
      <c r="A3563" s="121">
        <v>5053000</v>
      </c>
      <c r="B3563" s="119" t="s">
        <v>22</v>
      </c>
    </row>
    <row r="3564" spans="1:2">
      <c r="A3564" s="121">
        <v>5053100</v>
      </c>
      <c r="B3564" s="119" t="s">
        <v>22</v>
      </c>
    </row>
    <row r="3565" spans="1:2">
      <c r="A3565" s="121">
        <v>5053110</v>
      </c>
      <c r="B3565" s="119" t="s">
        <v>22</v>
      </c>
    </row>
    <row r="3566" spans="1:2">
      <c r="A3566" s="121">
        <v>5053120</v>
      </c>
      <c r="B3566" s="119" t="s">
        <v>22</v>
      </c>
    </row>
    <row r="3567" spans="1:2" ht="25.5">
      <c r="A3567" s="121">
        <v>5053200</v>
      </c>
      <c r="B3567" s="119" t="s">
        <v>692</v>
      </c>
    </row>
    <row r="3568" spans="1:2" ht="25.5">
      <c r="A3568" s="121">
        <v>5053201</v>
      </c>
      <c r="B3568" s="119" t="s">
        <v>693</v>
      </c>
    </row>
    <row r="3569" spans="1:2" ht="25.5">
      <c r="A3569" s="121">
        <v>5053202</v>
      </c>
      <c r="B3569" s="119" t="s">
        <v>694</v>
      </c>
    </row>
    <row r="3570" spans="1:2" ht="25.5">
      <c r="A3570" s="121">
        <v>5053204</v>
      </c>
      <c r="B3570" s="119" t="s">
        <v>695</v>
      </c>
    </row>
    <row r="3571" spans="1:2" ht="25.5">
      <c r="A3571" s="121">
        <v>5053205</v>
      </c>
      <c r="B3571" s="119" t="s">
        <v>696</v>
      </c>
    </row>
    <row r="3572" spans="1:2">
      <c r="A3572" s="121">
        <v>5053300</v>
      </c>
      <c r="B3572" s="119" t="s">
        <v>576</v>
      </c>
    </row>
    <row r="3573" spans="1:2">
      <c r="A3573" s="121">
        <v>5053301</v>
      </c>
      <c r="B3573" s="119" t="s">
        <v>220</v>
      </c>
    </row>
    <row r="3574" spans="1:2">
      <c r="A3574" s="121">
        <v>5053302</v>
      </c>
      <c r="B3574" s="119" t="s">
        <v>545</v>
      </c>
    </row>
    <row r="3575" spans="1:2" ht="63.75">
      <c r="A3575" s="121">
        <v>5053400</v>
      </c>
      <c r="B3575" s="120" t="s">
        <v>715</v>
      </c>
    </row>
    <row r="3576" spans="1:2" ht="38.25">
      <c r="A3576" s="121">
        <v>5053401</v>
      </c>
      <c r="B3576" s="120" t="s">
        <v>712</v>
      </c>
    </row>
    <row r="3577" spans="1:2" ht="25.5">
      <c r="A3577" s="121">
        <v>5053402</v>
      </c>
      <c r="B3577" s="119" t="s">
        <v>713</v>
      </c>
    </row>
    <row r="3578" spans="1:2" ht="25.5">
      <c r="A3578" s="121">
        <v>5053500</v>
      </c>
      <c r="B3578" s="119" t="s">
        <v>714</v>
      </c>
    </row>
    <row r="3579" spans="1:2" ht="25.5">
      <c r="A3579" s="121">
        <v>5053600</v>
      </c>
      <c r="B3579" s="119" t="s">
        <v>1529</v>
      </c>
    </row>
    <row r="3580" spans="1:2" ht="25.5">
      <c r="A3580" s="121">
        <v>5053601</v>
      </c>
      <c r="B3580" s="119" t="s">
        <v>1529</v>
      </c>
    </row>
    <row r="3581" spans="1:2" ht="25.5">
      <c r="A3581" s="121">
        <v>5053602</v>
      </c>
      <c r="B3581" s="119" t="s">
        <v>378</v>
      </c>
    </row>
    <row r="3582" spans="1:2" ht="38.25">
      <c r="A3582" s="121">
        <v>5053700</v>
      </c>
      <c r="B3582" s="120" t="s">
        <v>1393</v>
      </c>
    </row>
    <row r="3583" spans="1:2">
      <c r="A3583" s="121">
        <v>5053800</v>
      </c>
      <c r="B3583" s="119" t="s">
        <v>379</v>
      </c>
    </row>
    <row r="3584" spans="1:2" ht="25.5">
      <c r="A3584" s="121">
        <v>5053801</v>
      </c>
      <c r="B3584" s="119" t="s">
        <v>380</v>
      </c>
    </row>
    <row r="3585" spans="1:2" ht="25.5">
      <c r="A3585" s="121">
        <v>5053900</v>
      </c>
      <c r="B3585" s="119" t="s">
        <v>1081</v>
      </c>
    </row>
    <row r="3586" spans="1:2" ht="25.5">
      <c r="A3586" s="121">
        <v>5053901</v>
      </c>
      <c r="B3586" s="119" t="s">
        <v>1415</v>
      </c>
    </row>
    <row r="3587" spans="1:2">
      <c r="A3587" s="121">
        <v>5053902</v>
      </c>
      <c r="B3587" s="119" t="s">
        <v>450</v>
      </c>
    </row>
    <row r="3588" spans="1:2">
      <c r="A3588" s="121">
        <v>5053903</v>
      </c>
      <c r="B3588" s="119" t="s">
        <v>451</v>
      </c>
    </row>
    <row r="3589" spans="1:2" ht="25.5">
      <c r="A3589" s="121">
        <v>5053904</v>
      </c>
      <c r="B3589" s="119" t="s">
        <v>453</v>
      </c>
    </row>
    <row r="3590" spans="1:2">
      <c r="A3590" s="121">
        <v>5053905</v>
      </c>
      <c r="B3590" s="119" t="s">
        <v>454</v>
      </c>
    </row>
    <row r="3591" spans="1:2">
      <c r="A3591" s="121">
        <v>5053906</v>
      </c>
      <c r="B3591" s="119" t="s">
        <v>773</v>
      </c>
    </row>
    <row r="3592" spans="1:2">
      <c r="A3592" s="121">
        <v>5053907</v>
      </c>
      <c r="B3592" s="119" t="s">
        <v>774</v>
      </c>
    </row>
    <row r="3593" spans="1:2" ht="25.5">
      <c r="A3593" s="121">
        <v>5054000</v>
      </c>
      <c r="B3593" s="119" t="s">
        <v>1568</v>
      </c>
    </row>
    <row r="3594" spans="1:2" ht="63.75">
      <c r="A3594" s="121">
        <v>5054100</v>
      </c>
      <c r="B3594" s="120" t="s">
        <v>1127</v>
      </c>
    </row>
    <row r="3595" spans="1:2" ht="25.5">
      <c r="A3595" s="121">
        <v>5054200</v>
      </c>
      <c r="B3595" s="119" t="s">
        <v>1128</v>
      </c>
    </row>
    <row r="3596" spans="1:2">
      <c r="A3596" s="121">
        <v>5054201</v>
      </c>
      <c r="B3596" s="119" t="s">
        <v>381</v>
      </c>
    </row>
    <row r="3597" spans="1:2" ht="25.5">
      <c r="A3597" s="121">
        <v>5054202</v>
      </c>
      <c r="B3597" s="119" t="s">
        <v>916</v>
      </c>
    </row>
    <row r="3598" spans="1:2">
      <c r="A3598" s="121">
        <v>5054300</v>
      </c>
      <c r="B3598" s="119" t="s">
        <v>884</v>
      </c>
    </row>
    <row r="3599" spans="1:2">
      <c r="A3599" s="121">
        <v>5054301</v>
      </c>
      <c r="B3599" s="119" t="s">
        <v>399</v>
      </c>
    </row>
    <row r="3600" spans="1:2">
      <c r="A3600" s="121">
        <v>5054302</v>
      </c>
      <c r="B3600" s="119" t="s">
        <v>1530</v>
      </c>
    </row>
    <row r="3601" spans="1:2">
      <c r="A3601" s="121">
        <v>5054400</v>
      </c>
      <c r="B3601" s="119" t="s">
        <v>1531</v>
      </c>
    </row>
    <row r="3602" spans="1:2" ht="25.5">
      <c r="A3602" s="121">
        <v>5054401</v>
      </c>
      <c r="B3602" s="119" t="s">
        <v>479</v>
      </c>
    </row>
    <row r="3603" spans="1:2" ht="25.5">
      <c r="A3603" s="121">
        <v>5054500</v>
      </c>
      <c r="B3603" s="119" t="s">
        <v>1078</v>
      </c>
    </row>
    <row r="3604" spans="1:2">
      <c r="A3604" s="121">
        <v>5054600</v>
      </c>
      <c r="B3604" s="119" t="s">
        <v>1009</v>
      </c>
    </row>
    <row r="3605" spans="1:2">
      <c r="A3605" s="121">
        <v>5054700</v>
      </c>
      <c r="B3605" s="119" t="s">
        <v>22</v>
      </c>
    </row>
    <row r="3606" spans="1:2">
      <c r="A3606" s="121">
        <v>5054800</v>
      </c>
      <c r="B3606" s="119" t="s">
        <v>1714</v>
      </c>
    </row>
    <row r="3607" spans="1:2">
      <c r="A3607" s="121">
        <v>5054900</v>
      </c>
      <c r="B3607" s="119" t="s">
        <v>360</v>
      </c>
    </row>
    <row r="3608" spans="1:2">
      <c r="A3608" s="121">
        <v>5054901</v>
      </c>
      <c r="B3608" s="119" t="s">
        <v>771</v>
      </c>
    </row>
    <row r="3609" spans="1:2" ht="25.5">
      <c r="A3609" s="121">
        <v>5055000</v>
      </c>
      <c r="B3609" s="119" t="s">
        <v>270</v>
      </c>
    </row>
    <row r="3610" spans="1:2">
      <c r="A3610" s="121">
        <v>5055100</v>
      </c>
      <c r="B3610" s="119" t="s">
        <v>271</v>
      </c>
    </row>
    <row r="3611" spans="1:2">
      <c r="A3611" s="121">
        <v>5055101</v>
      </c>
      <c r="B3611" s="119" t="s">
        <v>1097</v>
      </c>
    </row>
    <row r="3612" spans="1:2" ht="25.5">
      <c r="A3612" s="121">
        <v>5055200</v>
      </c>
      <c r="B3612" s="119" t="s">
        <v>272</v>
      </c>
    </row>
    <row r="3613" spans="1:2">
      <c r="A3613" s="121">
        <v>5055201</v>
      </c>
      <c r="B3613" s="119" t="s">
        <v>273</v>
      </c>
    </row>
    <row r="3614" spans="1:2" ht="25.5">
      <c r="A3614" s="121">
        <v>5055300</v>
      </c>
      <c r="B3614" s="119" t="s">
        <v>938</v>
      </c>
    </row>
    <row r="3615" spans="1:2" ht="25.5">
      <c r="A3615" s="121">
        <v>5055400</v>
      </c>
      <c r="B3615" s="119" t="s">
        <v>939</v>
      </c>
    </row>
    <row r="3616" spans="1:2" ht="38.25">
      <c r="A3616" s="121">
        <v>5055402</v>
      </c>
      <c r="B3616" s="119" t="s">
        <v>299</v>
      </c>
    </row>
    <row r="3617" spans="1:2">
      <c r="A3617" s="121">
        <v>5055500</v>
      </c>
      <c r="B3617" s="119" t="s">
        <v>678</v>
      </c>
    </row>
    <row r="3618" spans="1:2">
      <c r="A3618" s="121">
        <v>5055510</v>
      </c>
      <c r="B3618" s="119" t="s">
        <v>300</v>
      </c>
    </row>
    <row r="3619" spans="1:2">
      <c r="A3619" s="121">
        <v>5055520</v>
      </c>
      <c r="B3619" s="119" t="s">
        <v>301</v>
      </c>
    </row>
    <row r="3620" spans="1:2">
      <c r="A3620" s="121">
        <v>5055521</v>
      </c>
      <c r="B3620" s="119" t="s">
        <v>679</v>
      </c>
    </row>
    <row r="3621" spans="1:2">
      <c r="A3621" s="121">
        <v>5055522</v>
      </c>
      <c r="B3621" s="119" t="s">
        <v>1025</v>
      </c>
    </row>
    <row r="3622" spans="1:2" ht="25.5">
      <c r="A3622" s="121">
        <v>5055530</v>
      </c>
      <c r="B3622" s="119" t="s">
        <v>302</v>
      </c>
    </row>
    <row r="3623" spans="1:2" ht="25.5">
      <c r="A3623" s="121">
        <v>5055531</v>
      </c>
      <c r="B3623" s="119" t="s">
        <v>302</v>
      </c>
    </row>
    <row r="3624" spans="1:2">
      <c r="A3624" s="121">
        <v>5055900</v>
      </c>
      <c r="B3624" s="119" t="s">
        <v>303</v>
      </c>
    </row>
    <row r="3625" spans="1:2">
      <c r="A3625" s="121">
        <v>5055901</v>
      </c>
      <c r="B3625" s="119" t="s">
        <v>304</v>
      </c>
    </row>
    <row r="3626" spans="1:2">
      <c r="A3626" s="121">
        <v>5055902</v>
      </c>
      <c r="B3626" s="119" t="s">
        <v>305</v>
      </c>
    </row>
    <row r="3627" spans="1:2">
      <c r="A3627" s="121">
        <v>5055903</v>
      </c>
      <c r="B3627" s="119" t="s">
        <v>306</v>
      </c>
    </row>
    <row r="3628" spans="1:2">
      <c r="A3628" s="121">
        <v>5055904</v>
      </c>
      <c r="B3628" s="119" t="s">
        <v>307</v>
      </c>
    </row>
    <row r="3629" spans="1:2">
      <c r="A3629" s="121">
        <v>5056400</v>
      </c>
      <c r="B3629" s="119" t="s">
        <v>963</v>
      </c>
    </row>
    <row r="3630" spans="1:2">
      <c r="A3630" s="121">
        <v>5057600</v>
      </c>
      <c r="B3630" s="119" t="s">
        <v>1706</v>
      </c>
    </row>
    <row r="3631" spans="1:2">
      <c r="A3631" s="121">
        <v>5058000</v>
      </c>
      <c r="B3631" s="119" t="s">
        <v>308</v>
      </c>
    </row>
    <row r="3632" spans="1:2">
      <c r="A3632" s="121">
        <v>5058001</v>
      </c>
      <c r="B3632" s="119" t="s">
        <v>309</v>
      </c>
    </row>
    <row r="3633" spans="1:2" ht="38.25">
      <c r="A3633" s="121">
        <v>5058100</v>
      </c>
      <c r="B3633" s="120" t="s">
        <v>936</v>
      </c>
    </row>
    <row r="3634" spans="1:2" ht="25.5">
      <c r="A3634" s="121">
        <v>5058101</v>
      </c>
      <c r="B3634" s="119" t="s">
        <v>937</v>
      </c>
    </row>
    <row r="3635" spans="1:2">
      <c r="A3635" s="121">
        <v>5058500</v>
      </c>
      <c r="B3635" s="119" t="s">
        <v>1248</v>
      </c>
    </row>
    <row r="3636" spans="1:2">
      <c r="A3636" s="121">
        <v>5058600</v>
      </c>
      <c r="B3636" s="119" t="s">
        <v>1248</v>
      </c>
    </row>
    <row r="3637" spans="1:2">
      <c r="A3637" s="121">
        <v>5058610</v>
      </c>
      <c r="B3637" s="119" t="s">
        <v>1708</v>
      </c>
    </row>
    <row r="3638" spans="1:2">
      <c r="A3638" s="121">
        <v>5060000</v>
      </c>
      <c r="B3638" s="119" t="s">
        <v>889</v>
      </c>
    </row>
    <row r="3639" spans="1:2">
      <c r="A3639" s="121">
        <v>5060100</v>
      </c>
      <c r="B3639" s="119" t="s">
        <v>1540</v>
      </c>
    </row>
    <row r="3640" spans="1:2">
      <c r="A3640" s="121">
        <v>5060200</v>
      </c>
      <c r="B3640" s="119" t="s">
        <v>1586</v>
      </c>
    </row>
    <row r="3641" spans="1:2" ht="25.5">
      <c r="A3641" s="121">
        <v>5060300</v>
      </c>
      <c r="B3641" s="119" t="s">
        <v>986</v>
      </c>
    </row>
    <row r="3642" spans="1:2">
      <c r="A3642" s="121">
        <v>5070000</v>
      </c>
      <c r="B3642" s="119" t="s">
        <v>987</v>
      </c>
    </row>
    <row r="3643" spans="1:2">
      <c r="A3643" s="121">
        <v>5070100</v>
      </c>
      <c r="B3643" s="119" t="s">
        <v>988</v>
      </c>
    </row>
    <row r="3644" spans="1:2">
      <c r="A3644" s="121">
        <v>5079900</v>
      </c>
      <c r="B3644" s="119" t="s">
        <v>22</v>
      </c>
    </row>
    <row r="3645" spans="1:2">
      <c r="A3645" s="121">
        <v>5080000</v>
      </c>
      <c r="B3645" s="119" t="s">
        <v>1493</v>
      </c>
    </row>
    <row r="3646" spans="1:2">
      <c r="A3646" s="121">
        <v>5089900</v>
      </c>
      <c r="B3646" s="119" t="s">
        <v>174</v>
      </c>
    </row>
    <row r="3647" spans="1:2">
      <c r="A3647" s="121">
        <v>5090000</v>
      </c>
      <c r="B3647" s="119" t="s">
        <v>989</v>
      </c>
    </row>
    <row r="3648" spans="1:2" ht="25.5">
      <c r="A3648" s="121">
        <v>5090100</v>
      </c>
      <c r="B3648" s="119" t="s">
        <v>990</v>
      </c>
    </row>
    <row r="3649" spans="1:2">
      <c r="A3649" s="121">
        <v>5090101</v>
      </c>
      <c r="B3649" s="119" t="s">
        <v>991</v>
      </c>
    </row>
    <row r="3650" spans="1:2" ht="25.5">
      <c r="A3650" s="121">
        <v>5090200</v>
      </c>
      <c r="B3650" s="119" t="s">
        <v>1557</v>
      </c>
    </row>
    <row r="3651" spans="1:2">
      <c r="A3651" s="121">
        <v>5090201</v>
      </c>
      <c r="B3651" s="119" t="s">
        <v>1558</v>
      </c>
    </row>
    <row r="3652" spans="1:2" ht="25.5">
      <c r="A3652" s="121">
        <v>5090300</v>
      </c>
      <c r="B3652" s="119" t="s">
        <v>1466</v>
      </c>
    </row>
    <row r="3653" spans="1:2">
      <c r="A3653" s="121">
        <v>5090301</v>
      </c>
      <c r="B3653" s="119" t="s">
        <v>1319</v>
      </c>
    </row>
    <row r="3654" spans="1:2" ht="25.5">
      <c r="A3654" s="121">
        <v>5090400</v>
      </c>
      <c r="B3654" s="119" t="s">
        <v>1320</v>
      </c>
    </row>
    <row r="3655" spans="1:2" ht="25.5">
      <c r="A3655" s="121">
        <v>5090401</v>
      </c>
      <c r="B3655" s="119" t="s">
        <v>1321</v>
      </c>
    </row>
    <row r="3656" spans="1:2" ht="51">
      <c r="A3656" s="121">
        <v>5090500</v>
      </c>
      <c r="B3656" s="120" t="s">
        <v>1322</v>
      </c>
    </row>
    <row r="3657" spans="1:2" ht="38.25">
      <c r="A3657" s="121">
        <v>5090501</v>
      </c>
      <c r="B3657" s="120" t="s">
        <v>1953</v>
      </c>
    </row>
    <row r="3658" spans="1:2" ht="25.5">
      <c r="A3658" s="121">
        <v>5090600</v>
      </c>
      <c r="B3658" s="119" t="s">
        <v>1954</v>
      </c>
    </row>
    <row r="3659" spans="1:2">
      <c r="A3659" s="121">
        <v>5090601</v>
      </c>
      <c r="B3659" s="119" t="s">
        <v>1358</v>
      </c>
    </row>
    <row r="3660" spans="1:2" ht="25.5">
      <c r="A3660" s="121">
        <v>5090700</v>
      </c>
      <c r="B3660" s="119" t="s">
        <v>1359</v>
      </c>
    </row>
    <row r="3661" spans="1:2">
      <c r="A3661" s="121">
        <v>5090701</v>
      </c>
      <c r="B3661" s="119" t="s">
        <v>1360</v>
      </c>
    </row>
    <row r="3662" spans="1:2" ht="25.5">
      <c r="A3662" s="121">
        <v>5090800</v>
      </c>
      <c r="B3662" s="119" t="s">
        <v>1361</v>
      </c>
    </row>
    <row r="3663" spans="1:2">
      <c r="A3663" s="121">
        <v>5090801</v>
      </c>
      <c r="B3663" s="119" t="s">
        <v>1362</v>
      </c>
    </row>
    <row r="3664" spans="1:2" ht="25.5">
      <c r="A3664" s="121">
        <v>5090900</v>
      </c>
      <c r="B3664" s="119" t="s">
        <v>1403</v>
      </c>
    </row>
    <row r="3665" spans="1:2">
      <c r="A3665" s="121">
        <v>5090901</v>
      </c>
      <c r="B3665" s="119" t="s">
        <v>1404</v>
      </c>
    </row>
    <row r="3666" spans="1:2" ht="25.5">
      <c r="A3666" s="121">
        <v>5091000</v>
      </c>
      <c r="B3666" s="119" t="s">
        <v>1405</v>
      </c>
    </row>
    <row r="3667" spans="1:2">
      <c r="A3667" s="121">
        <v>5091001</v>
      </c>
      <c r="B3667" s="119" t="s">
        <v>1366</v>
      </c>
    </row>
    <row r="3668" spans="1:2" ht="25.5">
      <c r="A3668" s="121">
        <v>5091100</v>
      </c>
      <c r="B3668" s="119" t="s">
        <v>1367</v>
      </c>
    </row>
    <row r="3669" spans="1:2">
      <c r="A3669" s="121">
        <v>5091101</v>
      </c>
      <c r="B3669" s="119" t="s">
        <v>1368</v>
      </c>
    </row>
    <row r="3670" spans="1:2" ht="25.5">
      <c r="A3670" s="121">
        <v>5091200</v>
      </c>
      <c r="B3670" s="119" t="s">
        <v>1369</v>
      </c>
    </row>
    <row r="3671" spans="1:2">
      <c r="A3671" s="121">
        <v>5091201</v>
      </c>
      <c r="B3671" s="119" t="s">
        <v>1370</v>
      </c>
    </row>
    <row r="3672" spans="1:2" ht="25.5">
      <c r="A3672" s="121">
        <v>5091300</v>
      </c>
      <c r="B3672" s="119" t="s">
        <v>1371</v>
      </c>
    </row>
    <row r="3673" spans="1:2">
      <c r="A3673" s="121">
        <v>5091301</v>
      </c>
      <c r="B3673" s="119" t="s">
        <v>1372</v>
      </c>
    </row>
    <row r="3674" spans="1:2">
      <c r="A3674" s="121">
        <v>5100000</v>
      </c>
      <c r="B3674" s="119" t="s">
        <v>1410</v>
      </c>
    </row>
    <row r="3675" spans="1:2">
      <c r="A3675" s="121">
        <v>5100100</v>
      </c>
      <c r="B3675" s="119" t="s">
        <v>660</v>
      </c>
    </row>
    <row r="3676" spans="1:2" ht="25.5">
      <c r="A3676" s="121">
        <v>5100200</v>
      </c>
      <c r="B3676" s="119" t="s">
        <v>1131</v>
      </c>
    </row>
    <row r="3677" spans="1:2" ht="25.5">
      <c r="A3677" s="121">
        <v>5100300</v>
      </c>
      <c r="B3677" s="119" t="s">
        <v>75</v>
      </c>
    </row>
    <row r="3678" spans="1:2">
      <c r="A3678" s="121">
        <v>5110000</v>
      </c>
      <c r="B3678" s="119" t="s">
        <v>48</v>
      </c>
    </row>
    <row r="3679" spans="1:2" ht="25.5">
      <c r="A3679" s="121">
        <v>5110200</v>
      </c>
      <c r="B3679" s="119" t="s">
        <v>7</v>
      </c>
    </row>
    <row r="3680" spans="1:2">
      <c r="A3680" s="121">
        <v>5120000</v>
      </c>
      <c r="B3680" s="119" t="s">
        <v>1516</v>
      </c>
    </row>
    <row r="3681" spans="1:2">
      <c r="A3681" s="121">
        <v>5129400</v>
      </c>
      <c r="B3681" s="119" t="s">
        <v>4</v>
      </c>
    </row>
    <row r="3682" spans="1:2">
      <c r="A3682" s="121">
        <v>5129700</v>
      </c>
      <c r="B3682" s="119" t="s">
        <v>1010</v>
      </c>
    </row>
    <row r="3683" spans="1:2">
      <c r="A3683" s="121">
        <v>5130000</v>
      </c>
      <c r="B3683" s="119" t="s">
        <v>1548</v>
      </c>
    </row>
    <row r="3684" spans="1:2">
      <c r="A3684" s="121">
        <v>5139700</v>
      </c>
      <c r="B3684" s="119" t="s">
        <v>1010</v>
      </c>
    </row>
    <row r="3685" spans="1:2">
      <c r="A3685" s="121">
        <v>5140000</v>
      </c>
      <c r="B3685" s="119" t="s">
        <v>1549</v>
      </c>
    </row>
    <row r="3686" spans="1:2">
      <c r="A3686" s="121">
        <v>5140100</v>
      </c>
      <c r="B3686" s="119" t="s">
        <v>576</v>
      </c>
    </row>
    <row r="3687" spans="1:2">
      <c r="A3687" s="121">
        <v>5140101</v>
      </c>
      <c r="B3687" s="119" t="s">
        <v>1373</v>
      </c>
    </row>
    <row r="3688" spans="1:2">
      <c r="A3688" s="121">
        <v>5140102</v>
      </c>
      <c r="B3688" s="119" t="s">
        <v>1374</v>
      </c>
    </row>
    <row r="3689" spans="1:2">
      <c r="A3689" s="121">
        <v>5140103</v>
      </c>
      <c r="B3689" s="119" t="s">
        <v>1373</v>
      </c>
    </row>
    <row r="3690" spans="1:2">
      <c r="A3690" s="121">
        <v>5140110</v>
      </c>
      <c r="B3690" s="119" t="s">
        <v>967</v>
      </c>
    </row>
    <row r="3691" spans="1:2">
      <c r="A3691" s="121">
        <v>5140200</v>
      </c>
      <c r="B3691" s="119" t="s">
        <v>1388</v>
      </c>
    </row>
    <row r="3692" spans="1:2">
      <c r="A3692" s="121">
        <v>5140300</v>
      </c>
      <c r="B3692" s="119" t="s">
        <v>1465</v>
      </c>
    </row>
    <row r="3693" spans="1:2">
      <c r="A3693" s="121">
        <v>5140400</v>
      </c>
      <c r="B3693" s="119" t="s">
        <v>992</v>
      </c>
    </row>
    <row r="3694" spans="1:2">
      <c r="A3694" s="121">
        <v>5140500</v>
      </c>
      <c r="B3694" s="119" t="s">
        <v>993</v>
      </c>
    </row>
    <row r="3695" spans="1:2" ht="25.5">
      <c r="A3695" s="121">
        <v>5140600</v>
      </c>
      <c r="B3695" s="119" t="s">
        <v>1375</v>
      </c>
    </row>
    <row r="3696" spans="1:2">
      <c r="A3696" s="121">
        <v>5140700</v>
      </c>
      <c r="B3696" s="119" t="s">
        <v>994</v>
      </c>
    </row>
    <row r="3697" spans="1:2">
      <c r="A3697" s="121">
        <v>5140800</v>
      </c>
      <c r="B3697" s="119" t="s">
        <v>1376</v>
      </c>
    </row>
    <row r="3698" spans="1:2">
      <c r="A3698" s="121">
        <v>5140900</v>
      </c>
      <c r="B3698" s="119" t="s">
        <v>1377</v>
      </c>
    </row>
    <row r="3699" spans="1:2" ht="38.25">
      <c r="A3699" s="121">
        <v>5141000</v>
      </c>
      <c r="B3699" s="120" t="s">
        <v>1288</v>
      </c>
    </row>
    <row r="3700" spans="1:2" ht="38.25">
      <c r="A3700" s="121">
        <v>5142000</v>
      </c>
      <c r="B3700" s="119" t="s">
        <v>651</v>
      </c>
    </row>
    <row r="3701" spans="1:2">
      <c r="A3701" s="121">
        <v>5142100</v>
      </c>
      <c r="B3701" s="119" t="s">
        <v>1561</v>
      </c>
    </row>
    <row r="3702" spans="1:2">
      <c r="A3702" s="121">
        <v>5142200</v>
      </c>
      <c r="B3702" s="119" t="s">
        <v>1289</v>
      </c>
    </row>
    <row r="3703" spans="1:2" ht="25.5">
      <c r="A3703" s="121">
        <v>5142201</v>
      </c>
      <c r="B3703" s="119" t="s">
        <v>1290</v>
      </c>
    </row>
    <row r="3704" spans="1:2">
      <c r="A3704" s="121">
        <v>5142202</v>
      </c>
      <c r="B3704" s="119" t="s">
        <v>1291</v>
      </c>
    </row>
    <row r="3705" spans="1:2">
      <c r="A3705" s="121">
        <v>5142300</v>
      </c>
      <c r="B3705" s="119" t="s">
        <v>1292</v>
      </c>
    </row>
    <row r="3706" spans="1:2" ht="38.25">
      <c r="A3706" s="121">
        <v>5142301</v>
      </c>
      <c r="B3706" s="119" t="s">
        <v>1434</v>
      </c>
    </row>
    <row r="3707" spans="1:2" ht="38.25">
      <c r="A3707" s="121">
        <v>5142400</v>
      </c>
      <c r="B3707" s="119" t="s">
        <v>1435</v>
      </c>
    </row>
    <row r="3708" spans="1:2" ht="25.5">
      <c r="A3708" s="121">
        <v>5142401</v>
      </c>
      <c r="B3708" s="119" t="s">
        <v>1436</v>
      </c>
    </row>
    <row r="3709" spans="1:2">
      <c r="A3709" s="121">
        <v>5142500</v>
      </c>
      <c r="B3709" s="119" t="s">
        <v>1437</v>
      </c>
    </row>
    <row r="3710" spans="1:2">
      <c r="A3710" s="121">
        <v>5142501</v>
      </c>
      <c r="B3710" s="119" t="s">
        <v>1590</v>
      </c>
    </row>
    <row r="3711" spans="1:2">
      <c r="A3711" s="121">
        <v>5142600</v>
      </c>
      <c r="B3711" s="119" t="s">
        <v>1591</v>
      </c>
    </row>
    <row r="3712" spans="1:2" ht="25.5">
      <c r="A3712" s="121">
        <v>5142601</v>
      </c>
      <c r="B3712" s="119" t="s">
        <v>1030</v>
      </c>
    </row>
    <row r="3713" spans="1:2">
      <c r="A3713" s="121">
        <v>5142800</v>
      </c>
      <c r="B3713" s="119" t="s">
        <v>1031</v>
      </c>
    </row>
    <row r="3714" spans="1:2" ht="25.5">
      <c r="A3714" s="121">
        <v>5142801</v>
      </c>
      <c r="B3714" s="119" t="s">
        <v>1032</v>
      </c>
    </row>
    <row r="3715" spans="1:2">
      <c r="A3715" s="121">
        <v>5142900</v>
      </c>
      <c r="B3715" s="119" t="s">
        <v>1033</v>
      </c>
    </row>
    <row r="3716" spans="1:2" ht="25.5">
      <c r="A3716" s="121">
        <v>5142901</v>
      </c>
      <c r="B3716" s="119" t="s">
        <v>1034</v>
      </c>
    </row>
    <row r="3717" spans="1:2">
      <c r="A3717" s="121">
        <v>5143100</v>
      </c>
      <c r="B3717" s="119" t="s">
        <v>1035</v>
      </c>
    </row>
    <row r="3718" spans="1:2" ht="38.25">
      <c r="A3718" s="121">
        <v>5143101</v>
      </c>
      <c r="B3718" s="120" t="s">
        <v>1036</v>
      </c>
    </row>
    <row r="3719" spans="1:2">
      <c r="A3719" s="121">
        <v>5143300</v>
      </c>
      <c r="B3719" s="119" t="s">
        <v>1037</v>
      </c>
    </row>
    <row r="3720" spans="1:2" ht="25.5">
      <c r="A3720" s="121">
        <v>5143301</v>
      </c>
      <c r="B3720" s="119" t="s">
        <v>1038</v>
      </c>
    </row>
    <row r="3721" spans="1:2">
      <c r="A3721" s="121">
        <v>5143400</v>
      </c>
      <c r="B3721" s="119" t="s">
        <v>1039</v>
      </c>
    </row>
    <row r="3722" spans="1:2">
      <c r="A3722" s="121">
        <v>5143401</v>
      </c>
      <c r="B3722" s="119" t="s">
        <v>1040</v>
      </c>
    </row>
    <row r="3723" spans="1:2" ht="25.5">
      <c r="A3723" s="121">
        <v>5143500</v>
      </c>
      <c r="B3723" s="119" t="s">
        <v>1041</v>
      </c>
    </row>
    <row r="3724" spans="1:2">
      <c r="A3724" s="121">
        <v>5143501</v>
      </c>
      <c r="B3724" s="119" t="s">
        <v>1042</v>
      </c>
    </row>
    <row r="3725" spans="1:2" ht="38.25">
      <c r="A3725" s="121">
        <v>5143600</v>
      </c>
      <c r="B3725" s="120" t="s">
        <v>1043</v>
      </c>
    </row>
    <row r="3726" spans="1:2">
      <c r="A3726" s="121">
        <v>5143601</v>
      </c>
      <c r="B3726" s="119" t="s">
        <v>1044</v>
      </c>
    </row>
    <row r="3727" spans="1:2" ht="38.25">
      <c r="A3727" s="121">
        <v>5143700</v>
      </c>
      <c r="B3727" s="120" t="s">
        <v>1607</v>
      </c>
    </row>
    <row r="3728" spans="1:2" ht="38.25">
      <c r="A3728" s="121">
        <v>5143701</v>
      </c>
      <c r="B3728" s="119" t="s">
        <v>1608</v>
      </c>
    </row>
    <row r="3729" spans="1:2" ht="25.5">
      <c r="A3729" s="121">
        <v>5143800</v>
      </c>
      <c r="B3729" s="119" t="s">
        <v>1609</v>
      </c>
    </row>
    <row r="3730" spans="1:2" ht="25.5">
      <c r="A3730" s="121">
        <v>5143801</v>
      </c>
      <c r="B3730" s="119" t="s">
        <v>1610</v>
      </c>
    </row>
    <row r="3731" spans="1:2" ht="102">
      <c r="A3731" s="121">
        <v>5143900</v>
      </c>
      <c r="B3731" s="120" t="s">
        <v>824</v>
      </c>
    </row>
    <row r="3732" spans="1:2" ht="51">
      <c r="A3732" s="121">
        <v>5143901</v>
      </c>
      <c r="B3732" s="120" t="s">
        <v>621</v>
      </c>
    </row>
    <row r="3733" spans="1:2">
      <c r="A3733" s="121">
        <v>5144000</v>
      </c>
      <c r="B3733" s="119" t="s">
        <v>622</v>
      </c>
    </row>
    <row r="3734" spans="1:2" ht="38.25">
      <c r="A3734" s="121">
        <v>5144001</v>
      </c>
      <c r="B3734" s="120" t="s">
        <v>1278</v>
      </c>
    </row>
    <row r="3735" spans="1:2" ht="38.25">
      <c r="A3735" s="121">
        <v>5144100</v>
      </c>
      <c r="B3735" s="119" t="s">
        <v>1279</v>
      </c>
    </row>
    <row r="3736" spans="1:2" ht="38.25">
      <c r="A3736" s="121">
        <v>5150000</v>
      </c>
      <c r="B3736" s="119" t="s">
        <v>23</v>
      </c>
    </row>
    <row r="3737" spans="1:2" ht="38.25">
      <c r="A3737" s="121">
        <v>5150100</v>
      </c>
      <c r="B3737" s="119" t="s">
        <v>23</v>
      </c>
    </row>
    <row r="3738" spans="1:2">
      <c r="A3738" s="121">
        <v>5160000</v>
      </c>
      <c r="B3738" s="119" t="s">
        <v>24</v>
      </c>
    </row>
    <row r="3739" spans="1:2">
      <c r="A3739" s="121">
        <v>5160100</v>
      </c>
      <c r="B3739" s="119" t="s">
        <v>24</v>
      </c>
    </row>
    <row r="3740" spans="1:2">
      <c r="A3740" s="121">
        <v>5160130</v>
      </c>
      <c r="B3740" s="119" t="s">
        <v>1165</v>
      </c>
    </row>
    <row r="3741" spans="1:2">
      <c r="A3741" s="121">
        <v>5170000</v>
      </c>
      <c r="B3741" s="119" t="s">
        <v>25</v>
      </c>
    </row>
    <row r="3742" spans="1:2">
      <c r="A3742" s="121">
        <v>5170100</v>
      </c>
      <c r="B3742" s="119" t="s">
        <v>209</v>
      </c>
    </row>
    <row r="3743" spans="1:2">
      <c r="A3743" s="121">
        <v>5170200</v>
      </c>
      <c r="B3743" s="119" t="s">
        <v>1537</v>
      </c>
    </row>
    <row r="3744" spans="1:2">
      <c r="A3744" s="121">
        <v>5170220</v>
      </c>
      <c r="B3744" s="119" t="s">
        <v>547</v>
      </c>
    </row>
    <row r="3745" spans="1:2">
      <c r="A3745" s="121">
        <v>5170400</v>
      </c>
      <c r="B3745" s="119" t="s">
        <v>1536</v>
      </c>
    </row>
    <row r="3746" spans="1:2">
      <c r="A3746" s="121">
        <v>5170500</v>
      </c>
      <c r="B3746" s="119" t="s">
        <v>1336</v>
      </c>
    </row>
    <row r="3747" spans="1:2" ht="25.5">
      <c r="A3747" s="121">
        <v>5170600</v>
      </c>
      <c r="B3747" s="119" t="s">
        <v>404</v>
      </c>
    </row>
    <row r="3748" spans="1:2">
      <c r="A3748" s="121">
        <v>5170700</v>
      </c>
      <c r="B3748" s="119" t="s">
        <v>1280</v>
      </c>
    </row>
    <row r="3749" spans="1:2" ht="25.5">
      <c r="A3749" s="121">
        <v>5171000</v>
      </c>
      <c r="B3749" s="119" t="s">
        <v>1895</v>
      </c>
    </row>
    <row r="3750" spans="1:2">
      <c r="A3750" s="121">
        <v>5180000</v>
      </c>
      <c r="B3750" s="119" t="s">
        <v>405</v>
      </c>
    </row>
    <row r="3751" spans="1:2">
      <c r="A3751" s="121">
        <v>5180100</v>
      </c>
      <c r="B3751" s="119" t="s">
        <v>1172</v>
      </c>
    </row>
    <row r="3752" spans="1:2">
      <c r="A3752" s="121">
        <v>5180101</v>
      </c>
      <c r="B3752" s="119" t="s">
        <v>1281</v>
      </c>
    </row>
    <row r="3753" spans="1:2">
      <c r="A3753" s="121">
        <v>5180200</v>
      </c>
      <c r="B3753" s="119" t="s">
        <v>511</v>
      </c>
    </row>
    <row r="3754" spans="1:2">
      <c r="A3754" s="121">
        <v>5190000</v>
      </c>
      <c r="B3754" s="119" t="s">
        <v>1282</v>
      </c>
    </row>
    <row r="3755" spans="1:2" ht="25.5">
      <c r="A3755" s="121">
        <v>5190100</v>
      </c>
      <c r="B3755" s="119" t="s">
        <v>1283</v>
      </c>
    </row>
    <row r="3756" spans="1:2">
      <c r="A3756" s="121">
        <v>5200000</v>
      </c>
      <c r="B3756" s="119" t="s">
        <v>236</v>
      </c>
    </row>
    <row r="3757" spans="1:2">
      <c r="A3757" s="121">
        <v>5200100</v>
      </c>
      <c r="B3757" s="119" t="s">
        <v>387</v>
      </c>
    </row>
    <row r="3758" spans="1:2">
      <c r="A3758" s="121">
        <v>5200200</v>
      </c>
      <c r="B3758" s="119" t="s">
        <v>776</v>
      </c>
    </row>
    <row r="3759" spans="1:2" ht="25.5">
      <c r="A3759" s="121">
        <v>5200300</v>
      </c>
      <c r="B3759" s="119" t="s">
        <v>413</v>
      </c>
    </row>
    <row r="3760" spans="1:2" ht="25.5">
      <c r="A3760" s="121">
        <v>5200302</v>
      </c>
      <c r="B3760" s="119" t="s">
        <v>1284</v>
      </c>
    </row>
    <row r="3761" spans="1:2">
      <c r="A3761" s="121">
        <v>5200400</v>
      </c>
      <c r="B3761" s="119" t="s">
        <v>1101</v>
      </c>
    </row>
    <row r="3762" spans="1:2" ht="25.5">
      <c r="A3762" s="121">
        <v>5200402</v>
      </c>
      <c r="B3762" s="119" t="s">
        <v>1285</v>
      </c>
    </row>
    <row r="3763" spans="1:2">
      <c r="A3763" s="121">
        <v>5200500</v>
      </c>
      <c r="B3763" s="119" t="s">
        <v>435</v>
      </c>
    </row>
    <row r="3764" spans="1:2">
      <c r="A3764" s="121">
        <v>5200600</v>
      </c>
      <c r="B3764" s="119" t="s">
        <v>1160</v>
      </c>
    </row>
    <row r="3765" spans="1:2" ht="25.5">
      <c r="A3765" s="121">
        <v>5200700</v>
      </c>
      <c r="B3765" s="119" t="s">
        <v>1644</v>
      </c>
    </row>
    <row r="3766" spans="1:2">
      <c r="A3766" s="121">
        <v>5200800</v>
      </c>
      <c r="B3766" s="119" t="s">
        <v>502</v>
      </c>
    </row>
    <row r="3767" spans="1:2">
      <c r="A3767" s="121">
        <v>5200900</v>
      </c>
      <c r="B3767" s="119" t="s">
        <v>503</v>
      </c>
    </row>
    <row r="3768" spans="1:2">
      <c r="A3768" s="121">
        <v>5200901</v>
      </c>
      <c r="B3768" s="119" t="s">
        <v>503</v>
      </c>
    </row>
    <row r="3769" spans="1:2" ht="25.5">
      <c r="A3769" s="121">
        <v>5201000</v>
      </c>
      <c r="B3769" s="119" t="s">
        <v>1938</v>
      </c>
    </row>
    <row r="3770" spans="1:2">
      <c r="A3770" s="121">
        <v>5201001</v>
      </c>
      <c r="B3770" s="119" t="s">
        <v>1472</v>
      </c>
    </row>
    <row r="3771" spans="1:2">
      <c r="A3771" s="121">
        <v>5201100</v>
      </c>
      <c r="B3771" s="119" t="s">
        <v>572</v>
      </c>
    </row>
    <row r="3772" spans="1:2">
      <c r="A3772" s="121">
        <v>5201200</v>
      </c>
      <c r="B3772" s="119" t="s">
        <v>1939</v>
      </c>
    </row>
    <row r="3773" spans="1:2">
      <c r="A3773" s="121">
        <v>5201300</v>
      </c>
      <c r="B3773" s="119" t="s">
        <v>1164</v>
      </c>
    </row>
    <row r="3774" spans="1:2">
      <c r="A3774" s="121">
        <v>5201301</v>
      </c>
      <c r="B3774" s="119" t="s">
        <v>1164</v>
      </c>
    </row>
    <row r="3775" spans="1:2">
      <c r="A3775" s="121">
        <v>5201311</v>
      </c>
      <c r="B3775" s="119" t="s">
        <v>210</v>
      </c>
    </row>
    <row r="3776" spans="1:2">
      <c r="A3776" s="121">
        <v>5201312</v>
      </c>
      <c r="B3776" s="119" t="s">
        <v>212</v>
      </c>
    </row>
    <row r="3777" spans="1:2">
      <c r="A3777" s="121">
        <v>5201313</v>
      </c>
      <c r="B3777" s="119" t="s">
        <v>335</v>
      </c>
    </row>
    <row r="3778" spans="1:2">
      <c r="A3778" s="121">
        <v>5201320</v>
      </c>
      <c r="B3778" s="119" t="s">
        <v>335</v>
      </c>
    </row>
    <row r="3779" spans="1:2">
      <c r="A3779" s="121">
        <v>5201400</v>
      </c>
      <c r="B3779" s="119" t="s">
        <v>221</v>
      </c>
    </row>
    <row r="3780" spans="1:2" ht="25.5">
      <c r="A3780" s="121">
        <v>5201500</v>
      </c>
      <c r="B3780" s="119" t="s">
        <v>716</v>
      </c>
    </row>
    <row r="3781" spans="1:2" ht="25.5">
      <c r="A3781" s="121">
        <v>5201600</v>
      </c>
      <c r="B3781" s="119" t="s">
        <v>1583</v>
      </c>
    </row>
    <row r="3782" spans="1:2" ht="25.5">
      <c r="A3782" s="121">
        <v>5201800</v>
      </c>
      <c r="B3782" s="119" t="s">
        <v>364</v>
      </c>
    </row>
    <row r="3783" spans="1:2">
      <c r="A3783" s="121">
        <v>5202000</v>
      </c>
      <c r="B3783" s="119" t="s">
        <v>717</v>
      </c>
    </row>
    <row r="3784" spans="1:2" ht="51">
      <c r="A3784" s="121">
        <v>5202100</v>
      </c>
      <c r="B3784" s="120" t="s">
        <v>1028</v>
      </c>
    </row>
    <row r="3785" spans="1:2">
      <c r="A3785" s="121">
        <v>5202300</v>
      </c>
      <c r="B3785" s="119" t="s">
        <v>718</v>
      </c>
    </row>
    <row r="3786" spans="1:2">
      <c r="A3786" s="121">
        <v>5202400</v>
      </c>
      <c r="B3786" s="119" t="s">
        <v>719</v>
      </c>
    </row>
    <row r="3787" spans="1:2" ht="25.5">
      <c r="A3787" s="121">
        <v>5202500</v>
      </c>
      <c r="B3787" s="119" t="s">
        <v>720</v>
      </c>
    </row>
    <row r="3788" spans="1:2">
      <c r="A3788" s="121">
        <v>5202600</v>
      </c>
      <c r="B3788" s="119" t="s">
        <v>721</v>
      </c>
    </row>
    <row r="3789" spans="1:2" ht="38.25">
      <c r="A3789" s="121">
        <v>5202700</v>
      </c>
      <c r="B3789" s="120" t="s">
        <v>722</v>
      </c>
    </row>
    <row r="3790" spans="1:2">
      <c r="A3790" s="121">
        <v>5202800</v>
      </c>
      <c r="B3790" s="119" t="s">
        <v>723</v>
      </c>
    </row>
    <row r="3791" spans="1:2">
      <c r="A3791" s="121">
        <v>5203010</v>
      </c>
      <c r="B3791" s="119" t="s">
        <v>724</v>
      </c>
    </row>
    <row r="3792" spans="1:2">
      <c r="A3792" s="121">
        <v>5203012</v>
      </c>
      <c r="B3792" s="119" t="s">
        <v>680</v>
      </c>
    </row>
    <row r="3793" spans="1:2">
      <c r="A3793" s="121">
        <v>5210000</v>
      </c>
      <c r="B3793" s="120" t="s">
        <v>1879</v>
      </c>
    </row>
    <row r="3794" spans="1:2">
      <c r="A3794" s="121">
        <v>5210110</v>
      </c>
      <c r="B3794" s="119" t="s">
        <v>725</v>
      </c>
    </row>
    <row r="3795" spans="1:2">
      <c r="A3795" s="121">
        <v>5210112</v>
      </c>
      <c r="B3795" s="119" t="s">
        <v>180</v>
      </c>
    </row>
    <row r="3796" spans="1:2" ht="25.5">
      <c r="A3796" s="121">
        <v>5210113</v>
      </c>
      <c r="B3796" s="119" t="s">
        <v>567</v>
      </c>
    </row>
    <row r="3797" spans="1:2">
      <c r="A3797" s="121">
        <v>5210114</v>
      </c>
      <c r="B3797" s="119" t="s">
        <v>568</v>
      </c>
    </row>
    <row r="3798" spans="1:2" ht="25.5">
      <c r="A3798" s="121">
        <v>5210125</v>
      </c>
      <c r="B3798" s="119" t="s">
        <v>1880</v>
      </c>
    </row>
    <row r="3799" spans="1:2">
      <c r="A3799" s="121">
        <v>5210129</v>
      </c>
      <c r="B3799" s="119" t="s">
        <v>1474</v>
      </c>
    </row>
    <row r="3800" spans="1:2">
      <c r="A3800" s="121">
        <v>5210300</v>
      </c>
      <c r="B3800" s="119" t="s">
        <v>569</v>
      </c>
    </row>
    <row r="3801" spans="1:2">
      <c r="A3801" s="121">
        <v>5210301</v>
      </c>
      <c r="B3801" s="119" t="s">
        <v>644</v>
      </c>
    </row>
    <row r="3802" spans="1:2" ht="25.5">
      <c r="A3802" s="121">
        <v>5210302</v>
      </c>
      <c r="B3802" s="119" t="s">
        <v>225</v>
      </c>
    </row>
    <row r="3803" spans="1:2" ht="25.5">
      <c r="A3803" s="121">
        <v>5210303</v>
      </c>
      <c r="B3803" s="119" t="s">
        <v>226</v>
      </c>
    </row>
    <row r="3804" spans="1:2">
      <c r="A3804" s="121">
        <v>5220000</v>
      </c>
      <c r="B3804" s="119" t="s">
        <v>402</v>
      </c>
    </row>
    <row r="3805" spans="1:2">
      <c r="A3805" s="121">
        <v>5220100</v>
      </c>
      <c r="B3805" s="119" t="s">
        <v>570</v>
      </c>
    </row>
    <row r="3806" spans="1:2">
      <c r="A3806" s="121">
        <v>5220200</v>
      </c>
      <c r="B3806" s="119" t="s">
        <v>1264</v>
      </c>
    </row>
    <row r="3807" spans="1:2" ht="25.5">
      <c r="A3807" s="121">
        <v>5220202</v>
      </c>
      <c r="B3807" s="119" t="s">
        <v>1060</v>
      </c>
    </row>
    <row r="3808" spans="1:2">
      <c r="A3808" s="121">
        <v>5220400</v>
      </c>
      <c r="B3808" s="119" t="s">
        <v>1120</v>
      </c>
    </row>
    <row r="3809" spans="1:2" ht="25.5">
      <c r="A3809" s="121">
        <v>5220700</v>
      </c>
      <c r="B3809" s="119" t="s">
        <v>1121</v>
      </c>
    </row>
    <row r="3810" spans="1:2">
      <c r="A3810" s="121">
        <v>5220900</v>
      </c>
      <c r="B3810" s="119" t="s">
        <v>1957</v>
      </c>
    </row>
    <row r="3811" spans="1:2">
      <c r="A3811" s="121">
        <v>5221200</v>
      </c>
      <c r="B3811" s="119" t="s">
        <v>1122</v>
      </c>
    </row>
    <row r="3812" spans="1:2">
      <c r="A3812" s="121">
        <v>5221201</v>
      </c>
      <c r="B3812" s="119" t="s">
        <v>1123</v>
      </c>
    </row>
    <row r="3813" spans="1:2" ht="25.5">
      <c r="A3813" s="121">
        <v>5221202</v>
      </c>
      <c r="B3813" s="119" t="s">
        <v>2006</v>
      </c>
    </row>
    <row r="3814" spans="1:2">
      <c r="A3814" s="121">
        <v>5221300</v>
      </c>
      <c r="B3814" s="119" t="s">
        <v>1183</v>
      </c>
    </row>
    <row r="3815" spans="1:2">
      <c r="A3815" s="121">
        <v>5221301</v>
      </c>
      <c r="B3815" s="119" t="s">
        <v>1957</v>
      </c>
    </row>
    <row r="3816" spans="1:2">
      <c r="A3816" s="121">
        <v>5221302</v>
      </c>
      <c r="B3816" s="119" t="s">
        <v>1373</v>
      </c>
    </row>
    <row r="3817" spans="1:2">
      <c r="A3817" s="121">
        <v>5221303</v>
      </c>
      <c r="B3817" s="119" t="s">
        <v>1373</v>
      </c>
    </row>
    <row r="3818" spans="1:2">
      <c r="A3818" s="121">
        <v>5221304</v>
      </c>
      <c r="B3818" s="119" t="s">
        <v>1373</v>
      </c>
    </row>
    <row r="3819" spans="1:2">
      <c r="A3819" s="121">
        <v>5221305</v>
      </c>
      <c r="B3819" s="119" t="s">
        <v>1373</v>
      </c>
    </row>
    <row r="3820" spans="1:2">
      <c r="A3820" s="121">
        <v>5221306</v>
      </c>
      <c r="B3820" s="119" t="s">
        <v>1184</v>
      </c>
    </row>
    <row r="3821" spans="1:2">
      <c r="A3821" s="121">
        <v>5221307</v>
      </c>
      <c r="B3821" s="119" t="s">
        <v>1373</v>
      </c>
    </row>
    <row r="3822" spans="1:2">
      <c r="A3822" s="121">
        <v>5221308</v>
      </c>
      <c r="B3822" s="119" t="s">
        <v>1185</v>
      </c>
    </row>
    <row r="3823" spans="1:2" ht="25.5">
      <c r="A3823" s="121">
        <v>5221309</v>
      </c>
      <c r="B3823" s="119" t="s">
        <v>1186</v>
      </c>
    </row>
    <row r="3824" spans="1:2">
      <c r="A3824" s="121">
        <v>5221310</v>
      </c>
      <c r="B3824" s="119" t="s">
        <v>1187</v>
      </c>
    </row>
    <row r="3825" spans="1:2">
      <c r="A3825" s="121">
        <v>5221312</v>
      </c>
      <c r="B3825" s="119" t="s">
        <v>1958</v>
      </c>
    </row>
    <row r="3826" spans="1:2">
      <c r="A3826" s="121">
        <v>5221313</v>
      </c>
      <c r="B3826" s="119" t="s">
        <v>2129</v>
      </c>
    </row>
    <row r="3827" spans="1:2" ht="25.5">
      <c r="A3827" s="121">
        <v>5221314</v>
      </c>
      <c r="B3827" s="119" t="s">
        <v>1470</v>
      </c>
    </row>
    <row r="3828" spans="1:2">
      <c r="A3828" s="121">
        <v>5221315</v>
      </c>
      <c r="B3828" s="119" t="s">
        <v>1894</v>
      </c>
    </row>
    <row r="3829" spans="1:2">
      <c r="A3829" s="121">
        <v>5221400</v>
      </c>
      <c r="B3829" s="119" t="s">
        <v>1893</v>
      </c>
    </row>
    <row r="3830" spans="1:2">
      <c r="A3830" s="121">
        <v>5221401</v>
      </c>
      <c r="B3830" s="119" t="s">
        <v>1188</v>
      </c>
    </row>
    <row r="3831" spans="1:2">
      <c r="A3831" s="121">
        <v>5221900</v>
      </c>
      <c r="B3831" s="119" t="s">
        <v>1189</v>
      </c>
    </row>
    <row r="3832" spans="1:2">
      <c r="A3832" s="121">
        <v>5222100</v>
      </c>
      <c r="B3832" s="119" t="s">
        <v>1959</v>
      </c>
    </row>
    <row r="3833" spans="1:2" ht="25.5">
      <c r="A3833" s="121">
        <v>5222900</v>
      </c>
      <c r="B3833" s="119" t="s">
        <v>646</v>
      </c>
    </row>
    <row r="3834" spans="1:2" ht="25.5">
      <c r="A3834" s="121">
        <v>5222902</v>
      </c>
      <c r="B3834" s="119" t="s">
        <v>646</v>
      </c>
    </row>
    <row r="3835" spans="1:2">
      <c r="A3835" s="121">
        <v>5223100</v>
      </c>
      <c r="B3835" s="119" t="s">
        <v>1190</v>
      </c>
    </row>
    <row r="3836" spans="1:2">
      <c r="A3836" s="121">
        <v>5223101</v>
      </c>
      <c r="B3836" s="119" t="s">
        <v>1191</v>
      </c>
    </row>
    <row r="3837" spans="1:2" ht="25.5">
      <c r="A3837" s="121">
        <v>5223102</v>
      </c>
      <c r="B3837" s="119" t="s">
        <v>1192</v>
      </c>
    </row>
    <row r="3838" spans="1:2" ht="25.5">
      <c r="A3838" s="121">
        <v>5223103</v>
      </c>
      <c r="B3838" s="119" t="s">
        <v>1193</v>
      </c>
    </row>
    <row r="3839" spans="1:2">
      <c r="A3839" s="121">
        <v>5223200</v>
      </c>
      <c r="B3839" s="119" t="s">
        <v>1194</v>
      </c>
    </row>
    <row r="3840" spans="1:2">
      <c r="A3840" s="121">
        <v>5223300</v>
      </c>
      <c r="B3840" s="119" t="s">
        <v>1940</v>
      </c>
    </row>
    <row r="3841" spans="1:2" ht="38.25">
      <c r="A3841" s="121">
        <v>5223302</v>
      </c>
      <c r="B3841" s="119" t="s">
        <v>1195</v>
      </c>
    </row>
    <row r="3842" spans="1:2" ht="25.5">
      <c r="A3842" s="121">
        <v>5223400</v>
      </c>
      <c r="B3842" s="119" t="s">
        <v>1196</v>
      </c>
    </row>
    <row r="3843" spans="1:2">
      <c r="A3843" s="121">
        <v>5223500</v>
      </c>
      <c r="B3843" s="119" t="s">
        <v>1197</v>
      </c>
    </row>
    <row r="3844" spans="1:2">
      <c r="A3844" s="121">
        <v>5223502</v>
      </c>
      <c r="B3844" s="119" t="s">
        <v>1197</v>
      </c>
    </row>
    <row r="3845" spans="1:2" ht="25.5">
      <c r="A3845" s="121">
        <v>5223800</v>
      </c>
      <c r="B3845" s="119" t="s">
        <v>746</v>
      </c>
    </row>
    <row r="3846" spans="1:2" ht="25.5">
      <c r="A3846" s="121">
        <v>5223803</v>
      </c>
      <c r="B3846" s="119" t="s">
        <v>1960</v>
      </c>
    </row>
    <row r="3847" spans="1:2">
      <c r="A3847" s="121">
        <v>5224000</v>
      </c>
      <c r="B3847" s="119" t="s">
        <v>1509</v>
      </c>
    </row>
    <row r="3848" spans="1:2">
      <c r="A3848" s="121">
        <v>5224002</v>
      </c>
      <c r="B3848" s="119" t="s">
        <v>1198</v>
      </c>
    </row>
    <row r="3849" spans="1:2">
      <c r="A3849" s="121">
        <v>5224005</v>
      </c>
      <c r="B3849" s="119" t="s">
        <v>1199</v>
      </c>
    </row>
    <row r="3850" spans="1:2">
      <c r="A3850" s="121">
        <v>5224400</v>
      </c>
      <c r="B3850" s="119" t="s">
        <v>509</v>
      </c>
    </row>
    <row r="3851" spans="1:2" ht="25.5">
      <c r="A3851" s="121">
        <v>5224600</v>
      </c>
      <c r="B3851" s="119" t="s">
        <v>2003</v>
      </c>
    </row>
    <row r="3852" spans="1:2" ht="43.5" customHeight="1">
      <c r="A3852" s="121">
        <v>5224603</v>
      </c>
      <c r="B3852" s="120" t="s">
        <v>2004</v>
      </c>
    </row>
    <row r="3853" spans="1:2" ht="25.5">
      <c r="A3853" s="121">
        <v>5225100</v>
      </c>
      <c r="B3853" s="119" t="s">
        <v>969</v>
      </c>
    </row>
    <row r="3854" spans="1:2">
      <c r="A3854" s="121">
        <v>5225101</v>
      </c>
      <c r="B3854" s="119" t="s">
        <v>1217</v>
      </c>
    </row>
    <row r="3855" spans="1:2">
      <c r="A3855" s="121">
        <v>5225300</v>
      </c>
      <c r="B3855" s="119" t="s">
        <v>1014</v>
      </c>
    </row>
    <row r="3856" spans="1:2" ht="25.5">
      <c r="A3856" s="121">
        <v>5225301</v>
      </c>
      <c r="B3856" s="119" t="s">
        <v>358</v>
      </c>
    </row>
    <row r="3857" spans="1:2">
      <c r="A3857" s="121">
        <v>5225302</v>
      </c>
      <c r="B3857" s="119" t="s">
        <v>359</v>
      </c>
    </row>
    <row r="3858" spans="1:2">
      <c r="A3858" s="121">
        <v>5225600</v>
      </c>
      <c r="B3858" s="119" t="s">
        <v>1218</v>
      </c>
    </row>
    <row r="3859" spans="1:2">
      <c r="A3859" s="121">
        <v>5225700</v>
      </c>
      <c r="B3859" s="119" t="s">
        <v>1098</v>
      </c>
    </row>
    <row r="3860" spans="1:2" ht="25.5">
      <c r="A3860" s="121">
        <v>5225705</v>
      </c>
      <c r="B3860" s="119" t="s">
        <v>1099</v>
      </c>
    </row>
    <row r="3861" spans="1:2" ht="25.5">
      <c r="A3861" s="121">
        <v>5225800</v>
      </c>
      <c r="B3861" s="119" t="s">
        <v>2136</v>
      </c>
    </row>
    <row r="3862" spans="1:2" ht="25.5">
      <c r="A3862" s="121">
        <v>5225803</v>
      </c>
      <c r="B3862" s="119" t="s">
        <v>1219</v>
      </c>
    </row>
    <row r="3863" spans="1:2" ht="38.25">
      <c r="A3863" s="121">
        <v>5225900</v>
      </c>
      <c r="B3863" s="119" t="s">
        <v>1220</v>
      </c>
    </row>
    <row r="3864" spans="1:2" ht="25.5">
      <c r="A3864" s="121">
        <v>5225901</v>
      </c>
      <c r="B3864" s="119" t="s">
        <v>857</v>
      </c>
    </row>
    <row r="3865" spans="1:2">
      <c r="A3865" s="121">
        <v>5226000</v>
      </c>
      <c r="B3865" s="267" t="s">
        <v>2081</v>
      </c>
    </row>
    <row r="3866" spans="1:2" ht="25.5">
      <c r="A3866" s="121">
        <v>5226003</v>
      </c>
      <c r="B3866" s="119" t="s">
        <v>1166</v>
      </c>
    </row>
    <row r="3867" spans="1:2" ht="25.5">
      <c r="A3867" s="121">
        <v>5226004</v>
      </c>
      <c r="B3867" s="119" t="s">
        <v>858</v>
      </c>
    </row>
    <row r="3868" spans="1:2" ht="25.5">
      <c r="A3868" s="121">
        <v>5226006</v>
      </c>
      <c r="B3868" s="268" t="s">
        <v>770</v>
      </c>
    </row>
    <row r="3869" spans="1:2">
      <c r="A3869" s="121">
        <v>5226100</v>
      </c>
      <c r="B3869" s="119" t="s">
        <v>859</v>
      </c>
    </row>
    <row r="3870" spans="1:2">
      <c r="A3870" s="121">
        <v>5226102</v>
      </c>
      <c r="B3870" s="119" t="s">
        <v>1226</v>
      </c>
    </row>
    <row r="3871" spans="1:2">
      <c r="A3871" s="121">
        <v>5226400</v>
      </c>
      <c r="B3871" s="119" t="s">
        <v>2137</v>
      </c>
    </row>
    <row r="3872" spans="1:2" ht="25.5">
      <c r="A3872" s="121">
        <v>5226401</v>
      </c>
      <c r="B3872" s="119" t="s">
        <v>262</v>
      </c>
    </row>
    <row r="3873" spans="1:2" ht="25.5">
      <c r="A3873" s="121">
        <v>5226404</v>
      </c>
      <c r="B3873" s="119" t="s">
        <v>1467</v>
      </c>
    </row>
    <row r="3874" spans="1:2">
      <c r="A3874" s="121">
        <v>5226900</v>
      </c>
      <c r="B3874" s="119" t="s">
        <v>891</v>
      </c>
    </row>
    <row r="3875" spans="1:2" ht="25.5">
      <c r="A3875" s="121">
        <v>5226902</v>
      </c>
      <c r="B3875" s="119" t="s">
        <v>263</v>
      </c>
    </row>
    <row r="3876" spans="1:2">
      <c r="A3876" s="121">
        <v>5226904</v>
      </c>
      <c r="B3876" s="119" t="s">
        <v>892</v>
      </c>
    </row>
    <row r="3877" spans="1:2" ht="25.5">
      <c r="A3877" s="121">
        <v>5226905</v>
      </c>
      <c r="B3877" s="119" t="s">
        <v>322</v>
      </c>
    </row>
    <row r="3878" spans="1:2">
      <c r="A3878" s="121">
        <v>5230000</v>
      </c>
      <c r="B3878" s="119" t="s">
        <v>43</v>
      </c>
    </row>
    <row r="3879" spans="1:2">
      <c r="A3879" s="121">
        <v>5230100</v>
      </c>
      <c r="B3879" s="119" t="s">
        <v>1569</v>
      </c>
    </row>
    <row r="3880" spans="1:2" ht="25.5">
      <c r="A3880" s="121">
        <v>5260000</v>
      </c>
      <c r="B3880" s="119" t="s">
        <v>264</v>
      </c>
    </row>
    <row r="3881" spans="1:2" ht="25.5">
      <c r="A3881" s="121">
        <v>5260100</v>
      </c>
      <c r="B3881" s="119" t="s">
        <v>1570</v>
      </c>
    </row>
    <row r="3882" spans="1:2" ht="25.5">
      <c r="A3882" s="121">
        <v>5260200</v>
      </c>
      <c r="B3882" s="119" t="s">
        <v>265</v>
      </c>
    </row>
    <row r="3883" spans="1:2">
      <c r="A3883" s="121">
        <v>5268200</v>
      </c>
      <c r="B3883" s="119" t="s">
        <v>1022</v>
      </c>
    </row>
    <row r="3884" spans="1:2" ht="25.5">
      <c r="A3884" s="121">
        <v>5270000</v>
      </c>
      <c r="B3884" s="119" t="s">
        <v>266</v>
      </c>
    </row>
    <row r="3885" spans="1:2" ht="51">
      <c r="A3885" s="121">
        <v>5300000</v>
      </c>
      <c r="B3885" s="120" t="s">
        <v>1307</v>
      </c>
    </row>
    <row r="3886" spans="1:2">
      <c r="A3886" s="121">
        <v>5300100</v>
      </c>
      <c r="B3886" s="119" t="s">
        <v>1308</v>
      </c>
    </row>
    <row r="3887" spans="1:2" ht="25.5">
      <c r="A3887" s="121">
        <v>5500000</v>
      </c>
      <c r="B3887" s="119" t="s">
        <v>267</v>
      </c>
    </row>
    <row r="3888" spans="1:2">
      <c r="A3888" s="121">
        <v>5500200</v>
      </c>
      <c r="B3888" s="119" t="s">
        <v>436</v>
      </c>
    </row>
    <row r="3889" spans="1:2">
      <c r="A3889" s="121">
        <v>5500300</v>
      </c>
      <c r="B3889" s="119" t="s">
        <v>268</v>
      </c>
    </row>
    <row r="3890" spans="1:2">
      <c r="A3890" s="121">
        <v>5500301</v>
      </c>
      <c r="B3890" s="119" t="s">
        <v>269</v>
      </c>
    </row>
    <row r="3891" spans="1:2">
      <c r="A3891" s="121">
        <v>5500302</v>
      </c>
      <c r="B3891" s="119" t="s">
        <v>288</v>
      </c>
    </row>
    <row r="3892" spans="1:2" ht="25.5">
      <c r="A3892" s="121">
        <v>5500303</v>
      </c>
      <c r="B3892" s="119" t="s">
        <v>289</v>
      </c>
    </row>
    <row r="3893" spans="1:2">
      <c r="A3893" s="121">
        <v>5500400</v>
      </c>
      <c r="B3893" s="119" t="s">
        <v>1053</v>
      </c>
    </row>
    <row r="3894" spans="1:2">
      <c r="A3894" s="121">
        <v>5500500</v>
      </c>
      <c r="B3894" s="119" t="s">
        <v>1701</v>
      </c>
    </row>
    <row r="3895" spans="1:2">
      <c r="A3895" s="121">
        <v>5500600</v>
      </c>
      <c r="B3895" s="119" t="s">
        <v>290</v>
      </c>
    </row>
    <row r="3896" spans="1:2">
      <c r="A3896" s="121">
        <v>5500601</v>
      </c>
      <c r="B3896" s="119" t="s">
        <v>291</v>
      </c>
    </row>
    <row r="3897" spans="1:2">
      <c r="A3897" s="121">
        <v>6000000</v>
      </c>
      <c r="B3897" s="119" t="s">
        <v>1107</v>
      </c>
    </row>
    <row r="3898" spans="1:2">
      <c r="A3898" s="121">
        <v>6000100</v>
      </c>
      <c r="B3898" s="119" t="s">
        <v>1136</v>
      </c>
    </row>
    <row r="3899" spans="1:2" ht="25.5">
      <c r="A3899" s="121">
        <v>6000200</v>
      </c>
      <c r="B3899" s="119" t="s">
        <v>1076</v>
      </c>
    </row>
    <row r="3900" spans="1:2">
      <c r="A3900" s="121">
        <v>6000300</v>
      </c>
      <c r="B3900" s="119" t="s">
        <v>1077</v>
      </c>
    </row>
    <row r="3901" spans="1:2">
      <c r="A3901" s="121">
        <v>6000400</v>
      </c>
      <c r="B3901" s="119" t="s">
        <v>292</v>
      </c>
    </row>
    <row r="3902" spans="1:2">
      <c r="A3902" s="121">
        <v>6000500</v>
      </c>
      <c r="B3902" s="119" t="s">
        <v>1080</v>
      </c>
    </row>
    <row r="3903" spans="1:2" ht="25.5">
      <c r="A3903" s="121">
        <v>6010000</v>
      </c>
      <c r="B3903" s="119" t="s">
        <v>293</v>
      </c>
    </row>
    <row r="3904" spans="1:2">
      <c r="A3904" s="121">
        <v>7010000</v>
      </c>
      <c r="B3904" s="119" t="s">
        <v>294</v>
      </c>
    </row>
    <row r="3905" spans="1:2">
      <c r="A3905" s="121">
        <v>7010100</v>
      </c>
      <c r="B3905" s="119" t="s">
        <v>295</v>
      </c>
    </row>
    <row r="3906" spans="1:2" ht="25.5">
      <c r="A3906" s="121">
        <v>7050000</v>
      </c>
      <c r="B3906" s="119" t="s">
        <v>647</v>
      </c>
    </row>
    <row r="3907" spans="1:2" ht="38.25">
      <c r="A3907" s="121">
        <v>7050100</v>
      </c>
      <c r="B3907" s="119" t="s">
        <v>438</v>
      </c>
    </row>
    <row r="3908" spans="1:2" ht="25.5">
      <c r="A3908" s="121">
        <v>7050200</v>
      </c>
      <c r="B3908" s="119" t="s">
        <v>169</v>
      </c>
    </row>
    <row r="3909" spans="1:2" ht="25.5">
      <c r="A3909" s="121">
        <v>7050300</v>
      </c>
      <c r="B3909" s="119" t="s">
        <v>1173</v>
      </c>
    </row>
    <row r="3910" spans="1:2" ht="25.5">
      <c r="A3910" s="121">
        <v>7050400</v>
      </c>
      <c r="B3910" s="119" t="s">
        <v>541</v>
      </c>
    </row>
    <row r="3911" spans="1:2">
      <c r="A3911" s="121">
        <v>7050401</v>
      </c>
      <c r="B3911" s="119" t="s">
        <v>542</v>
      </c>
    </row>
    <row r="3912" spans="1:2">
      <c r="A3912" s="121">
        <v>7050402</v>
      </c>
      <c r="B3912" s="119" t="s">
        <v>483</v>
      </c>
    </row>
    <row r="3913" spans="1:2">
      <c r="A3913" s="121">
        <v>7050403</v>
      </c>
      <c r="B3913" s="119" t="s">
        <v>743</v>
      </c>
    </row>
    <row r="3914" spans="1:2">
      <c r="A3914" s="121">
        <v>7050404</v>
      </c>
      <c r="B3914" s="119" t="s">
        <v>550</v>
      </c>
    </row>
    <row r="3915" spans="1:2">
      <c r="A3915" s="121">
        <v>7050405</v>
      </c>
      <c r="B3915" s="119" t="s">
        <v>775</v>
      </c>
    </row>
    <row r="3916" spans="1:2">
      <c r="A3916" s="121">
        <v>7050406</v>
      </c>
      <c r="B3916" s="119" t="s">
        <v>1341</v>
      </c>
    </row>
    <row r="3917" spans="1:2">
      <c r="A3917" s="121">
        <v>7050407</v>
      </c>
      <c r="B3917" s="119" t="s">
        <v>1342</v>
      </c>
    </row>
    <row r="3918" spans="1:2">
      <c r="A3918" s="121">
        <v>7050408</v>
      </c>
      <c r="B3918" s="119" t="s">
        <v>475</v>
      </c>
    </row>
    <row r="3919" spans="1:2">
      <c r="A3919" s="121">
        <v>7050409</v>
      </c>
      <c r="B3919" s="119" t="s">
        <v>1305</v>
      </c>
    </row>
    <row r="3920" spans="1:2" ht="25.5">
      <c r="A3920" s="121">
        <v>7050500</v>
      </c>
      <c r="B3920" s="119" t="s">
        <v>1521</v>
      </c>
    </row>
    <row r="3921" spans="1:2">
      <c r="A3921" s="121">
        <v>7050501</v>
      </c>
      <c r="B3921" s="119" t="s">
        <v>542</v>
      </c>
    </row>
    <row r="3922" spans="1:2">
      <c r="A3922" s="121">
        <v>7050502</v>
      </c>
      <c r="B3922" s="119" t="s">
        <v>483</v>
      </c>
    </row>
    <row r="3923" spans="1:2">
      <c r="A3923" s="121">
        <v>7050503</v>
      </c>
      <c r="B3923" s="119" t="s">
        <v>743</v>
      </c>
    </row>
    <row r="3924" spans="1:2">
      <c r="A3924" s="121">
        <v>7050505</v>
      </c>
      <c r="B3924" s="119" t="s">
        <v>775</v>
      </c>
    </row>
    <row r="3925" spans="1:2">
      <c r="A3925" s="121">
        <v>7050506</v>
      </c>
      <c r="B3925" s="119" t="s">
        <v>1341</v>
      </c>
    </row>
    <row r="3926" spans="1:2">
      <c r="A3926" s="121">
        <v>7050507</v>
      </c>
      <c r="B3926" s="119" t="s">
        <v>1342</v>
      </c>
    </row>
    <row r="3927" spans="1:2">
      <c r="A3927" s="121">
        <v>7050508</v>
      </c>
      <c r="B3927" s="119" t="s">
        <v>475</v>
      </c>
    </row>
    <row r="3928" spans="1:2">
      <c r="A3928" s="121">
        <v>7050509</v>
      </c>
      <c r="B3928" s="119" t="s">
        <v>1305</v>
      </c>
    </row>
    <row r="3929" spans="1:2" ht="25.5">
      <c r="A3929" s="121">
        <v>7050600</v>
      </c>
      <c r="B3929" s="119" t="s">
        <v>398</v>
      </c>
    </row>
    <row r="3930" spans="1:2">
      <c r="A3930" s="121">
        <v>7050601</v>
      </c>
      <c r="B3930" s="119" t="s">
        <v>542</v>
      </c>
    </row>
    <row r="3931" spans="1:2">
      <c r="A3931" s="121">
        <v>7050602</v>
      </c>
      <c r="B3931" s="119" t="s">
        <v>483</v>
      </c>
    </row>
    <row r="3932" spans="1:2">
      <c r="A3932" s="121">
        <v>7050603</v>
      </c>
      <c r="B3932" s="119" t="s">
        <v>743</v>
      </c>
    </row>
    <row r="3933" spans="1:2">
      <c r="A3933" s="121">
        <v>7050604</v>
      </c>
      <c r="B3933" s="119" t="s">
        <v>550</v>
      </c>
    </row>
    <row r="3934" spans="1:2">
      <c r="A3934" s="121">
        <v>7050605</v>
      </c>
      <c r="B3934" s="119" t="s">
        <v>775</v>
      </c>
    </row>
    <row r="3935" spans="1:2">
      <c r="A3935" s="121">
        <v>7050606</v>
      </c>
      <c r="B3935" s="119" t="s">
        <v>1341</v>
      </c>
    </row>
    <row r="3936" spans="1:2">
      <c r="A3936" s="121">
        <v>7050607</v>
      </c>
      <c r="B3936" s="119" t="s">
        <v>1342</v>
      </c>
    </row>
    <row r="3937" spans="1:2">
      <c r="A3937" s="121">
        <v>7050608</v>
      </c>
      <c r="B3937" s="119" t="s">
        <v>475</v>
      </c>
    </row>
    <row r="3938" spans="1:2">
      <c r="A3938" s="121">
        <v>7050609</v>
      </c>
      <c r="B3938" s="119" t="s">
        <v>1305</v>
      </c>
    </row>
    <row r="3939" spans="1:2" ht="25.5">
      <c r="A3939" s="121">
        <v>7050700</v>
      </c>
      <c r="B3939" s="119" t="s">
        <v>331</v>
      </c>
    </row>
    <row r="3940" spans="1:2">
      <c r="A3940" s="121">
        <v>7050703</v>
      </c>
      <c r="B3940" s="119" t="s">
        <v>743</v>
      </c>
    </row>
    <row r="3941" spans="1:2">
      <c r="A3941" s="121">
        <v>7050706</v>
      </c>
      <c r="B3941" s="119" t="s">
        <v>1341</v>
      </c>
    </row>
    <row r="3942" spans="1:2">
      <c r="A3942" s="121">
        <v>7050707</v>
      </c>
      <c r="B3942" s="119" t="s">
        <v>1342</v>
      </c>
    </row>
    <row r="3943" spans="1:2">
      <c r="A3943" s="121">
        <v>7050708</v>
      </c>
      <c r="B3943" s="119" t="s">
        <v>475</v>
      </c>
    </row>
    <row r="3944" spans="1:2">
      <c r="A3944" s="121">
        <v>7050709</v>
      </c>
      <c r="B3944" s="119" t="s">
        <v>1305</v>
      </c>
    </row>
    <row r="3945" spans="1:2">
      <c r="A3945" s="121">
        <v>7950000</v>
      </c>
      <c r="B3945" s="119" t="s">
        <v>318</v>
      </c>
    </row>
    <row r="3946" spans="1:2">
      <c r="A3946" s="121">
        <v>7950100</v>
      </c>
      <c r="B3946" s="119" t="s">
        <v>296</v>
      </c>
    </row>
    <row r="3947" spans="1:2">
      <c r="A3947" s="121">
        <v>7950300</v>
      </c>
      <c r="B3947" s="119" t="s">
        <v>297</v>
      </c>
    </row>
    <row r="3948" spans="1:2">
      <c r="A3948" s="121">
        <v>7950400</v>
      </c>
      <c r="B3948" s="119" t="s">
        <v>1309</v>
      </c>
    </row>
    <row r="3949" spans="1:2" ht="25.5">
      <c r="A3949" s="121">
        <v>7950500</v>
      </c>
      <c r="B3949" s="119" t="s">
        <v>1383</v>
      </c>
    </row>
    <row r="3950" spans="1:2" ht="25.5">
      <c r="A3950" s="121">
        <v>7950600</v>
      </c>
      <c r="B3950" s="119" t="s">
        <v>1310</v>
      </c>
    </row>
    <row r="3951" spans="1:2">
      <c r="A3951" s="121">
        <v>7950700</v>
      </c>
      <c r="B3951" s="119" t="s">
        <v>298</v>
      </c>
    </row>
    <row r="3952" spans="1:2" ht="25.5">
      <c r="A3952" s="121">
        <v>7950800</v>
      </c>
      <c r="B3952" s="119" t="s">
        <v>667</v>
      </c>
    </row>
    <row r="3953" spans="1:2">
      <c r="A3953" s="121">
        <v>7950900</v>
      </c>
      <c r="B3953" s="119" t="s">
        <v>129</v>
      </c>
    </row>
    <row r="3954" spans="1:2">
      <c r="A3954" s="121">
        <v>7951000</v>
      </c>
      <c r="B3954" s="119" t="s">
        <v>1326</v>
      </c>
    </row>
    <row r="3955" spans="1:2">
      <c r="A3955" s="121">
        <v>7951100</v>
      </c>
      <c r="B3955" s="119" t="s">
        <v>606</v>
      </c>
    </row>
    <row r="3956" spans="1:2">
      <c r="A3956" s="121">
        <v>7951200</v>
      </c>
      <c r="B3956" s="119" t="s">
        <v>1327</v>
      </c>
    </row>
    <row r="3957" spans="1:2">
      <c r="A3957" s="121">
        <v>7951300</v>
      </c>
      <c r="B3957" s="119" t="s">
        <v>808</v>
      </c>
    </row>
    <row r="3958" spans="1:2" ht="25.5">
      <c r="A3958" s="121">
        <v>7951301</v>
      </c>
      <c r="B3958" s="119" t="s">
        <v>1877</v>
      </c>
    </row>
    <row r="3959" spans="1:2" ht="25.5">
      <c r="A3959" s="121">
        <v>7951302</v>
      </c>
      <c r="B3959" s="119" t="s">
        <v>1597</v>
      </c>
    </row>
    <row r="3960" spans="1:2" ht="25.5">
      <c r="A3960" s="121">
        <v>7951303</v>
      </c>
      <c r="B3960" s="119" t="s">
        <v>128</v>
      </c>
    </row>
    <row r="3961" spans="1:2" ht="25.5">
      <c r="A3961" s="121">
        <v>7951304</v>
      </c>
      <c r="B3961" s="119" t="s">
        <v>34</v>
      </c>
    </row>
    <row r="3962" spans="1:2">
      <c r="A3962" s="121">
        <v>9980000</v>
      </c>
      <c r="B3962" s="119" t="s">
        <v>1328</v>
      </c>
    </row>
    <row r="3963" spans="1:2">
      <c r="A3963" s="121">
        <v>9990000</v>
      </c>
      <c r="B3963" s="119" t="s">
        <v>1329</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452"/>
  <sheetViews>
    <sheetView showGridLines="0" view="pageBreakPreview" zoomScaleNormal="100" zoomScaleSheetLayoutView="100" workbookViewId="0">
      <selection activeCell="C10" sqref="C10:C11"/>
    </sheetView>
  </sheetViews>
  <sheetFormatPr defaultRowHeight="12.75"/>
  <cols>
    <col min="1" max="1" width="4" customWidth="1"/>
    <col min="2" max="2" width="43.42578125" customWidth="1"/>
    <col min="3" max="3" width="13.28515625" customWidth="1"/>
    <col min="4" max="4" width="32.7109375" customWidth="1"/>
    <col min="257" max="257" width="4" customWidth="1"/>
    <col min="258" max="258" width="40" customWidth="1"/>
    <col min="259" max="259" width="13.28515625" customWidth="1"/>
    <col min="260" max="260" width="34" customWidth="1"/>
    <col min="513" max="513" width="4" customWidth="1"/>
    <col min="514" max="514" width="40" customWidth="1"/>
    <col min="515" max="515" width="13.28515625" customWidth="1"/>
    <col min="516" max="516" width="34" customWidth="1"/>
    <col min="769" max="769" width="4" customWidth="1"/>
    <col min="770" max="770" width="40" customWidth="1"/>
    <col min="771" max="771" width="13.28515625" customWidth="1"/>
    <col min="772" max="772" width="34" customWidth="1"/>
    <col min="1025" max="1025" width="4" customWidth="1"/>
    <col min="1026" max="1026" width="40" customWidth="1"/>
    <col min="1027" max="1027" width="13.28515625" customWidth="1"/>
    <col min="1028" max="1028" width="34" customWidth="1"/>
    <col min="1281" max="1281" width="4" customWidth="1"/>
    <col min="1282" max="1282" width="40" customWidth="1"/>
    <col min="1283" max="1283" width="13.28515625" customWidth="1"/>
    <col min="1284" max="1284" width="34" customWidth="1"/>
    <col min="1537" max="1537" width="4" customWidth="1"/>
    <col min="1538" max="1538" width="40" customWidth="1"/>
    <col min="1539" max="1539" width="13.28515625" customWidth="1"/>
    <col min="1540" max="1540" width="34" customWidth="1"/>
    <col min="1793" max="1793" width="4" customWidth="1"/>
    <col min="1794" max="1794" width="40" customWidth="1"/>
    <col min="1795" max="1795" width="13.28515625" customWidth="1"/>
    <col min="1796" max="1796" width="34" customWidth="1"/>
    <col min="2049" max="2049" width="4" customWidth="1"/>
    <col min="2050" max="2050" width="40" customWidth="1"/>
    <col min="2051" max="2051" width="13.28515625" customWidth="1"/>
    <col min="2052" max="2052" width="34" customWidth="1"/>
    <col min="2305" max="2305" width="4" customWidth="1"/>
    <col min="2306" max="2306" width="40" customWidth="1"/>
    <col min="2307" max="2307" width="13.28515625" customWidth="1"/>
    <col min="2308" max="2308" width="34" customWidth="1"/>
    <col min="2561" max="2561" width="4" customWidth="1"/>
    <col min="2562" max="2562" width="40" customWidth="1"/>
    <col min="2563" max="2563" width="13.28515625" customWidth="1"/>
    <col min="2564" max="2564" width="34" customWidth="1"/>
    <col min="2817" max="2817" width="4" customWidth="1"/>
    <col min="2818" max="2818" width="40" customWidth="1"/>
    <col min="2819" max="2819" width="13.28515625" customWidth="1"/>
    <col min="2820" max="2820" width="34" customWidth="1"/>
    <col min="3073" max="3073" width="4" customWidth="1"/>
    <col min="3074" max="3074" width="40" customWidth="1"/>
    <col min="3075" max="3075" width="13.28515625" customWidth="1"/>
    <col min="3076" max="3076" width="34" customWidth="1"/>
    <col min="3329" max="3329" width="4" customWidth="1"/>
    <col min="3330" max="3330" width="40" customWidth="1"/>
    <col min="3331" max="3331" width="13.28515625" customWidth="1"/>
    <col min="3332" max="3332" width="34" customWidth="1"/>
    <col min="3585" max="3585" width="4" customWidth="1"/>
    <col min="3586" max="3586" width="40" customWidth="1"/>
    <col min="3587" max="3587" width="13.28515625" customWidth="1"/>
    <col min="3588" max="3588" width="34" customWidth="1"/>
    <col min="3841" max="3841" width="4" customWidth="1"/>
    <col min="3842" max="3842" width="40" customWidth="1"/>
    <col min="3843" max="3843" width="13.28515625" customWidth="1"/>
    <col min="3844" max="3844" width="34" customWidth="1"/>
    <col min="4097" max="4097" width="4" customWidth="1"/>
    <col min="4098" max="4098" width="40" customWidth="1"/>
    <col min="4099" max="4099" width="13.28515625" customWidth="1"/>
    <col min="4100" max="4100" width="34" customWidth="1"/>
    <col min="4353" max="4353" width="4" customWidth="1"/>
    <col min="4354" max="4354" width="40" customWidth="1"/>
    <col min="4355" max="4355" width="13.28515625" customWidth="1"/>
    <col min="4356" max="4356" width="34" customWidth="1"/>
    <col min="4609" max="4609" width="4" customWidth="1"/>
    <col min="4610" max="4610" width="40" customWidth="1"/>
    <col min="4611" max="4611" width="13.28515625" customWidth="1"/>
    <col min="4612" max="4612" width="34" customWidth="1"/>
    <col min="4865" max="4865" width="4" customWidth="1"/>
    <col min="4866" max="4866" width="40" customWidth="1"/>
    <col min="4867" max="4867" width="13.28515625" customWidth="1"/>
    <col min="4868" max="4868" width="34" customWidth="1"/>
    <col min="5121" max="5121" width="4" customWidth="1"/>
    <col min="5122" max="5122" width="40" customWidth="1"/>
    <col min="5123" max="5123" width="13.28515625" customWidth="1"/>
    <col min="5124" max="5124" width="34" customWidth="1"/>
    <col min="5377" max="5377" width="4" customWidth="1"/>
    <col min="5378" max="5378" width="40" customWidth="1"/>
    <col min="5379" max="5379" width="13.28515625" customWidth="1"/>
    <col min="5380" max="5380" width="34" customWidth="1"/>
    <col min="5633" max="5633" width="4" customWidth="1"/>
    <col min="5634" max="5634" width="40" customWidth="1"/>
    <col min="5635" max="5635" width="13.28515625" customWidth="1"/>
    <col min="5636" max="5636" width="34" customWidth="1"/>
    <col min="5889" max="5889" width="4" customWidth="1"/>
    <col min="5890" max="5890" width="40" customWidth="1"/>
    <col min="5891" max="5891" width="13.28515625" customWidth="1"/>
    <col min="5892" max="5892" width="34" customWidth="1"/>
    <col min="6145" max="6145" width="4" customWidth="1"/>
    <col min="6146" max="6146" width="40" customWidth="1"/>
    <col min="6147" max="6147" width="13.28515625" customWidth="1"/>
    <col min="6148" max="6148" width="34" customWidth="1"/>
    <col min="6401" max="6401" width="4" customWidth="1"/>
    <col min="6402" max="6402" width="40" customWidth="1"/>
    <col min="6403" max="6403" width="13.28515625" customWidth="1"/>
    <col min="6404" max="6404" width="34" customWidth="1"/>
    <col min="6657" max="6657" width="4" customWidth="1"/>
    <col min="6658" max="6658" width="40" customWidth="1"/>
    <col min="6659" max="6659" width="13.28515625" customWidth="1"/>
    <col min="6660" max="6660" width="34" customWidth="1"/>
    <col min="6913" max="6913" width="4" customWidth="1"/>
    <col min="6914" max="6914" width="40" customWidth="1"/>
    <col min="6915" max="6915" width="13.28515625" customWidth="1"/>
    <col min="6916" max="6916" width="34" customWidth="1"/>
    <col min="7169" max="7169" width="4" customWidth="1"/>
    <col min="7170" max="7170" width="40" customWidth="1"/>
    <col min="7171" max="7171" width="13.28515625" customWidth="1"/>
    <col min="7172" max="7172" width="34" customWidth="1"/>
    <col min="7425" max="7425" width="4" customWidth="1"/>
    <col min="7426" max="7426" width="40" customWidth="1"/>
    <col min="7427" max="7427" width="13.28515625" customWidth="1"/>
    <col min="7428" max="7428" width="34" customWidth="1"/>
    <col min="7681" max="7681" width="4" customWidth="1"/>
    <col min="7682" max="7682" width="40" customWidth="1"/>
    <col min="7683" max="7683" width="13.28515625" customWidth="1"/>
    <col min="7684" max="7684" width="34" customWidth="1"/>
    <col min="7937" max="7937" width="4" customWidth="1"/>
    <col min="7938" max="7938" width="40" customWidth="1"/>
    <col min="7939" max="7939" width="13.28515625" customWidth="1"/>
    <col min="7940" max="7940" width="34" customWidth="1"/>
    <col min="8193" max="8193" width="4" customWidth="1"/>
    <col min="8194" max="8194" width="40" customWidth="1"/>
    <col min="8195" max="8195" width="13.28515625" customWidth="1"/>
    <col min="8196" max="8196" width="34" customWidth="1"/>
    <col min="8449" max="8449" width="4" customWidth="1"/>
    <col min="8450" max="8450" width="40" customWidth="1"/>
    <col min="8451" max="8451" width="13.28515625" customWidth="1"/>
    <col min="8452" max="8452" width="34" customWidth="1"/>
    <col min="8705" max="8705" width="4" customWidth="1"/>
    <col min="8706" max="8706" width="40" customWidth="1"/>
    <col min="8707" max="8707" width="13.28515625" customWidth="1"/>
    <col min="8708" max="8708" width="34" customWidth="1"/>
    <col min="8961" max="8961" width="4" customWidth="1"/>
    <col min="8962" max="8962" width="40" customWidth="1"/>
    <col min="8963" max="8963" width="13.28515625" customWidth="1"/>
    <col min="8964" max="8964" width="34" customWidth="1"/>
    <col min="9217" max="9217" width="4" customWidth="1"/>
    <col min="9218" max="9218" width="40" customWidth="1"/>
    <col min="9219" max="9219" width="13.28515625" customWidth="1"/>
    <col min="9220" max="9220" width="34" customWidth="1"/>
    <col min="9473" max="9473" width="4" customWidth="1"/>
    <col min="9474" max="9474" width="40" customWidth="1"/>
    <col min="9475" max="9475" width="13.28515625" customWidth="1"/>
    <col min="9476" max="9476" width="34" customWidth="1"/>
    <col min="9729" max="9729" width="4" customWidth="1"/>
    <col min="9730" max="9730" width="40" customWidth="1"/>
    <col min="9731" max="9731" width="13.28515625" customWidth="1"/>
    <col min="9732" max="9732" width="34" customWidth="1"/>
    <col min="9985" max="9985" width="4" customWidth="1"/>
    <col min="9986" max="9986" width="40" customWidth="1"/>
    <col min="9987" max="9987" width="13.28515625" customWidth="1"/>
    <col min="9988" max="9988" width="34" customWidth="1"/>
    <col min="10241" max="10241" width="4" customWidth="1"/>
    <col min="10242" max="10242" width="40" customWidth="1"/>
    <col min="10243" max="10243" width="13.28515625" customWidth="1"/>
    <col min="10244" max="10244" width="34" customWidth="1"/>
    <col min="10497" max="10497" width="4" customWidth="1"/>
    <col min="10498" max="10498" width="40" customWidth="1"/>
    <col min="10499" max="10499" width="13.28515625" customWidth="1"/>
    <col min="10500" max="10500" width="34" customWidth="1"/>
    <col min="10753" max="10753" width="4" customWidth="1"/>
    <col min="10754" max="10754" width="40" customWidth="1"/>
    <col min="10755" max="10755" width="13.28515625" customWidth="1"/>
    <col min="10756" max="10756" width="34" customWidth="1"/>
    <col min="11009" max="11009" width="4" customWidth="1"/>
    <col min="11010" max="11010" width="40" customWidth="1"/>
    <col min="11011" max="11011" width="13.28515625" customWidth="1"/>
    <col min="11012" max="11012" width="34" customWidth="1"/>
    <col min="11265" max="11265" width="4" customWidth="1"/>
    <col min="11266" max="11266" width="40" customWidth="1"/>
    <col min="11267" max="11267" width="13.28515625" customWidth="1"/>
    <col min="11268" max="11268" width="34" customWidth="1"/>
    <col min="11521" max="11521" width="4" customWidth="1"/>
    <col min="11522" max="11522" width="40" customWidth="1"/>
    <col min="11523" max="11523" width="13.28515625" customWidth="1"/>
    <col min="11524" max="11524" width="34" customWidth="1"/>
    <col min="11777" max="11777" width="4" customWidth="1"/>
    <col min="11778" max="11778" width="40" customWidth="1"/>
    <col min="11779" max="11779" width="13.28515625" customWidth="1"/>
    <col min="11780" max="11780" width="34" customWidth="1"/>
    <col min="12033" max="12033" width="4" customWidth="1"/>
    <col min="12034" max="12034" width="40" customWidth="1"/>
    <col min="12035" max="12035" width="13.28515625" customWidth="1"/>
    <col min="12036" max="12036" width="34" customWidth="1"/>
    <col min="12289" max="12289" width="4" customWidth="1"/>
    <col min="12290" max="12290" width="40" customWidth="1"/>
    <col min="12291" max="12291" width="13.28515625" customWidth="1"/>
    <col min="12292" max="12292" width="34" customWidth="1"/>
    <col min="12545" max="12545" width="4" customWidth="1"/>
    <col min="12546" max="12546" width="40" customWidth="1"/>
    <col min="12547" max="12547" width="13.28515625" customWidth="1"/>
    <col min="12548" max="12548" width="34" customWidth="1"/>
    <col min="12801" max="12801" width="4" customWidth="1"/>
    <col min="12802" max="12802" width="40" customWidth="1"/>
    <col min="12803" max="12803" width="13.28515625" customWidth="1"/>
    <col min="12804" max="12804" width="34" customWidth="1"/>
    <col min="13057" max="13057" width="4" customWidth="1"/>
    <col min="13058" max="13058" width="40" customWidth="1"/>
    <col min="13059" max="13059" width="13.28515625" customWidth="1"/>
    <col min="13060" max="13060" width="34" customWidth="1"/>
    <col min="13313" max="13313" width="4" customWidth="1"/>
    <col min="13314" max="13314" width="40" customWidth="1"/>
    <col min="13315" max="13315" width="13.28515625" customWidth="1"/>
    <col min="13316" max="13316" width="34" customWidth="1"/>
    <col min="13569" max="13569" width="4" customWidth="1"/>
    <col min="13570" max="13570" width="40" customWidth="1"/>
    <col min="13571" max="13571" width="13.28515625" customWidth="1"/>
    <col min="13572" max="13572" width="34" customWidth="1"/>
    <col min="13825" max="13825" width="4" customWidth="1"/>
    <col min="13826" max="13826" width="40" customWidth="1"/>
    <col min="13827" max="13827" width="13.28515625" customWidth="1"/>
    <col min="13828" max="13828" width="34" customWidth="1"/>
    <col min="14081" max="14081" width="4" customWidth="1"/>
    <col min="14082" max="14082" width="40" customWidth="1"/>
    <col min="14083" max="14083" width="13.28515625" customWidth="1"/>
    <col min="14084" max="14084" width="34" customWidth="1"/>
    <col min="14337" max="14337" width="4" customWidth="1"/>
    <col min="14338" max="14338" width="40" customWidth="1"/>
    <col min="14339" max="14339" width="13.28515625" customWidth="1"/>
    <col min="14340" max="14340" width="34" customWidth="1"/>
    <col min="14593" max="14593" width="4" customWidth="1"/>
    <col min="14594" max="14594" width="40" customWidth="1"/>
    <col min="14595" max="14595" width="13.28515625" customWidth="1"/>
    <col min="14596" max="14596" width="34" customWidth="1"/>
    <col min="14849" max="14849" width="4" customWidth="1"/>
    <col min="14850" max="14850" width="40" customWidth="1"/>
    <col min="14851" max="14851" width="13.28515625" customWidth="1"/>
    <col min="14852" max="14852" width="34" customWidth="1"/>
    <col min="15105" max="15105" width="4" customWidth="1"/>
    <col min="15106" max="15106" width="40" customWidth="1"/>
    <col min="15107" max="15107" width="13.28515625" customWidth="1"/>
    <col min="15108" max="15108" width="34" customWidth="1"/>
    <col min="15361" max="15361" width="4" customWidth="1"/>
    <col min="15362" max="15362" width="40" customWidth="1"/>
    <col min="15363" max="15363" width="13.28515625" customWidth="1"/>
    <col min="15364" max="15364" width="34" customWidth="1"/>
    <col min="15617" max="15617" width="4" customWidth="1"/>
    <col min="15618" max="15618" width="40" customWidth="1"/>
    <col min="15619" max="15619" width="13.28515625" customWidth="1"/>
    <col min="15620" max="15620" width="34" customWidth="1"/>
    <col min="15873" max="15873" width="4" customWidth="1"/>
    <col min="15874" max="15874" width="40" customWidth="1"/>
    <col min="15875" max="15875" width="13.28515625" customWidth="1"/>
    <col min="15876" max="15876" width="34" customWidth="1"/>
    <col min="16129" max="16129" width="4" customWidth="1"/>
    <col min="16130" max="16130" width="40" customWidth="1"/>
    <col min="16131" max="16131" width="13.28515625" customWidth="1"/>
    <col min="16132" max="16132" width="34" customWidth="1"/>
  </cols>
  <sheetData>
    <row r="1" spans="1:4" ht="15.75">
      <c r="A1" s="332" t="s">
        <v>2091</v>
      </c>
      <c r="B1" s="332"/>
      <c r="C1" s="332"/>
      <c r="D1" s="332"/>
    </row>
    <row r="2" spans="1:4" ht="15.75">
      <c r="A2" s="332" t="s">
        <v>914</v>
      </c>
      <c r="B2" s="332"/>
      <c r="C2" s="332"/>
      <c r="D2" s="332"/>
    </row>
    <row r="3" spans="1:4" ht="15.75">
      <c r="A3" s="332" t="s">
        <v>643</v>
      </c>
      <c r="B3" s="332"/>
      <c r="C3" s="332"/>
      <c r="D3" s="332"/>
    </row>
    <row r="4" spans="1:4" ht="15.75">
      <c r="A4" s="332" t="s">
        <v>2133</v>
      </c>
      <c r="B4" s="332"/>
      <c r="C4" s="332"/>
      <c r="D4" s="332"/>
    </row>
    <row r="5" spans="1:4" ht="15.75" customHeight="1">
      <c r="A5" s="383"/>
      <c r="B5" s="383"/>
      <c r="C5" s="141"/>
      <c r="D5" s="141"/>
    </row>
    <row r="6" spans="1:4" ht="15.75">
      <c r="B6" s="179"/>
      <c r="C6" s="141"/>
      <c r="D6" s="141"/>
    </row>
    <row r="7" spans="1:4" ht="41.25" customHeight="1">
      <c r="A7" s="333" t="s">
        <v>2049</v>
      </c>
      <c r="B7" s="333"/>
      <c r="C7" s="333"/>
      <c r="D7" s="333"/>
    </row>
    <row r="8" spans="1:4" ht="19.5" thickBot="1">
      <c r="B8" s="233"/>
      <c r="C8" s="141"/>
      <c r="D8" s="141"/>
    </row>
    <row r="9" spans="1:4" ht="32.25" customHeight="1" thickBot="1">
      <c r="A9" s="365" t="s">
        <v>1525</v>
      </c>
      <c r="B9" s="366"/>
      <c r="C9" s="234" t="s">
        <v>375</v>
      </c>
      <c r="D9" s="235" t="s">
        <v>2050</v>
      </c>
    </row>
    <row r="10" spans="1:4" ht="50.25" customHeight="1">
      <c r="A10" s="367" t="s">
        <v>2051</v>
      </c>
      <c r="B10" s="368"/>
      <c r="C10" s="369">
        <f>C13-C15</f>
        <v>2507000</v>
      </c>
      <c r="D10" s="371"/>
    </row>
    <row r="11" spans="1:4" ht="15.75" customHeight="1">
      <c r="A11" s="373" t="s">
        <v>2052</v>
      </c>
      <c r="B11" s="374"/>
      <c r="C11" s="370"/>
      <c r="D11" s="372"/>
    </row>
    <row r="12" spans="1:4" ht="16.5" customHeight="1">
      <c r="A12" s="375" t="s">
        <v>2053</v>
      </c>
      <c r="B12" s="376"/>
      <c r="C12" s="236"/>
      <c r="D12" s="237"/>
    </row>
    <row r="13" spans="1:4" ht="15.75" customHeight="1">
      <c r="A13" s="377" t="s">
        <v>2054</v>
      </c>
      <c r="B13" s="378"/>
      <c r="C13" s="238">
        <v>10817000</v>
      </c>
      <c r="D13" s="239"/>
    </row>
    <row r="14" spans="1:4" ht="15.75">
      <c r="A14" s="240"/>
      <c r="B14" s="241" t="s">
        <v>2055</v>
      </c>
      <c r="C14" s="242">
        <v>10817000</v>
      </c>
      <c r="D14" s="243"/>
    </row>
    <row r="15" spans="1:4" ht="15.75" customHeight="1">
      <c r="A15" s="377" t="s">
        <v>2056</v>
      </c>
      <c r="B15" s="378"/>
      <c r="C15" s="238">
        <v>8310000</v>
      </c>
      <c r="D15" s="239"/>
    </row>
    <row r="16" spans="1:4" ht="15.75">
      <c r="A16" s="244"/>
      <c r="B16" s="245" t="s">
        <v>2055</v>
      </c>
      <c r="C16" s="246">
        <v>8310000</v>
      </c>
      <c r="D16" s="247"/>
    </row>
    <row r="17" spans="1:4" ht="36" customHeight="1">
      <c r="A17" s="379" t="s">
        <v>1909</v>
      </c>
      <c r="B17" s="379"/>
      <c r="C17" s="248">
        <f>C18-C19</f>
        <v>10945526</v>
      </c>
      <c r="D17" s="247"/>
    </row>
    <row r="18" spans="1:4" ht="51.75" customHeight="1">
      <c r="A18" s="382" t="s">
        <v>2120</v>
      </c>
      <c r="B18" s="382"/>
      <c r="C18" s="248">
        <v>30000000</v>
      </c>
      <c r="D18" s="247"/>
    </row>
    <row r="19" spans="1:4" ht="78.75" customHeight="1" thickBot="1">
      <c r="A19" s="382" t="s">
        <v>2057</v>
      </c>
      <c r="B19" s="382"/>
      <c r="C19" s="248">
        <f>19044464+10010</f>
        <v>19054474</v>
      </c>
      <c r="D19" s="247"/>
    </row>
    <row r="20" spans="1:4" ht="15.75">
      <c r="A20" s="380" t="s">
        <v>2058</v>
      </c>
      <c r="B20" s="380"/>
      <c r="C20" s="249">
        <f>C21-C22</f>
        <v>13452526</v>
      </c>
      <c r="D20" s="250">
        <f>C20</f>
        <v>13452526</v>
      </c>
    </row>
    <row r="21" spans="1:4" ht="15.75">
      <c r="A21" s="381" t="s">
        <v>2059</v>
      </c>
      <c r="B21" s="380"/>
      <c r="C21" s="251">
        <f>C13+C18</f>
        <v>40817000</v>
      </c>
      <c r="D21" s="252"/>
    </row>
    <row r="22" spans="1:4" ht="16.5" thickBot="1">
      <c r="A22" s="363" t="s">
        <v>2060</v>
      </c>
      <c r="B22" s="364"/>
      <c r="C22" s="253">
        <f>C15+C19</f>
        <v>27364474</v>
      </c>
      <c r="D22" s="254"/>
    </row>
    <row r="452" spans="2:5">
      <c r="B452" s="255"/>
      <c r="C452" s="255"/>
      <c r="D452" s="255"/>
      <c r="E452" s="255"/>
    </row>
  </sheetData>
  <mergeCells count="20">
    <mergeCell ref="A7:D7"/>
    <mergeCell ref="A1:D1"/>
    <mergeCell ref="A2:D2"/>
    <mergeCell ref="A3:D3"/>
    <mergeCell ref="A4:D4"/>
    <mergeCell ref="A5:B5"/>
    <mergeCell ref="A22:B22"/>
    <mergeCell ref="A9:B9"/>
    <mergeCell ref="A10:B10"/>
    <mergeCell ref="C10:C11"/>
    <mergeCell ref="D10:D11"/>
    <mergeCell ref="A11:B11"/>
    <mergeCell ref="A12:B12"/>
    <mergeCell ref="A13:B13"/>
    <mergeCell ref="A15:B15"/>
    <mergeCell ref="A17:B17"/>
    <mergeCell ref="A20:B20"/>
    <mergeCell ref="A21:B21"/>
    <mergeCell ref="A18:B18"/>
    <mergeCell ref="A19:B19"/>
  </mergeCells>
  <pageMargins left="0.70866141732283472" right="0.70866141732283472" top="0.74803149606299213" bottom="0.74803149606299213" header="0.31496062992125984" footer="0.31496062992125984"/>
  <pageSetup paperSize="9" scale="95"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C19"/>
  <sheetViews>
    <sheetView showGridLines="0" view="pageBreakPreview" zoomScale="115" zoomScaleNormal="100" zoomScaleSheetLayoutView="115" workbookViewId="0">
      <selection activeCell="B10" sqref="B10"/>
    </sheetView>
  </sheetViews>
  <sheetFormatPr defaultRowHeight="12.75"/>
  <cols>
    <col min="1" max="1" width="17" style="282" bestFit="1" customWidth="1"/>
    <col min="2" max="2" width="50.5703125" style="282" customWidth="1"/>
    <col min="3" max="3" width="19.28515625" style="282" customWidth="1"/>
    <col min="4" max="16384" width="9.140625" style="282"/>
  </cols>
  <sheetData>
    <row r="1" spans="1:3" ht="15.75">
      <c r="A1" s="384" t="s">
        <v>2118</v>
      </c>
      <c r="B1" s="385"/>
      <c r="C1" s="385"/>
    </row>
    <row r="2" spans="1:3" ht="15.75">
      <c r="A2" s="384" t="s">
        <v>914</v>
      </c>
      <c r="B2" s="385"/>
      <c r="C2" s="385"/>
    </row>
    <row r="3" spans="1:3" ht="15.75">
      <c r="A3" s="384" t="s">
        <v>643</v>
      </c>
      <c r="B3" s="385"/>
      <c r="C3" s="385"/>
    </row>
    <row r="4" spans="1:3" ht="15.75">
      <c r="A4" s="384" t="s">
        <v>2133</v>
      </c>
      <c r="B4" s="385"/>
      <c r="C4" s="385"/>
    </row>
    <row r="5" spans="1:3" ht="18.75">
      <c r="A5" s="283"/>
      <c r="B5"/>
      <c r="C5"/>
    </row>
    <row r="6" spans="1:3" ht="18.75">
      <c r="A6" s="386" t="s">
        <v>2102</v>
      </c>
      <c r="B6" s="386"/>
      <c r="C6" s="386"/>
    </row>
    <row r="7" spans="1:3" ht="19.5" thickBot="1">
      <c r="A7" s="284"/>
      <c r="B7" s="267"/>
      <c r="C7" s="284"/>
    </row>
    <row r="8" spans="1:3" ht="48" thickBot="1">
      <c r="A8" s="288" t="s">
        <v>2101</v>
      </c>
      <c r="B8" s="288" t="s">
        <v>1525</v>
      </c>
      <c r="C8" s="288" t="s">
        <v>2119</v>
      </c>
    </row>
    <row r="9" spans="1:3" ht="32.25" thickBot="1">
      <c r="A9" s="285">
        <v>953</v>
      </c>
      <c r="B9" s="286" t="s">
        <v>317</v>
      </c>
      <c r="C9" s="287">
        <f>C10</f>
        <v>614811200</v>
      </c>
    </row>
    <row r="10" spans="1:3" ht="54.75" customHeight="1" thickBot="1">
      <c r="A10" s="288"/>
      <c r="B10" s="289" t="s">
        <v>2125</v>
      </c>
      <c r="C10" s="290">
        <v>614811200</v>
      </c>
    </row>
    <row r="11" spans="1:3" ht="32.25" thickBot="1">
      <c r="A11" s="291">
        <v>954</v>
      </c>
      <c r="B11" s="292" t="s">
        <v>2109</v>
      </c>
      <c r="C11" s="293">
        <f>C12</f>
        <v>215268900</v>
      </c>
    </row>
    <row r="12" spans="1:3" ht="48" thickBot="1">
      <c r="A12" s="294"/>
      <c r="B12" s="295" t="s">
        <v>2121</v>
      </c>
      <c r="C12" s="296">
        <v>215268900</v>
      </c>
    </row>
    <row r="13" spans="1:3" ht="32.25" thickBot="1">
      <c r="A13" s="297">
        <v>956</v>
      </c>
      <c r="B13" s="298" t="s">
        <v>2110</v>
      </c>
      <c r="C13" s="299">
        <f>C14</f>
        <v>89087976</v>
      </c>
    </row>
    <row r="14" spans="1:3" ht="48" thickBot="1">
      <c r="A14" s="294"/>
      <c r="B14" s="295" t="s">
        <v>2122</v>
      </c>
      <c r="C14" s="296">
        <v>89087976</v>
      </c>
    </row>
    <row r="15" spans="1:3" ht="16.5" hidden="1" thickBot="1">
      <c r="A15" s="297"/>
      <c r="B15" s="298"/>
      <c r="C15" s="299"/>
    </row>
    <row r="16" spans="1:3" ht="16.5" hidden="1" thickBot="1">
      <c r="A16" s="294"/>
      <c r="B16" s="295"/>
      <c r="C16" s="296"/>
    </row>
    <row r="17" spans="1:3" ht="16.5" hidden="1" thickBot="1">
      <c r="A17" s="297"/>
      <c r="B17" s="295"/>
      <c r="C17" s="296"/>
    </row>
    <row r="18" spans="1:3" ht="16.5" hidden="1" thickBot="1">
      <c r="A18" s="294"/>
      <c r="B18" s="295"/>
      <c r="C18" s="296"/>
    </row>
    <row r="19" spans="1:3" ht="16.5" hidden="1" thickBot="1">
      <c r="A19" s="300"/>
      <c r="B19" s="301"/>
      <c r="C19" s="302"/>
    </row>
  </sheetData>
  <mergeCells count="5">
    <mergeCell ref="A1:C1"/>
    <mergeCell ref="A2:C2"/>
    <mergeCell ref="A3:C3"/>
    <mergeCell ref="A4:C4"/>
    <mergeCell ref="A6:C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G122"/>
  <sheetViews>
    <sheetView showGridLines="0" view="pageBreakPreview" topLeftCell="A65" zoomScale="80" zoomScaleSheetLayoutView="80" workbookViewId="0">
      <selection activeCell="D120" sqref="D120"/>
    </sheetView>
  </sheetViews>
  <sheetFormatPr defaultColWidth="11.85546875" defaultRowHeight="15.75" outlineLevelCol="1"/>
  <cols>
    <col min="1" max="1" width="10.7109375" style="9" customWidth="1"/>
    <col min="2" max="2" width="68.85546875" style="5" customWidth="1"/>
    <col min="3" max="3" width="15.7109375" style="1" hidden="1" customWidth="1" outlineLevel="1"/>
    <col min="4" max="4" width="14.140625" style="1" hidden="1" customWidth="1" outlineLevel="1"/>
    <col min="5" max="5" width="17.5703125" style="1" customWidth="1" collapsed="1"/>
    <col min="6" max="6" width="12.42578125" style="1" customWidth="1"/>
    <col min="7" max="7" width="12" style="1" customWidth="1"/>
    <col min="8" max="16384" width="11.85546875" style="1"/>
  </cols>
  <sheetData>
    <row r="1" spans="1:7" s="5" customFormat="1" ht="16.5" customHeight="1">
      <c r="A1" s="332" t="s">
        <v>124</v>
      </c>
      <c r="B1" s="332"/>
      <c r="C1" s="332"/>
      <c r="D1" s="332"/>
      <c r="E1" s="332"/>
    </row>
    <row r="2" spans="1:7" s="5" customFormat="1" ht="16.5" customHeight="1">
      <c r="A2" s="332" t="s">
        <v>914</v>
      </c>
      <c r="B2" s="332"/>
      <c r="C2" s="332"/>
      <c r="D2" s="332"/>
      <c r="E2" s="332"/>
    </row>
    <row r="3" spans="1:7" s="5" customFormat="1" ht="15" customHeight="1">
      <c r="A3" s="332" t="s">
        <v>643</v>
      </c>
      <c r="B3" s="332"/>
      <c r="C3" s="332"/>
      <c r="D3" s="332"/>
      <c r="E3" s="332"/>
    </row>
    <row r="4" spans="1:7" s="5" customFormat="1" ht="15" customHeight="1">
      <c r="A4" s="332" t="s">
        <v>2134</v>
      </c>
      <c r="B4" s="332"/>
      <c r="C4" s="332"/>
      <c r="D4" s="332"/>
      <c r="E4" s="332"/>
      <c r="F4" s="328"/>
    </row>
    <row r="5" spans="1:7" s="5" customFormat="1">
      <c r="A5" s="6"/>
      <c r="B5" s="4"/>
      <c r="C5" s="4"/>
    </row>
    <row r="6" spans="1:7" s="5" customFormat="1" ht="58.5" customHeight="1">
      <c r="A6" s="336" t="s">
        <v>374</v>
      </c>
      <c r="B6" s="336"/>
      <c r="C6" s="336"/>
      <c r="D6" s="336"/>
      <c r="E6" s="336"/>
      <c r="F6" s="61"/>
      <c r="G6" s="61"/>
    </row>
    <row r="7" spans="1:7" s="5" customFormat="1">
      <c r="A7" s="7"/>
    </row>
    <row r="8" spans="1:7" s="8" customFormat="1" ht="16.5" thickBot="1">
      <c r="A8" s="135" t="s">
        <v>1524</v>
      </c>
      <c r="B8" s="136" t="s">
        <v>1525</v>
      </c>
      <c r="C8" s="136" t="s">
        <v>2142</v>
      </c>
      <c r="D8" s="136" t="s">
        <v>999</v>
      </c>
      <c r="E8" s="136" t="s">
        <v>375</v>
      </c>
      <c r="F8" s="19"/>
      <c r="G8" s="19"/>
    </row>
    <row r="9" spans="1:7" s="2" customFormat="1" ht="16.5" thickBot="1">
      <c r="A9" s="100">
        <v>100</v>
      </c>
      <c r="B9" s="101" t="s">
        <v>332</v>
      </c>
      <c r="C9" s="62">
        <f>SUM(C10:C22)</f>
        <v>68161881</v>
      </c>
      <c r="D9" s="62">
        <f>SUM(D10:D22)</f>
        <v>0</v>
      </c>
      <c r="E9" s="132">
        <f>SUM(E10:E22)</f>
        <v>68161881</v>
      </c>
      <c r="F9" s="20"/>
      <c r="G9" s="20"/>
    </row>
    <row r="10" spans="1:7" s="2" customFormat="1" ht="15.75" hidden="1" customHeight="1">
      <c r="A10" s="98">
        <v>101</v>
      </c>
      <c r="B10" s="99" t="s">
        <v>389</v>
      </c>
      <c r="C10" s="108">
        <f>SUMIF(Пр_3!C9:C656,101,Пр_3!F9:F656)</f>
        <v>0</v>
      </c>
      <c r="D10" s="108">
        <f>SUMIF(Пр_3!C9:C656,101,Пр_3!G9:G656)</f>
        <v>0</v>
      </c>
      <c r="E10" s="108">
        <f>SUMIF(Пр_3!C9:C656,101,Пр_3!H9:H656)</f>
        <v>0</v>
      </c>
      <c r="F10" s="21"/>
      <c r="G10" s="21"/>
    </row>
    <row r="11" spans="1:7" s="2" customFormat="1" ht="31.5">
      <c r="A11" s="96">
        <v>102</v>
      </c>
      <c r="B11" s="3" t="s">
        <v>609</v>
      </c>
      <c r="C11" s="109">
        <f>SUMIF(Пр_3!C9:C656,102,Пр_3!F9:F656)</f>
        <v>1032750</v>
      </c>
      <c r="D11" s="109">
        <f>SUMIF(Пр_3!C9:C656,102,Пр_3!G9:G656)</f>
        <v>0</v>
      </c>
      <c r="E11" s="109">
        <f>SUMIF(Пр_3!C9:C656,102,Пр_3!H9:H656)</f>
        <v>1032750</v>
      </c>
      <c r="F11" s="21"/>
      <c r="G11" s="21"/>
    </row>
    <row r="12" spans="1:7" ht="47.25" hidden="1">
      <c r="A12" s="96">
        <v>103</v>
      </c>
      <c r="B12" s="3" t="s">
        <v>26</v>
      </c>
      <c r="C12" s="109">
        <f>SUMIF(Пр_3!C9:C656,103,Пр_3!F9:F656)</f>
        <v>0</v>
      </c>
      <c r="D12" s="109">
        <f>SUMIF(Пр_3!C9:C656,103,Пр_3!G9:G656)</f>
        <v>0</v>
      </c>
      <c r="E12" s="109">
        <f>SUMIF(Пр_3!C9:C656,103,Пр_3!H9:H656)</f>
        <v>0</v>
      </c>
      <c r="F12" s="21"/>
      <c r="G12" s="21"/>
    </row>
    <row r="13" spans="1:7" ht="47.25">
      <c r="A13" s="96">
        <v>104</v>
      </c>
      <c r="B13" s="3" t="s">
        <v>76</v>
      </c>
      <c r="C13" s="109">
        <f>SUMIF(Пр_3!C9:C656,104,Пр_3!F9:F656)</f>
        <v>26277037</v>
      </c>
      <c r="D13" s="109">
        <f>SUMIF(Пр_3!C9:C656,104,Пр_3!G9:G656)</f>
        <v>0</v>
      </c>
      <c r="E13" s="109">
        <f>SUMIF(Пр_3!C9:C656,104,Пр_3!H9:H656)</f>
        <v>26277037</v>
      </c>
      <c r="F13" s="21"/>
      <c r="G13" s="21"/>
    </row>
    <row r="14" spans="1:7" ht="16.5" customHeight="1">
      <c r="A14" s="96">
        <v>105</v>
      </c>
      <c r="B14" s="3" t="s">
        <v>1704</v>
      </c>
      <c r="C14" s="109">
        <f>SUMIF(Пр_3!C9:C656,105,Пр_3!F9:F656)</f>
        <v>27976</v>
      </c>
      <c r="D14" s="109">
        <f>SUMIF(Пр_3!C9:C656,105,Пр_3!G9:G656)</f>
        <v>0</v>
      </c>
      <c r="E14" s="109">
        <f>SUMIF(Пр_3!C9:C656,105,Пр_3!H9:H656)</f>
        <v>27976</v>
      </c>
      <c r="F14" s="21"/>
      <c r="G14" s="21"/>
    </row>
    <row r="15" spans="1:7" ht="31.5">
      <c r="A15" s="96">
        <v>106</v>
      </c>
      <c r="B15" s="3" t="s">
        <v>281</v>
      </c>
      <c r="C15" s="109">
        <f>SUMIF(Пр_3!C9:C656,106,Пр_3!F9:F656)</f>
        <v>13836077</v>
      </c>
      <c r="D15" s="109">
        <f>SUMIF(Пр_3!C9:C656,106,Пр_3!G9:G656)</f>
        <v>0</v>
      </c>
      <c r="E15" s="109">
        <f>SUMIF(Пр_3!C9:C656,106,Пр_3!H9:H656)</f>
        <v>13836077</v>
      </c>
      <c r="F15" s="21"/>
      <c r="G15" s="21"/>
    </row>
    <row r="16" spans="1:7">
      <c r="A16" s="96">
        <v>107</v>
      </c>
      <c r="B16" s="3" t="s">
        <v>172</v>
      </c>
      <c r="C16" s="109">
        <f>SUMIF(Пр_3!C9:C656,107,Пр_3!F9:F656)</f>
        <v>6697608</v>
      </c>
      <c r="D16" s="109">
        <f>SUMIF(Пр_3!C9:C656,107,Пр_3!G9:G656)</f>
        <v>0</v>
      </c>
      <c r="E16" s="109">
        <f>SUMIF(Пр_3!C9:C656,107,Пр_3!H9:H656)</f>
        <v>6697608</v>
      </c>
      <c r="F16" s="21"/>
      <c r="G16" s="21"/>
    </row>
    <row r="17" spans="1:7" s="2" customFormat="1" hidden="1">
      <c r="A17" s="96">
        <v>108</v>
      </c>
      <c r="B17" s="3" t="s">
        <v>1535</v>
      </c>
      <c r="C17" s="109">
        <f>SUMIF(Пр_3!C9:C656,108,Пр_3!F9:F656)</f>
        <v>0</v>
      </c>
      <c r="D17" s="109">
        <f>SUMIF(Пр_3!C9:C656,108,Пр_3!G9:G656)</f>
        <v>0</v>
      </c>
      <c r="E17" s="109">
        <f>SUMIF(Пр_3!C9:C656,108,Пр_3!H9:H656)</f>
        <v>0</v>
      </c>
      <c r="F17" s="20"/>
      <c r="G17" s="20"/>
    </row>
    <row r="18" spans="1:7" ht="15.75" hidden="1" customHeight="1">
      <c r="A18" s="96">
        <v>109</v>
      </c>
      <c r="B18" s="3" t="s">
        <v>1401</v>
      </c>
      <c r="C18" s="109">
        <f>SUMIF(Пр_3!C9:C656,109,Пр_3!F9:F656)</f>
        <v>0</v>
      </c>
      <c r="D18" s="109">
        <f>SUMIF(Пр_3!C9:C656,109,Пр_3!G9:G656)</f>
        <v>0</v>
      </c>
      <c r="E18" s="109">
        <f>SUMIF(Пр_3!C9:C656,109,Пр_3!H9:H656)</f>
        <v>0</v>
      </c>
      <c r="F18" s="21"/>
      <c r="G18" s="21"/>
    </row>
    <row r="19" spans="1:7" hidden="1">
      <c r="A19" s="96">
        <v>110</v>
      </c>
      <c r="B19" s="3" t="s">
        <v>1402</v>
      </c>
      <c r="C19" s="109">
        <f>SUMIF(Пр_3!C9:C656,110,Пр_3!F9:F656)</f>
        <v>0</v>
      </c>
      <c r="D19" s="109">
        <f>SUMIF(Пр_3!C9:C656,110,Пр_3!G9:G656)</f>
        <v>0</v>
      </c>
      <c r="E19" s="109">
        <f>SUMIF(Пр_3!C9:C656,110,Пр_3!H9:H656)</f>
        <v>0</v>
      </c>
      <c r="F19" s="21"/>
      <c r="G19" s="21"/>
    </row>
    <row r="20" spans="1:7" s="2" customFormat="1" ht="18" customHeight="1">
      <c r="A20" s="96">
        <v>111</v>
      </c>
      <c r="B20" s="3" t="s">
        <v>1397</v>
      </c>
      <c r="C20" s="109">
        <f>SUMIF(Пр_3!C9:C656,111,Пр_3!F9:F656)</f>
        <v>2840000</v>
      </c>
      <c r="D20" s="109">
        <f>SUMIF(Пр_3!C9:C656,111,Пр_3!G9:G656)</f>
        <v>0</v>
      </c>
      <c r="E20" s="109">
        <f>SUMIF(Пр_3!C9:C656,111,Пр_3!H9:H656)</f>
        <v>2840000</v>
      </c>
      <c r="F20" s="20"/>
      <c r="G20" s="20"/>
    </row>
    <row r="21" spans="1:7" ht="31.5" hidden="1">
      <c r="A21" s="96">
        <v>112</v>
      </c>
      <c r="B21" s="3" t="s">
        <v>1214</v>
      </c>
      <c r="C21" s="109">
        <f>SUMIF(Пр_3!C9:C656,112,Пр_3!F9:F656)</f>
        <v>0</v>
      </c>
      <c r="D21" s="109">
        <f>SUMIF(Пр_3!C9:C656,112,Пр_3!G9:G656)</f>
        <v>0</v>
      </c>
      <c r="E21" s="109">
        <f>SUMIF(Пр_3!C9:C656,112,Пр_3!H9:H656)</f>
        <v>0</v>
      </c>
      <c r="F21" s="21"/>
      <c r="G21" s="21"/>
    </row>
    <row r="22" spans="1:7" ht="16.5" thickBot="1">
      <c r="A22" s="102">
        <v>113</v>
      </c>
      <c r="B22" s="103" t="s">
        <v>1398</v>
      </c>
      <c r="C22" s="110">
        <f>SUMIF(Пр_3!C9:C656,113,Пр_3!F9:F656)</f>
        <v>17450433</v>
      </c>
      <c r="D22" s="110">
        <f>SUMIF(Пр_3!C9:C656,113,Пр_3!G9:G656)</f>
        <v>0</v>
      </c>
      <c r="E22" s="110">
        <f>SUMIF(Пр_3!C9:C656,113,Пр_3!H9:H656)</f>
        <v>17450433</v>
      </c>
      <c r="F22" s="21"/>
      <c r="G22" s="21"/>
    </row>
    <row r="23" spans="1:7" ht="16.5" thickBot="1">
      <c r="A23" s="100">
        <v>200</v>
      </c>
      <c r="B23" s="105" t="s">
        <v>282</v>
      </c>
      <c r="C23" s="62">
        <f>SUM(C24:C32)</f>
        <v>661000</v>
      </c>
      <c r="D23" s="62">
        <f>SUM(D24:D32)</f>
        <v>0</v>
      </c>
      <c r="E23" s="132">
        <f>SUM(E24:E32)</f>
        <v>661000</v>
      </c>
      <c r="F23" s="21"/>
      <c r="G23" s="21"/>
    </row>
    <row r="24" spans="1:7" hidden="1">
      <c r="A24" s="98">
        <v>201</v>
      </c>
      <c r="B24" s="104" t="s">
        <v>1062</v>
      </c>
      <c r="C24" s="108">
        <f>SUMIF(Пр_3!C9:C656,201,Пр_3!F9:F656)</f>
        <v>0</v>
      </c>
      <c r="D24" s="108">
        <f>SUMIF(Пр_3!C9:C656,201,Пр_3!G9:G656)</f>
        <v>0</v>
      </c>
      <c r="E24" s="108">
        <f>SUMIF(Пр_3!C9:C656,201,Пр_3!H9:H656)</f>
        <v>0</v>
      </c>
      <c r="F24" s="21"/>
      <c r="G24" s="21"/>
    </row>
    <row r="25" spans="1:7" s="2" customFormat="1" ht="31.5" hidden="1">
      <c r="A25" s="96">
        <v>202</v>
      </c>
      <c r="B25" s="3" t="s">
        <v>163</v>
      </c>
      <c r="C25" s="109">
        <f>SUMIF(Пр_3!C9:C656,202,Пр_3!F9:F656)</f>
        <v>0</v>
      </c>
      <c r="D25" s="109">
        <f>SUMIF(Пр_3!C9:C656,202,Пр_3!G9:G656)</f>
        <v>0</v>
      </c>
      <c r="E25" s="109">
        <f>SUMIF(Пр_3!C9:C656,202,Пр_3!H9:H656)</f>
        <v>0</v>
      </c>
      <c r="F25" s="20"/>
      <c r="G25" s="20"/>
    </row>
    <row r="26" spans="1:7" s="2" customFormat="1" ht="16.5" thickBot="1">
      <c r="A26" s="96">
        <v>203</v>
      </c>
      <c r="B26" s="3" t="s">
        <v>363</v>
      </c>
      <c r="C26" s="109">
        <f>SUMIF(Пр_3!C9:C656,203,Пр_3!F9:F656)</f>
        <v>661000</v>
      </c>
      <c r="D26" s="109">
        <f>SUMIF(Пр_3!C9:C656,203,Пр_3!G9:G656)</f>
        <v>0</v>
      </c>
      <c r="E26" s="109">
        <f>SUMIF(Пр_3!C9:C656,203,Пр_3!H9:H656)</f>
        <v>661000</v>
      </c>
      <c r="F26" s="20"/>
      <c r="G26" s="20"/>
    </row>
    <row r="27" spans="1:7" hidden="1">
      <c r="A27" s="96">
        <v>204</v>
      </c>
      <c r="B27" s="3" t="s">
        <v>834</v>
      </c>
      <c r="C27" s="109">
        <f>SUMIF(Пр_3!C9:C656,204,Пр_3!F9:F656)</f>
        <v>0</v>
      </c>
      <c r="D27" s="109">
        <f>SUMIF(Пр_3!C9:C656,204,Пр_3!G9:G656)</f>
        <v>0</v>
      </c>
      <c r="E27" s="109">
        <f>SUMIF(Пр_3!C9:C656,204,Пр_3!H9:H656)</f>
        <v>0</v>
      </c>
      <c r="F27" s="21"/>
      <c r="G27" s="21"/>
    </row>
    <row r="28" spans="1:7" ht="31.5" hidden="1">
      <c r="A28" s="96">
        <v>205</v>
      </c>
      <c r="B28" s="3" t="s">
        <v>1947</v>
      </c>
      <c r="C28" s="109">
        <f>SUMIF(Пр_3!C9:C656,205,Пр_3!F9:F656)</f>
        <v>0</v>
      </c>
      <c r="D28" s="109">
        <f>SUMIF(Пр_3!C9:C656,205,Пр_3!G9:G656)</f>
        <v>0</v>
      </c>
      <c r="E28" s="109">
        <f>SUMIF(Пр_3!C9:C656,205,Пр_3!H9:H656)</f>
        <v>0</v>
      </c>
      <c r="F28" s="21"/>
      <c r="G28" s="21"/>
    </row>
    <row r="29" spans="1:7" hidden="1">
      <c r="A29" s="96">
        <v>206</v>
      </c>
      <c r="B29" s="3" t="s">
        <v>1462</v>
      </c>
      <c r="C29" s="109">
        <f>SUMIF(Пр_3!C9:C656,206,Пр_3!F9:F656)</f>
        <v>0</v>
      </c>
      <c r="D29" s="109">
        <f>SUMIF(Пр_3!C9:C656,206,Пр_3!G9:G656)</f>
        <v>0</v>
      </c>
      <c r="E29" s="109">
        <f>SUMIF(Пр_3!C9:C656,206,Пр_3!H9:H656)</f>
        <v>0</v>
      </c>
      <c r="F29" s="21"/>
      <c r="G29" s="21"/>
    </row>
    <row r="30" spans="1:7" s="2" customFormat="1" ht="31.5" hidden="1">
      <c r="A30" s="96">
        <v>207</v>
      </c>
      <c r="B30" s="3" t="s">
        <v>466</v>
      </c>
      <c r="C30" s="109">
        <f>SUMIF(Пр_3!C9:C656,207,Пр_3!F9:F656)</f>
        <v>0</v>
      </c>
      <c r="D30" s="109">
        <f>SUMIF(Пр_3!C9:C656,207,Пр_3!G9:G656)</f>
        <v>0</v>
      </c>
      <c r="E30" s="109">
        <f>SUMIF(Пр_3!C9:C656,207,Пр_3!H9:H656)</f>
        <v>0</v>
      </c>
      <c r="F30" s="20"/>
      <c r="G30" s="20"/>
    </row>
    <row r="31" spans="1:7" ht="31.5" hidden="1">
      <c r="A31" s="96">
        <v>208</v>
      </c>
      <c r="B31" s="3" t="s">
        <v>1103</v>
      </c>
      <c r="C31" s="109">
        <f>SUMIF(Пр_3!C9:C656,208,Пр_3!F9:F656)</f>
        <v>0</v>
      </c>
      <c r="D31" s="109">
        <f>SUMIF(Пр_3!C9:C656,208,Пр_3!G9:G656)</f>
        <v>0</v>
      </c>
      <c r="E31" s="109">
        <f>SUMIF(Пр_3!C9:C656,208,Пр_3!H9:H656)</f>
        <v>0</v>
      </c>
      <c r="F31" s="21"/>
      <c r="G31" s="21"/>
    </row>
    <row r="32" spans="1:7" ht="16.5" hidden="1" thickBot="1">
      <c r="A32" s="102">
        <v>209</v>
      </c>
      <c r="B32" s="103" t="s">
        <v>1104</v>
      </c>
      <c r="C32" s="110">
        <f>SUMIF(Пр_3!C9:C656,209,Пр_3!F9:F656)</f>
        <v>0</v>
      </c>
      <c r="D32" s="110">
        <f>SUMIF(Пр_3!C9:C656,209,Пр_3!G9:G656)</f>
        <v>0</v>
      </c>
      <c r="E32" s="110">
        <f>SUMIF(Пр_3!C9:C656,209,Пр_3!H9:H656)</f>
        <v>0</v>
      </c>
      <c r="F32" s="21"/>
      <c r="G32" s="21"/>
    </row>
    <row r="33" spans="1:7" ht="32.25" thickBot="1">
      <c r="A33" s="100">
        <v>300</v>
      </c>
      <c r="B33" s="105" t="s">
        <v>120</v>
      </c>
      <c r="C33" s="106">
        <f>SUM(C34:C45)</f>
        <v>2612735</v>
      </c>
      <c r="D33" s="106">
        <f>SUM(D34:D45)</f>
        <v>0</v>
      </c>
      <c r="E33" s="134">
        <f>SUM(E34:E45)</f>
        <v>2612735</v>
      </c>
      <c r="F33" s="21"/>
      <c r="G33" s="21"/>
    </row>
    <row r="34" spans="1:7" hidden="1">
      <c r="A34" s="98">
        <v>303</v>
      </c>
      <c r="B34" s="104" t="s">
        <v>1106</v>
      </c>
      <c r="C34" s="108">
        <f>SUMIF(Пр_3!C9:C656,303,Пр_3!F9:F656)</f>
        <v>0</v>
      </c>
      <c r="D34" s="108">
        <f>SUMIF(Пр_3!C9:C656,303,Пр_3!G9:G656)</f>
        <v>0</v>
      </c>
      <c r="E34" s="108">
        <f>SUMIF(Пр_3!C9:C656,303,Пр_3!H9:H656)</f>
        <v>0</v>
      </c>
      <c r="F34" s="21"/>
      <c r="G34" s="21"/>
    </row>
    <row r="35" spans="1:7" s="2" customFormat="1" ht="16.5" thickBot="1">
      <c r="A35" s="96">
        <v>304</v>
      </c>
      <c r="B35" s="3" t="s">
        <v>367</v>
      </c>
      <c r="C35" s="109">
        <f>SUMIF(Пр_3!C9:C656,304,Пр_3!F9:F656)</f>
        <v>2612735</v>
      </c>
      <c r="D35" s="109">
        <f>SUMIF(Пр_3!C9:C656,304,Пр_3!G9:G656)</f>
        <v>0</v>
      </c>
      <c r="E35" s="109">
        <f>SUMIF(Пр_3!C9:C656,304,Пр_3!H9:H656)</f>
        <v>2612735</v>
      </c>
      <c r="F35" s="20"/>
      <c r="G35" s="20"/>
    </row>
    <row r="36" spans="1:7" hidden="1">
      <c r="A36" s="96">
        <v>305</v>
      </c>
      <c r="B36" s="3" t="s">
        <v>854</v>
      </c>
      <c r="C36" s="109">
        <f>SUMIF(Пр_3!C9:C656,305,Пр_3!F9:F656)</f>
        <v>0</v>
      </c>
      <c r="D36" s="109">
        <f>SUMIF(Пр_3!C9:C656,305,Пр_3!G9:G656)</f>
        <v>0</v>
      </c>
      <c r="E36" s="109">
        <f>SUMIF(Пр_3!C9:C656,305,Пр_3!H9:H656)</f>
        <v>0</v>
      </c>
      <c r="F36" s="21"/>
      <c r="G36" s="21"/>
    </row>
    <row r="37" spans="1:7" hidden="1">
      <c r="A37" s="96">
        <v>306</v>
      </c>
      <c r="B37" s="3" t="s">
        <v>907</v>
      </c>
      <c r="C37" s="109">
        <f>SUMIF(Пр_3!C9:C656,306,Пр_3!F9:F656)</f>
        <v>0</v>
      </c>
      <c r="D37" s="109">
        <f>SUMIF(Пр_3!C9:C656,306,Пр_3!G9:G656)</f>
        <v>0</v>
      </c>
      <c r="E37" s="109">
        <f>SUMIF(Пр_3!C9:C656,306,Пр_3!H9:H656)</f>
        <v>0</v>
      </c>
      <c r="F37" s="21"/>
      <c r="G37" s="21"/>
    </row>
    <row r="38" spans="1:7" hidden="1">
      <c r="A38" s="96">
        <v>307</v>
      </c>
      <c r="B38" s="3" t="s">
        <v>908</v>
      </c>
      <c r="C38" s="109">
        <f>SUMIF(Пр_3!C9:C656,307,Пр_3!F9:F656)</f>
        <v>0</v>
      </c>
      <c r="D38" s="109">
        <f>SUMIF(Пр_3!C9:C656,307,Пр_3!G9:G656)</f>
        <v>0</v>
      </c>
      <c r="E38" s="109">
        <f>SUMIF(Пр_3!C9:C656,307,Пр_3!H9:H656)</f>
        <v>0</v>
      </c>
      <c r="F38" s="21"/>
      <c r="G38" s="21"/>
    </row>
    <row r="39" spans="1:7" s="2" customFormat="1" ht="31.5" hidden="1">
      <c r="A39" s="96">
        <v>308</v>
      </c>
      <c r="B39" s="3" t="s">
        <v>1212</v>
      </c>
      <c r="C39" s="109">
        <f>SUMIF(Пр_3!C9:C656,308,Пр_3!F9:F656)</f>
        <v>0</v>
      </c>
      <c r="D39" s="109">
        <f>SUMIF(Пр_3!C9:C656,308,Пр_3!G9:G656)</f>
        <v>0</v>
      </c>
      <c r="E39" s="109">
        <f>SUMIF(Пр_3!C9:C656,308,Пр_3!H9:H656)</f>
        <v>0</v>
      </c>
      <c r="F39" s="20"/>
      <c r="G39" s="20"/>
    </row>
    <row r="40" spans="1:7" ht="47.25" hidden="1">
      <c r="A40" s="96">
        <v>309</v>
      </c>
      <c r="B40" s="3" t="s">
        <v>256</v>
      </c>
      <c r="C40" s="109">
        <f>SUMIF(Пр_3!C9:C656,309,Пр_3!F9:F656)</f>
        <v>0</v>
      </c>
      <c r="D40" s="109">
        <f>SUMIF(Пр_3!C9:C656,309,Пр_3!G9:G656)</f>
        <v>0</v>
      </c>
      <c r="E40" s="109">
        <f>SUMIF(Пр_3!C9:C656,309,Пр_3!H9:H656)</f>
        <v>0</v>
      </c>
      <c r="F40" s="21"/>
      <c r="G40" s="21"/>
    </row>
    <row r="41" spans="1:7" hidden="1">
      <c r="A41" s="96">
        <v>310</v>
      </c>
      <c r="B41" s="3" t="s">
        <v>257</v>
      </c>
      <c r="C41" s="109">
        <f>SUMIF(Пр_3!C9:C656,310,Пр_3!F9:F656)</f>
        <v>0</v>
      </c>
      <c r="D41" s="109">
        <f>SUMIF(Пр_3!C9:C656,310,Пр_3!G9:G656)</f>
        <v>0</v>
      </c>
      <c r="E41" s="109">
        <f>SUMIF(Пр_3!C9:C656,310,Пр_3!H9:H656)</f>
        <v>0</v>
      </c>
      <c r="F41" s="21"/>
      <c r="G41" s="21"/>
    </row>
    <row r="42" spans="1:7" hidden="1">
      <c r="A42" s="96">
        <v>311</v>
      </c>
      <c r="B42" s="3" t="s">
        <v>1942</v>
      </c>
      <c r="C42" s="109">
        <f>SUMIF(Пр_3!C9:C656,311,Пр_3!F9:F656)</f>
        <v>0</v>
      </c>
      <c r="D42" s="109">
        <f>SUMIF(Пр_3!C9:C656,311,Пр_3!G9:G656)</f>
        <v>0</v>
      </c>
      <c r="E42" s="109">
        <f>SUMIF(Пр_3!C9:C656,311,Пр_3!H9:H656)</f>
        <v>0</v>
      </c>
      <c r="F42" s="21"/>
      <c r="G42" s="21"/>
    </row>
    <row r="43" spans="1:7" ht="31.5" hidden="1">
      <c r="A43" s="96">
        <v>312</v>
      </c>
      <c r="B43" s="3" t="s">
        <v>258</v>
      </c>
      <c r="C43" s="109">
        <f>SUMIF(Пр_3!C9:C656,312,Пр_3!F9:F656)</f>
        <v>0</v>
      </c>
      <c r="D43" s="109">
        <f>SUMIF(Пр_3!C9:C656,312,Пр_3!G9:G656)</f>
        <v>0</v>
      </c>
      <c r="E43" s="109">
        <f>SUMIF(Пр_3!C9:C656,312,Пр_3!H9:H656)</f>
        <v>0</v>
      </c>
      <c r="F43" s="21"/>
      <c r="G43" s="21"/>
    </row>
    <row r="44" spans="1:7" ht="31.5" hidden="1">
      <c r="A44" s="96">
        <v>313</v>
      </c>
      <c r="B44" s="3" t="s">
        <v>1943</v>
      </c>
      <c r="C44" s="109">
        <f>SUMIF(Пр_3!C9:C656,313,Пр_3!F9:F656)</f>
        <v>0</v>
      </c>
      <c r="D44" s="109">
        <f>SUMIF(Пр_3!C9:C656,313,Пр_3!G9:G656)</f>
        <v>0</v>
      </c>
      <c r="E44" s="109">
        <f>SUMIF(Пр_3!C9:C656,313,Пр_3!H9:H656)</f>
        <v>0</v>
      </c>
      <c r="F44" s="21"/>
      <c r="G44" s="21"/>
    </row>
    <row r="45" spans="1:7" ht="32.25" hidden="1" thickBot="1">
      <c r="A45" s="102">
        <v>314</v>
      </c>
      <c r="B45" s="103" t="s">
        <v>1430</v>
      </c>
      <c r="C45" s="110">
        <f>SUMIF(Пр_3!C9:C656,314,Пр_3!F9:F656)</f>
        <v>0</v>
      </c>
      <c r="D45" s="110">
        <f>SUMIF(Пр_3!C9:C656,314,Пр_3!G9:G656)</f>
        <v>0</v>
      </c>
      <c r="E45" s="110">
        <f>SUMIF(Пр_3!C9:C656,314,Пр_3!H9:H656)</f>
        <v>0</v>
      </c>
      <c r="F45" s="21"/>
      <c r="G45" s="21"/>
    </row>
    <row r="46" spans="1:7" ht="16.5" thickBot="1">
      <c r="A46" s="100">
        <v>400</v>
      </c>
      <c r="B46" s="105" t="s">
        <v>259</v>
      </c>
      <c r="C46" s="106">
        <f>SUM(C47:C58)</f>
        <v>144104214</v>
      </c>
      <c r="D46" s="106">
        <f>SUM(D47:D58)</f>
        <v>0</v>
      </c>
      <c r="E46" s="134">
        <f>SUM(E47:E58)</f>
        <v>144104214</v>
      </c>
      <c r="F46" s="21"/>
      <c r="G46" s="21"/>
    </row>
    <row r="47" spans="1:7">
      <c r="A47" s="98">
        <v>401</v>
      </c>
      <c r="B47" s="122" t="s">
        <v>1563</v>
      </c>
      <c r="C47" s="108">
        <f>SUMIF(Пр_3!C9:C656,401,Пр_3!F9:F656)</f>
        <v>250000</v>
      </c>
      <c r="D47" s="108">
        <f>SUMIF(Пр_3!C9:C656,401,Пр_3!G9:G656)</f>
        <v>0</v>
      </c>
      <c r="E47" s="108">
        <f>SUMIF(Пр_3!C9:C656,401,Пр_3!H9:H656)</f>
        <v>250000</v>
      </c>
      <c r="F47" s="21"/>
      <c r="G47" s="21"/>
    </row>
    <row r="48" spans="1:7">
      <c r="A48" s="96">
        <v>402</v>
      </c>
      <c r="B48" s="93" t="s">
        <v>448</v>
      </c>
      <c r="C48" s="130">
        <f>SUMIF(Пр_3!C9:C656,402,Пр_3!F9:F656)</f>
        <v>10083534</v>
      </c>
      <c r="D48" s="130">
        <f>SUMIF(Пр_3!C9:C656,402,Пр_3!G9:G656)</f>
        <v>0</v>
      </c>
      <c r="E48" s="130">
        <f>SUMIF(Пр_3!C9:C656,402,Пр_3!H9:H656)</f>
        <v>10083534</v>
      </c>
      <c r="F48" s="21"/>
      <c r="G48" s="21"/>
    </row>
    <row r="49" spans="1:7" hidden="1">
      <c r="A49" s="96">
        <v>403</v>
      </c>
      <c r="B49" s="3" t="s">
        <v>1455</v>
      </c>
      <c r="C49" s="130">
        <f>SUMIF(Пр_3!C9:C656,403,Пр_3!F9:F656)</f>
        <v>0</v>
      </c>
      <c r="D49" s="130">
        <f>SUMIF(Пр_3!C9:C656,403,Пр_3!G9:G656)</f>
        <v>0</v>
      </c>
      <c r="E49" s="130">
        <f>SUMIF(Пр_3!C9:C656,403,Пр_3!H9:H656)</f>
        <v>0</v>
      </c>
      <c r="F49" s="21"/>
      <c r="G49" s="21"/>
    </row>
    <row r="50" spans="1:7" hidden="1">
      <c r="A50" s="96">
        <v>404</v>
      </c>
      <c r="B50" s="3" t="s">
        <v>1456</v>
      </c>
      <c r="C50" s="130">
        <f>SUMIF(Пр_3!C9:C656,404,Пр_3!F9:F656)</f>
        <v>0</v>
      </c>
      <c r="D50" s="130">
        <f>SUMIF(Пр_3!C9:C656,404,Пр_3!G9:G656)</f>
        <v>0</v>
      </c>
      <c r="E50" s="130">
        <f>SUMIF(Пр_3!C9:C656,404,Пр_3!H9:H656)</f>
        <v>0</v>
      </c>
      <c r="F50" s="21"/>
      <c r="G50" s="21"/>
    </row>
    <row r="51" spans="1:7">
      <c r="A51" s="96">
        <v>405</v>
      </c>
      <c r="B51" s="3" t="s">
        <v>1985</v>
      </c>
      <c r="C51" s="130">
        <f>SUMIF(Пр_3!C9:C656,405,Пр_3!F9:F656)</f>
        <v>3584425</v>
      </c>
      <c r="D51" s="130">
        <f>SUMIF(Пр_3!C9:C656,405,Пр_3!G9:G656)</f>
        <v>0</v>
      </c>
      <c r="E51" s="130">
        <f>SUMIF(Пр_3!C9:C656,405,Пр_3!H9:H656)</f>
        <v>3584425</v>
      </c>
      <c r="F51" s="21"/>
      <c r="G51" s="21"/>
    </row>
    <row r="52" spans="1:7">
      <c r="A52" s="96">
        <v>406</v>
      </c>
      <c r="B52" s="3" t="s">
        <v>1457</v>
      </c>
      <c r="C52" s="130">
        <f>SUMIF(Пр_3!C9:C656,406,Пр_3!F9:F656)</f>
        <v>1750000</v>
      </c>
      <c r="D52" s="130">
        <f>SUMIF(Пр_3!C9:C656,406,Пр_3!G9:G656)</f>
        <v>0</v>
      </c>
      <c r="E52" s="130">
        <f>SUMIF(Пр_3!C9:C656,406,Пр_3!H9:H656)</f>
        <v>1750000</v>
      </c>
      <c r="F52" s="21"/>
      <c r="G52" s="21"/>
    </row>
    <row r="53" spans="1:7" hidden="1">
      <c r="A53" s="96">
        <v>407</v>
      </c>
      <c r="B53" s="3" t="s">
        <v>1458</v>
      </c>
      <c r="C53" s="130">
        <f>SUMIF(Пр_3!C9:C656,407,Пр_3!F9:F656)</f>
        <v>0</v>
      </c>
      <c r="D53" s="130">
        <f>SUMIF(Пр_3!C9:C656,407,Пр_3!G9:G656)</f>
        <v>0</v>
      </c>
      <c r="E53" s="130">
        <f>SUMIF(Пр_3!C9:C656,407,Пр_3!H9:H656)</f>
        <v>0</v>
      </c>
      <c r="F53" s="21"/>
      <c r="G53" s="21"/>
    </row>
    <row r="54" spans="1:7">
      <c r="A54" s="96">
        <v>408</v>
      </c>
      <c r="B54" s="3" t="s">
        <v>1986</v>
      </c>
      <c r="C54" s="130">
        <f>SUMIF(Пр_3!C9:C656,408,Пр_3!F9:F656)</f>
        <v>18514000</v>
      </c>
      <c r="D54" s="130">
        <f>SUMIF(Пр_3!C9:C656,408,Пр_3!G9:G656)</f>
        <v>0</v>
      </c>
      <c r="E54" s="130">
        <f>SUMIF(Пр_3!C9:C656,408,Пр_3!H9:H656)</f>
        <v>18514000</v>
      </c>
      <c r="F54" s="21"/>
      <c r="G54" s="21"/>
    </row>
    <row r="55" spans="1:7">
      <c r="A55" s="96">
        <v>409</v>
      </c>
      <c r="B55" s="3" t="s">
        <v>248</v>
      </c>
      <c r="C55" s="130">
        <f>SUMIF(Пр_3!C9:C656,409,Пр_3!F9:F656)</f>
        <v>80036940</v>
      </c>
      <c r="D55" s="130">
        <f>SUMIF(Пр_3!C9:C656,409,Пр_3!G9:G656)</f>
        <v>0</v>
      </c>
      <c r="E55" s="130">
        <f>SUMIF(Пр_3!C9:C656,409,Пр_3!H9:H656)</f>
        <v>80036940</v>
      </c>
      <c r="F55" s="21"/>
      <c r="G55" s="21"/>
    </row>
    <row r="56" spans="1:7" hidden="1">
      <c r="A56" s="96">
        <v>410</v>
      </c>
      <c r="B56" s="3" t="s">
        <v>975</v>
      </c>
      <c r="C56" s="130">
        <f>SUMIF(Пр_3!C9:C656,1410,Пр_3!F9:F656)</f>
        <v>0</v>
      </c>
      <c r="D56" s="130">
        <f>SUMIF(Пр_3!C9:C656,1410,Пр_3!G9:G656)</f>
        <v>0</v>
      </c>
      <c r="E56" s="130">
        <f>SUMIF(Пр_3!C9:C656,1410,Пр_3!H9:H656)</f>
        <v>0</v>
      </c>
      <c r="F56" s="21"/>
      <c r="G56" s="21"/>
    </row>
    <row r="57" spans="1:7" ht="31.5" hidden="1">
      <c r="A57" s="96">
        <v>411</v>
      </c>
      <c r="B57" s="3" t="s">
        <v>1459</v>
      </c>
      <c r="C57" s="130">
        <f>SUMIF(Пр_3!C9:C656,411,Пр_3!F9:F656)</f>
        <v>0</v>
      </c>
      <c r="D57" s="130">
        <f>SUMIF(Пр_3!C9:C656,411,Пр_3!G9:G656)</f>
        <v>0</v>
      </c>
      <c r="E57" s="130">
        <f>SUMIF(Пр_3!C9:C656,411,Пр_3!H9:H656)</f>
        <v>0</v>
      </c>
      <c r="F57" s="21"/>
      <c r="G57" s="21"/>
    </row>
    <row r="58" spans="1:7" ht="16.5" thickBot="1">
      <c r="A58" s="102">
        <v>412</v>
      </c>
      <c r="B58" s="103" t="s">
        <v>1432</v>
      </c>
      <c r="C58" s="10">
        <f>SUMIF(Пр_3!C9:C656,412,Пр_3!F9:F656)</f>
        <v>29885315</v>
      </c>
      <c r="D58" s="10">
        <f>SUMIF(Пр_3!C9:C656,412,Пр_3!G9:G656)</f>
        <v>0</v>
      </c>
      <c r="E58" s="10">
        <f>SUMIF(Пр_3!C9:C656,412,Пр_3!H9:H656)</f>
        <v>29885315</v>
      </c>
      <c r="F58" s="21"/>
      <c r="G58" s="21"/>
    </row>
    <row r="59" spans="1:7" ht="16.5" thickBot="1">
      <c r="A59" s="100">
        <v>500</v>
      </c>
      <c r="B59" s="105" t="s">
        <v>1355</v>
      </c>
      <c r="C59" s="106">
        <f>SUM(C60:C64)</f>
        <v>238319505</v>
      </c>
      <c r="D59" s="106">
        <f>SUM(D60:D64)</f>
        <v>-4222500</v>
      </c>
      <c r="E59" s="134">
        <f>SUM(E60:E64)</f>
        <v>234097005</v>
      </c>
      <c r="F59" s="21"/>
      <c r="G59" s="21"/>
    </row>
    <row r="60" spans="1:7">
      <c r="A60" s="98">
        <v>501</v>
      </c>
      <c r="B60" s="104" t="s">
        <v>1672</v>
      </c>
      <c r="C60" s="133">
        <f>SUMIF(Пр_3!C9:C656,501,Пр_3!F9:F656)</f>
        <v>69396806</v>
      </c>
      <c r="D60" s="133">
        <f>SUMIF(Пр_3!C9:C656,501,Пр_3!G9:G656)</f>
        <v>-7476500</v>
      </c>
      <c r="E60" s="133">
        <f>SUMIF(Пр_3!C9:C656,501,Пр_3!H9:H656)</f>
        <v>61920306</v>
      </c>
      <c r="F60" s="21"/>
      <c r="G60" s="21"/>
    </row>
    <row r="61" spans="1:7">
      <c r="A61" s="96">
        <v>502</v>
      </c>
      <c r="B61" s="3" t="s">
        <v>1673</v>
      </c>
      <c r="C61" s="130">
        <f>SUMIF(Пр_3!C9:C656,502,Пр_3!F9:F656)</f>
        <v>162003135</v>
      </c>
      <c r="D61" s="130">
        <f>SUMIF(Пр_3!C9:C656,502,Пр_3!G9:G656)</f>
        <v>3254000</v>
      </c>
      <c r="E61" s="130">
        <f>SUMIF(Пр_3!C9:C656,502,Пр_3!H9:H656)</f>
        <v>165257135</v>
      </c>
      <c r="F61" s="21"/>
      <c r="G61" s="21"/>
    </row>
    <row r="62" spans="1:7">
      <c r="A62" s="96">
        <v>503</v>
      </c>
      <c r="B62" s="93" t="s">
        <v>1107</v>
      </c>
      <c r="C62" s="130">
        <f>SUMIF(Пр_3!C9:C656,503,Пр_3!F9:F656)</f>
        <v>862500</v>
      </c>
      <c r="D62" s="130">
        <f>SUMIF(Пр_3!C9:C656,503,Пр_3!G9:G656)</f>
        <v>0</v>
      </c>
      <c r="E62" s="130">
        <f>SUMIF(Пр_3!C9:C656,503,Пр_3!H9:H656)</f>
        <v>862500</v>
      </c>
      <c r="F62" s="21"/>
      <c r="G62" s="21"/>
    </row>
    <row r="63" spans="1:7" ht="31.5" hidden="1">
      <c r="A63" s="96">
        <v>504</v>
      </c>
      <c r="B63" s="3" t="s">
        <v>645</v>
      </c>
      <c r="C63" s="130">
        <f>SUMIF(Пр_3!C9:C656,504,Пр_3!F9:F656)</f>
        <v>0</v>
      </c>
      <c r="D63" s="130">
        <f>SUMIF(Пр_3!C9:C656,504,Пр_3!G9:G656)</f>
        <v>0</v>
      </c>
      <c r="E63" s="130">
        <f>SUMIF(Пр_3!C9:C656,504,Пр_3!H9:H656)</f>
        <v>0</v>
      </c>
      <c r="F63" s="21"/>
      <c r="G63" s="21"/>
    </row>
    <row r="64" spans="1:7" ht="16.5" thickBot="1">
      <c r="A64" s="259">
        <v>505</v>
      </c>
      <c r="B64" s="260" t="s">
        <v>391</v>
      </c>
      <c r="C64" s="261">
        <f>SUMIF(Пр_3!C9:C656,505,Пр_3!F9:F656)</f>
        <v>6057064</v>
      </c>
      <c r="D64" s="261">
        <f>SUMIF(Пр_3!C9:C656,505,Пр_3!G9:G656)</f>
        <v>0</v>
      </c>
      <c r="E64" s="261">
        <f>SUMIF(Пр_3!C9:C656,505,Пр_3!H9:H656)</f>
        <v>6057064</v>
      </c>
      <c r="F64" s="21"/>
      <c r="G64" s="21"/>
    </row>
    <row r="65" spans="1:7" ht="16.5" thickBot="1">
      <c r="A65" s="256">
        <v>600</v>
      </c>
      <c r="B65" s="257" t="s">
        <v>1680</v>
      </c>
      <c r="C65" s="258">
        <f>SUM(C66:C70)</f>
        <v>51760</v>
      </c>
      <c r="D65" s="258">
        <f>SUM(D66:D70)</f>
        <v>0</v>
      </c>
      <c r="E65" s="258">
        <f>SUM(E66:E70)</f>
        <v>51760</v>
      </c>
      <c r="F65" s="21"/>
      <c r="G65" s="21"/>
    </row>
    <row r="66" spans="1:7" hidden="1">
      <c r="A66" s="98">
        <v>601</v>
      </c>
      <c r="B66" s="99" t="s">
        <v>1681</v>
      </c>
      <c r="C66" s="133">
        <f>SUMIF(Пр_3!C9:C656,601,Пр_3!F9:F656)</f>
        <v>0</v>
      </c>
      <c r="D66" s="133">
        <f>SUMIF(Пр_3!C9:C656,601,Пр_3!G9:G656)</f>
        <v>0</v>
      </c>
      <c r="E66" s="133">
        <f>SUMIF(Пр_3!C9:C656,601,Пр_3!H9:H656)</f>
        <v>0</v>
      </c>
      <c r="F66" s="21"/>
      <c r="G66" s="21"/>
    </row>
    <row r="67" spans="1:7" hidden="1">
      <c r="A67" s="96">
        <v>602</v>
      </c>
      <c r="B67" s="3" t="s">
        <v>1579</v>
      </c>
      <c r="C67" s="130">
        <f>SUMIF(Пр_3!C9:C656,602,Пр_3!F9:F656)</f>
        <v>0</v>
      </c>
      <c r="D67" s="130">
        <f>SUMIF(Пр_3!C9:C656,602,Пр_3!G9:G656)</f>
        <v>0</v>
      </c>
      <c r="E67" s="130">
        <f>SUMIF(Пр_3!C9:C656,602,Пр_3!H9:H656)</f>
        <v>0</v>
      </c>
      <c r="F67" s="21"/>
      <c r="G67" s="21"/>
    </row>
    <row r="68" spans="1:7" ht="31.5" hidden="1">
      <c r="A68" s="96">
        <v>603</v>
      </c>
      <c r="B68" s="3" t="s">
        <v>1580</v>
      </c>
      <c r="C68" s="130">
        <f>SUMIF(Пр_3!C9:C656,603,Пр_3!F9:F656)</f>
        <v>0</v>
      </c>
      <c r="D68" s="130">
        <f>SUMIF(Пр_3!C9:C656,603,Пр_3!G9:G656)</f>
        <v>0</v>
      </c>
      <c r="E68" s="130">
        <f>SUMIF(Пр_3!C9:C656,603,Пр_3!H9:H656)</f>
        <v>0</v>
      </c>
      <c r="F68" s="21"/>
      <c r="G68" s="21"/>
    </row>
    <row r="69" spans="1:7" ht="31.5">
      <c r="A69" s="96">
        <v>604</v>
      </c>
      <c r="B69" s="3" t="s">
        <v>1991</v>
      </c>
      <c r="C69" s="130">
        <f>SUMIF(Пр_3!C9:C656,604,Пр_3!F9:F656)</f>
        <v>50000</v>
      </c>
      <c r="D69" s="130">
        <f>SUMIF(Пр_3!C9:C656,604,Пр_3!G9:G656)</f>
        <v>0</v>
      </c>
      <c r="E69" s="130">
        <f>SUMIF(Пр_3!C9:C656,604,Пр_3!H9:H656)</f>
        <v>50000</v>
      </c>
      <c r="F69" s="21"/>
      <c r="G69" s="21"/>
    </row>
    <row r="70" spans="1:7" ht="16.5" thickBot="1">
      <c r="A70" s="102">
        <v>605</v>
      </c>
      <c r="B70" s="103" t="s">
        <v>1082</v>
      </c>
      <c r="C70" s="10">
        <f>SUMIF(Пр_3!C9:C656,605,Пр_3!F9:F656)</f>
        <v>1760</v>
      </c>
      <c r="D70" s="10">
        <f>SUMIF(Пр_3!C9:C656,605,Пр_3!G9:G656)</f>
        <v>0</v>
      </c>
      <c r="E70" s="10">
        <f>SUMIF(Пр_3!C9:C656,605,Пр_3!H9:H656)</f>
        <v>1760</v>
      </c>
      <c r="F70" s="21"/>
      <c r="G70" s="21"/>
    </row>
    <row r="71" spans="1:7" ht="16.5" thickBot="1">
      <c r="A71" s="100">
        <v>700</v>
      </c>
      <c r="B71" s="107" t="s">
        <v>1581</v>
      </c>
      <c r="C71" s="106">
        <f>SUM(C72:C80)</f>
        <v>689812034</v>
      </c>
      <c r="D71" s="106">
        <f>SUM(D72:D80)</f>
        <v>970970</v>
      </c>
      <c r="E71" s="134">
        <f>SUM(E72:E80)</f>
        <v>690783004</v>
      </c>
      <c r="F71" s="21"/>
      <c r="G71" s="21"/>
    </row>
    <row r="72" spans="1:7">
      <c r="A72" s="98">
        <v>701</v>
      </c>
      <c r="B72" s="104" t="s">
        <v>277</v>
      </c>
      <c r="C72" s="133">
        <f>SUMIF(Пр_3!C9:C656,701,Пр_3!F9:F656)</f>
        <v>220857704</v>
      </c>
      <c r="D72" s="133">
        <f>SUMIF(Пр_3!C9:C656,701,Пр_3!G9:G656)</f>
        <v>775970</v>
      </c>
      <c r="E72" s="133">
        <f>SUMIF(Пр_3!C9:C656,701,Пр_3!H9:H656)</f>
        <v>221633674</v>
      </c>
      <c r="F72" s="21"/>
      <c r="G72" s="21"/>
    </row>
    <row r="73" spans="1:7">
      <c r="A73" s="96">
        <v>702</v>
      </c>
      <c r="B73" s="3" t="s">
        <v>675</v>
      </c>
      <c r="C73" s="130">
        <f>SUMIF(Пр_3!C9:C656,702,Пр_3!F9:F656)</f>
        <v>416089614</v>
      </c>
      <c r="D73" s="130">
        <f>SUMIF(Пр_3!C9:C656,702,Пр_3!G9:G656)</f>
        <v>195000</v>
      </c>
      <c r="E73" s="130">
        <f>SUMIF(Пр_3!C9:C656,702,Пр_3!H9:H656)</f>
        <v>416284614</v>
      </c>
      <c r="F73" s="21"/>
      <c r="G73" s="21"/>
    </row>
    <row r="74" spans="1:7" hidden="1">
      <c r="A74" s="96">
        <v>703</v>
      </c>
      <c r="B74" s="3" t="s">
        <v>1992</v>
      </c>
      <c r="C74" s="130">
        <f>SUMIF(Пр_3!C9:C656,703,Пр_3!F9:F656)</f>
        <v>0</v>
      </c>
      <c r="D74" s="130">
        <f>SUMIF(Пр_3!C9:C656,703,Пр_3!G9:G656)</f>
        <v>0</v>
      </c>
      <c r="E74" s="130">
        <f>SUMIF(Пр_3!C9:C656,703,Пр_3!H9:H656)</f>
        <v>0</v>
      </c>
      <c r="F74" s="21"/>
      <c r="G74" s="21"/>
    </row>
    <row r="75" spans="1:7" hidden="1">
      <c r="A75" s="96">
        <v>704</v>
      </c>
      <c r="B75" s="3" t="s">
        <v>255</v>
      </c>
      <c r="C75" s="130">
        <f>SUMIF(Пр_3!C9:C656,704,Пр_3!F9:F656)</f>
        <v>0</v>
      </c>
      <c r="D75" s="130">
        <f>SUMIF(Пр_3!C9:C656,704,Пр_3!G9:G656)</f>
        <v>0</v>
      </c>
      <c r="E75" s="130">
        <f>SUMIF(Пр_3!C9:C656,704,Пр_3!H9:H656)</f>
        <v>0</v>
      </c>
      <c r="F75" s="21"/>
      <c r="G75" s="21"/>
    </row>
    <row r="76" spans="1:7" ht="31.5" hidden="1">
      <c r="A76" s="96">
        <v>705</v>
      </c>
      <c r="B76" s="3" t="s">
        <v>910</v>
      </c>
      <c r="C76" s="130">
        <f>SUMIF(Пр_3!C9:C656,705,Пр_3!F9:F656)</f>
        <v>0</v>
      </c>
      <c r="D76" s="130">
        <f>SUMIF(Пр_3!C9:C656,705,Пр_3!G9:G656)</f>
        <v>0</v>
      </c>
      <c r="E76" s="130">
        <f>SUMIF(Пр_3!C9:C656,705,Пр_3!H9:H656)</f>
        <v>0</v>
      </c>
      <c r="F76" s="21"/>
      <c r="G76" s="21"/>
    </row>
    <row r="77" spans="1:7" hidden="1">
      <c r="A77" s="97">
        <v>706</v>
      </c>
      <c r="B77" s="95" t="s">
        <v>911</v>
      </c>
      <c r="C77" s="130">
        <f>SUMIF(Пр_3!C9:C656,706,Пр_3!F9:F656)</f>
        <v>0</v>
      </c>
      <c r="D77" s="130">
        <f>SUMIF(Пр_3!C9:C656,706,Пр_3!G9:G656)</f>
        <v>0</v>
      </c>
      <c r="E77" s="130">
        <f>SUMIF(Пр_3!C9:C656,706,Пр_3!H9:H656)</f>
        <v>0</v>
      </c>
      <c r="F77" s="21"/>
      <c r="G77" s="21"/>
    </row>
    <row r="78" spans="1:7">
      <c r="A78" s="96">
        <v>707</v>
      </c>
      <c r="B78" s="3" t="s">
        <v>707</v>
      </c>
      <c r="C78" s="130">
        <f>SUMIF(Пр_3!C9:C656,707,Пр_3!F9:F656)</f>
        <v>21610000</v>
      </c>
      <c r="D78" s="130">
        <f>SUMIF(Пр_3!C9:C656,707,Пр_3!G9:G656)</f>
        <v>0</v>
      </c>
      <c r="E78" s="130">
        <f>SUMIF(Пр_3!C9:C656,707,Пр_3!H9:H656)</f>
        <v>21610000</v>
      </c>
      <c r="F78" s="21"/>
      <c r="G78" s="21"/>
    </row>
    <row r="79" spans="1:7" hidden="1">
      <c r="A79" s="96">
        <v>708</v>
      </c>
      <c r="B79" s="3" t="s">
        <v>1685</v>
      </c>
      <c r="C79" s="130">
        <f>SUMIF(Пр_3!C9:C656,708,Пр_3!F9:F656)</f>
        <v>0</v>
      </c>
      <c r="D79" s="130">
        <f>SUMIF(Пр_3!C9:C656,708,Пр_3!G9:G656)</f>
        <v>0</v>
      </c>
      <c r="E79" s="130">
        <f>SUMIF(Пр_3!C9:C656,708,Пр_3!H9:H656)</f>
        <v>0</v>
      </c>
      <c r="F79" s="21"/>
      <c r="G79" s="21"/>
    </row>
    <row r="80" spans="1:7" ht="16.5" thickBot="1">
      <c r="A80" s="102">
        <v>709</v>
      </c>
      <c r="B80" s="103" t="s">
        <v>175</v>
      </c>
      <c r="C80" s="10">
        <f>SUMIF(Пр_3!C9:C656,709,Пр_3!F9:F656)</f>
        <v>31254716</v>
      </c>
      <c r="D80" s="10">
        <f>SUMIF(Пр_3!C9:C656,709,Пр_3!G9:G656)</f>
        <v>0</v>
      </c>
      <c r="E80" s="10">
        <f>SUMIF(Пр_3!C9:C656,709,Пр_3!H9:H656)</f>
        <v>31254716</v>
      </c>
      <c r="F80" s="21"/>
      <c r="G80" s="21"/>
    </row>
    <row r="81" spans="1:7" ht="16.5" thickBot="1">
      <c r="A81" s="100">
        <v>800</v>
      </c>
      <c r="B81" s="107" t="s">
        <v>578</v>
      </c>
      <c r="C81" s="106">
        <f>SUM(C82:C85)</f>
        <v>76260359</v>
      </c>
      <c r="D81" s="106">
        <f>SUM(D82:D85)</f>
        <v>23000</v>
      </c>
      <c r="E81" s="134">
        <f>SUM(E82:E85)</f>
        <v>76283359</v>
      </c>
      <c r="F81" s="21"/>
      <c r="G81" s="21"/>
    </row>
    <row r="82" spans="1:7">
      <c r="A82" s="98">
        <v>801</v>
      </c>
      <c r="B82" s="104" t="s">
        <v>543</v>
      </c>
      <c r="C82" s="133">
        <f>SUMIF(Пр_3!C9:C656,801,Пр_3!F9:F656)</f>
        <v>67596958</v>
      </c>
      <c r="D82" s="133">
        <f>SUMIF(Пр_3!C9:C656,801,Пр_3!G9:G656)</f>
        <v>23000</v>
      </c>
      <c r="E82" s="133">
        <f>SUMIF(Пр_3!C9:C656,801,Пр_3!H9:H656)</f>
        <v>67619958</v>
      </c>
      <c r="F82" s="21"/>
      <c r="G82" s="21"/>
    </row>
    <row r="83" spans="1:7" hidden="1">
      <c r="A83" s="96">
        <v>802</v>
      </c>
      <c r="B83" s="3" t="s">
        <v>77</v>
      </c>
      <c r="C83" s="130">
        <f>SUMIF(Пр_3!C9:C656,802,Пр_3!F9:F656)</f>
        <v>0</v>
      </c>
      <c r="D83" s="130">
        <f>SUMIF(Пр_3!C9:C656,802,Пр_3!G9:G656)</f>
        <v>0</v>
      </c>
      <c r="E83" s="130">
        <f>SUMIF(Пр_3!C9:C656,802,Пр_3!H9:H656)</f>
        <v>0</v>
      </c>
      <c r="F83" s="21"/>
      <c r="G83" s="21"/>
    </row>
    <row r="84" spans="1:7" ht="31.5" hidden="1">
      <c r="A84" s="96">
        <v>803</v>
      </c>
      <c r="B84" s="3" t="s">
        <v>579</v>
      </c>
      <c r="C84" s="130">
        <f>SUMIF(Пр_3!C9:C656,803,Пр_3!F9:F656)</f>
        <v>0</v>
      </c>
      <c r="D84" s="130">
        <f>SUMIF(Пр_3!C9:C656,803,Пр_3!G9:G656)</f>
        <v>0</v>
      </c>
      <c r="E84" s="130">
        <f>SUMIF(Пр_3!C9:C656,803,Пр_3!H9:H656)</f>
        <v>0</v>
      </c>
      <c r="F84" s="21"/>
      <c r="G84" s="21"/>
    </row>
    <row r="85" spans="1:7" ht="16.5" thickBot="1">
      <c r="A85" s="96">
        <v>804</v>
      </c>
      <c r="B85" s="3" t="s">
        <v>595</v>
      </c>
      <c r="C85" s="130">
        <f>SUMIF(Пр_3!C9:C656,804,Пр_3!F9:F656)</f>
        <v>8663401</v>
      </c>
      <c r="D85" s="130">
        <f>SUMIF(Пр_3!C9:C656,804,Пр_3!G9:G656)</f>
        <v>0</v>
      </c>
      <c r="E85" s="130">
        <f>SUMIF(Пр_3!C9:C656,804,Пр_3!H9:H656)</f>
        <v>8663401</v>
      </c>
      <c r="F85" s="21"/>
      <c r="G85" s="21"/>
    </row>
    <row r="86" spans="1:7" hidden="1">
      <c r="A86" s="128">
        <v>900</v>
      </c>
      <c r="B86" s="18" t="s">
        <v>596</v>
      </c>
      <c r="C86" s="129">
        <f>SUM(C87:C95)</f>
        <v>0</v>
      </c>
      <c r="D86" s="129">
        <f>SUM(D87:D95)</f>
        <v>0</v>
      </c>
      <c r="E86" s="129">
        <f>SUM(E87:E95)</f>
        <v>0</v>
      </c>
      <c r="F86" s="21"/>
      <c r="G86" s="21"/>
    </row>
    <row r="87" spans="1:7" hidden="1">
      <c r="A87" s="96">
        <v>901</v>
      </c>
      <c r="B87" s="3" t="s">
        <v>842</v>
      </c>
      <c r="C87" s="130">
        <f>SUMIF(Пр_3!C9:C656,901,Пр_3!F9:F656)</f>
        <v>0</v>
      </c>
      <c r="D87" s="130">
        <f>SUMIF(Пр_3!C9:C656,901,Пр_3!G9:G656)</f>
        <v>0</v>
      </c>
      <c r="E87" s="130">
        <f>SUMIF(Пр_3!C9:C656,901,Пр_3!H9:H656)</f>
        <v>0</v>
      </c>
      <c r="F87" s="21"/>
      <c r="G87" s="21"/>
    </row>
    <row r="88" spans="1:7" hidden="1">
      <c r="A88" s="96">
        <v>902</v>
      </c>
      <c r="B88" s="3" t="s">
        <v>843</v>
      </c>
      <c r="C88" s="130">
        <f>SUMIF(Пр_3!C9:C656,902,Пр_3!F9:F656)</f>
        <v>0</v>
      </c>
      <c r="D88" s="130">
        <f>SUMIF(Пр_3!C9:C656,902,Пр_3!G9:G656)</f>
        <v>0</v>
      </c>
      <c r="E88" s="130">
        <f>SUMIF(Пр_3!C9:C656,902,Пр_3!H9:H656)</f>
        <v>0</v>
      </c>
      <c r="F88" s="21"/>
      <c r="G88" s="21"/>
    </row>
    <row r="89" spans="1:7" hidden="1">
      <c r="A89" s="96">
        <v>903</v>
      </c>
      <c r="B89" s="3" t="s">
        <v>1069</v>
      </c>
      <c r="C89" s="130">
        <f>SUMIF(Пр_3!C9:C656,903,Пр_3!F9:F656)</f>
        <v>0</v>
      </c>
      <c r="D89" s="130">
        <f>SUMIF(Пр_3!C9:C656,903,Пр_3!G9:G656)</f>
        <v>0</v>
      </c>
      <c r="E89" s="130">
        <f>SUMIF(Пр_3!C9:C656,903,Пр_3!H9:H656)</f>
        <v>0</v>
      </c>
      <c r="F89" s="21"/>
      <c r="G89" s="21"/>
    </row>
    <row r="90" spans="1:7" hidden="1">
      <c r="A90" s="96">
        <v>904</v>
      </c>
      <c r="B90" s="3" t="s">
        <v>835</v>
      </c>
      <c r="C90" s="130">
        <f>SUMIF(Пр_3!C9:C656,904,Пр_3!F9:F656)</f>
        <v>0</v>
      </c>
      <c r="D90" s="130">
        <f>SUMIF(Пр_3!C9:C656,904,Пр_3!G9:G656)</f>
        <v>0</v>
      </c>
      <c r="E90" s="130">
        <f>SUMIF(Пр_3!C9:C656,904,Пр_3!H9:H656)</f>
        <v>0</v>
      </c>
      <c r="F90" s="21"/>
      <c r="G90" s="21"/>
    </row>
    <row r="91" spans="1:7" hidden="1">
      <c r="A91" s="96">
        <v>905</v>
      </c>
      <c r="B91" s="94" t="s">
        <v>179</v>
      </c>
      <c r="C91" s="130">
        <f>SUMIF(Пр_3!C9:C656,905,Пр_3!F9:F656)</f>
        <v>0</v>
      </c>
      <c r="D91" s="130">
        <f>SUMIF(Пр_3!C9:C656,905,Пр_3!G9:G656)</f>
        <v>0</v>
      </c>
      <c r="E91" s="130">
        <f>SUMIF(Пр_3!C9:C656,905,Пр_3!H9:H656)</f>
        <v>0</v>
      </c>
      <c r="F91" s="21"/>
      <c r="G91" s="21"/>
    </row>
    <row r="92" spans="1:7" ht="31.5" hidden="1">
      <c r="A92" s="96">
        <v>906</v>
      </c>
      <c r="B92" s="94" t="s">
        <v>468</v>
      </c>
      <c r="C92" s="130">
        <f>SUMIF(Пр_3!C9:C656,906,Пр_3!F9:F656)</f>
        <v>0</v>
      </c>
      <c r="D92" s="130">
        <f>SUMIF(Пр_3!C9:C656,906,Пр_3!G9:G656)</f>
        <v>0</v>
      </c>
      <c r="E92" s="130">
        <f>SUMIF(Пр_3!C9:C656,906,Пр_3!H9:H656)</f>
        <v>0</v>
      </c>
      <c r="F92" s="21"/>
      <c r="G92" s="21"/>
    </row>
    <row r="93" spans="1:7" hidden="1">
      <c r="A93" s="96">
        <v>907</v>
      </c>
      <c r="B93" s="3" t="s">
        <v>469</v>
      </c>
      <c r="C93" s="130">
        <f>SUMIF(Пр_3!C9:C656,907,Пр_3!F9:F656)</f>
        <v>0</v>
      </c>
      <c r="D93" s="130">
        <f>SUMIF(Пр_3!C9:C656,907,Пр_3!G9:G656)</f>
        <v>0</v>
      </c>
      <c r="E93" s="130">
        <f>SUMIF(Пр_3!C9:C656,907,Пр_3!H9:H656)</f>
        <v>0</v>
      </c>
      <c r="F93" s="21"/>
      <c r="G93" s="21"/>
    </row>
    <row r="94" spans="1:7" hidden="1">
      <c r="A94" s="96">
        <v>908</v>
      </c>
      <c r="B94" s="93" t="s">
        <v>597</v>
      </c>
      <c r="C94" s="130">
        <f>SUMIF(Пр_3!C9:C656,908,Пр_3!F9:F656)</f>
        <v>0</v>
      </c>
      <c r="D94" s="130">
        <f>SUMIF(Пр_3!C9:C656,908,Пр_3!G9:G656)</f>
        <v>0</v>
      </c>
      <c r="E94" s="130">
        <f>SUMIF(Пр_3!C9:C656,908,Пр_3!H9:H656)</f>
        <v>0</v>
      </c>
      <c r="F94" s="21"/>
      <c r="G94" s="21"/>
    </row>
    <row r="95" spans="1:7" ht="16.5" hidden="1" thickBot="1">
      <c r="A95" s="102">
        <v>909</v>
      </c>
      <c r="B95" s="103" t="s">
        <v>598</v>
      </c>
      <c r="C95" s="10">
        <f>SUMIF(Пр_3!C9:C656,909,Пр_3!F9:F656)</f>
        <v>0</v>
      </c>
      <c r="D95" s="10">
        <f>SUMIF(Пр_3!C9:C656,909,Пр_3!G9:G656)</f>
        <v>0</v>
      </c>
      <c r="E95" s="10">
        <f>SUMIF(Пр_3!C9:C656,909,Пр_3!H9:H656)</f>
        <v>0</v>
      </c>
      <c r="F95" s="21"/>
      <c r="G95" s="21"/>
    </row>
    <row r="96" spans="1:7" ht="16.5" thickBot="1">
      <c r="A96" s="100">
        <v>1000</v>
      </c>
      <c r="B96" s="107" t="s">
        <v>956</v>
      </c>
      <c r="C96" s="106">
        <f>SUM(C97:C102)</f>
        <v>288482104</v>
      </c>
      <c r="D96" s="106">
        <f>SUM(D97:D102)</f>
        <v>148333</v>
      </c>
      <c r="E96" s="134">
        <f>SUM(E97:E102)</f>
        <v>288630437</v>
      </c>
      <c r="F96" s="21"/>
      <c r="G96" s="21"/>
    </row>
    <row r="97" spans="1:7">
      <c r="A97" s="98">
        <v>1001</v>
      </c>
      <c r="B97" s="104" t="s">
        <v>330</v>
      </c>
      <c r="C97" s="133">
        <f>SUMIF(Пр_3!C9:C656,1001,Пр_3!F9:F656)</f>
        <v>2730200</v>
      </c>
      <c r="D97" s="133">
        <f>SUMIF(Пр_3!C9:C656,1001,Пр_3!G9:G656)</f>
        <v>0</v>
      </c>
      <c r="E97" s="133">
        <f>SUMIF(Пр_3!C9:C656,1001,Пр_3!H9:H656)</f>
        <v>2730200</v>
      </c>
      <c r="F97" s="21"/>
      <c r="G97" s="21"/>
    </row>
    <row r="98" spans="1:7">
      <c r="A98" s="96">
        <v>1002</v>
      </c>
      <c r="B98" s="3" t="s">
        <v>672</v>
      </c>
      <c r="C98" s="130">
        <f>SUMIF(Пр_3!C9:C656,1002,Пр_3!F9:F656)</f>
        <v>36071288</v>
      </c>
      <c r="D98" s="130">
        <f>SUMIF(Пр_3!C9:C656,1002,Пр_3!G9:G656)</f>
        <v>0</v>
      </c>
      <c r="E98" s="130">
        <f>SUMIF(Пр_3!C9:C656,1002,Пр_3!H9:H656)</f>
        <v>36071288</v>
      </c>
      <c r="F98" s="21"/>
      <c r="G98" s="21"/>
    </row>
    <row r="99" spans="1:7">
      <c r="A99" s="96">
        <v>1003</v>
      </c>
      <c r="B99" s="3" t="s">
        <v>510</v>
      </c>
      <c r="C99" s="130">
        <f>SUMIF(Пр_3!C9:C656,1003,Пр_3!F9:F656)</f>
        <v>199672103</v>
      </c>
      <c r="D99" s="130">
        <f>SUMIF(Пр_3!C9:C656,1003,Пр_3!G9:G656)</f>
        <v>148333</v>
      </c>
      <c r="E99" s="130">
        <f>SUMIF(Пр_3!C9:C656,1003,Пр_3!H9:H656)</f>
        <v>199820436</v>
      </c>
      <c r="F99" s="21"/>
      <c r="G99" s="21"/>
    </row>
    <row r="100" spans="1:7">
      <c r="A100" s="96">
        <v>1004</v>
      </c>
      <c r="B100" s="93" t="s">
        <v>957</v>
      </c>
      <c r="C100" s="130">
        <f>SUMIF(Пр_3!C9:C656,1004,Пр_3!F9:F656)</f>
        <v>38046918</v>
      </c>
      <c r="D100" s="130">
        <f>SUMIF(Пр_3!C9:C656,1004,Пр_3!G9:G656)</f>
        <v>0</v>
      </c>
      <c r="E100" s="130">
        <f>SUMIF(Пр_3!C9:C656,1004,Пр_3!H9:H656)</f>
        <v>38046918</v>
      </c>
      <c r="F100" s="21"/>
      <c r="G100" s="21"/>
    </row>
    <row r="101" spans="1:7" ht="31.5" hidden="1">
      <c r="A101" s="96">
        <v>1005</v>
      </c>
      <c r="B101" s="3" t="s">
        <v>959</v>
      </c>
      <c r="C101" s="130">
        <f>SUMIF(Пр_3!C9:C656,1005,Пр_3!F9:F656)</f>
        <v>0</v>
      </c>
      <c r="D101" s="130">
        <f>SUMIF(Пр_3!C9:C656,1005,Пр_3!G9:G656)</f>
        <v>0</v>
      </c>
      <c r="E101" s="130">
        <f>SUMIF(Пр_3!C9:C656,1005,Пр_3!H9:H656)</f>
        <v>0</v>
      </c>
      <c r="F101" s="21"/>
      <c r="G101" s="21"/>
    </row>
    <row r="102" spans="1:7" ht="16.5" thickBot="1">
      <c r="A102" s="102">
        <v>1006</v>
      </c>
      <c r="B102" s="103" t="s">
        <v>673</v>
      </c>
      <c r="C102" s="10">
        <f>SUMIF(Пр_3!C9:C656,1006,Пр_3!F9:F656)</f>
        <v>11961595</v>
      </c>
      <c r="D102" s="10">
        <f>SUMIF(Пр_3!C9:C656,1006,Пр_3!G9:G656)</f>
        <v>0</v>
      </c>
      <c r="E102" s="10">
        <f>SUMIF(Пр_3!C9:C656,1006,Пр_3!H9:H656)</f>
        <v>11961595</v>
      </c>
      <c r="F102" s="21"/>
      <c r="G102" s="21"/>
    </row>
    <row r="103" spans="1:7" ht="16.5" thickBot="1">
      <c r="A103" s="100">
        <v>1100</v>
      </c>
      <c r="B103" s="107" t="s">
        <v>599</v>
      </c>
      <c r="C103" s="106">
        <f>SUM(C104:C108)</f>
        <v>5307611</v>
      </c>
      <c r="D103" s="106">
        <f>SUM(D104:D108)</f>
        <v>0</v>
      </c>
      <c r="E103" s="134">
        <f>SUM(E104:E108)</f>
        <v>5307611</v>
      </c>
      <c r="F103" s="21"/>
      <c r="G103" s="21"/>
    </row>
    <row r="104" spans="1:7" hidden="1">
      <c r="A104" s="98">
        <v>1101</v>
      </c>
      <c r="B104" s="104" t="s">
        <v>600</v>
      </c>
      <c r="C104" s="133">
        <f>SUMIF(Пр_3!C9:C656,1101,Пр_3!F9:F656)</f>
        <v>0</v>
      </c>
      <c r="D104" s="133">
        <f>SUMIF(Пр_3!C9:C656,1101,Пр_3!G9:G656)</f>
        <v>0</v>
      </c>
      <c r="E104" s="133">
        <f>SUMIF(Пр_3!C9:C656,1101,Пр_3!H9:H656)</f>
        <v>0</v>
      </c>
      <c r="F104" s="21"/>
      <c r="G104" s="21"/>
    </row>
    <row r="105" spans="1:7" ht="16.5" thickBot="1">
      <c r="A105" s="96">
        <v>1102</v>
      </c>
      <c r="B105" s="94" t="s">
        <v>601</v>
      </c>
      <c r="C105" s="130">
        <f>SUMIF(Пр_3!C9:C656,1102,Пр_3!F9:F656)</f>
        <v>5307611</v>
      </c>
      <c r="D105" s="130">
        <f>SUMIF(Пр_3!C9:C656,1102,Пр_3!G9:G656)</f>
        <v>0</v>
      </c>
      <c r="E105" s="130">
        <f>SUMIF(Пр_3!C9:C656,1102,Пр_3!H9:H656)</f>
        <v>5307611</v>
      </c>
      <c r="F105" s="21"/>
      <c r="G105" s="21"/>
    </row>
    <row r="106" spans="1:7" hidden="1">
      <c r="A106" s="96">
        <v>1103</v>
      </c>
      <c r="B106" s="3" t="s">
        <v>1971</v>
      </c>
      <c r="C106" s="130">
        <f>SUMIF(Пр_3!C9:C656,1103,Пр_3!F9:F656)</f>
        <v>0</v>
      </c>
      <c r="D106" s="130">
        <f>SUMIF(Пр_3!C9:C656,1103,Пр_3!G9:G656)</f>
        <v>0</v>
      </c>
      <c r="E106" s="130">
        <f>SUMIF(Пр_3!C9:C656,1103,Пр_3!H9:H656)</f>
        <v>0</v>
      </c>
      <c r="F106" s="21"/>
      <c r="G106" s="21"/>
    </row>
    <row r="107" spans="1:7" ht="31.5" hidden="1">
      <c r="A107" s="96">
        <v>1104</v>
      </c>
      <c r="B107" s="3" t="s">
        <v>1972</v>
      </c>
      <c r="C107" s="130">
        <f>SUMIF(Пр_3!C9:C656,1104,Пр_3!F9:F656)</f>
        <v>0</v>
      </c>
      <c r="D107" s="130">
        <f>SUMIF(Пр_3!C9:C656,1104,Пр_3!G9:G656)</f>
        <v>0</v>
      </c>
      <c r="E107" s="130">
        <f>SUMIF(Пр_3!C9:C656,1104,Пр_3!H9:H656)</f>
        <v>0</v>
      </c>
      <c r="F107" s="21"/>
      <c r="G107" s="21"/>
    </row>
    <row r="108" spans="1:7" ht="16.5" hidden="1" thickBot="1">
      <c r="A108" s="102">
        <v>1105</v>
      </c>
      <c r="B108" s="103" t="s">
        <v>1973</v>
      </c>
      <c r="C108" s="10">
        <f>SUMIF(Пр_3!C9:C656,1105,Пр_3!F9:F656)</f>
        <v>0</v>
      </c>
      <c r="D108" s="10">
        <f>SUMIF(Пр_3!C9:C656,1105,Пр_3!G9:G656)</f>
        <v>0</v>
      </c>
      <c r="E108" s="10">
        <f>SUMIF(Пр_3!C9:C656,1105,Пр_3!H9:H656)</f>
        <v>0</v>
      </c>
      <c r="F108" s="21"/>
      <c r="G108" s="21"/>
    </row>
    <row r="109" spans="1:7" ht="16.5" thickBot="1">
      <c r="A109" s="100">
        <v>1200</v>
      </c>
      <c r="B109" s="107" t="s">
        <v>1974</v>
      </c>
      <c r="C109" s="106">
        <f>SUM(C110:C113)</f>
        <v>3758767</v>
      </c>
      <c r="D109" s="106">
        <f>SUM(D110:D113)</f>
        <v>0</v>
      </c>
      <c r="E109" s="134">
        <f>SUM(E110:E113)</f>
        <v>3758767</v>
      </c>
      <c r="F109" s="21"/>
      <c r="G109" s="21"/>
    </row>
    <row r="110" spans="1:7" hidden="1">
      <c r="A110" s="98">
        <v>1201</v>
      </c>
      <c r="B110" s="104" t="s">
        <v>78</v>
      </c>
      <c r="C110" s="133">
        <f>SUMIF(Пр_3!C9:C656,1201,Пр_3!F9:F656)</f>
        <v>0</v>
      </c>
      <c r="D110" s="133">
        <f>SUMIF(Пр_3!C9:C656,1201,Пр_3!G9:G656)</f>
        <v>0</v>
      </c>
      <c r="E110" s="133">
        <f>SUMIF(Пр_3!C9:C656,1201,Пр_3!H9:H656)</f>
        <v>0</v>
      </c>
      <c r="F110" s="21"/>
      <c r="G110" s="21"/>
    </row>
    <row r="111" spans="1:7" ht="16.5" thickBot="1">
      <c r="A111" s="96">
        <v>1202</v>
      </c>
      <c r="B111" s="3" t="s">
        <v>213</v>
      </c>
      <c r="C111" s="130">
        <f>SUMIF(Пр_3!C9:C656,1202,Пр_3!F9:F656)</f>
        <v>3758767</v>
      </c>
      <c r="D111" s="130">
        <f>SUMIF(Пр_3!C9:C656,1202,Пр_3!G9:G656)</f>
        <v>0</v>
      </c>
      <c r="E111" s="130">
        <f>SUMIF(Пр_3!C9:C656,1202,Пр_3!H9:H656)</f>
        <v>3758767</v>
      </c>
      <c r="F111" s="21"/>
      <c r="G111" s="21"/>
    </row>
    <row r="112" spans="1:7" ht="31.5" hidden="1">
      <c r="A112" s="96">
        <v>1203</v>
      </c>
      <c r="B112" s="3" t="s">
        <v>1975</v>
      </c>
      <c r="C112" s="130">
        <f>SUMIF(Пр_3!C9:C656,1203,Пр_3!F9:F656)</f>
        <v>0</v>
      </c>
      <c r="D112" s="130">
        <f>SUMIF(Пр_3!C9:C656,1203,Пр_3!G9:G656)</f>
        <v>0</v>
      </c>
      <c r="E112" s="130">
        <f>SUMIF(Пр_3!C9:C656,1203,Пр_3!H9:H656)</f>
        <v>0</v>
      </c>
      <c r="F112" s="21"/>
      <c r="G112" s="21"/>
    </row>
    <row r="113" spans="1:7" ht="16.5" hidden="1" thickBot="1">
      <c r="A113" s="102">
        <v>1204</v>
      </c>
      <c r="B113" s="103" t="s">
        <v>1976</v>
      </c>
      <c r="C113" s="10">
        <f>SUMIF(Пр_3!C9:C656,1204,Пр_3!F9:F656)</f>
        <v>0</v>
      </c>
      <c r="D113" s="10">
        <f>SUMIF(Пр_3!C9:C656,1204,Пр_3!G9:G656)</f>
        <v>0</v>
      </c>
      <c r="E113" s="10">
        <f>SUMIF(Пр_3!C9:C656,1204,Пр_3!H9:H656)</f>
        <v>0</v>
      </c>
      <c r="F113" s="21"/>
      <c r="G113" s="21"/>
    </row>
    <row r="114" spans="1:7" ht="32.25" thickBot="1">
      <c r="A114" s="100">
        <v>1300</v>
      </c>
      <c r="B114" s="107" t="s">
        <v>1977</v>
      </c>
      <c r="C114" s="106">
        <f>SUM(C115:C116)</f>
        <v>1024400</v>
      </c>
      <c r="D114" s="106">
        <f>SUM(D115:D116)</f>
        <v>0</v>
      </c>
      <c r="E114" s="134">
        <f>SUM(E115:E116)</f>
        <v>1024400</v>
      </c>
      <c r="F114" s="21"/>
      <c r="G114" s="21"/>
    </row>
    <row r="115" spans="1:7" ht="32.25" thickBot="1">
      <c r="A115" s="98">
        <v>1301</v>
      </c>
      <c r="B115" s="104" t="s">
        <v>1083</v>
      </c>
      <c r="C115" s="133">
        <f>SUMIF(Пр_3!C9:C656,1301,Пр_3!F9:F656)</f>
        <v>1024400</v>
      </c>
      <c r="D115" s="133">
        <f>SUMIF(Пр_3!C9:C656,1301,Пр_3!G9:G656)</f>
        <v>0</v>
      </c>
      <c r="E115" s="133">
        <f>SUMIF(Пр_3!C9:C656,1301,Пр_3!H9:H656)</f>
        <v>1024400</v>
      </c>
      <c r="F115" s="21"/>
      <c r="G115" s="21"/>
    </row>
    <row r="116" spans="1:7" ht="16.5" hidden="1" thickBot="1">
      <c r="A116" s="102">
        <v>1302</v>
      </c>
      <c r="B116" s="103" t="s">
        <v>1431</v>
      </c>
      <c r="C116" s="10">
        <f>SUMIF(Пр_3!C9:C656,1302,Пр_3!F9:F656)</f>
        <v>0</v>
      </c>
      <c r="D116" s="10">
        <f>SUMIF(Пр_3!C9:C656,1302,Пр_3!G9:G656)</f>
        <v>0</v>
      </c>
      <c r="E116" s="10">
        <f>SUMIF(Пр_3!C9:C656,1302,Пр_3!H9:H656)</f>
        <v>0</v>
      </c>
      <c r="F116" s="21"/>
      <c r="G116" s="21"/>
    </row>
    <row r="117" spans="1:7" ht="48" thickBot="1">
      <c r="A117" s="100">
        <v>1400</v>
      </c>
      <c r="B117" s="107" t="s">
        <v>1417</v>
      </c>
      <c r="C117" s="106">
        <f>SUM(C118:C120)</f>
        <v>25704000</v>
      </c>
      <c r="D117" s="106">
        <f>SUM(D118:D120)</f>
        <v>0</v>
      </c>
      <c r="E117" s="134">
        <f>SUM(E118:E120)</f>
        <v>25704000</v>
      </c>
      <c r="F117" s="21"/>
      <c r="G117" s="21"/>
    </row>
    <row r="118" spans="1:7" ht="31.5">
      <c r="A118" s="98">
        <v>1401</v>
      </c>
      <c r="B118" s="104" t="s">
        <v>1418</v>
      </c>
      <c r="C118" s="133">
        <f>SUMIF(Пр_3!C9:C656,1401,Пр_3!F9:F656)</f>
        <v>4948000</v>
      </c>
      <c r="D118" s="133">
        <f>SUMIF(Пр_3!C9:C656,1401,Пр_3!G9:G656)</f>
        <v>0</v>
      </c>
      <c r="E118" s="133">
        <f>SUMIF(Пр_3!C9:C656,1401,Пр_3!H9:H656)</f>
        <v>4948000</v>
      </c>
      <c r="F118" s="21"/>
      <c r="G118" s="21"/>
    </row>
    <row r="119" spans="1:7">
      <c r="A119" s="96">
        <v>1402</v>
      </c>
      <c r="B119" s="3" t="s">
        <v>1419</v>
      </c>
      <c r="C119" s="130">
        <f>SUMIF(Пр_3!C9:C656,1402,Пр_3!F9:F656)</f>
        <v>6060000</v>
      </c>
      <c r="D119" s="130">
        <f>SUMIF(Пр_3!C9:C656,1402,Пр_3!G9:G656)</f>
        <v>0</v>
      </c>
      <c r="E119" s="130">
        <f>SUMIF(Пр_3!C9:C656,1402,Пр_3!H9:H656)</f>
        <v>6060000</v>
      </c>
      <c r="F119" s="21"/>
      <c r="G119" s="21"/>
    </row>
    <row r="120" spans="1:7" ht="48" thickBot="1">
      <c r="A120" s="102">
        <v>1403</v>
      </c>
      <c r="B120" s="103" t="s">
        <v>1420</v>
      </c>
      <c r="C120" s="10">
        <f>SUMIF(Пр_3!C9:C656,1403,Пр_3!F9:F656)</f>
        <v>14696000</v>
      </c>
      <c r="D120" s="10">
        <f>SUMIF(Пр_3!C9:C656,1403,Пр_3!G9:G656)</f>
        <v>0</v>
      </c>
      <c r="E120" s="10">
        <f>SUMIF(Пр_3!C9:C656,1403,Пр_3!H9:H656)</f>
        <v>14696000</v>
      </c>
      <c r="F120" s="21"/>
      <c r="G120" s="21"/>
    </row>
    <row r="121" spans="1:7" ht="16.5" thickBot="1">
      <c r="A121" s="334" t="s">
        <v>1007</v>
      </c>
      <c r="B121" s="335"/>
      <c r="C121" s="62">
        <f>C9+C23+C33+C46+C59+C65+C71+C81+C86+C96+C103+C109+C114+C117</f>
        <v>1544260370</v>
      </c>
      <c r="D121" s="62">
        <f>D9+D23+D33+D46+D59+D65+D71+D81+D86+D96+D103+D109+D114+D117</f>
        <v>-3080197</v>
      </c>
      <c r="E121" s="132">
        <f>E9+E23+E33+E46+E59+E65+E71+E81+E86+E96+E103+E109+E114+E117</f>
        <v>1541180173</v>
      </c>
    </row>
    <row r="122" spans="1:7" ht="16.5" thickBot="1">
      <c r="A122" s="334" t="s">
        <v>913</v>
      </c>
      <c r="B122" s="335"/>
      <c r="C122" s="131">
        <f>Пр_1!I133-Пр_2!C121</f>
        <v>-14487290</v>
      </c>
      <c r="D122" s="131">
        <f>-Пр_2!D121+Пр_1!J133</f>
        <v>0</v>
      </c>
      <c r="E122" s="22">
        <f>Пр_1!K133-Пр_2!E121</f>
        <v>-14487290</v>
      </c>
    </row>
  </sheetData>
  <customSheetViews>
    <customSheetView guid="{91923F83-3A6B-4204-9891-178562AB34F1}" showPageBreaks="1" fitToPage="1" printArea="1" hiddenRows="1" hiddenColumns="1" showRuler="0" topLeftCell="A42">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1"/>
      <headerFooter alignWithMargins="0">
        <oddFooter>&amp;C&amp;P</oddFooter>
      </headerFooter>
    </customSheetView>
    <customSheetView guid="{66DBF0AC-E9A0-482F-9E41-1928B6CA83DC}" showPageBreaks="1" fitToPage="1" hiddenColumns="1" showRuler="0" topLeftCell="B43">
      <selection activeCell="H55" sqref="H55"/>
      <rowBreaks count="2" manualBreakCount="2">
        <brk id="44" max="2" man="1"/>
        <brk id="56" max="16383" man="1"/>
      </rowBreaks>
      <pageMargins left="0.59055118110236227" right="0.19685039370078741" top="0.39370078740157483" bottom="0.78740157480314965" header="0.51181102362204722" footer="0.51181102362204722"/>
      <pageSetup paperSize="9" scale="76" orientation="portrait" r:id="rId2"/>
      <headerFooter alignWithMargins="0">
        <oddFooter>&amp;C&amp;P</oddFooter>
      </headerFooter>
    </customSheetView>
    <customSheetView guid="{A5E41FC9-89B1-40D2-B587-57BC4C5E4715}" showPageBreaks="1" fitToPage="1" printArea="1" hiddenRows="1" hiddenColumns="1" showRuler="0" topLeftCell="A35">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3"/>
      <headerFooter alignWithMargins="0">
        <oddFooter>&amp;C&amp;P</oddFooter>
      </headerFooter>
    </customSheetView>
    <customSheetView guid="{F3607253-7816-4CF7-9CFD-2ADFFAD916F8}" fitToPage="1" hiddenRows="1" hiddenColumns="1" showRuler="0" topLeftCell="A17">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4"/>
      <headerFooter alignWithMargins="0">
        <oddFooter>&amp;C&amp;P</oddFooter>
      </headerFooter>
    </customSheetView>
    <customSheetView guid="{B3311466-F005-49F1-A579-3E6CECE305A8}" showPageBreaks="1" fitToPage="1" printArea="1" hiddenRows="1" hiddenColumns="1" showRuler="0" topLeftCell="A14">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5"/>
      <headerFooter alignWithMargins="0">
        <oddFooter>&amp;C&amp;P</oddFooter>
      </headerFooter>
    </customSheetView>
    <customSheetView guid="{E5662E33-D4B0-43EA-9B06-C8DA9DFDBEF6}" showPageBreaks="1" fitToPage="1" printArea="1" hiddenRows="1" hiddenColumns="1" showRuler="0">
      <selection activeCell="C56" sqref="C56"/>
      <rowBreaks count="1" manualBreakCount="1">
        <brk id="44" max="2" man="1"/>
      </rowBreaks>
      <pageMargins left="0.59055118110236227" right="0.19685039370078741" top="0.39370078740157483" bottom="0.78740157480314965" header="0.51181102362204722" footer="0.51181102362204722"/>
      <pageSetup paperSize="9" scale="77" orientation="portrait" r:id="rId6"/>
      <headerFooter alignWithMargins="0">
        <oddFooter>&amp;C&amp;P</oddFooter>
      </headerFooter>
    </customSheetView>
  </customSheetViews>
  <mergeCells count="7">
    <mergeCell ref="A122:B122"/>
    <mergeCell ref="A6:E6"/>
    <mergeCell ref="A121:B121"/>
    <mergeCell ref="A1:E1"/>
    <mergeCell ref="A2:E2"/>
    <mergeCell ref="A3:E3"/>
    <mergeCell ref="A4:E4"/>
  </mergeCells>
  <phoneticPr fontId="0" type="noConversion"/>
  <pageMargins left="0.78740157480314965" right="0.39370078740157483" top="0.39370078740157483" bottom="0.39370078740157483" header="0.19685039370078741" footer="0.19685039370078741"/>
  <pageSetup paperSize="9" scale="94" fitToHeight="0" orientation="portrait" r:id="rId7"/>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0"/>
  <sheetViews>
    <sheetView view="pageBreakPreview" zoomScale="115" zoomScaleNormal="100" zoomScaleSheetLayoutView="115" workbookViewId="0">
      <selection activeCell="B24" sqref="B24"/>
    </sheetView>
  </sheetViews>
  <sheetFormatPr defaultRowHeight="12.75"/>
  <cols>
    <col min="1" max="1" width="4.140625" bestFit="1" customWidth="1"/>
    <col min="2" max="2" width="57.85546875" customWidth="1"/>
    <col min="3" max="3" width="22.28515625" customWidth="1"/>
    <col min="257" max="257" width="4.140625" bestFit="1" customWidth="1"/>
    <col min="258" max="258" width="65.28515625" customWidth="1"/>
    <col min="259" max="259" width="22.28515625" customWidth="1"/>
    <col min="513" max="513" width="4.140625" bestFit="1" customWidth="1"/>
    <col min="514" max="514" width="65.28515625" customWidth="1"/>
    <col min="515" max="515" width="22.28515625" customWidth="1"/>
    <col min="769" max="769" width="4.140625" bestFit="1" customWidth="1"/>
    <col min="770" max="770" width="65.28515625" customWidth="1"/>
    <col min="771" max="771" width="22.28515625" customWidth="1"/>
    <col min="1025" max="1025" width="4.140625" bestFit="1" customWidth="1"/>
    <col min="1026" max="1026" width="65.28515625" customWidth="1"/>
    <col min="1027" max="1027" width="22.28515625" customWidth="1"/>
    <col min="1281" max="1281" width="4.140625" bestFit="1" customWidth="1"/>
    <col min="1282" max="1282" width="65.28515625" customWidth="1"/>
    <col min="1283" max="1283" width="22.28515625" customWidth="1"/>
    <col min="1537" max="1537" width="4.140625" bestFit="1" customWidth="1"/>
    <col min="1538" max="1538" width="65.28515625" customWidth="1"/>
    <col min="1539" max="1539" width="22.28515625" customWidth="1"/>
    <col min="1793" max="1793" width="4.140625" bestFit="1" customWidth="1"/>
    <col min="1794" max="1794" width="65.28515625" customWidth="1"/>
    <col min="1795" max="1795" width="22.28515625" customWidth="1"/>
    <col min="2049" max="2049" width="4.140625" bestFit="1" customWidth="1"/>
    <col min="2050" max="2050" width="65.28515625" customWidth="1"/>
    <col min="2051" max="2051" width="22.28515625" customWidth="1"/>
    <col min="2305" max="2305" width="4.140625" bestFit="1" customWidth="1"/>
    <col min="2306" max="2306" width="65.28515625" customWidth="1"/>
    <col min="2307" max="2307" width="22.28515625" customWidth="1"/>
    <col min="2561" max="2561" width="4.140625" bestFit="1" customWidth="1"/>
    <col min="2562" max="2562" width="65.28515625" customWidth="1"/>
    <col min="2563" max="2563" width="22.28515625" customWidth="1"/>
    <col min="2817" max="2817" width="4.140625" bestFit="1" customWidth="1"/>
    <col min="2818" max="2818" width="65.28515625" customWidth="1"/>
    <col min="2819" max="2819" width="22.28515625" customWidth="1"/>
    <col min="3073" max="3073" width="4.140625" bestFit="1" customWidth="1"/>
    <col min="3074" max="3074" width="65.28515625" customWidth="1"/>
    <col min="3075" max="3075" width="22.28515625" customWidth="1"/>
    <col min="3329" max="3329" width="4.140625" bestFit="1" customWidth="1"/>
    <col min="3330" max="3330" width="65.28515625" customWidth="1"/>
    <col min="3331" max="3331" width="22.28515625" customWidth="1"/>
    <col min="3585" max="3585" width="4.140625" bestFit="1" customWidth="1"/>
    <col min="3586" max="3586" width="65.28515625" customWidth="1"/>
    <col min="3587" max="3587" width="22.28515625" customWidth="1"/>
    <col min="3841" max="3841" width="4.140625" bestFit="1" customWidth="1"/>
    <col min="3842" max="3842" width="65.28515625" customWidth="1"/>
    <col min="3843" max="3843" width="22.28515625" customWidth="1"/>
    <col min="4097" max="4097" width="4.140625" bestFit="1" customWidth="1"/>
    <col min="4098" max="4098" width="65.28515625" customWidth="1"/>
    <col min="4099" max="4099" width="22.28515625" customWidth="1"/>
    <col min="4353" max="4353" width="4.140625" bestFit="1" customWidth="1"/>
    <col min="4354" max="4354" width="65.28515625" customWidth="1"/>
    <col min="4355" max="4355" width="22.28515625" customWidth="1"/>
    <col min="4609" max="4609" width="4.140625" bestFit="1" customWidth="1"/>
    <col min="4610" max="4610" width="65.28515625" customWidth="1"/>
    <col min="4611" max="4611" width="22.28515625" customWidth="1"/>
    <col min="4865" max="4865" width="4.140625" bestFit="1" customWidth="1"/>
    <col min="4866" max="4866" width="65.28515625" customWidth="1"/>
    <col min="4867" max="4867" width="22.28515625" customWidth="1"/>
    <col min="5121" max="5121" width="4.140625" bestFit="1" customWidth="1"/>
    <col min="5122" max="5122" width="65.28515625" customWidth="1"/>
    <col min="5123" max="5123" width="22.28515625" customWidth="1"/>
    <col min="5377" max="5377" width="4.140625" bestFit="1" customWidth="1"/>
    <col min="5378" max="5378" width="65.28515625" customWidth="1"/>
    <col min="5379" max="5379" width="22.28515625" customWidth="1"/>
    <col min="5633" max="5633" width="4.140625" bestFit="1" customWidth="1"/>
    <col min="5634" max="5634" width="65.28515625" customWidth="1"/>
    <col min="5635" max="5635" width="22.28515625" customWidth="1"/>
    <col min="5889" max="5889" width="4.140625" bestFit="1" customWidth="1"/>
    <col min="5890" max="5890" width="65.28515625" customWidth="1"/>
    <col min="5891" max="5891" width="22.28515625" customWidth="1"/>
    <col min="6145" max="6145" width="4.140625" bestFit="1" customWidth="1"/>
    <col min="6146" max="6146" width="65.28515625" customWidth="1"/>
    <col min="6147" max="6147" width="22.28515625" customWidth="1"/>
    <col min="6401" max="6401" width="4.140625" bestFit="1" customWidth="1"/>
    <col min="6402" max="6402" width="65.28515625" customWidth="1"/>
    <col min="6403" max="6403" width="22.28515625" customWidth="1"/>
    <col min="6657" max="6657" width="4.140625" bestFit="1" customWidth="1"/>
    <col min="6658" max="6658" width="65.28515625" customWidth="1"/>
    <col min="6659" max="6659" width="22.28515625" customWidth="1"/>
    <col min="6913" max="6913" width="4.140625" bestFit="1" customWidth="1"/>
    <col min="6914" max="6914" width="65.28515625" customWidth="1"/>
    <col min="6915" max="6915" width="22.28515625" customWidth="1"/>
    <col min="7169" max="7169" width="4.140625" bestFit="1" customWidth="1"/>
    <col min="7170" max="7170" width="65.28515625" customWidth="1"/>
    <col min="7171" max="7171" width="22.28515625" customWidth="1"/>
    <col min="7425" max="7425" width="4.140625" bestFit="1" customWidth="1"/>
    <col min="7426" max="7426" width="65.28515625" customWidth="1"/>
    <col min="7427" max="7427" width="22.28515625" customWidth="1"/>
    <col min="7681" max="7681" width="4.140625" bestFit="1" customWidth="1"/>
    <col min="7682" max="7682" width="65.28515625" customWidth="1"/>
    <col min="7683" max="7683" width="22.28515625" customWidth="1"/>
    <col min="7937" max="7937" width="4.140625" bestFit="1" customWidth="1"/>
    <col min="7938" max="7938" width="65.28515625" customWidth="1"/>
    <col min="7939" max="7939" width="22.28515625" customWidth="1"/>
    <col min="8193" max="8193" width="4.140625" bestFit="1" customWidth="1"/>
    <col min="8194" max="8194" width="65.28515625" customWidth="1"/>
    <col min="8195" max="8195" width="22.28515625" customWidth="1"/>
    <col min="8449" max="8449" width="4.140625" bestFit="1" customWidth="1"/>
    <col min="8450" max="8450" width="65.28515625" customWidth="1"/>
    <col min="8451" max="8451" width="22.28515625" customWidth="1"/>
    <col min="8705" max="8705" width="4.140625" bestFit="1" customWidth="1"/>
    <col min="8706" max="8706" width="65.28515625" customWidth="1"/>
    <col min="8707" max="8707" width="22.28515625" customWidth="1"/>
    <col min="8961" max="8961" width="4.140625" bestFit="1" customWidth="1"/>
    <col min="8962" max="8962" width="65.28515625" customWidth="1"/>
    <col min="8963" max="8963" width="22.28515625" customWidth="1"/>
    <col min="9217" max="9217" width="4.140625" bestFit="1" customWidth="1"/>
    <col min="9218" max="9218" width="65.28515625" customWidth="1"/>
    <col min="9219" max="9219" width="22.28515625" customWidth="1"/>
    <col min="9473" max="9473" width="4.140625" bestFit="1" customWidth="1"/>
    <col min="9474" max="9474" width="65.28515625" customWidth="1"/>
    <col min="9475" max="9475" width="22.28515625" customWidth="1"/>
    <col min="9729" max="9729" width="4.140625" bestFit="1" customWidth="1"/>
    <col min="9730" max="9730" width="65.28515625" customWidth="1"/>
    <col min="9731" max="9731" width="22.28515625" customWidth="1"/>
    <col min="9985" max="9985" width="4.140625" bestFit="1" customWidth="1"/>
    <col min="9986" max="9986" width="65.28515625" customWidth="1"/>
    <col min="9987" max="9987" width="22.28515625" customWidth="1"/>
    <col min="10241" max="10241" width="4.140625" bestFit="1" customWidth="1"/>
    <col min="10242" max="10242" width="65.28515625" customWidth="1"/>
    <col min="10243" max="10243" width="22.28515625" customWidth="1"/>
    <col min="10497" max="10497" width="4.140625" bestFit="1" customWidth="1"/>
    <col min="10498" max="10498" width="65.28515625" customWidth="1"/>
    <col min="10499" max="10499" width="22.28515625" customWidth="1"/>
    <col min="10753" max="10753" width="4.140625" bestFit="1" customWidth="1"/>
    <col min="10754" max="10754" width="65.28515625" customWidth="1"/>
    <col min="10755" max="10755" width="22.28515625" customWidth="1"/>
    <col min="11009" max="11009" width="4.140625" bestFit="1" customWidth="1"/>
    <col min="11010" max="11010" width="65.28515625" customWidth="1"/>
    <col min="11011" max="11011" width="22.28515625" customWidth="1"/>
    <col min="11265" max="11265" width="4.140625" bestFit="1" customWidth="1"/>
    <col min="11266" max="11266" width="65.28515625" customWidth="1"/>
    <col min="11267" max="11267" width="22.28515625" customWidth="1"/>
    <col min="11521" max="11521" width="4.140625" bestFit="1" customWidth="1"/>
    <col min="11522" max="11522" width="65.28515625" customWidth="1"/>
    <col min="11523" max="11523" width="22.28515625" customWidth="1"/>
    <col min="11777" max="11777" width="4.140625" bestFit="1" customWidth="1"/>
    <col min="11778" max="11778" width="65.28515625" customWidth="1"/>
    <col min="11779" max="11779" width="22.28515625" customWidth="1"/>
    <col min="12033" max="12033" width="4.140625" bestFit="1" customWidth="1"/>
    <col min="12034" max="12034" width="65.28515625" customWidth="1"/>
    <col min="12035" max="12035" width="22.28515625" customWidth="1"/>
    <col min="12289" max="12289" width="4.140625" bestFit="1" customWidth="1"/>
    <col min="12290" max="12290" width="65.28515625" customWidth="1"/>
    <col min="12291" max="12291" width="22.28515625" customWidth="1"/>
    <col min="12545" max="12545" width="4.140625" bestFit="1" customWidth="1"/>
    <col min="12546" max="12546" width="65.28515625" customWidth="1"/>
    <col min="12547" max="12547" width="22.28515625" customWidth="1"/>
    <col min="12801" max="12801" width="4.140625" bestFit="1" customWidth="1"/>
    <col min="12802" max="12802" width="65.28515625" customWidth="1"/>
    <col min="12803" max="12803" width="22.28515625" customWidth="1"/>
    <col min="13057" max="13057" width="4.140625" bestFit="1" customWidth="1"/>
    <col min="13058" max="13058" width="65.28515625" customWidth="1"/>
    <col min="13059" max="13059" width="22.28515625" customWidth="1"/>
    <col min="13313" max="13313" width="4.140625" bestFit="1" customWidth="1"/>
    <col min="13314" max="13314" width="65.28515625" customWidth="1"/>
    <col min="13315" max="13315" width="22.28515625" customWidth="1"/>
    <col min="13569" max="13569" width="4.140625" bestFit="1" customWidth="1"/>
    <col min="13570" max="13570" width="65.28515625" customWidth="1"/>
    <col min="13571" max="13571" width="22.28515625" customWidth="1"/>
    <col min="13825" max="13825" width="4.140625" bestFit="1" customWidth="1"/>
    <col min="13826" max="13826" width="65.28515625" customWidth="1"/>
    <col min="13827" max="13827" width="22.28515625" customWidth="1"/>
    <col min="14081" max="14081" width="4.140625" bestFit="1" customWidth="1"/>
    <col min="14082" max="14082" width="65.28515625" customWidth="1"/>
    <col min="14083" max="14083" width="22.28515625" customWidth="1"/>
    <col min="14337" max="14337" width="4.140625" bestFit="1" customWidth="1"/>
    <col min="14338" max="14338" width="65.28515625" customWidth="1"/>
    <col min="14339" max="14339" width="22.28515625" customWidth="1"/>
    <col min="14593" max="14593" width="4.140625" bestFit="1" customWidth="1"/>
    <col min="14594" max="14594" width="65.28515625" customWidth="1"/>
    <col min="14595" max="14595" width="22.28515625" customWidth="1"/>
    <col min="14849" max="14849" width="4.140625" bestFit="1" customWidth="1"/>
    <col min="14850" max="14850" width="65.28515625" customWidth="1"/>
    <col min="14851" max="14851" width="22.28515625" customWidth="1"/>
    <col min="15105" max="15105" width="4.140625" bestFit="1" customWidth="1"/>
    <col min="15106" max="15106" width="65.28515625" customWidth="1"/>
    <col min="15107" max="15107" width="22.28515625" customWidth="1"/>
    <col min="15361" max="15361" width="4.140625" bestFit="1" customWidth="1"/>
    <col min="15362" max="15362" width="65.28515625" customWidth="1"/>
    <col min="15363" max="15363" width="22.28515625" customWidth="1"/>
    <col min="15617" max="15617" width="4.140625" bestFit="1" customWidth="1"/>
    <col min="15618" max="15618" width="65.28515625" customWidth="1"/>
    <col min="15619" max="15619" width="22.28515625" customWidth="1"/>
    <col min="15873" max="15873" width="4.140625" bestFit="1" customWidth="1"/>
    <col min="15874" max="15874" width="65.28515625" customWidth="1"/>
    <col min="15875" max="15875" width="22.28515625" customWidth="1"/>
    <col min="16129" max="16129" width="4.140625" bestFit="1" customWidth="1"/>
    <col min="16130" max="16130" width="65.28515625" customWidth="1"/>
    <col min="16131" max="16131" width="22.28515625" customWidth="1"/>
  </cols>
  <sheetData>
    <row r="1" spans="1:6" ht="15.75">
      <c r="A1" s="332" t="s">
        <v>1926</v>
      </c>
      <c r="B1" s="332"/>
      <c r="C1" s="332"/>
    </row>
    <row r="2" spans="1:6" ht="15.75">
      <c r="A2" s="332" t="s">
        <v>914</v>
      </c>
      <c r="B2" s="332"/>
      <c r="C2" s="332"/>
    </row>
    <row r="3" spans="1:6" ht="15.75">
      <c r="A3" s="332" t="s">
        <v>643</v>
      </c>
      <c r="B3" s="332"/>
      <c r="C3" s="332"/>
    </row>
    <row r="4" spans="1:6" ht="15.75">
      <c r="A4" s="332" t="s">
        <v>2133</v>
      </c>
      <c r="B4" s="332"/>
      <c r="C4" s="332"/>
      <c r="D4" s="328"/>
      <c r="E4" s="328"/>
      <c r="F4" s="328"/>
    </row>
    <row r="6" spans="1:6" ht="54" customHeight="1">
      <c r="A6" s="336" t="s">
        <v>2103</v>
      </c>
      <c r="B6" s="336"/>
      <c r="C6" s="336"/>
    </row>
    <row r="7" spans="1:6" ht="10.5" customHeight="1">
      <c r="A7" s="311"/>
    </row>
    <row r="8" spans="1:6" ht="15.75">
      <c r="A8" s="312" t="s">
        <v>2104</v>
      </c>
      <c r="B8" s="337" t="s">
        <v>1525</v>
      </c>
      <c r="C8" s="313" t="s">
        <v>2105</v>
      </c>
    </row>
    <row r="9" spans="1:6" ht="15.75">
      <c r="A9" s="314" t="s">
        <v>2106</v>
      </c>
      <c r="B9" s="338"/>
      <c r="C9" s="315" t="s">
        <v>2107</v>
      </c>
    </row>
    <row r="10" spans="1:6" ht="18.75">
      <c r="A10" s="316">
        <v>1</v>
      </c>
      <c r="B10" s="317" t="s">
        <v>2108</v>
      </c>
      <c r="C10" s="318">
        <v>950</v>
      </c>
    </row>
    <row r="11" spans="1:6" ht="33.75" customHeight="1">
      <c r="A11" s="316">
        <v>2</v>
      </c>
      <c r="B11" s="317" t="s">
        <v>316</v>
      </c>
      <c r="C11" s="318">
        <v>952</v>
      </c>
    </row>
    <row r="12" spans="1:6" ht="18.75">
      <c r="A12" s="316">
        <v>3</v>
      </c>
      <c r="B12" s="317" t="s">
        <v>317</v>
      </c>
      <c r="C12" s="318">
        <v>953</v>
      </c>
    </row>
    <row r="13" spans="1:6" ht="35.25" customHeight="1">
      <c r="A13" s="316">
        <v>4</v>
      </c>
      <c r="B13" s="319" t="s">
        <v>2109</v>
      </c>
      <c r="C13" s="320">
        <v>954</v>
      </c>
    </row>
    <row r="14" spans="1:6" ht="18.75">
      <c r="A14" s="316">
        <v>5</v>
      </c>
      <c r="B14" s="317" t="s">
        <v>1582</v>
      </c>
      <c r="C14" s="318">
        <v>955</v>
      </c>
    </row>
    <row r="15" spans="1:6" ht="31.5">
      <c r="A15" s="316">
        <v>6</v>
      </c>
      <c r="B15" s="317" t="s">
        <v>2110</v>
      </c>
      <c r="C15" s="318">
        <v>956</v>
      </c>
    </row>
    <row r="16" spans="1:6" ht="31.5">
      <c r="A16" s="316">
        <v>7</v>
      </c>
      <c r="B16" s="317" t="s">
        <v>2111</v>
      </c>
      <c r="C16" s="318">
        <v>957</v>
      </c>
    </row>
    <row r="17" spans="1:3" ht="31.5">
      <c r="A17" s="316">
        <v>8</v>
      </c>
      <c r="B17" s="317" t="s">
        <v>2112</v>
      </c>
      <c r="C17" s="318">
        <v>958</v>
      </c>
    </row>
    <row r="18" spans="1:3" ht="18.75">
      <c r="A18" s="316">
        <v>9</v>
      </c>
      <c r="B18" s="317" t="s">
        <v>2114</v>
      </c>
      <c r="C18" s="318">
        <v>962</v>
      </c>
    </row>
    <row r="19" spans="1:3" ht="18.75" hidden="1">
      <c r="A19" s="316">
        <v>9</v>
      </c>
      <c r="B19" s="317" t="s">
        <v>2113</v>
      </c>
      <c r="C19" s="318">
        <v>974</v>
      </c>
    </row>
    <row r="20" spans="1:3" ht="18.75">
      <c r="A20" s="316">
        <v>10</v>
      </c>
      <c r="B20" s="319" t="s">
        <v>1528</v>
      </c>
      <c r="C20" s="321">
        <v>982</v>
      </c>
    </row>
  </sheetData>
  <mergeCells count="6">
    <mergeCell ref="B8:B9"/>
    <mergeCell ref="A1:C1"/>
    <mergeCell ref="A2:C2"/>
    <mergeCell ref="A3:C3"/>
    <mergeCell ref="A6:C6"/>
    <mergeCell ref="A4: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I658"/>
  <sheetViews>
    <sheetView showGridLines="0" view="pageBreakPreview" topLeftCell="A644" zoomScaleSheetLayoutView="100" workbookViewId="0">
      <selection activeCell="H658" sqref="H658"/>
    </sheetView>
  </sheetViews>
  <sheetFormatPr defaultRowHeight="15.75" outlineLevelCol="1"/>
  <cols>
    <col min="1" max="1" width="42.5703125" style="12" customWidth="1"/>
    <col min="2" max="2" width="10.7109375" style="13" customWidth="1"/>
    <col min="3" max="3" width="7.85546875" style="13" customWidth="1"/>
    <col min="4" max="4" width="10.140625" style="13" customWidth="1"/>
    <col min="5" max="5" width="7.7109375" style="13" customWidth="1"/>
    <col min="6" max="6" width="15.7109375" style="113" hidden="1" customWidth="1" outlineLevel="1"/>
    <col min="7" max="7" width="15.140625" style="89" hidden="1" customWidth="1" outlineLevel="1"/>
    <col min="8" max="8" width="15.5703125" style="68" customWidth="1" collapsed="1"/>
    <col min="9" max="9" width="17.7109375" style="11" customWidth="1"/>
    <col min="10" max="16384" width="9.140625" style="11"/>
  </cols>
  <sheetData>
    <row r="1" spans="1:9">
      <c r="A1" s="339" t="s">
        <v>1926</v>
      </c>
      <c r="B1" s="339"/>
      <c r="C1" s="339"/>
      <c r="D1" s="339"/>
      <c r="E1" s="339"/>
      <c r="F1" s="339"/>
      <c r="G1" s="339"/>
      <c r="H1" s="339"/>
    </row>
    <row r="2" spans="1:9">
      <c r="A2" s="339" t="s">
        <v>914</v>
      </c>
      <c r="B2" s="339"/>
      <c r="C2" s="339"/>
      <c r="D2" s="339"/>
      <c r="E2" s="339"/>
      <c r="F2" s="339"/>
      <c r="G2" s="339"/>
      <c r="H2" s="339"/>
    </row>
    <row r="3" spans="1:9">
      <c r="A3" s="339" t="s">
        <v>643</v>
      </c>
      <c r="B3" s="339"/>
      <c r="C3" s="339"/>
      <c r="D3" s="339"/>
      <c r="E3" s="339"/>
      <c r="F3" s="339"/>
      <c r="G3" s="339"/>
      <c r="H3" s="339"/>
    </row>
    <row r="4" spans="1:9">
      <c r="A4" s="339" t="s">
        <v>2132</v>
      </c>
      <c r="B4" s="339"/>
      <c r="C4" s="339"/>
      <c r="D4" s="339"/>
      <c r="E4" s="339"/>
      <c r="F4" s="339"/>
      <c r="G4" s="339"/>
      <c r="H4" s="339"/>
    </row>
    <row r="5" spans="1:9">
      <c r="A5" s="59"/>
      <c r="B5" s="60"/>
      <c r="C5" s="60"/>
      <c r="D5" s="60"/>
      <c r="E5" s="60"/>
      <c r="F5" s="111"/>
      <c r="H5" s="67"/>
    </row>
    <row r="6" spans="1:9" ht="35.25" customHeight="1">
      <c r="A6" s="340" t="s">
        <v>1244</v>
      </c>
      <c r="B6" s="340"/>
      <c r="C6" s="340"/>
      <c r="D6" s="340"/>
      <c r="E6" s="340"/>
      <c r="F6" s="340"/>
      <c r="G6" s="340"/>
      <c r="H6" s="340"/>
    </row>
    <row r="8" spans="1:9" s="14" customFormat="1" ht="42.75" customHeight="1">
      <c r="A8" s="32" t="s">
        <v>1525</v>
      </c>
      <c r="B8" s="33" t="s">
        <v>1313</v>
      </c>
      <c r="C8" s="33" t="s">
        <v>1513</v>
      </c>
      <c r="D8" s="33" t="s">
        <v>1514</v>
      </c>
      <c r="E8" s="33" t="s">
        <v>1515</v>
      </c>
      <c r="F8" s="112" t="s">
        <v>2142</v>
      </c>
      <c r="G8" s="90" t="s">
        <v>67</v>
      </c>
      <c r="H8" s="58" t="s">
        <v>375</v>
      </c>
    </row>
    <row r="9" spans="1:9" s="15" customFormat="1" ht="31.5">
      <c r="A9" s="34" t="str">
        <f>IF(B9&gt;0,VLOOKUP(B9,КВСР!A1:B1166,2),IF(C9&gt;0,VLOOKUP(C9,КФСР!A1:B1513,2),IF(D9&gt;0,VLOOKUP(D9,КЦСР!A1:B3961,2),IF(E9&gt;0,VLOOKUP(E9,КВР!A1:B1929,2)))))</f>
        <v>Администрация Тутаевского муниципального района</v>
      </c>
      <c r="B9" s="69">
        <v>950</v>
      </c>
      <c r="C9" s="70"/>
      <c r="D9" s="71"/>
      <c r="E9" s="72"/>
      <c r="F9" s="35">
        <v>92958536</v>
      </c>
      <c r="G9" s="35">
        <f>G10+G14+G24+G34+G38+G51+G77+G28+G60</f>
        <v>-7496200</v>
      </c>
      <c r="H9" s="35">
        <f>H10+H14+H24+H34+H38+H51+H77+H28+H60</f>
        <v>85462336</v>
      </c>
      <c r="I9" s="124"/>
    </row>
    <row r="10" spans="1:9" s="15" customFormat="1" ht="63">
      <c r="A10" s="29" t="str">
        <f>IF(B10&gt;0,VLOOKUP(B10,КВСР!A2:B1167,2),IF(C10&gt;0,VLOOKUP(C10,КФСР!A2:B1514,2),IF(D10&gt;0,VLOOKUP(D10,КЦСР!A2:B3962,2),IF(E10&gt;0,VLOOKUP(E10,КВР!A2:B1930,2)))))</f>
        <v>Функционирование высшего должностного лица субъекта Российской Федерации и муниципального образования</v>
      </c>
      <c r="B10" s="73"/>
      <c r="C10" s="70">
        <v>102</v>
      </c>
      <c r="D10" s="71"/>
      <c r="E10" s="72"/>
      <c r="F10" s="30">
        <v>1032750</v>
      </c>
      <c r="G10" s="30">
        <f t="shared" ref="G10:H12" si="0">G11</f>
        <v>0</v>
      </c>
      <c r="H10" s="30">
        <f t="shared" si="0"/>
        <v>1032750</v>
      </c>
    </row>
    <row r="11" spans="1:9" s="15" customFormat="1" ht="78.75">
      <c r="A11" s="29" t="str">
        <f>IF(B11&gt;0,VLOOKUP(B11,КВСР!A3:B1168,2),IF(C11&gt;0,VLOOKUP(C11,КФСР!A3:B1515,2),IF(D11&gt;0,VLOOKUP(D11,КЦСР!A3:B3963,2),IF(E11&gt;0,VLOOKUP(E11,КВР!A3:B1931,2)))))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11" s="73"/>
      <c r="C11" s="70"/>
      <c r="D11" s="71">
        <v>20000</v>
      </c>
      <c r="E11" s="72"/>
      <c r="F11" s="30">
        <v>1032750</v>
      </c>
      <c r="G11" s="30">
        <f t="shared" si="0"/>
        <v>0</v>
      </c>
      <c r="H11" s="30">
        <f t="shared" si="0"/>
        <v>1032750</v>
      </c>
    </row>
    <row r="12" spans="1:9" s="15" customFormat="1" ht="20.25" customHeight="1">
      <c r="A12" s="29" t="str">
        <f>IF(B12&gt;0,VLOOKUP(B12,КВСР!A4:B1169,2),IF(C12&gt;0,VLOOKUP(C12,КФСР!A4:B1516,2),IF(D12&gt;0,VLOOKUP(D12,КЦСР!A4:B3964,2),IF(E12&gt;0,VLOOKUP(E12,КВР!A4:B1932,2)))))</f>
        <v>Глава муниципального образования</v>
      </c>
      <c r="B12" s="73"/>
      <c r="C12" s="70"/>
      <c r="D12" s="71">
        <v>20300</v>
      </c>
      <c r="E12" s="72"/>
      <c r="F12" s="30">
        <v>1032750</v>
      </c>
      <c r="G12" s="30">
        <f t="shared" si="0"/>
        <v>0</v>
      </c>
      <c r="H12" s="30">
        <f t="shared" si="0"/>
        <v>1032750</v>
      </c>
    </row>
    <row r="13" spans="1:9" s="15" customFormat="1" ht="31.5">
      <c r="A13" s="29" t="str">
        <f>IF(B13&gt;0,VLOOKUP(B13,КВСР!A5:B1170,2),IF(C13&gt;0,VLOOKUP(C13,КФСР!A5:B1517,2),IF(D13&gt;0,VLOOKUP(D13,КЦСР!A5:B3965,2),IF(E13&gt;0,VLOOKUP(E13,КВР!A5:B1933,2)))))</f>
        <v>Фонд оплаты труда и страховые взносы</v>
      </c>
      <c r="B13" s="73"/>
      <c r="C13" s="70"/>
      <c r="D13" s="71"/>
      <c r="E13" s="72">
        <v>121</v>
      </c>
      <c r="F13" s="88">
        <v>1032750</v>
      </c>
      <c r="G13" s="91"/>
      <c r="H13" s="30">
        <f>F13+G13</f>
        <v>1032750</v>
      </c>
    </row>
    <row r="14" spans="1:9" s="15" customFormat="1" ht="94.5">
      <c r="A14" s="29" t="str">
        <f>IF(B14&gt;0,VLOOKUP(B14,КВСР!A6:B1171,2),IF(C14&gt;0,VLOOKUP(C14,КФСР!A6:B1518,2),IF(D14&gt;0,VLOOKUP(D14,КЦСР!A6:B3966,2),IF(E14&gt;0,VLOOKUP(E14,КВР!A6:B1934,2)))))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4" s="74"/>
      <c r="C14" s="64">
        <v>104</v>
      </c>
      <c r="D14" s="65"/>
      <c r="E14" s="66"/>
      <c r="F14" s="63">
        <v>26227037</v>
      </c>
      <c r="G14" s="63">
        <f t="shared" ref="G14:H15" si="1">G15</f>
        <v>0</v>
      </c>
      <c r="H14" s="63">
        <f t="shared" si="1"/>
        <v>26227037</v>
      </c>
    </row>
    <row r="15" spans="1:9" s="15" customFormat="1" ht="78.75">
      <c r="A15" s="29" t="str">
        <f>IF(B15&gt;0,VLOOKUP(B15,КВСР!A7:B1172,2),IF(C15&gt;0,VLOOKUP(C15,КФСР!A7:B1519,2),IF(D15&gt;0,VLOOKUP(D15,КЦСР!A7:B3967,2),IF(E15&gt;0,VLOOKUP(E15,КВР!A7:B1935,2)))))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15" s="74"/>
      <c r="C15" s="64"/>
      <c r="D15" s="65">
        <v>20000</v>
      </c>
      <c r="E15" s="66"/>
      <c r="F15" s="63">
        <v>26227037</v>
      </c>
      <c r="G15" s="63">
        <f t="shared" si="1"/>
        <v>0</v>
      </c>
      <c r="H15" s="63">
        <f t="shared" si="1"/>
        <v>26227037</v>
      </c>
    </row>
    <row r="16" spans="1:9" s="15" customFormat="1" ht="21" customHeight="1">
      <c r="A16" s="29" t="str">
        <f>IF(B16&gt;0,VLOOKUP(B16,КВСР!A8:B1173,2),IF(C16&gt;0,VLOOKUP(C16,КФСР!A8:B1520,2),IF(D16&gt;0,VLOOKUP(D16,КЦСР!A8:B3968,2),IF(E16&gt;0,VLOOKUP(E16,КВР!A8:B1936,2)))))</f>
        <v>Центральный аппарат</v>
      </c>
      <c r="B16" s="74"/>
      <c r="C16" s="64"/>
      <c r="D16" s="71">
        <v>20400</v>
      </c>
      <c r="E16" s="66"/>
      <c r="F16" s="63">
        <v>26227037</v>
      </c>
      <c r="G16" s="63">
        <f>SUM(G17:G23)</f>
        <v>0</v>
      </c>
      <c r="H16" s="63">
        <f>SUM(H17:H23)</f>
        <v>26227037</v>
      </c>
    </row>
    <row r="17" spans="1:8" s="15" customFormat="1" ht="31.5">
      <c r="A17" s="29" t="str">
        <f>IF(B17&gt;0,VLOOKUP(B17,КВСР!A9:B1174,2),IF(C17&gt;0,VLOOKUP(C17,КФСР!A9:B1521,2),IF(D17&gt;0,VLOOKUP(D17,КЦСР!A9:B3969,2),IF(E17&gt;0,VLOOKUP(E17,КВР!A9:B1937,2)))))</f>
        <v>Фонд оплаты труда и страховые взносы</v>
      </c>
      <c r="B17" s="74"/>
      <c r="C17" s="64"/>
      <c r="D17" s="65"/>
      <c r="E17" s="66">
        <v>121</v>
      </c>
      <c r="F17" s="88">
        <v>21183918</v>
      </c>
      <c r="G17" s="91"/>
      <c r="H17" s="30">
        <f t="shared" ref="H17:H23" si="2">F17+G17</f>
        <v>21183918</v>
      </c>
    </row>
    <row r="18" spans="1:8" s="15" customFormat="1" ht="31.5">
      <c r="A18" s="29" t="str">
        <f>IF(B18&gt;0,VLOOKUP(B18,КВСР!A10:B1175,2),IF(C18&gt;0,VLOOKUP(C18,КФСР!A10:B1522,2),IF(D18&gt;0,VLOOKUP(D18,КЦСР!A10:B3970,2),IF(E18&gt;0,VLOOKUP(E18,КВР!A10:B1938,2)))))</f>
        <v>Иные выплаты персоналу, за исключением фонда оплаты труда</v>
      </c>
      <c r="B18" s="74"/>
      <c r="C18" s="64"/>
      <c r="D18" s="65"/>
      <c r="E18" s="66">
        <v>122</v>
      </c>
      <c r="F18" s="88">
        <v>19200</v>
      </c>
      <c r="G18" s="91"/>
      <c r="H18" s="30">
        <f t="shared" si="2"/>
        <v>19200</v>
      </c>
    </row>
    <row r="19" spans="1:8" s="15" customFormat="1" ht="47.25">
      <c r="A19" s="29" t="str">
        <f>IF(B19&gt;0,VLOOKUP(B19,КВСР!A11:B1176,2),IF(C19&gt;0,VLOOKUP(C19,КФСР!A11:B1523,2),IF(D19&gt;0,VLOOKUP(D19,КЦСР!A11:B3971,2),IF(E19&gt;0,VLOOKUP(E19,КВР!A11:B1939,2)))))</f>
        <v>Закупка товаров, работ, услуг в сфере информационно-коммуникационных технологий</v>
      </c>
      <c r="B19" s="74"/>
      <c r="C19" s="64"/>
      <c r="D19" s="65"/>
      <c r="E19" s="66">
        <v>242</v>
      </c>
      <c r="F19" s="88">
        <v>1335124</v>
      </c>
      <c r="G19" s="91"/>
      <c r="H19" s="30">
        <f t="shared" si="2"/>
        <v>1335124</v>
      </c>
    </row>
    <row r="20" spans="1:8" s="15" customFormat="1" ht="31.5">
      <c r="A20" s="29" t="str">
        <f>IF(B20&gt;0,VLOOKUP(B20,КВСР!A12:B1177,2),IF(C20&gt;0,VLOOKUP(C20,КФСР!A12:B1524,2),IF(D20&gt;0,VLOOKUP(D20,КЦСР!A12:B3972,2),IF(E20&gt;0,VLOOKUP(E20,КВР!A12:B1940,2)))))</f>
        <v>Прочая закупка товаров, работ и услуг для государственных нужд</v>
      </c>
      <c r="B20" s="74"/>
      <c r="C20" s="64"/>
      <c r="D20" s="65"/>
      <c r="E20" s="66">
        <v>244</v>
      </c>
      <c r="F20" s="88">
        <v>2962161</v>
      </c>
      <c r="G20" s="91"/>
      <c r="H20" s="30">
        <f t="shared" si="2"/>
        <v>2962161</v>
      </c>
    </row>
    <row r="21" spans="1:8" s="15" customFormat="1" ht="157.5">
      <c r="A21" s="29" t="str">
        <f>IF(B21&gt;0,VLOOKUP(B21,КВСР!A13:B1178,2),IF(C21&gt;0,VLOOKUP(C21,КФСР!A13:B1525,2),IF(D21&gt;0,VLOOKUP(D21,КЦСР!A13:B3973,2),IF(E21&gt;0,VLOOKUP(E21,КВР!A13:B1941,2)))))</f>
        <v>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v>
      </c>
      <c r="B21" s="74"/>
      <c r="C21" s="64"/>
      <c r="D21" s="65"/>
      <c r="E21" s="66">
        <v>831</v>
      </c>
      <c r="F21" s="88">
        <v>52930</v>
      </c>
      <c r="G21" s="91"/>
      <c r="H21" s="30">
        <f t="shared" si="2"/>
        <v>52930</v>
      </c>
    </row>
    <row r="22" spans="1:8" s="15" customFormat="1" ht="31.5">
      <c r="A22" s="29" t="str">
        <f>IF(B22&gt;0,VLOOKUP(B22,КВСР!A13:B1178,2),IF(C22&gt;0,VLOOKUP(C22,КФСР!A13:B1525,2),IF(D22&gt;0,VLOOKUP(D22,КЦСР!A13:B3973,2),IF(E22&gt;0,VLOOKUP(E22,КВР!A13:B1941,2)))))</f>
        <v>Уплата налога на имущество организаций и земельного налога</v>
      </c>
      <c r="B22" s="74"/>
      <c r="C22" s="64"/>
      <c r="D22" s="65"/>
      <c r="E22" s="66">
        <v>851</v>
      </c>
      <c r="F22" s="88">
        <v>573604</v>
      </c>
      <c r="G22" s="91"/>
      <c r="H22" s="30">
        <f t="shared" si="2"/>
        <v>573604</v>
      </c>
    </row>
    <row r="23" spans="1:8" s="15" customFormat="1" ht="31.5">
      <c r="A23" s="29" t="str">
        <f>IF(B23&gt;0,VLOOKUP(B23,КВСР!A14:B1179,2),IF(C23&gt;0,VLOOKUP(C23,КФСР!A14:B1526,2),IF(D23&gt;0,VLOOKUP(D23,КЦСР!A14:B3974,2),IF(E23&gt;0,VLOOKUP(E23,КВР!A14:B1942,2)))))</f>
        <v>Уплата прочих налогов, сборов и иных обязательных платежей</v>
      </c>
      <c r="B23" s="74"/>
      <c r="C23" s="64"/>
      <c r="D23" s="65"/>
      <c r="E23" s="66">
        <v>852</v>
      </c>
      <c r="F23" s="88">
        <v>100100</v>
      </c>
      <c r="G23" s="91"/>
      <c r="H23" s="30">
        <f t="shared" si="2"/>
        <v>100100</v>
      </c>
    </row>
    <row r="24" spans="1:8" s="15" customFormat="1" ht="20.25" customHeight="1">
      <c r="A24" s="29" t="str">
        <f>IF(B24&gt;0,VLOOKUP(B24,КВСР!A15:B1180,2),IF(C24&gt;0,VLOOKUP(C24,КФСР!A15:B1527,2),IF(D24&gt;0,VLOOKUP(D24,КЦСР!A15:B3975,2),IF(E24&gt;0,VLOOKUP(E24,КВР!A15:B1943,2)))))</f>
        <v>Судебная система</v>
      </c>
      <c r="B24" s="74"/>
      <c r="C24" s="64">
        <v>105</v>
      </c>
      <c r="D24" s="65"/>
      <c r="E24" s="66"/>
      <c r="F24" s="88">
        <v>27976</v>
      </c>
      <c r="G24" s="88">
        <f t="shared" ref="G24:H26" si="3">G25</f>
        <v>0</v>
      </c>
      <c r="H24" s="88">
        <f t="shared" si="3"/>
        <v>27976</v>
      </c>
    </row>
    <row r="25" spans="1:8" s="15" customFormat="1" ht="31.5">
      <c r="A25" s="29" t="str">
        <f>IF(B25&gt;0,VLOOKUP(B25,КВСР!A16:B1181,2),IF(C25&gt;0,VLOOKUP(C25,КФСР!A16:B1528,2),IF(D25&gt;0,VLOOKUP(D25,КЦСР!A16:B3976,2),IF(E25&gt;0,VLOOKUP(E25,КВР!A16:B1944,2)))))</f>
        <v>Руководство и управление в сфере установленных функций</v>
      </c>
      <c r="B25" s="74"/>
      <c r="C25" s="64"/>
      <c r="D25" s="65">
        <v>10000</v>
      </c>
      <c r="E25" s="66"/>
      <c r="F25" s="88">
        <v>27976</v>
      </c>
      <c r="G25" s="88">
        <f t="shared" si="3"/>
        <v>0</v>
      </c>
      <c r="H25" s="88">
        <f t="shared" si="3"/>
        <v>27976</v>
      </c>
    </row>
    <row r="26" spans="1:8" s="15" customFormat="1" ht="78.75">
      <c r="A26" s="29" t="str">
        <f>IF(B26&gt;0,VLOOKUP(B26,КВСР!A17:B1182,2),IF(C26&gt;0,VLOOKUP(C26,КФСР!A17:B1529,2),IF(D26&gt;0,VLOOKUP(D26,КЦСР!A17:B3977,2),IF(E26&gt;0,VLOOKUP(E26,КВР!A17:B1945,2)))))</f>
        <v>Составление (изменение и дополнение) списков кандидатов в присяжные заседатели федеральных судов общей юрисдикции в Российской Федерации</v>
      </c>
      <c r="B26" s="74"/>
      <c r="C26" s="64"/>
      <c r="D26" s="65">
        <v>14000</v>
      </c>
      <c r="E26" s="66"/>
      <c r="F26" s="88">
        <v>27976</v>
      </c>
      <c r="G26" s="88">
        <f t="shared" si="3"/>
        <v>0</v>
      </c>
      <c r="H26" s="88">
        <f t="shared" si="3"/>
        <v>27976</v>
      </c>
    </row>
    <row r="27" spans="1:8" s="15" customFormat="1" ht="31.5">
      <c r="A27" s="29" t="str">
        <f>IF(B27&gt;0,VLOOKUP(B27,КВСР!A18:B1183,2),IF(C27&gt;0,VLOOKUP(C27,КФСР!A18:B1530,2),IF(D27&gt;0,VLOOKUP(D27,КЦСР!A18:B3978,2),IF(E27&gt;0,VLOOKUP(E27,КВР!A18:B1946,2)))))</f>
        <v>Прочая закупка товаров, работ и услуг для государственных нужд</v>
      </c>
      <c r="B27" s="74"/>
      <c r="C27" s="64"/>
      <c r="D27" s="65"/>
      <c r="E27" s="66">
        <v>244</v>
      </c>
      <c r="F27" s="88">
        <v>27976</v>
      </c>
      <c r="G27" s="91"/>
      <c r="H27" s="30">
        <f>F27+G27</f>
        <v>27976</v>
      </c>
    </row>
    <row r="28" spans="1:8" s="15" customFormat="1" ht="31.5">
      <c r="A28" s="29" t="str">
        <f>IF(B28&gt;0,VLOOKUP(B28,КВСР!A19:B1184,2),IF(C28&gt;0,VLOOKUP(C28,КФСР!A19:B1531,2),IF(D28&gt;0,VLOOKUP(D28,КЦСР!A19:B3979,2),IF(E28&gt;0,VLOOKUP(E28,КВР!A19:B1947,2)))))</f>
        <v>Обеспечение проведения выборов и референдумов</v>
      </c>
      <c r="B28" s="74"/>
      <c r="C28" s="64">
        <v>107</v>
      </c>
      <c r="D28" s="65"/>
      <c r="E28" s="66"/>
      <c r="F28" s="88">
        <v>6697608</v>
      </c>
      <c r="G28" s="88">
        <f>G29</f>
        <v>0</v>
      </c>
      <c r="H28" s="88">
        <f>H29</f>
        <v>6697608</v>
      </c>
    </row>
    <row r="29" spans="1:8" s="15" customFormat="1">
      <c r="A29" s="29" t="str">
        <f>IF(B29&gt;0,VLOOKUP(B29,КВСР!A20:B1185,2),IF(C29&gt;0,VLOOKUP(C29,КФСР!A20:B1532,2),IF(D29&gt;0,VLOOKUP(D29,КЦСР!A20:B3980,2),IF(E29&gt;0,VLOOKUP(E29,КВР!A20:B1948,2)))))</f>
        <v>Проведение выборов и референдумов</v>
      </c>
      <c r="B29" s="74"/>
      <c r="C29" s="64"/>
      <c r="D29" s="65">
        <v>200000</v>
      </c>
      <c r="E29" s="66"/>
      <c r="F29" s="88">
        <v>6697608</v>
      </c>
      <c r="G29" s="88">
        <f>G30+G32</f>
        <v>0</v>
      </c>
      <c r="H29" s="88">
        <f>H30+H32</f>
        <v>6697608</v>
      </c>
    </row>
    <row r="30" spans="1:8" s="15" customFormat="1" ht="47.25">
      <c r="A30" s="29" t="str">
        <f>IF(B30&gt;0,VLOOKUP(B30,КВСР!A21:B1186,2),IF(C30&gt;0,VLOOKUP(C30,КФСР!A21:B1533,2),IF(D30&gt;0,VLOOKUP(D30,КЦСР!A21:B3981,2),IF(E30&gt;0,VLOOKUP(E30,КВР!A21:B1949,2)))))</f>
        <v>Проведение выборов в представительные органы муниципального образования</v>
      </c>
      <c r="B30" s="74"/>
      <c r="C30" s="64"/>
      <c r="D30" s="65">
        <v>200002</v>
      </c>
      <c r="E30" s="66"/>
      <c r="F30" s="88">
        <v>2397608</v>
      </c>
      <c r="G30" s="88">
        <f>G31</f>
        <v>0</v>
      </c>
      <c r="H30" s="88">
        <f>H31</f>
        <v>2397608</v>
      </c>
    </row>
    <row r="31" spans="1:8" s="15" customFormat="1" ht="31.5">
      <c r="A31" s="29" t="str">
        <f>IF(B31&gt;0,VLOOKUP(B31,КВСР!A22:B1187,2),IF(C31&gt;0,VLOOKUP(C31,КФСР!A22:B1534,2),IF(D31&gt;0,VLOOKUP(D31,КЦСР!A22:B3982,2),IF(E31&gt;0,VLOOKUP(E31,КВР!A22:B1950,2)))))</f>
        <v>Прочая закупка товаров, работ и услуг для государственных нужд</v>
      </c>
      <c r="B31" s="74"/>
      <c r="C31" s="64"/>
      <c r="D31" s="65"/>
      <c r="E31" s="66">
        <v>244</v>
      </c>
      <c r="F31" s="88">
        <v>2397608</v>
      </c>
      <c r="G31" s="91"/>
      <c r="H31" s="30">
        <f>F31+G31</f>
        <v>2397608</v>
      </c>
    </row>
    <row r="32" spans="1:8" s="15" customFormat="1" ht="31.5">
      <c r="A32" s="29" t="str">
        <f>IF(B32&gt;0,VLOOKUP(B32,КВСР!A23:B1188,2),IF(C32&gt;0,VLOOKUP(C32,КФСР!A23:B1535,2),IF(D32&gt;0,VLOOKUP(D32,КЦСР!A23:B3983,2),IF(E32&gt;0,VLOOKUP(E32,КВР!A23:B1951,2)))))</f>
        <v>Проведение выборов главы муниципального образования</v>
      </c>
      <c r="B32" s="74"/>
      <c r="C32" s="64"/>
      <c r="D32" s="65">
        <v>200003</v>
      </c>
      <c r="E32" s="66"/>
      <c r="F32" s="88">
        <v>4300000</v>
      </c>
      <c r="G32" s="88">
        <f>G33</f>
        <v>0</v>
      </c>
      <c r="H32" s="88">
        <f>H33</f>
        <v>4300000</v>
      </c>
    </row>
    <row r="33" spans="1:8" s="15" customFormat="1" ht="31.5">
      <c r="A33" s="29" t="str">
        <f>IF(B33&gt;0,VLOOKUP(B33,КВСР!A24:B1189,2),IF(C33&gt;0,VLOOKUP(C33,КФСР!A24:B1536,2),IF(D33&gt;0,VLOOKUP(D33,КЦСР!A24:B3984,2),IF(E33&gt;0,VLOOKUP(E33,КВР!A24:B1952,2)))))</f>
        <v>Прочая закупка товаров, работ и услуг для государственных нужд</v>
      </c>
      <c r="B33" s="74"/>
      <c r="C33" s="64"/>
      <c r="D33" s="65"/>
      <c r="E33" s="66">
        <v>244</v>
      </c>
      <c r="F33" s="88">
        <v>4300000</v>
      </c>
      <c r="G33" s="91"/>
      <c r="H33" s="30">
        <f>F33+G33</f>
        <v>4300000</v>
      </c>
    </row>
    <row r="34" spans="1:8" s="15" customFormat="1" ht="19.5" customHeight="1">
      <c r="A34" s="29" t="str">
        <f>IF(B34&gt;0,VLOOKUP(B34,КВСР!A25:B1190,2),IF(C34&gt;0,VLOOKUP(C34,КФСР!A25:B1537,2),IF(D34&gt;0,VLOOKUP(D34,КЦСР!A25:B3985,2),IF(E34&gt;0,VLOOKUP(E34,КВР!A25:B1953,2)))))</f>
        <v>Резервные фонды</v>
      </c>
      <c r="B34" s="74"/>
      <c r="C34" s="64">
        <v>111</v>
      </c>
      <c r="D34" s="65"/>
      <c r="E34" s="66"/>
      <c r="F34" s="63">
        <v>1036631</v>
      </c>
      <c r="G34" s="63">
        <f t="shared" ref="G34:H36" si="4">G35</f>
        <v>-19700</v>
      </c>
      <c r="H34" s="63">
        <f t="shared" si="4"/>
        <v>1016931</v>
      </c>
    </row>
    <row r="35" spans="1:8" s="15" customFormat="1" ht="21" customHeight="1">
      <c r="A35" s="29" t="str">
        <f>IF(B35&gt;0,VLOOKUP(B35,КВСР!A26:B1191,2),IF(C35&gt;0,VLOOKUP(C35,КФСР!A26:B1538,2),IF(D35&gt;0,VLOOKUP(D35,КЦСР!A26:B3986,2),IF(E35&gt;0,VLOOKUP(E35,КВР!A26:B1954,2)))))</f>
        <v>Резервные фонды</v>
      </c>
      <c r="B35" s="74"/>
      <c r="C35" s="64"/>
      <c r="D35" s="65">
        <v>700000</v>
      </c>
      <c r="E35" s="66"/>
      <c r="F35" s="63">
        <v>1036631</v>
      </c>
      <c r="G35" s="63">
        <f t="shared" si="4"/>
        <v>-19700</v>
      </c>
      <c r="H35" s="63">
        <f t="shared" si="4"/>
        <v>1016931</v>
      </c>
    </row>
    <row r="36" spans="1:8" s="15" customFormat="1" ht="31.5">
      <c r="A36" s="29" t="str">
        <f>IF(B36&gt;0,VLOOKUP(B36,КВСР!A27:B1192,2),IF(C36&gt;0,VLOOKUP(C36,КФСР!A27:B1539,2),IF(D36&gt;0,VLOOKUP(D36,КЦСР!A27:B3987,2),IF(E36&gt;0,VLOOKUP(E36,КВР!A27:B1955,2)))))</f>
        <v>Резервные фонды местных администраций</v>
      </c>
      <c r="B36" s="74"/>
      <c r="C36" s="64"/>
      <c r="D36" s="65">
        <v>700500</v>
      </c>
      <c r="E36" s="66"/>
      <c r="F36" s="63">
        <v>1036631</v>
      </c>
      <c r="G36" s="63">
        <f t="shared" si="4"/>
        <v>-19700</v>
      </c>
      <c r="H36" s="63">
        <f t="shared" si="4"/>
        <v>1016931</v>
      </c>
    </row>
    <row r="37" spans="1:8" s="15" customFormat="1" ht="21.75" customHeight="1">
      <c r="A37" s="29" t="str">
        <f>IF(B37&gt;0,VLOOKUP(B37,КВСР!A28:B1193,2),IF(C37&gt;0,VLOOKUP(C37,КФСР!A28:B1540,2),IF(D37&gt;0,VLOOKUP(D37,КЦСР!A28:B3988,2),IF(E37&gt;0,VLOOKUP(E37,КВР!A28:B1956,2)))))</f>
        <v>Резервные средства</v>
      </c>
      <c r="B37" s="74"/>
      <c r="C37" s="64"/>
      <c r="D37" s="65"/>
      <c r="E37" s="66">
        <v>870</v>
      </c>
      <c r="F37" s="88">
        <v>1036631</v>
      </c>
      <c r="G37" s="91">
        <v>-19700</v>
      </c>
      <c r="H37" s="30">
        <f>F37+G37</f>
        <v>1016931</v>
      </c>
    </row>
    <row r="38" spans="1:8" s="15" customFormat="1" ht="31.5">
      <c r="A38" s="29" t="str">
        <f>IF(B38&gt;0,VLOOKUP(B38,КВСР!A29:B1194,2),IF(C38&gt;0,VLOOKUP(C38,КФСР!A29:B1541,2),IF(D38&gt;0,VLOOKUP(D38,КЦСР!A29:B3989,2),IF(E38&gt;0,VLOOKUP(E38,КВР!A29:B1957,2)))))</f>
        <v>Другие общегосударственные вопросы</v>
      </c>
      <c r="B38" s="74"/>
      <c r="C38" s="64">
        <v>113</v>
      </c>
      <c r="D38" s="65"/>
      <c r="E38" s="66"/>
      <c r="F38" s="88">
        <v>3994706</v>
      </c>
      <c r="G38" s="88">
        <f t="shared" ref="G38:H38" si="5">G39+G45</f>
        <v>0</v>
      </c>
      <c r="H38" s="88">
        <f t="shared" si="5"/>
        <v>3994706</v>
      </c>
    </row>
    <row r="39" spans="1:8" s="15" customFormat="1" ht="78.75">
      <c r="A39" s="29" t="str">
        <f>IF(B39&gt;0,VLOOKUP(B39,КВСР!A30:B1195,2),IF(C39&gt;0,VLOOKUP(C39,КФСР!A30:B1542,2),IF(D39&gt;0,VLOOKUP(D39,КЦСР!A30:B3990,2),IF(E39&gt;0,VLOOKUP(E39,КВР!A30:B1958,2)))))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39" s="74"/>
      <c r="C39" s="64"/>
      <c r="D39" s="65">
        <v>20000</v>
      </c>
      <c r="E39" s="66"/>
      <c r="F39" s="88">
        <v>2137250</v>
      </c>
      <c r="G39" s="88">
        <f t="shared" ref="G39:H39" si="6">G40</f>
        <v>0</v>
      </c>
      <c r="H39" s="88">
        <f t="shared" si="6"/>
        <v>2137250</v>
      </c>
    </row>
    <row r="40" spans="1:8" s="15" customFormat="1" ht="24.75" customHeight="1">
      <c r="A40" s="29" t="str">
        <f>IF(B40&gt;0,VLOOKUP(B40,КВСР!A31:B1196,2),IF(C40&gt;0,VLOOKUP(C40,КФСР!A31:B1543,2),IF(D40&gt;0,VLOOKUP(D40,КЦСР!A31:B3991,2),IF(E40&gt;0,VLOOKUP(E40,КВР!A31:B1959,2)))))</f>
        <v>Центральный аппарат</v>
      </c>
      <c r="B40" s="74"/>
      <c r="C40" s="64"/>
      <c r="D40" s="65">
        <v>20400</v>
      </c>
      <c r="E40" s="66"/>
      <c r="F40" s="88">
        <v>2137250</v>
      </c>
      <c r="G40" s="88">
        <f>SUM(G41:G44)</f>
        <v>0</v>
      </c>
      <c r="H40" s="88">
        <f>SUM(H41:H44)</f>
        <v>2137250</v>
      </c>
    </row>
    <row r="41" spans="1:8" s="15" customFormat="1" ht="31.5">
      <c r="A41" s="29" t="str">
        <f>IF(B41&gt;0,VLOOKUP(B41,КВСР!A32:B1197,2),IF(C41&gt;0,VLOOKUP(C41,КФСР!A32:B1544,2),IF(D41&gt;0,VLOOKUP(D41,КЦСР!A32:B3992,2),IF(E41&gt;0,VLOOKUP(E41,КВР!A32:B1960,2)))))</f>
        <v>Фонд оплаты труда и страховые взносы</v>
      </c>
      <c r="B41" s="74"/>
      <c r="C41" s="64"/>
      <c r="D41" s="65"/>
      <c r="E41" s="66">
        <v>121</v>
      </c>
      <c r="F41" s="88">
        <v>1583331</v>
      </c>
      <c r="G41" s="91"/>
      <c r="H41" s="30">
        <f>F41+G41</f>
        <v>1583331</v>
      </c>
    </row>
    <row r="42" spans="1:8" s="15" customFormat="1" ht="31.5">
      <c r="A42" s="29" t="str">
        <f>IF(B42&gt;0,VLOOKUP(B42,КВСР!A33:B1198,2),IF(C42&gt;0,VLOOKUP(C42,КФСР!A33:B1545,2),IF(D42&gt;0,VLOOKUP(D42,КЦСР!A33:B3993,2),IF(E42&gt;0,VLOOKUP(E42,КВР!A33:B1961,2)))))</f>
        <v>Иные выплаты персоналу, за исключением фонда оплаты труда</v>
      </c>
      <c r="B42" s="74"/>
      <c r="C42" s="64"/>
      <c r="D42" s="65"/>
      <c r="E42" s="66">
        <v>122</v>
      </c>
      <c r="F42" s="88">
        <v>700</v>
      </c>
      <c r="G42" s="91"/>
      <c r="H42" s="30">
        <f>F42+G42</f>
        <v>700</v>
      </c>
    </row>
    <row r="43" spans="1:8" s="15" customFormat="1" ht="47.25">
      <c r="A43" s="29" t="str">
        <f>IF(B43&gt;0,VLOOKUP(B43,КВСР!A34:B1199,2),IF(C43&gt;0,VLOOKUP(C43,КФСР!A34:B1546,2),IF(D43&gt;0,VLOOKUP(D43,КЦСР!A34:B3994,2),IF(E43&gt;0,VLOOKUP(E43,КВР!A34:B1962,2)))))</f>
        <v>Закупка товаров, работ, услуг в сфере информационно-коммуникационных технологий</v>
      </c>
      <c r="B43" s="74"/>
      <c r="C43" s="64"/>
      <c r="D43" s="65"/>
      <c r="E43" s="66">
        <v>242</v>
      </c>
      <c r="F43" s="88">
        <v>337044</v>
      </c>
      <c r="G43" s="91"/>
      <c r="H43" s="30">
        <f>F43+G43</f>
        <v>337044</v>
      </c>
    </row>
    <row r="44" spans="1:8" s="15" customFormat="1" ht="31.5">
      <c r="A44" s="29" t="str">
        <f>IF(B44&gt;0,VLOOKUP(B44,КВСР!A35:B1200,2),IF(C44&gt;0,VLOOKUP(C44,КФСР!A35:B1547,2),IF(D44&gt;0,VLOOKUP(D44,КЦСР!A35:B3995,2),IF(E44&gt;0,VLOOKUP(E44,КВР!A35:B1963,2)))))</f>
        <v>Прочая закупка товаров, работ и услуг для государственных нужд</v>
      </c>
      <c r="B44" s="74"/>
      <c r="C44" s="64"/>
      <c r="D44" s="65"/>
      <c r="E44" s="66">
        <v>244</v>
      </c>
      <c r="F44" s="88">
        <v>216175</v>
      </c>
      <c r="G44" s="91"/>
      <c r="H44" s="30">
        <f>F44+G44</f>
        <v>216175</v>
      </c>
    </row>
    <row r="45" spans="1:8" s="15" customFormat="1" ht="47.25">
      <c r="A45" s="29" t="str">
        <f>IF(B45&gt;0,VLOOKUP(B45,КВСР!A36:B1201,2),IF(C45&gt;0,VLOOKUP(C45,КФСР!A36:B1548,2),IF(D45&gt;0,VLOOKUP(D45,КЦСР!A36:B3996,2),IF(E45&gt;0,VLOOKUP(E45,КВР!A36:B1964,2)))))</f>
        <v>Реализация государственных функций, связанных с общегосударственным управлением</v>
      </c>
      <c r="B45" s="74"/>
      <c r="C45" s="64"/>
      <c r="D45" s="65">
        <v>920000</v>
      </c>
      <c r="E45" s="66"/>
      <c r="F45" s="88">
        <v>1857456</v>
      </c>
      <c r="G45" s="88">
        <f>G46+G48</f>
        <v>0</v>
      </c>
      <c r="H45" s="88">
        <f>H46+H48</f>
        <v>1857456</v>
      </c>
    </row>
    <row r="46" spans="1:8" s="15" customFormat="1" ht="31.5">
      <c r="A46" s="29" t="str">
        <f>IF(B46&gt;0,VLOOKUP(B46,КВСР!A37:B1202,2),IF(C46&gt;0,VLOOKUP(C46,КФСР!A37:B1549,2),IF(D46&gt;0,VLOOKUP(D46,КЦСР!A37:B3997,2),IF(E46&gt;0,VLOOKUP(E46,КВР!A37:B1965,2)))))</f>
        <v>Выполнение других обязательств государства</v>
      </c>
      <c r="B46" s="74"/>
      <c r="C46" s="64"/>
      <c r="D46" s="65">
        <v>920300</v>
      </c>
      <c r="E46" s="66"/>
      <c r="F46" s="88">
        <v>1757845</v>
      </c>
      <c r="G46" s="88">
        <f t="shared" ref="G46:H46" si="7">G47</f>
        <v>0</v>
      </c>
      <c r="H46" s="88">
        <f t="shared" si="7"/>
        <v>1757845</v>
      </c>
    </row>
    <row r="47" spans="1:8" s="15" customFormat="1" ht="157.5">
      <c r="A47" s="29" t="str">
        <f>IF(B47&gt;0,VLOOKUP(B47,КВСР!A38:B1203,2),IF(C47&gt;0,VLOOKUP(C47,КФСР!A38:B1550,2),IF(D47&gt;0,VLOOKUP(D47,КЦСР!A38:B3998,2),IF(E47&gt;0,VLOOKUP(E47,КВР!A38:B1966,2)))))</f>
        <v>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v>
      </c>
      <c r="B47" s="74"/>
      <c r="C47" s="64"/>
      <c r="D47" s="65"/>
      <c r="E47" s="66">
        <v>831</v>
      </c>
      <c r="F47" s="88">
        <v>1757845</v>
      </c>
      <c r="G47" s="91"/>
      <c r="H47" s="30">
        <f>F47+G47</f>
        <v>1757845</v>
      </c>
    </row>
    <row r="48" spans="1:8" s="15" customFormat="1" ht="51" customHeight="1">
      <c r="A48" s="29" t="str">
        <f>IF(B48&gt;0,VLOOKUP(B48,КВСР!A39:B1204,2),IF(C48&gt;0,VLOOKUP(C48,КФСР!A39:B1551,2),IF(D48&gt;0,VLOOKUP(D48,КЦСР!A39:B3999,2),IF(E48&gt;0,VLOOKUP(E48,КВР!A39:B1967,2)))))</f>
        <v>Программа энергосбережения и повышения энергетической эффективности на период до 2020 года</v>
      </c>
      <c r="B48" s="74"/>
      <c r="C48" s="64"/>
      <c r="D48" s="65">
        <v>923400</v>
      </c>
      <c r="E48" s="66"/>
      <c r="F48" s="88">
        <v>99611</v>
      </c>
      <c r="G48" s="88">
        <f t="shared" ref="G48:H48" si="8">G49</f>
        <v>0</v>
      </c>
      <c r="H48" s="88">
        <f t="shared" si="8"/>
        <v>99611</v>
      </c>
    </row>
    <row r="49" spans="1:8" s="15" customFormat="1" ht="134.25" customHeight="1">
      <c r="A49" s="29" t="str">
        <f>IF(B49&gt;0,VLOOKUP(B49,КВСР!A40:B1205,2),IF(C49&gt;0,VLOOKUP(C49,КФСР!A40:B1552,2),IF(D49&gt;0,VLOOKUP(D49,КЦСР!A40:B4000,2),IF(E49&gt;0,VLOOKUP(E49,КВР!A40:B1968,2)))))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49" s="74"/>
      <c r="C49" s="64"/>
      <c r="D49" s="65">
        <v>923403</v>
      </c>
      <c r="E49" s="66"/>
      <c r="F49" s="88">
        <v>99611</v>
      </c>
      <c r="G49" s="88">
        <f t="shared" ref="G49:H49" si="9">G50</f>
        <v>0</v>
      </c>
      <c r="H49" s="88">
        <f t="shared" si="9"/>
        <v>99611</v>
      </c>
    </row>
    <row r="50" spans="1:8" s="15" customFormat="1" ht="34.5" customHeight="1">
      <c r="A50" s="29" t="str">
        <f>IF(B50&gt;0,VLOOKUP(B50,КВСР!A41:B1206,2),IF(C50&gt;0,VLOOKUP(C50,КФСР!A41:B1553,2),IF(D50&gt;0,VLOOKUP(D50,КЦСР!A41:B4001,2),IF(E50&gt;0,VLOOKUP(E50,КВР!A41:B1969,2)))))</f>
        <v>Прочая закупка товаров, работ и услуг для государственных нужд</v>
      </c>
      <c r="B50" s="74"/>
      <c r="C50" s="64"/>
      <c r="D50" s="65"/>
      <c r="E50" s="66">
        <v>244</v>
      </c>
      <c r="F50" s="88">
        <v>99611</v>
      </c>
      <c r="G50" s="91"/>
      <c r="H50" s="30">
        <f>SUM(F50:G50)</f>
        <v>99611</v>
      </c>
    </row>
    <row r="51" spans="1:8" s="15" customFormat="1" ht="23.25" customHeight="1">
      <c r="A51" s="29" t="str">
        <f>IF(B51&gt;0,VLOOKUP(B51,КВСР!A36:B1201,2),IF(C51&gt;0,VLOOKUP(C51,КФСР!A36:B1548,2),IF(D51&gt;0,VLOOKUP(D51,КЦСР!A36:B3996,2),IF(E51&gt;0,VLOOKUP(E51,КВР!A36:B1964,2)))))</f>
        <v>Органы юстиции</v>
      </c>
      <c r="B51" s="74"/>
      <c r="C51" s="64">
        <v>304</v>
      </c>
      <c r="D51" s="65"/>
      <c r="E51" s="66"/>
      <c r="F51" s="30">
        <v>2612735</v>
      </c>
      <c r="G51" s="30">
        <f t="shared" ref="G51:H53" si="10">G52</f>
        <v>0</v>
      </c>
      <c r="H51" s="30">
        <f t="shared" si="10"/>
        <v>2612735</v>
      </c>
    </row>
    <row r="52" spans="1:8" s="15" customFormat="1" ht="31.5">
      <c r="A52" s="29" t="str">
        <f>IF(B52&gt;0,VLOOKUP(B52,КВСР!A37:B1202,2),IF(C52&gt;0,VLOOKUP(C52,КФСР!A37:B1549,2),IF(D52&gt;0,VLOOKUP(D52,КЦСР!A37:B3997,2),IF(E52&gt;0,VLOOKUP(E52,КВР!A37:B1965,2)))))</f>
        <v>Руководство и управление в сфере установленных функций</v>
      </c>
      <c r="B52" s="74"/>
      <c r="C52" s="64"/>
      <c r="D52" s="65">
        <v>10000</v>
      </c>
      <c r="E52" s="66"/>
      <c r="F52" s="30">
        <v>2612735</v>
      </c>
      <c r="G52" s="30">
        <f t="shared" si="10"/>
        <v>0</v>
      </c>
      <c r="H52" s="30">
        <f t="shared" si="10"/>
        <v>2612735</v>
      </c>
    </row>
    <row r="53" spans="1:8" s="15" customFormat="1" ht="31.5">
      <c r="A53" s="29" t="str">
        <f>IF(B53&gt;0,VLOOKUP(B53,КВСР!A38:B1203,2),IF(C53&gt;0,VLOOKUP(C53,КФСР!A38:B1550,2),IF(D53&gt;0,VLOOKUP(D53,КЦСР!A38:B3998,2),IF(E53&gt;0,VLOOKUP(E53,КВР!A38:B1966,2)))))</f>
        <v>Государственная регистрация актов гражданского состояния</v>
      </c>
      <c r="B53" s="74"/>
      <c r="C53" s="64"/>
      <c r="D53" s="65">
        <v>13800</v>
      </c>
      <c r="E53" s="66"/>
      <c r="F53" s="30">
        <v>2612735</v>
      </c>
      <c r="G53" s="30">
        <f t="shared" si="10"/>
        <v>0</v>
      </c>
      <c r="H53" s="30">
        <f t="shared" si="10"/>
        <v>2612735</v>
      </c>
    </row>
    <row r="54" spans="1:8" s="15" customFormat="1" ht="31.5">
      <c r="A54" s="29" t="str">
        <f>IF(B54&gt;0,VLOOKUP(B54,КВСР!A39:B1204,2),IF(C54&gt;0,VLOOKUP(C54,КФСР!A39:B1551,2),IF(D54&gt;0,VLOOKUP(D54,КЦСР!A39:B3999,2),IF(E54&gt;0,VLOOKUP(E54,КВР!A39:B1967,2)))))</f>
        <v>Государственная регистрация актов гражданского состояния</v>
      </c>
      <c r="B54" s="74"/>
      <c r="C54" s="64"/>
      <c r="D54" s="65">
        <v>13801</v>
      </c>
      <c r="E54" s="66"/>
      <c r="F54" s="30">
        <v>2612735</v>
      </c>
      <c r="G54" s="30">
        <f>G55+G57+G58+G59</f>
        <v>0</v>
      </c>
      <c r="H54" s="30">
        <f>SUM(H55:H59)</f>
        <v>2612735</v>
      </c>
    </row>
    <row r="55" spans="1:8" s="15" customFormat="1" ht="31.5">
      <c r="A55" s="29" t="str">
        <f>IF(B55&gt;0,VLOOKUP(B55,КВСР!A40:B1205,2),IF(C55&gt;0,VLOOKUP(C55,КФСР!A40:B1552,2),IF(D55&gt;0,VLOOKUP(D55,КЦСР!A40:B4000,2),IF(E55&gt;0,VLOOKUP(E55,КВР!A40:B1968,2)))))</f>
        <v>Фонд оплаты труда и страховые взносы</v>
      </c>
      <c r="B55" s="74"/>
      <c r="C55" s="64"/>
      <c r="D55" s="65"/>
      <c r="E55" s="66">
        <v>121</v>
      </c>
      <c r="F55" s="88">
        <v>1985054</v>
      </c>
      <c r="G55" s="91">
        <v>193760</v>
      </c>
      <c r="H55" s="30">
        <f>F55+G55</f>
        <v>2178814</v>
      </c>
    </row>
    <row r="56" spans="1:8" s="15" customFormat="1" ht="31.5" hidden="1">
      <c r="A56" s="29" t="str">
        <f>IF(B56&gt;0,VLOOKUP(B56,КВСР!A41:B1206,2),IF(C56&gt;0,VLOOKUP(C56,КФСР!A41:B1553,2),IF(D56&gt;0,VLOOKUP(D56,КЦСР!A41:B4001,2),IF(E56&gt;0,VLOOKUP(E56,КВР!A41:B1969,2)))))</f>
        <v>Иные выплаты персоналу, за исключением фонда оплаты труда</v>
      </c>
      <c r="B56" s="74"/>
      <c r="C56" s="64"/>
      <c r="D56" s="65"/>
      <c r="E56" s="66">
        <v>122</v>
      </c>
      <c r="F56" s="88">
        <v>0</v>
      </c>
      <c r="G56" s="91"/>
      <c r="H56" s="30">
        <f>F56+G56</f>
        <v>0</v>
      </c>
    </row>
    <row r="57" spans="1:8" s="15" customFormat="1" ht="47.25">
      <c r="A57" s="29" t="str">
        <f>IF(B57&gt;0,VLOOKUP(B57,КВСР!A42:B1207,2),IF(C57&gt;0,VLOOKUP(C57,КФСР!A42:B1554,2),IF(D57&gt;0,VLOOKUP(D57,КЦСР!A42:B4002,2),IF(E57&gt;0,VLOOKUP(E57,КВР!A42:B1970,2)))))</f>
        <v>Закупка товаров, работ, услуг в сфере информационно-коммуникационных технологий</v>
      </c>
      <c r="B57" s="74"/>
      <c r="C57" s="64"/>
      <c r="D57" s="65"/>
      <c r="E57" s="66">
        <v>242</v>
      </c>
      <c r="F57" s="88">
        <v>117970</v>
      </c>
      <c r="G57" s="91"/>
      <c r="H57" s="30">
        <f>F57+G57</f>
        <v>117970</v>
      </c>
    </row>
    <row r="58" spans="1:8" s="15" customFormat="1" ht="47.25">
      <c r="A58" s="29" t="str">
        <f>IF(B58&gt;0,VLOOKUP(B58,КВСР!A43:B1208,2),IF(C58&gt;0,VLOOKUP(C58,КФСР!A43:B1555,2),IF(D58&gt;0,VLOOKUP(D58,КЦСР!A43:B4003,2),IF(E58&gt;0,VLOOKUP(E58,КВР!A43:B1971,2)))))</f>
        <v xml:space="preserve">Закупка товаров, работ, услуг в целях капитального ремонта государственного имущества </v>
      </c>
      <c r="B58" s="74"/>
      <c r="C58" s="64"/>
      <c r="D58" s="65"/>
      <c r="E58" s="66">
        <v>243</v>
      </c>
      <c r="F58" s="88">
        <v>30000</v>
      </c>
      <c r="G58" s="91">
        <v>-30000</v>
      </c>
      <c r="H58" s="30">
        <f>F58+G58</f>
        <v>0</v>
      </c>
    </row>
    <row r="59" spans="1:8" s="15" customFormat="1" ht="31.5">
      <c r="A59" s="29" t="str">
        <f>IF(B59&gt;0,VLOOKUP(B59,КВСР!A44:B1209,2),IF(C59&gt;0,VLOOKUP(C59,КФСР!A44:B1556,2),IF(D59&gt;0,VLOOKUP(D59,КЦСР!A44:B4004,2),IF(E59&gt;0,VLOOKUP(E59,КВР!A44:B1972,2)))))</f>
        <v>Прочая закупка товаров, работ и услуг для государственных нужд</v>
      </c>
      <c r="B59" s="74"/>
      <c r="C59" s="64"/>
      <c r="D59" s="65"/>
      <c r="E59" s="66">
        <v>244</v>
      </c>
      <c r="F59" s="88">
        <v>479711</v>
      </c>
      <c r="G59" s="91">
        <v>-163760</v>
      </c>
      <c r="H59" s="30">
        <f>F59+G59</f>
        <v>315951</v>
      </c>
    </row>
    <row r="60" spans="1:8" s="15" customFormat="1" ht="24" customHeight="1">
      <c r="A60" s="29" t="str">
        <f>IF(B60&gt;0,VLOOKUP(B60,КВСР!A45:B1210,2),IF(C60&gt;0,VLOOKUP(C60,КФСР!A45:B1557,2),IF(D60&gt;0,VLOOKUP(D60,КЦСР!A45:B4005,2),IF(E60&gt;0,VLOOKUP(E60,КВР!A45:B1973,2)))))</f>
        <v>Жилищное хозяйство</v>
      </c>
      <c r="B60" s="74"/>
      <c r="C60" s="64">
        <v>501</v>
      </c>
      <c r="D60" s="65"/>
      <c r="E60" s="66"/>
      <c r="F60" s="88">
        <v>48568243</v>
      </c>
      <c r="G60" s="88">
        <f t="shared" ref="G60:H60" si="11">G73+G61+G68</f>
        <v>-7476500</v>
      </c>
      <c r="H60" s="88">
        <f t="shared" si="11"/>
        <v>41091743</v>
      </c>
    </row>
    <row r="61" spans="1:8" s="15" customFormat="1" ht="78.75">
      <c r="A61" s="29" t="str">
        <f>IF(B61&gt;0,VLOOKUP(B61,КВСР!A46:B1211,2),IF(C61&gt;0,VLOOKUP(C61,КФСР!A46:B1558,2),IF(D61&gt;0,VLOOKUP(D61,КЦСР!A46:B4006,2),IF(E61&gt;0,VLOOKUP(E61,КВР!A46:B1974,2)))))</f>
        <v>Обеспечение мероприятий по капитальному ремонту многоквартирных домов и переселению граждан из аварийного жилищного фонда</v>
      </c>
      <c r="B61" s="74"/>
      <c r="C61" s="64"/>
      <c r="D61" s="65">
        <v>980000</v>
      </c>
      <c r="E61" s="66"/>
      <c r="F61" s="88">
        <v>21841658</v>
      </c>
      <c r="G61" s="88">
        <f t="shared" ref="G61:H61" si="12">G62+G65</f>
        <v>0</v>
      </c>
      <c r="H61" s="88">
        <f t="shared" si="12"/>
        <v>21841658</v>
      </c>
    </row>
    <row r="62" spans="1:8" s="15" customFormat="1" ht="141.75">
      <c r="A62" s="29" t="str">
        <f>IF(B62&gt;0,VLOOKUP(B62,КВСР!A47:B1212,2),IF(C62&gt;0,VLOOKUP(C62,КФСР!A47:B1559,2),IF(D62&gt;0,VLOOKUP(D62,КЦСР!A47:B4007,2),IF(E62&gt;0,VLOOKUP(E62,КВР!A47:B1975,2)))))</f>
        <v>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v>
      </c>
      <c r="B62" s="74"/>
      <c r="C62" s="64"/>
      <c r="D62" s="65">
        <v>980100</v>
      </c>
      <c r="E62" s="66"/>
      <c r="F62" s="88">
        <v>14919000</v>
      </c>
      <c r="G62" s="88">
        <f t="shared" ref="G62:H62" si="13">G63</f>
        <v>0</v>
      </c>
      <c r="H62" s="88">
        <f t="shared" si="13"/>
        <v>14919000</v>
      </c>
    </row>
    <row r="63" spans="1:8" s="15" customFormat="1" ht="141.75">
      <c r="A63" s="29" t="str">
        <f>IF(B63&gt;0,VLOOKUP(B63,КВСР!A48:B1213,2),IF(C63&gt;0,VLOOKUP(C63,КФСР!A48:B1560,2),IF(D63&gt;0,VLOOKUP(D63,КЦСР!A48:B4008,2),IF(E63&gt;0,VLOOKUP(E63,КВР!A48:B1976,2)))))</f>
        <v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v>
      </c>
      <c r="B63" s="74"/>
      <c r="C63" s="64"/>
      <c r="D63" s="65">
        <v>980104</v>
      </c>
      <c r="E63" s="66"/>
      <c r="F63" s="88">
        <v>14919000</v>
      </c>
      <c r="G63" s="88">
        <f t="shared" ref="G63:H63" si="14">G64</f>
        <v>0</v>
      </c>
      <c r="H63" s="88">
        <f t="shared" si="14"/>
        <v>14919000</v>
      </c>
    </row>
    <row r="64" spans="1:8" s="15" customFormat="1" ht="63">
      <c r="A64" s="29" t="str">
        <f>IF(B64&gt;0,VLOOKUP(B64,КВСР!A49:B1214,2),IF(C64&gt;0,VLOOKUP(C64,КФСР!A49:B1561,2),IF(D64&gt;0,VLOOKUP(D64,КЦСР!A49:B4009,2),IF(E64&gt;0,VLOOKUP(E64,КВР!A49:B1977,2)))))</f>
        <v>Субсидии на софинансирование объектов капитального строительства государственной (муниципальной) собственности</v>
      </c>
      <c r="B64" s="74"/>
      <c r="C64" s="64"/>
      <c r="D64" s="65"/>
      <c r="E64" s="66">
        <v>522</v>
      </c>
      <c r="F64" s="88">
        <v>14919000</v>
      </c>
      <c r="G64" s="215"/>
      <c r="H64" s="88">
        <f>SUM(F64:G64)</f>
        <v>14919000</v>
      </c>
    </row>
    <row r="65" spans="1:8" s="15" customFormat="1" ht="94.5">
      <c r="A65" s="29" t="str">
        <f>IF(B65&gt;0,VLOOKUP(B65,КВСР!A50:B1215,2),IF(C65&gt;0,VLOOKUP(C65,КФСР!A50:B1562,2),IF(D65&gt;0,VLOOKUP(D65,КЦСР!A50:B4010,2),IF(E65&gt;0,VLOOKUP(E65,КВР!A50:B1978,2)))))</f>
        <v>Обеспечение мероприятий по капитальному ремонту многоквартирных домов и переселение граждан из аварийного жилищного фонда за счет средств бюджетов</v>
      </c>
      <c r="B65" s="74"/>
      <c r="C65" s="64"/>
      <c r="D65" s="65">
        <v>980200</v>
      </c>
      <c r="E65" s="66"/>
      <c r="F65" s="88">
        <v>6922658</v>
      </c>
      <c r="G65" s="88">
        <f t="shared" ref="G65:H65" si="15">G66</f>
        <v>0</v>
      </c>
      <c r="H65" s="88">
        <f t="shared" si="15"/>
        <v>6922658</v>
      </c>
    </row>
    <row r="66" spans="1:8" s="15" customFormat="1" ht="110.25">
      <c r="A66" s="29" t="str">
        <f>IF(B66&gt;0,VLOOKUP(B66,КВСР!A51:B1216,2),IF(C66&gt;0,VLOOKUP(C66,КФСР!A51:B1563,2),IF(D66&gt;0,VLOOKUP(D66,КЦСР!A51:B4011,2),IF(E66&gt;0,VLOOKUP(E66,КВР!A51:B1979,2)))))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v>
      </c>
      <c r="B66" s="74"/>
      <c r="C66" s="64"/>
      <c r="D66" s="65">
        <v>980204</v>
      </c>
      <c r="E66" s="66"/>
      <c r="F66" s="88">
        <v>6922658</v>
      </c>
      <c r="G66" s="88">
        <f t="shared" ref="G66:H66" si="16">G67</f>
        <v>0</v>
      </c>
      <c r="H66" s="88">
        <f t="shared" si="16"/>
        <v>6922658</v>
      </c>
    </row>
    <row r="67" spans="1:8" s="15" customFormat="1" ht="63">
      <c r="A67" s="29" t="str">
        <f>IF(B67&gt;0,VLOOKUP(B67,КВСР!A52:B1217,2),IF(C67&gt;0,VLOOKUP(C67,КФСР!A52:B1564,2),IF(D67&gt;0,VLOOKUP(D67,КЦСР!A52:B4012,2),IF(E67&gt;0,VLOOKUP(E67,КВР!A52:B1980,2)))))</f>
        <v>Субсидии на софинансирование объектов капитального строительства государственной (муниципальной) собственности</v>
      </c>
      <c r="B67" s="74"/>
      <c r="C67" s="64"/>
      <c r="D67" s="65"/>
      <c r="E67" s="66">
        <v>522</v>
      </c>
      <c r="F67" s="88">
        <v>6922658</v>
      </c>
      <c r="G67" s="215"/>
      <c r="H67" s="88">
        <f>SUM(F67:G67)</f>
        <v>6922658</v>
      </c>
    </row>
    <row r="68" spans="1:8" s="15" customFormat="1" ht="22.5" customHeight="1">
      <c r="A68" s="29" t="str">
        <f>IF(B68&gt;0,VLOOKUP(B68,КВСР!A53:B1218,2),IF(C68&gt;0,VLOOKUP(C68,КФСР!A53:B1565,2),IF(D68&gt;0,VLOOKUP(D68,КЦСР!A53:B4013,2),IF(E68&gt;0,VLOOKUP(E68,КВР!A53:B1981,2)))))</f>
        <v>Региональные целевые программы</v>
      </c>
      <c r="B68" s="74"/>
      <c r="C68" s="64"/>
      <c r="D68" s="65">
        <v>5220000</v>
      </c>
      <c r="E68" s="66"/>
      <c r="F68" s="88">
        <v>23655780</v>
      </c>
      <c r="G68" s="88">
        <f t="shared" ref="G68:H68" si="17">G69</f>
        <v>-7476500</v>
      </c>
      <c r="H68" s="88">
        <f t="shared" si="17"/>
        <v>16179280</v>
      </c>
    </row>
    <row r="69" spans="1:8" s="15" customFormat="1" ht="75" customHeight="1">
      <c r="A69" s="29" t="str">
        <f>IF(B69&gt;0,VLOOKUP(B69,КВСР!A54:B1219,2),IF(C69&gt;0,VLOOKUP(C69,КФСР!A54:B1566,2),IF(D69&gt;0,VLOOKUP(D69,КЦСР!A54:B4014,2),IF(E69&gt;0,VLOOKUP(E69,КВР!A54:B1982,2)))))</f>
        <v xml:space="preserve">Региональная программа "Стимулирование развития жилищного строительства на территории Ярославской области" </v>
      </c>
      <c r="B69" s="74"/>
      <c r="C69" s="64"/>
      <c r="D69" s="65">
        <v>5226000</v>
      </c>
      <c r="E69" s="66"/>
      <c r="F69" s="88">
        <v>23655780</v>
      </c>
      <c r="G69" s="88">
        <f t="shared" ref="G69:H69" si="18">G70</f>
        <v>-7476500</v>
      </c>
      <c r="H69" s="88">
        <f t="shared" si="18"/>
        <v>16179280</v>
      </c>
    </row>
    <row r="70" spans="1:8" s="15" customFormat="1" ht="84" customHeight="1">
      <c r="A70" s="29" t="str">
        <f>IF(B70&gt;0,VLOOKUP(B70,КВСР!A55:B1220,2),IF(C70&gt;0,VLOOKUP(C70,КФСР!A55:B1567,2),IF(D70&gt;0,VLOOKUP(D70,КЦСР!A55:B4015,2),IF(E70&gt;0,VLOOKUP(E70,КВР!A55:B1983,2)))))</f>
        <v>Субсидия на реализацию подпрограммы "Улучшение условий проживания отдельных категорий граждан, нуждающихся в специальной социальной защите"</v>
      </c>
      <c r="B70" s="74"/>
      <c r="C70" s="64"/>
      <c r="D70" s="65">
        <v>5226006</v>
      </c>
      <c r="E70" s="66"/>
      <c r="F70" s="88">
        <v>23655780</v>
      </c>
      <c r="G70" s="88">
        <f t="shared" ref="G70:H70" si="19">G71+G72</f>
        <v>-7476500</v>
      </c>
      <c r="H70" s="88">
        <f t="shared" si="19"/>
        <v>16179280</v>
      </c>
    </row>
    <row r="71" spans="1:8" s="15" customFormat="1" ht="63">
      <c r="A71" s="29" t="str">
        <f>IF(B71&gt;0,VLOOKUP(B71,КВСР!A56:B1221,2),IF(C71&gt;0,VLOOKUP(C71,КФСР!A56:B1568,2),IF(D71&gt;0,VLOOKUP(D71,КЦСР!A56:B4016,2),IF(E71&gt;0,VLOOKUP(E71,КВР!A56:B1984,2)))))</f>
        <v>Бюджетные инвестиции в объекты государственной собственности казенным учреждениям вне рамок государственного оборонного заказа</v>
      </c>
      <c r="B71" s="74"/>
      <c r="C71" s="64"/>
      <c r="D71" s="65"/>
      <c r="E71" s="66">
        <v>411</v>
      </c>
      <c r="F71" s="88">
        <v>7668000</v>
      </c>
      <c r="G71" s="215"/>
      <c r="H71" s="88">
        <f>SUM(F71:G71)</f>
        <v>7668000</v>
      </c>
    </row>
    <row r="72" spans="1:8" s="15" customFormat="1" ht="71.25" customHeight="1">
      <c r="A72" s="29" t="str">
        <f>IF(B72&gt;0,VLOOKUP(B72,КВСР!A57:B1222,2),IF(C72&gt;0,VLOOKUP(C72,КФСР!A57:B1569,2),IF(D72&gt;0,VLOOKUP(D72,КЦСР!A57:B4017,2),IF(E72&gt;0,VLOOKUP(E72,КВР!A57:B1985,2)))))</f>
        <v>Субсидии на софинансирование объектов капитального строительства государственной (муниципальной) собственности</v>
      </c>
      <c r="B72" s="74"/>
      <c r="C72" s="64"/>
      <c r="D72" s="65"/>
      <c r="E72" s="66">
        <v>522</v>
      </c>
      <c r="F72" s="88">
        <v>15987780</v>
      </c>
      <c r="G72" s="215">
        <v>-7476500</v>
      </c>
      <c r="H72" s="88">
        <f>SUM(F72:G72)</f>
        <v>8511280</v>
      </c>
    </row>
    <row r="73" spans="1:8" s="15" customFormat="1" ht="31.5">
      <c r="A73" s="29" t="str">
        <f>IF(B73&gt;0,VLOOKUP(B73,КВСР!A46:B1211,2),IF(C73&gt;0,VLOOKUP(C73,КФСР!A46:B1558,2),IF(D73&gt;0,VLOOKUP(D73,КЦСР!A46:B4006,2),IF(E73&gt;0,VLOOKUP(E73,КВР!A46:B1974,2)))))</f>
        <v>Целевые программы муниципальных образований</v>
      </c>
      <c r="B73" s="74"/>
      <c r="C73" s="64"/>
      <c r="D73" s="65">
        <v>7950000</v>
      </c>
      <c r="E73" s="66"/>
      <c r="F73" s="88">
        <v>3070805</v>
      </c>
      <c r="G73" s="88">
        <f>G75</f>
        <v>0</v>
      </c>
      <c r="H73" s="88">
        <f>H75</f>
        <v>3070805</v>
      </c>
    </row>
    <row r="74" spans="1:8" s="15" customFormat="1" ht="47.25">
      <c r="A74" s="29" t="str">
        <f>IF(B74&gt;0,VLOOKUP(B74,КВСР!A47:B1212,2),IF(C74&gt;0,VLOOKUP(C74,КФСР!A47:B1559,2),IF(D74&gt;0,VLOOKUP(D74,КЦСР!A47:B4007,2),IF(E74&gt;0,VLOOKUP(E74,КВР!A47:B1975,2)))))</f>
        <v>МЦП "Развитие жилищного строительства в ТМР ЯО на 2011 - 2015 гг"</v>
      </c>
      <c r="B74" s="74"/>
      <c r="C74" s="64"/>
      <c r="D74" s="65">
        <v>7951300</v>
      </c>
      <c r="E74" s="66"/>
      <c r="F74" s="88">
        <v>3070805</v>
      </c>
      <c r="G74" s="88">
        <f t="shared" ref="G74:H74" si="20">G75</f>
        <v>0</v>
      </c>
      <c r="H74" s="88">
        <f t="shared" si="20"/>
        <v>3070805</v>
      </c>
    </row>
    <row r="75" spans="1:8" s="15" customFormat="1" ht="94.5">
      <c r="A75" s="29" t="str">
        <f>IF(B75&gt;0,VLOOKUP(B75,КВСР!A47:B1212,2),IF(C75&gt;0,VLOOKUP(C75,КФСР!A47:B1559,2),IF(D75&gt;0,VLOOKUP(D75,КЦСР!A47:B4007,2),IF(E75&gt;0,VLOOKUP(E75,КВР!A47:B1975,2)))))</f>
        <v>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v>
      </c>
      <c r="B75" s="74"/>
      <c r="C75" s="64"/>
      <c r="D75" s="65">
        <v>7951301</v>
      </c>
      <c r="E75" s="66"/>
      <c r="F75" s="88">
        <v>3070805</v>
      </c>
      <c r="G75" s="88">
        <f t="shared" ref="G75:H75" si="21">G76</f>
        <v>0</v>
      </c>
      <c r="H75" s="88">
        <f t="shared" si="21"/>
        <v>3070805</v>
      </c>
    </row>
    <row r="76" spans="1:8" s="15" customFormat="1" ht="48" customHeight="1">
      <c r="A76" s="29" t="str">
        <f>IF(B76&gt;0,VLOOKUP(B76,КВСР!A48:B1213,2),IF(C76&gt;0,VLOOKUP(C76,КФСР!A48:B1560,2),IF(D76&gt;0,VLOOKUP(D76,КЦСР!A48:B4008,2),IF(E76&gt;0,VLOOKUP(E76,КВР!A48:B1976,2)))))</f>
        <v>Бюджетные инвестиции на приобретение объектов недвижимого имущества казенным учреждениям</v>
      </c>
      <c r="B76" s="74"/>
      <c r="C76" s="64"/>
      <c r="D76" s="65"/>
      <c r="E76" s="66">
        <v>441</v>
      </c>
      <c r="F76" s="88">
        <v>3070805</v>
      </c>
      <c r="G76" s="91"/>
      <c r="H76" s="30">
        <f>SUM(F76:G76)</f>
        <v>3070805</v>
      </c>
    </row>
    <row r="77" spans="1:8" s="15" customFormat="1" ht="20.25" customHeight="1">
      <c r="A77" s="29" t="str">
        <f>IF(B77&gt;0,VLOOKUP(B77,КВСР!A45:B1210,2),IF(C77&gt;0,VLOOKUP(C77,КФСР!A45:B1557,2),IF(D77&gt;0,VLOOKUP(D77,КЦСР!A45:B4005,2),IF(E77&gt;0,VLOOKUP(E77,КВР!A45:B1973,2)))))</f>
        <v>Социальное обеспечение населения</v>
      </c>
      <c r="B77" s="74"/>
      <c r="C77" s="64">
        <v>1003</v>
      </c>
      <c r="D77" s="65"/>
      <c r="E77" s="66"/>
      <c r="F77" s="63">
        <v>2760850</v>
      </c>
      <c r="G77" s="63">
        <f>G82+G78</f>
        <v>0</v>
      </c>
      <c r="H77" s="63">
        <f>H82+H78</f>
        <v>2760850</v>
      </c>
    </row>
    <row r="78" spans="1:8" s="15" customFormat="1" ht="23.25" customHeight="1">
      <c r="A78" s="29" t="str">
        <f>IF(B78&gt;0,VLOOKUP(B78,КВСР!A46:B1211,2),IF(C78&gt;0,VLOOKUP(C78,КФСР!A46:B1558,2),IF(D78&gt;0,VLOOKUP(D78,КЦСР!A46:B4006,2),IF(E78&gt;0,VLOOKUP(E78,КВР!A46:B1974,2)))))</f>
        <v>Социальная помощь</v>
      </c>
      <c r="B78" s="74"/>
      <c r="C78" s="64"/>
      <c r="D78" s="65">
        <v>5050000</v>
      </c>
      <c r="E78" s="66"/>
      <c r="F78" s="63">
        <v>1277450</v>
      </c>
      <c r="G78" s="63">
        <f t="shared" ref="G78:H80" si="22">G79</f>
        <v>0</v>
      </c>
      <c r="H78" s="63">
        <f t="shared" si="22"/>
        <v>1277450</v>
      </c>
    </row>
    <row r="79" spans="1:8" s="15" customFormat="1" ht="31.5">
      <c r="A79" s="29" t="str">
        <f>IF(B79&gt;0,VLOOKUP(B79,КВСР!A47:B1212,2),IF(C79&gt;0,VLOOKUP(C79,КФСР!A47:B1559,2),IF(D79&gt;0,VLOOKUP(D79,КЦСР!A47:B4007,2),IF(E79&gt;0,VLOOKUP(E79,КВР!A47:B1975,2)))))</f>
        <v>Оказание других видов социальной помощи</v>
      </c>
      <c r="B79" s="74"/>
      <c r="C79" s="64"/>
      <c r="D79" s="65">
        <v>5058600</v>
      </c>
      <c r="E79" s="66"/>
      <c r="F79" s="63">
        <v>1277450</v>
      </c>
      <c r="G79" s="63">
        <f t="shared" si="22"/>
        <v>0</v>
      </c>
      <c r="H79" s="63">
        <f t="shared" si="22"/>
        <v>1277450</v>
      </c>
    </row>
    <row r="80" spans="1:8" s="15" customFormat="1" ht="31.5">
      <c r="A80" s="29" t="str">
        <f>IF(B80&gt;0,VLOOKUP(B80,КВСР!A48:B1213,2),IF(C80&gt;0,VLOOKUP(C80,КФСР!A48:B1560,2),IF(D80&gt;0,VLOOKUP(D80,КЦСР!A48:B4008,2),IF(E80&gt;0,VLOOKUP(E80,КВР!A48:B1976,2)))))</f>
        <v>Оказание других видов социальной помощи по решению суда</v>
      </c>
      <c r="B80" s="74"/>
      <c r="C80" s="64"/>
      <c r="D80" s="65">
        <v>5058610</v>
      </c>
      <c r="E80" s="66"/>
      <c r="F80" s="63">
        <v>1277450</v>
      </c>
      <c r="G80" s="63">
        <f t="shared" si="22"/>
        <v>0</v>
      </c>
      <c r="H80" s="63">
        <f t="shared" si="22"/>
        <v>1277450</v>
      </c>
    </row>
    <row r="81" spans="1:9" s="15" customFormat="1" ht="22.5" customHeight="1">
      <c r="A81" s="29" t="str">
        <f>IF(B81&gt;0,VLOOKUP(B81,КВСР!A49:B1214,2),IF(C81&gt;0,VLOOKUP(C81,КФСР!A49:B1561,2),IF(D81&gt;0,VLOOKUP(D81,КЦСР!A49:B4009,2),IF(E81&gt;0,VLOOKUP(E81,КВР!A49:B1977,2)))))</f>
        <v>Иные выплаты населению</v>
      </c>
      <c r="B81" s="74"/>
      <c r="C81" s="64"/>
      <c r="D81" s="65"/>
      <c r="E81" s="66">
        <v>360</v>
      </c>
      <c r="F81" s="63">
        <v>1277450</v>
      </c>
      <c r="G81" s="91"/>
      <c r="H81" s="63">
        <f>F81+G81</f>
        <v>1277450</v>
      </c>
    </row>
    <row r="82" spans="1:9" s="15" customFormat="1" ht="23.25" customHeight="1">
      <c r="A82" s="29" t="str">
        <f>IF(B82&gt;0,VLOOKUP(B82,КВСР!A46:B1211,2),IF(C82&gt;0,VLOOKUP(C82,КФСР!A46:B1558,2),IF(D82&gt;0,VLOOKUP(D82,КЦСР!A46:B4006,2),IF(E82&gt;0,VLOOKUP(E82,КВР!A46:B1974,2)))))</f>
        <v>Региональные целевые программы</v>
      </c>
      <c r="B82" s="74"/>
      <c r="C82" s="64"/>
      <c r="D82" s="65">
        <v>5220000</v>
      </c>
      <c r="E82" s="66"/>
      <c r="F82" s="63">
        <v>1483400</v>
      </c>
      <c r="G82" s="63">
        <f>G83</f>
        <v>0</v>
      </c>
      <c r="H82" s="63">
        <f>H83</f>
        <v>1483400</v>
      </c>
    </row>
    <row r="83" spans="1:9" s="15" customFormat="1" ht="31.5">
      <c r="A83" s="29" t="str">
        <f>IF(B83&gt;0,VLOOKUP(B83,КВСР!A47:B1212,2),IF(C83&gt;0,VLOOKUP(C83,КФСР!A47:B1559,2),IF(D83&gt;0,VLOOKUP(D83,КЦСР!A47:B4007,2),IF(E83&gt;0,VLOOKUP(E83,КВР!A47:B1975,2)))))</f>
        <v>Областная комплексная целевая программа "Семья и дети Ярославии"</v>
      </c>
      <c r="B83" s="74"/>
      <c r="C83" s="64"/>
      <c r="D83" s="65">
        <v>5221300</v>
      </c>
      <c r="E83" s="66"/>
      <c r="F83" s="63">
        <v>1483400</v>
      </c>
      <c r="G83" s="63">
        <f>G85</f>
        <v>0</v>
      </c>
      <c r="H83" s="63">
        <f>H85</f>
        <v>1483400</v>
      </c>
    </row>
    <row r="84" spans="1:9" s="15" customFormat="1" ht="78.75">
      <c r="A84" s="29" t="str">
        <f>IF(B84&gt;0,VLOOKUP(B84,КВСР!A48:B1213,2),IF(C84&gt;0,VLOOKUP(C84,КФСР!A48:B1560,2),IF(D84&gt;0,VLOOKUP(D84,КЦСР!A48:B4008,2),IF(E84&gt;0,VLOOKUP(E84,КВР!A48:B1976,2)))))</f>
        <v>Подпрограмма "Ярославские каникулы" в части компенсации стоимости санаторно-курортной путевки лицам, нуждающимся в санаторно-курортном лечении</v>
      </c>
      <c r="B84" s="74"/>
      <c r="C84" s="64"/>
      <c r="D84" s="65">
        <v>5221314</v>
      </c>
      <c r="E84" s="66"/>
      <c r="F84" s="63">
        <v>1483400</v>
      </c>
      <c r="G84" s="63">
        <f>G85</f>
        <v>0</v>
      </c>
      <c r="H84" s="63">
        <f>H85</f>
        <v>1483400</v>
      </c>
    </row>
    <row r="85" spans="1:9" s="15" customFormat="1" ht="31.5">
      <c r="A85" s="29" t="str">
        <f>IF(B85&gt;0,VLOOKUP(B85,КВСР!A49:B1214,2),IF(C85&gt;0,VLOOKUP(C85,КФСР!A49:B1561,2),IF(D85&gt;0,VLOOKUP(D85,КЦСР!A49:B4009,2),IF(E85&gt;0,VLOOKUP(E85,КВР!A49:B1977,2)))))</f>
        <v>Приобретение товаров, работ, услуг в пользу граждан</v>
      </c>
      <c r="B85" s="74"/>
      <c r="C85" s="64"/>
      <c r="D85" s="65"/>
      <c r="E85" s="66">
        <v>323</v>
      </c>
      <c r="F85" s="88">
        <v>1483400</v>
      </c>
      <c r="G85" s="91"/>
      <c r="H85" s="30">
        <f>F85+G85</f>
        <v>1483400</v>
      </c>
    </row>
    <row r="86" spans="1:9" s="17" customFormat="1" ht="31.5">
      <c r="A86" s="34" t="str">
        <f>IF(B86&gt;0,VLOOKUP(B86,КВСР!A53:B1218,2),IF(C86&gt;0,VLOOKUP(C86,КФСР!A53:B1565,2),IF(D86&gt;0,VLOOKUP(D86,КЦСР!A53:B4013,2),IF(E86&gt;0,VLOOKUP(E86,КВР!A53:B1981,2)))))</f>
        <v>Департамент муниципального имущества Администрации ТМР</v>
      </c>
      <c r="B86" s="69">
        <v>952</v>
      </c>
      <c r="C86" s="70"/>
      <c r="D86" s="71"/>
      <c r="E86" s="72"/>
      <c r="F86" s="35">
        <v>17937500</v>
      </c>
      <c r="G86" s="35">
        <f>G87+G113+G103+G107</f>
        <v>0</v>
      </c>
      <c r="H86" s="35">
        <f>H87+H113+H103+H107</f>
        <v>17937500</v>
      </c>
      <c r="I86" s="124"/>
    </row>
    <row r="87" spans="1:9" s="17" customFormat="1" ht="31.5">
      <c r="A87" s="29" t="str">
        <f>IF(B87&gt;0,VLOOKUP(B87,КВСР!A54:B1219,2),IF(C87&gt;0,VLOOKUP(C87,КФСР!A54:B1566,2),IF(D87&gt;0,VLOOKUP(D87,КЦСР!A54:B4014,2),IF(E87&gt;0,VLOOKUP(E87,КВР!A54:B1982,2)))))</f>
        <v>Другие общегосударственные вопросы</v>
      </c>
      <c r="B87" s="74"/>
      <c r="C87" s="64">
        <v>113</v>
      </c>
      <c r="D87" s="65"/>
      <c r="E87" s="66"/>
      <c r="F87" s="63">
        <v>6354755</v>
      </c>
      <c r="G87" s="63">
        <f>G88+G97+G100</f>
        <v>0</v>
      </c>
      <c r="H87" s="63">
        <f>H88+H97+H100</f>
        <v>6354755</v>
      </c>
    </row>
    <row r="88" spans="1:9" s="17" customFormat="1" ht="78.75">
      <c r="A88" s="29" t="str">
        <f>IF(B88&gt;0,VLOOKUP(B88,КВСР!A55:B1220,2),IF(C88&gt;0,VLOOKUP(C88,КФСР!A55:B1567,2),IF(D88&gt;0,VLOOKUP(D88,КЦСР!A55:B4015,2),IF(E88&gt;0,VLOOKUP(E88,КВР!A55:B1983,2)))))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88" s="74"/>
      <c r="C88" s="64"/>
      <c r="D88" s="65">
        <v>20000</v>
      </c>
      <c r="E88" s="66"/>
      <c r="F88" s="63">
        <v>4634755</v>
      </c>
      <c r="G88" s="63">
        <f>G89</f>
        <v>0</v>
      </c>
      <c r="H88" s="63">
        <f>H89</f>
        <v>4634755</v>
      </c>
    </row>
    <row r="89" spans="1:9" s="17" customFormat="1" ht="24" customHeight="1">
      <c r="A89" s="29" t="str">
        <f>IF(B89&gt;0,VLOOKUP(B89,КВСР!A56:B1221,2),IF(C89&gt;0,VLOOKUP(C89,КФСР!A56:B1568,2),IF(D89&gt;0,VLOOKUP(D89,КЦСР!A56:B4016,2),IF(E89&gt;0,VLOOKUP(E89,КВР!A56:B1984,2)))))</f>
        <v>Центральный аппарат</v>
      </c>
      <c r="B89" s="74"/>
      <c r="C89" s="64"/>
      <c r="D89" s="65">
        <v>20400</v>
      </c>
      <c r="E89" s="66"/>
      <c r="F89" s="63">
        <v>4634755</v>
      </c>
      <c r="G89" s="63">
        <f t="shared" ref="G89:H89" si="23">G90+G91+G92+G93+G94+G95+G96</f>
        <v>0</v>
      </c>
      <c r="H89" s="63">
        <f t="shared" si="23"/>
        <v>4634755</v>
      </c>
    </row>
    <row r="90" spans="1:9" s="17" customFormat="1" ht="31.5">
      <c r="A90" s="29" t="str">
        <f>IF(B90&gt;0,VLOOKUP(B90,КВСР!A57:B1222,2),IF(C90&gt;0,VLOOKUP(C90,КФСР!A57:B1569,2),IF(D90&gt;0,VLOOKUP(D90,КЦСР!A57:B4017,2),IF(E90&gt;0,VLOOKUP(E90,КВР!A57:B1985,2)))))</f>
        <v>Фонд оплаты труда и страховые взносы</v>
      </c>
      <c r="B90" s="74"/>
      <c r="C90" s="64"/>
      <c r="D90" s="71"/>
      <c r="E90" s="66">
        <v>121</v>
      </c>
      <c r="F90" s="88">
        <v>3972283</v>
      </c>
      <c r="G90" s="91"/>
      <c r="H90" s="30">
        <f t="shared" ref="H90:H96" si="24">F90+G90</f>
        <v>3972283</v>
      </c>
    </row>
    <row r="91" spans="1:9" s="17" customFormat="1" ht="31.5">
      <c r="A91" s="29" t="str">
        <f>IF(B91&gt;0,VLOOKUP(B91,КВСР!A58:B1223,2),IF(C91&gt;0,VLOOKUP(C91,КФСР!A58:B1570,2),IF(D91&gt;0,VLOOKUP(D91,КЦСР!A58:B4018,2),IF(E91&gt;0,VLOOKUP(E91,КВР!A58:B1986,2)))))</f>
        <v>Иные выплаты персоналу, за исключением фонда оплаты труда</v>
      </c>
      <c r="B91" s="74"/>
      <c r="C91" s="64"/>
      <c r="D91" s="71"/>
      <c r="E91" s="66">
        <v>122</v>
      </c>
      <c r="F91" s="88">
        <v>350</v>
      </c>
      <c r="G91" s="91"/>
      <c r="H91" s="30">
        <f t="shared" si="24"/>
        <v>350</v>
      </c>
    </row>
    <row r="92" spans="1:9" s="17" customFormat="1" ht="47.25">
      <c r="A92" s="29" t="str">
        <f>IF(B92&gt;0,VLOOKUP(B92,КВСР!A59:B1224,2),IF(C92&gt;0,VLOOKUP(C92,КФСР!A59:B1571,2),IF(D92&gt;0,VLOOKUP(D92,КЦСР!A59:B4019,2),IF(E92&gt;0,VLOOKUP(E92,КВР!A59:B1987,2)))))</f>
        <v>Закупка товаров, работ, услуг в сфере информационно-коммуникационных технологий</v>
      </c>
      <c r="B92" s="74"/>
      <c r="C92" s="64"/>
      <c r="D92" s="71"/>
      <c r="E92" s="66">
        <v>242</v>
      </c>
      <c r="F92" s="88">
        <v>347800</v>
      </c>
      <c r="G92" s="91"/>
      <c r="H92" s="30">
        <f t="shared" si="24"/>
        <v>347800</v>
      </c>
    </row>
    <row r="93" spans="1:9" s="17" customFormat="1" ht="31.5">
      <c r="A93" s="29" t="str">
        <f>IF(B93&gt;0,VLOOKUP(B93,КВСР!A60:B1225,2),IF(C93&gt;0,VLOOKUP(C93,КФСР!A60:B1572,2),IF(D93&gt;0,VLOOKUP(D93,КЦСР!A60:B4020,2),IF(E93&gt;0,VLOOKUP(E93,КВР!A60:B1988,2)))))</f>
        <v>Прочая закупка товаров, работ и услуг для государственных нужд</v>
      </c>
      <c r="B93" s="74"/>
      <c r="C93" s="64"/>
      <c r="D93" s="71"/>
      <c r="E93" s="66">
        <v>244</v>
      </c>
      <c r="F93" s="88">
        <v>117825</v>
      </c>
      <c r="G93" s="91"/>
      <c r="H93" s="30">
        <f t="shared" si="24"/>
        <v>117825</v>
      </c>
    </row>
    <row r="94" spans="1:9" s="17" customFormat="1" ht="157.5">
      <c r="A94" s="29" t="str">
        <f>IF(B94&gt;0,VLOOKUP(B94,КВСР!A61:B1226,2),IF(C94&gt;0,VLOOKUP(C94,КФСР!A61:B1573,2),IF(D94&gt;0,VLOOKUP(D94,КЦСР!A61:B4021,2),IF(E94&gt;0,VLOOKUP(E94,КВР!A61:B1989,2)))))</f>
        <v>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v>
      </c>
      <c r="B94" s="74"/>
      <c r="C94" s="64"/>
      <c r="D94" s="71"/>
      <c r="E94" s="66">
        <v>831</v>
      </c>
      <c r="F94" s="88">
        <v>113797</v>
      </c>
      <c r="G94" s="91"/>
      <c r="H94" s="30">
        <f>F94+G94</f>
        <v>113797</v>
      </c>
    </row>
    <row r="95" spans="1:9" s="17" customFormat="1" ht="31.5">
      <c r="A95" s="29" t="str">
        <f>IF(B95&gt;0,VLOOKUP(B95,КВСР!A61:B1226,2),IF(C95&gt;0,VLOOKUP(C95,КФСР!A61:B1573,2),IF(D95&gt;0,VLOOKUP(D95,КЦСР!A61:B4021,2),IF(E95&gt;0,VLOOKUP(E95,КВР!A61:B1989,2)))))</f>
        <v>Уплата налога на имущество организаций и земельного налога</v>
      </c>
      <c r="B95" s="74"/>
      <c r="C95" s="64"/>
      <c r="D95" s="71"/>
      <c r="E95" s="66">
        <v>851</v>
      </c>
      <c r="F95" s="88">
        <v>2700</v>
      </c>
      <c r="G95" s="91"/>
      <c r="H95" s="30">
        <f t="shared" si="24"/>
        <v>2700</v>
      </c>
    </row>
    <row r="96" spans="1:9" s="17" customFormat="1" ht="31.5">
      <c r="A96" s="29" t="str">
        <f>IF(B96&gt;0,VLOOKUP(B96,КВСР!A62:B1227,2),IF(C96&gt;0,VLOOKUP(C96,КФСР!A62:B1574,2),IF(D96&gt;0,VLOOKUP(D96,КЦСР!A62:B4022,2),IF(E96&gt;0,VLOOKUP(E96,КВР!A62:B1990,2)))))</f>
        <v>Уплата прочих налогов, сборов и иных обязательных платежей</v>
      </c>
      <c r="B96" s="74"/>
      <c r="C96" s="64"/>
      <c r="D96" s="71"/>
      <c r="E96" s="66">
        <v>852</v>
      </c>
      <c r="F96" s="88">
        <v>80000</v>
      </c>
      <c r="G96" s="91"/>
      <c r="H96" s="30">
        <f t="shared" si="24"/>
        <v>80000</v>
      </c>
    </row>
    <row r="97" spans="1:8" s="17" customFormat="1" ht="63">
      <c r="A97" s="29" t="str">
        <f>IF(B97&gt;0,VLOOKUP(B97,КВСР!A63:B1228,2),IF(C97&gt;0,VLOOKUP(C97,КФСР!A63:B1575,2),IF(D97&gt;0,VLOOKUP(D97,КЦСР!A63:B4023,2),IF(E97&gt;0,VLOOKUP(E97,КВР!A63:B1991,2)))))</f>
        <v>Реализация государственной политики в области приватизации и управления государственной и муниципальной собственностью</v>
      </c>
      <c r="B97" s="74"/>
      <c r="C97" s="64"/>
      <c r="D97" s="71">
        <v>900000</v>
      </c>
      <c r="E97" s="66"/>
      <c r="F97" s="63">
        <v>683000</v>
      </c>
      <c r="G97" s="63">
        <f t="shared" ref="G97:H98" si="25">G98</f>
        <v>0</v>
      </c>
      <c r="H97" s="63">
        <f t="shared" si="25"/>
        <v>683000</v>
      </c>
    </row>
    <row r="98" spans="1:8" s="17" customFormat="1" ht="63">
      <c r="A98" s="29" t="str">
        <f>IF(B98&gt;0,VLOOKUP(B98,КВСР!A64:B1229,2),IF(C98&gt;0,VLOOKUP(C98,КФСР!A64:B1576,2),IF(D98&gt;0,VLOOKUP(D98,КЦСР!A64:B4024,2),IF(E98&gt;0,VLOOKUP(E98,КВР!A64:B1992,2)))))</f>
        <v>Оценка недвижимости, признание прав и регулирование отношений по государственной и муниципальной собственности</v>
      </c>
      <c r="B98" s="74"/>
      <c r="C98" s="64"/>
      <c r="D98" s="65">
        <v>900200</v>
      </c>
      <c r="E98" s="66"/>
      <c r="F98" s="63">
        <v>683000</v>
      </c>
      <c r="G98" s="63">
        <f t="shared" si="25"/>
        <v>0</v>
      </c>
      <c r="H98" s="63">
        <f t="shared" si="25"/>
        <v>683000</v>
      </c>
    </row>
    <row r="99" spans="1:8" s="17" customFormat="1" ht="31.5">
      <c r="A99" s="29" t="str">
        <f>IF(B99&gt;0,VLOOKUP(B99,КВСР!A65:B1230,2),IF(C99&gt;0,VLOOKUP(C99,КФСР!A65:B1577,2),IF(D99&gt;0,VLOOKUP(D99,КЦСР!A65:B4025,2),IF(E99&gt;0,VLOOKUP(E99,КВР!A65:B1993,2)))))</f>
        <v>Прочая закупка товаров, работ и услуг для государственных нужд</v>
      </c>
      <c r="B99" s="74"/>
      <c r="C99" s="64"/>
      <c r="D99" s="65"/>
      <c r="E99" s="66">
        <v>244</v>
      </c>
      <c r="F99" s="88">
        <v>683000</v>
      </c>
      <c r="G99" s="91"/>
      <c r="H99" s="30">
        <f>F99+G99</f>
        <v>683000</v>
      </c>
    </row>
    <row r="100" spans="1:8" s="17" customFormat="1" ht="47.25">
      <c r="A100" s="29" t="str">
        <f>IF(B100&gt;0,VLOOKUP(B100,КВСР!A66:B1231,2),IF(C100&gt;0,VLOOKUP(C100,КФСР!A66:B1578,2),IF(D100&gt;0,VLOOKUP(D100,КЦСР!A66:B4026,2),IF(E100&gt;0,VLOOKUP(E100,КВР!A66:B1994,2)))))</f>
        <v>Реализация государственных функций, связанных с общегосударственным управлением</v>
      </c>
      <c r="B100" s="74"/>
      <c r="C100" s="64"/>
      <c r="D100" s="65">
        <v>920000</v>
      </c>
      <c r="E100" s="66"/>
      <c r="F100" s="63">
        <v>1037000</v>
      </c>
      <c r="G100" s="63">
        <f t="shared" ref="G100:H101" si="26">G101</f>
        <v>0</v>
      </c>
      <c r="H100" s="63">
        <f t="shared" si="26"/>
        <v>1037000</v>
      </c>
    </row>
    <row r="101" spans="1:8" s="17" customFormat="1" ht="31.5">
      <c r="A101" s="29" t="str">
        <f>IF(B101&gt;0,VLOOKUP(B101,КВСР!A67:B1232,2),IF(C101&gt;0,VLOOKUP(C101,КФСР!A67:B1579,2),IF(D101&gt;0,VLOOKUP(D101,КЦСР!A67:B4027,2),IF(E101&gt;0,VLOOKUP(E101,КВР!A67:B1995,2)))))</f>
        <v>Выполнение других обязательств государства</v>
      </c>
      <c r="B101" s="74"/>
      <c r="C101" s="64"/>
      <c r="D101" s="65">
        <v>920300</v>
      </c>
      <c r="E101" s="66"/>
      <c r="F101" s="63">
        <v>1037000</v>
      </c>
      <c r="G101" s="63">
        <f t="shared" si="26"/>
        <v>0</v>
      </c>
      <c r="H101" s="63">
        <f t="shared" si="26"/>
        <v>1037000</v>
      </c>
    </row>
    <row r="102" spans="1:8" s="17" customFormat="1" ht="31.5">
      <c r="A102" s="29" t="str">
        <f>IF(B102&gt;0,VLOOKUP(B102,КВСР!A68:B1233,2),IF(C102&gt;0,VLOOKUP(C102,КФСР!A68:B1580,2),IF(D102&gt;0,VLOOKUP(D102,КЦСР!A68:B4028,2),IF(E102&gt;0,VLOOKUP(E102,КВР!A68:B1996,2)))))</f>
        <v>Прочая закупка товаров, работ и услуг для государственных нужд</v>
      </c>
      <c r="B102" s="74"/>
      <c r="C102" s="64"/>
      <c r="D102" s="65"/>
      <c r="E102" s="66">
        <v>244</v>
      </c>
      <c r="F102" s="88">
        <v>1037000</v>
      </c>
      <c r="G102" s="91"/>
      <c r="H102" s="30">
        <f>F102+G102</f>
        <v>1037000</v>
      </c>
    </row>
    <row r="103" spans="1:8" s="17" customFormat="1" ht="31.5">
      <c r="A103" s="29" t="str">
        <f>IF(B103&gt;0,VLOOKUP(B103,КВСР!A69:B1234,2),IF(C103&gt;0,VLOOKUP(C103,КФСР!A69:B1581,2),IF(D103&gt;0,VLOOKUP(D103,КЦСР!A69:B4029,2),IF(E103&gt;0,VLOOKUP(E103,КВР!A69:B1997,2)))))</f>
        <v>Другие вопросы в области национальной экономики</v>
      </c>
      <c r="B103" s="74"/>
      <c r="C103" s="64">
        <v>412</v>
      </c>
      <c r="D103" s="65"/>
      <c r="E103" s="66"/>
      <c r="F103" s="88">
        <v>600000</v>
      </c>
      <c r="G103" s="88">
        <f t="shared" ref="G103:H105" si="27">G104</f>
        <v>0</v>
      </c>
      <c r="H103" s="88">
        <f t="shared" si="27"/>
        <v>600000</v>
      </c>
    </row>
    <row r="104" spans="1:8" s="17" customFormat="1" ht="47.25">
      <c r="A104" s="29" t="str">
        <f>IF(B104&gt;0,VLOOKUP(B104,КВСР!A70:B1235,2),IF(C104&gt;0,VLOOKUP(C104,КФСР!A70:B1582,2),IF(D104&gt;0,VLOOKUP(D104,КЦСР!A70:B4030,2),IF(E104&gt;0,VLOOKUP(E104,КВР!A70:B1998,2)))))</f>
        <v>Реализация государственных функций в области национальной экономики</v>
      </c>
      <c r="B104" s="74"/>
      <c r="C104" s="64"/>
      <c r="D104" s="65">
        <v>3400000</v>
      </c>
      <c r="E104" s="66"/>
      <c r="F104" s="88">
        <v>600000</v>
      </c>
      <c r="G104" s="88">
        <f t="shared" si="27"/>
        <v>0</v>
      </c>
      <c r="H104" s="88">
        <f t="shared" si="27"/>
        <v>600000</v>
      </c>
    </row>
    <row r="105" spans="1:8" s="17" customFormat="1" ht="31.5">
      <c r="A105" s="29" t="str">
        <f>IF(B105&gt;0,VLOOKUP(B105,КВСР!A71:B1236,2),IF(C105&gt;0,VLOOKUP(C105,КФСР!A71:B1583,2),IF(D105&gt;0,VLOOKUP(D105,КЦСР!A71:B4031,2),IF(E105&gt;0,VLOOKUP(E105,КВР!A71:B1999,2)))))</f>
        <v>Мероприятия по землеустройству и землепользованию</v>
      </c>
      <c r="B105" s="74"/>
      <c r="C105" s="64"/>
      <c r="D105" s="65">
        <v>3400300</v>
      </c>
      <c r="E105" s="66"/>
      <c r="F105" s="88">
        <v>600000</v>
      </c>
      <c r="G105" s="88">
        <f t="shared" si="27"/>
        <v>0</v>
      </c>
      <c r="H105" s="88">
        <f t="shared" si="27"/>
        <v>600000</v>
      </c>
    </row>
    <row r="106" spans="1:8" s="17" customFormat="1" ht="31.5">
      <c r="A106" s="29" t="str">
        <f>IF(B106&gt;0,VLOOKUP(B106,КВСР!A72:B1237,2),IF(C106&gt;0,VLOOKUP(C106,КФСР!A72:B1584,2),IF(D106&gt;0,VLOOKUP(D106,КЦСР!A72:B4032,2),IF(E106&gt;0,VLOOKUP(E106,КВР!A72:B2000,2)))))</f>
        <v>Прочая закупка товаров, работ и услуг для государственных нужд</v>
      </c>
      <c r="B106" s="74"/>
      <c r="C106" s="64"/>
      <c r="D106" s="65"/>
      <c r="E106" s="66">
        <v>244</v>
      </c>
      <c r="F106" s="88">
        <v>600000</v>
      </c>
      <c r="G106" s="91"/>
      <c r="H106" s="30">
        <f>F106+G106</f>
        <v>600000</v>
      </c>
    </row>
    <row r="107" spans="1:8" s="17" customFormat="1" ht="26.25" customHeight="1">
      <c r="A107" s="29" t="str">
        <f>IF(B107&gt;0,VLOOKUP(B107,КВСР!A73:B1238,2),IF(C107&gt;0,VLOOKUP(C107,КФСР!A73:B1585,2),IF(D107&gt;0,VLOOKUP(D107,КЦСР!A73:B4033,2),IF(E107&gt;0,VLOOKUP(E107,КВР!A73:B2001,2)))))</f>
        <v>Социальное обеспечение населения</v>
      </c>
      <c r="B107" s="74"/>
      <c r="C107" s="64">
        <v>1003</v>
      </c>
      <c r="D107" s="65"/>
      <c r="E107" s="66"/>
      <c r="F107" s="88">
        <v>1700000</v>
      </c>
      <c r="G107" s="88">
        <f t="shared" ref="G107:H109" si="28">G108</f>
        <v>0</v>
      </c>
      <c r="H107" s="88">
        <f t="shared" si="28"/>
        <v>1700000</v>
      </c>
    </row>
    <row r="108" spans="1:8" s="17" customFormat="1" ht="27.75" customHeight="1">
      <c r="A108" s="29" t="str">
        <f>IF(B108&gt;0,VLOOKUP(B108,КВСР!A74:B1239,2),IF(C108&gt;0,VLOOKUP(C108,КФСР!A74:B1586,2),IF(D108&gt;0,VLOOKUP(D108,КЦСР!A74:B4034,2),IF(E108&gt;0,VLOOKUP(E108,КВР!A74:B2002,2)))))</f>
        <v>Региональные целевые программы</v>
      </c>
      <c r="B108" s="74"/>
      <c r="C108" s="64"/>
      <c r="D108" s="65">
        <v>5220000</v>
      </c>
      <c r="E108" s="66"/>
      <c r="F108" s="88">
        <v>1700000</v>
      </c>
      <c r="G108" s="88">
        <f t="shared" si="28"/>
        <v>0</v>
      </c>
      <c r="H108" s="88">
        <f t="shared" si="28"/>
        <v>1700000</v>
      </c>
    </row>
    <row r="109" spans="1:8" s="17" customFormat="1" ht="63">
      <c r="A109" s="29" t="str">
        <f>IF(B109&gt;0,VLOOKUP(B109,КВСР!A75:B1240,2),IF(C109&gt;0,VLOOKUP(C109,КФСР!A75:B1587,2),IF(D109&gt;0,VLOOKUP(D109,КЦСР!A75:B4035,2),IF(E109&gt;0,VLOOKUP(E109,КВР!A75:B2003,2)))))</f>
        <v xml:space="preserve">Региональная программа "Стимулирование развития жилищного строительства на территории Ярославской области" </v>
      </c>
      <c r="B109" s="74"/>
      <c r="C109" s="64"/>
      <c r="D109" s="65">
        <v>5226000</v>
      </c>
      <c r="E109" s="66"/>
      <c r="F109" s="88">
        <v>1700000</v>
      </c>
      <c r="G109" s="88">
        <f t="shared" si="28"/>
        <v>0</v>
      </c>
      <c r="H109" s="88">
        <f t="shared" si="28"/>
        <v>1700000</v>
      </c>
    </row>
    <row r="110" spans="1:8" s="17" customFormat="1" ht="78.75">
      <c r="A110" s="29" t="str">
        <f>IF(B110&gt;0,VLOOKUP(B110,КВСР!A76:B1241,2),IF(C110&gt;0,VLOOKUP(C110,КФСР!A76:B1588,2),IF(D110&gt;0,VLOOKUP(D110,КЦСР!A76:B4036,2),IF(E110&gt;0,VLOOKUP(E110,КВР!A76:B2004,2)))))</f>
        <v>Субсидия на реализацию подпрограммы "Государственная поддержка граждан, проживающих на территории ЯО, в сфере ипотечного кредитования"</v>
      </c>
      <c r="B110" s="74"/>
      <c r="C110" s="64"/>
      <c r="D110" s="65">
        <v>5226003</v>
      </c>
      <c r="E110" s="66"/>
      <c r="F110" s="88">
        <v>1700000</v>
      </c>
      <c r="G110" s="88">
        <f>G112</f>
        <v>0</v>
      </c>
      <c r="H110" s="88">
        <f t="shared" ref="H110" si="29">H111+H112</f>
        <v>1700000</v>
      </c>
    </row>
    <row r="111" spans="1:8" s="17" customFormat="1" ht="31.5" hidden="1">
      <c r="A111" s="29" t="str">
        <f>IF(B111&gt;0,VLOOKUP(B111,КВСР!A77:B1242,2),IF(C111&gt;0,VLOOKUP(C111,КФСР!A77:B1589,2),IF(D111&gt;0,VLOOKUP(D111,КЦСР!A77:B4037,2),IF(E111&gt;0,VLOOKUP(E111,КВР!A77:B2005,2)))))</f>
        <v>Субсидии гражданам на приобретение жилья</v>
      </c>
      <c r="B111" s="74"/>
      <c r="C111" s="64"/>
      <c r="D111" s="65"/>
      <c r="E111" s="66">
        <v>322</v>
      </c>
      <c r="F111" s="88">
        <v>0</v>
      </c>
      <c r="G111" s="91">
        <v>0</v>
      </c>
      <c r="H111" s="30">
        <f>F111+G111</f>
        <v>0</v>
      </c>
    </row>
    <row r="112" spans="1:8" s="17" customFormat="1" ht="78.75">
      <c r="A112" s="29" t="str">
        <f>IF(B112&gt;0,VLOOKUP(B112,КВСР!A78:B1243,2),IF(C112&gt;0,VLOOKUP(C112,КФСР!A78:B1590,2),IF(D112&gt;0,VLOOKUP(D112,КЦСР!A78:B4038,2),IF(E112&gt;0,VLOOKUP(E112,КВР!A78:B2006,2)))))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112" s="74"/>
      <c r="C112" s="64"/>
      <c r="D112" s="65"/>
      <c r="E112" s="66">
        <v>521</v>
      </c>
      <c r="F112" s="88">
        <v>1700000</v>
      </c>
      <c r="G112" s="91"/>
      <c r="H112" s="30">
        <f>F112+G112</f>
        <v>1700000</v>
      </c>
    </row>
    <row r="113" spans="1:9" ht="22.5" customHeight="1">
      <c r="A113" s="29" t="str">
        <f>IF(B113&gt;0,VLOOKUP(B113,КВСР!A78:B1243,2),IF(C113&gt;0,VLOOKUP(C113,КФСР!A78:B1590,2),IF(D113&gt;0,VLOOKUP(D113,КЦСР!A78:B4038,2),IF(E113&gt;0,VLOOKUP(E113,КВР!A78:B2006,2)))))</f>
        <v>Охрана семьи и детства</v>
      </c>
      <c r="B113" s="74"/>
      <c r="C113" s="64">
        <v>1004</v>
      </c>
      <c r="D113" s="65"/>
      <c r="E113" s="66"/>
      <c r="F113" s="88">
        <v>9282745</v>
      </c>
      <c r="G113" s="88">
        <f t="shared" ref="G113:H116" si="30">G114</f>
        <v>0</v>
      </c>
      <c r="H113" s="88">
        <f t="shared" si="30"/>
        <v>9282745</v>
      </c>
    </row>
    <row r="114" spans="1:9" ht="26.25" customHeight="1">
      <c r="A114" s="29" t="str">
        <f>IF(B114&gt;0,VLOOKUP(B114,КВСР!A79:B1244,2),IF(C114&gt;0,VLOOKUP(C114,КФСР!A79:B1591,2),IF(D114&gt;0,VLOOKUP(D114,КЦСР!A79:B4039,2),IF(E114&gt;0,VLOOKUP(E114,КВР!A79:B2007,2)))))</f>
        <v>Социальная помощь</v>
      </c>
      <c r="B114" s="74"/>
      <c r="C114" s="64"/>
      <c r="D114" s="65">
        <v>5050000</v>
      </c>
      <c r="E114" s="66"/>
      <c r="F114" s="88">
        <v>9282745</v>
      </c>
      <c r="G114" s="88">
        <f t="shared" si="30"/>
        <v>0</v>
      </c>
      <c r="H114" s="88">
        <f t="shared" si="30"/>
        <v>9282745</v>
      </c>
    </row>
    <row r="115" spans="1:9" ht="94.5">
      <c r="A115" s="29" t="str">
        <f>IF(B115&gt;0,VLOOKUP(B115,КВСР!A80:B1245,2),IF(C115&gt;0,VLOOKUP(C115,КФСР!A80:B1592,2),IF(D115&gt;0,VLOOKUP(D115,КЦСР!A80:B4040,2),IF(E115&gt;0,VLOOKUP(E115,КВР!A80:B2008,2)))))</f>
        <v>Федеральный закон от 21 декабря 1996 года № 159-ФЗ "О дополнительных гарантиях по социальной поддержке детей-сирот и детей, оставшихся без попечения родителей"</v>
      </c>
      <c r="B115" s="74"/>
      <c r="C115" s="64"/>
      <c r="D115" s="65">
        <v>5052100</v>
      </c>
      <c r="E115" s="66"/>
      <c r="F115" s="88">
        <v>9282745</v>
      </c>
      <c r="G115" s="88">
        <f t="shared" si="30"/>
        <v>0</v>
      </c>
      <c r="H115" s="88">
        <f t="shared" si="30"/>
        <v>9282745</v>
      </c>
    </row>
    <row r="116" spans="1:9" ht="94.5">
      <c r="A116" s="29" t="str">
        <f>IF(B116&gt;0,VLOOKUP(B116,КВСР!A81:B1246,2),IF(C116&gt;0,VLOOKUP(C116,КФСР!A81:B1593,2),IF(D116&gt;0,VLOOKUP(D116,КЦСР!A81:B4041,2),IF(E116&gt;0,VLOOKUP(E116,КВР!A81:B2009,2)))))</f>
        <v>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v>
      </c>
      <c r="B116" s="74"/>
      <c r="C116" s="64"/>
      <c r="D116" s="65">
        <v>5052102</v>
      </c>
      <c r="E116" s="66"/>
      <c r="F116" s="88">
        <v>9282745</v>
      </c>
      <c r="G116" s="88">
        <f t="shared" si="30"/>
        <v>0</v>
      </c>
      <c r="H116" s="88">
        <f t="shared" si="30"/>
        <v>9282745</v>
      </c>
    </row>
    <row r="117" spans="1:9" ht="31.5">
      <c r="A117" s="29" t="str">
        <f>IF(B117&gt;0,VLOOKUP(B117,КВСР!A82:B1247,2),IF(C117&gt;0,VLOOKUP(C117,КФСР!A82:B1594,2),IF(D117&gt;0,VLOOKUP(D117,КЦСР!A82:B4042,2),IF(E117&gt;0,VLOOKUP(E117,КВР!A82:B2010,2)))))</f>
        <v>Субсидии гражданам на приобретение жилья</v>
      </c>
      <c r="B117" s="74"/>
      <c r="C117" s="64"/>
      <c r="D117" s="65"/>
      <c r="E117" s="66">
        <v>322</v>
      </c>
      <c r="F117" s="88">
        <v>9282745</v>
      </c>
      <c r="G117" s="91"/>
      <c r="H117" s="30">
        <f>F117+G117</f>
        <v>9282745</v>
      </c>
    </row>
    <row r="118" spans="1:9" ht="31.5">
      <c r="A118" s="34" t="str">
        <f>IF(B118&gt;0,VLOOKUP(B118,КВСР!A83:B1248,2),IF(C118&gt;0,VLOOKUP(C118,КФСР!A83:B1595,2),IF(D118&gt;0,VLOOKUP(D118,КЦСР!A83:B4043,2),IF(E118&gt;0,VLOOKUP(E118,КВР!A83:B2011,2)))))</f>
        <v>Департамент образования Администрации ТМР</v>
      </c>
      <c r="B118" s="69">
        <v>953</v>
      </c>
      <c r="C118" s="70"/>
      <c r="D118" s="71"/>
      <c r="E118" s="72"/>
      <c r="F118" s="35">
        <v>663330517</v>
      </c>
      <c r="G118" s="35">
        <f>+G119+G129+G141+G160+G178+G221+G225+G252+G125</f>
        <v>970970</v>
      </c>
      <c r="H118" s="35">
        <f>+H119+H129+H141+H160+H178+H221+H225+H252+H125</f>
        <v>664301487</v>
      </c>
      <c r="I118" s="124"/>
    </row>
    <row r="119" spans="1:9">
      <c r="A119" s="29" t="str">
        <f>IF(B119&gt;0,VLOOKUP(B119,КВСР!A81:B1246,2),IF(C119&gt;0,VLOOKUP(C119,КФСР!A81:B1593,2),IF(D119&gt;0,VLOOKUP(D119,КЦСР!A81:B4041,2),IF(E119&gt;0,VLOOKUP(E119,КВР!A81:B2009,2)))))</f>
        <v>Резервные фонды</v>
      </c>
      <c r="B119" s="69"/>
      <c r="C119" s="70">
        <v>111</v>
      </c>
      <c r="D119" s="71"/>
      <c r="E119" s="72"/>
      <c r="F119" s="30">
        <v>196884</v>
      </c>
      <c r="G119" s="30">
        <f>G120</f>
        <v>0</v>
      </c>
      <c r="H119" s="30">
        <f>H120</f>
        <v>196884</v>
      </c>
      <c r="I119" s="124"/>
    </row>
    <row r="120" spans="1:9">
      <c r="A120" s="29" t="str">
        <f>IF(B120&gt;0,VLOOKUP(B120,КВСР!A82:B1247,2),IF(C120&gt;0,VLOOKUP(C120,КФСР!A82:B1594,2),IF(D120&gt;0,VLOOKUP(D120,КЦСР!A82:B4042,2),IF(E120&gt;0,VLOOKUP(E120,КВР!A82:B2010,2)))))</f>
        <v>Резервные фонды</v>
      </c>
      <c r="B120" s="69"/>
      <c r="C120" s="70"/>
      <c r="D120" s="71">
        <v>700000</v>
      </c>
      <c r="E120" s="72"/>
      <c r="F120" s="30">
        <v>196884</v>
      </c>
      <c r="G120" s="30">
        <f t="shared" ref="G120:H120" si="31">G121+G123</f>
        <v>0</v>
      </c>
      <c r="H120" s="30">
        <f t="shared" si="31"/>
        <v>196884</v>
      </c>
      <c r="I120" s="124"/>
    </row>
    <row r="121" spans="1:9" ht="47.25" hidden="1">
      <c r="A121" s="29" t="str">
        <f>IF(B121&gt;0,VLOOKUP(B121,КВСР!A83:B1248,2),IF(C121&gt;0,VLOOKUP(C121,КФСР!A83:B1595,2),IF(D121&gt;0,VLOOKUP(D121,КЦСР!A83:B4043,2),IF(E121&gt;0,VLOOKUP(E121,КВР!A83:B2011,2)))))</f>
        <v>Резервный фонд исполнительных органов государственной власти субъектов Российской Федерации</v>
      </c>
      <c r="B121" s="69"/>
      <c r="C121" s="70"/>
      <c r="D121" s="71">
        <v>700400</v>
      </c>
      <c r="E121" s="72"/>
      <c r="F121" s="30">
        <v>0</v>
      </c>
      <c r="G121" s="30">
        <f t="shared" ref="G121:H121" si="32">G122</f>
        <v>0</v>
      </c>
      <c r="H121" s="30">
        <f t="shared" si="32"/>
        <v>0</v>
      </c>
      <c r="I121" s="124"/>
    </row>
    <row r="122" spans="1:9" ht="31.5" hidden="1">
      <c r="A122" s="29" t="str">
        <f>IF(B122&gt;0,VLOOKUP(B122,КВСР!A84:B1249,2),IF(C122&gt;0,VLOOKUP(C122,КФСР!A84:B1596,2),IF(D122&gt;0,VLOOKUP(D122,КЦСР!A84:B4044,2),IF(E122&gt;0,VLOOKUP(E122,КВР!A84:B2012,2)))))</f>
        <v>Субсидии бюджетным учреждениям на иные цели</v>
      </c>
      <c r="B122" s="69"/>
      <c r="C122" s="70"/>
      <c r="D122" s="71"/>
      <c r="E122" s="72">
        <v>612</v>
      </c>
      <c r="F122" s="30">
        <v>0</v>
      </c>
      <c r="G122" s="231"/>
      <c r="H122" s="30">
        <f>F122+G122</f>
        <v>0</v>
      </c>
      <c r="I122" s="124"/>
    </row>
    <row r="123" spans="1:9" ht="31.5">
      <c r="A123" s="29" t="str">
        <f>IF(B123&gt;0,VLOOKUP(B123,КВСР!A85:B1250,2),IF(C123&gt;0,VLOOKUP(C123,КФСР!A85:B1597,2),IF(D123&gt;0,VLOOKUP(D123,КЦСР!A85:B4045,2),IF(E123&gt;0,VLOOKUP(E123,КВР!A85:B2013,2)))))</f>
        <v>Резервные фонды местных администраций</v>
      </c>
      <c r="B123" s="69"/>
      <c r="C123" s="70"/>
      <c r="D123" s="71">
        <v>700500</v>
      </c>
      <c r="E123" s="72"/>
      <c r="F123" s="30">
        <v>196884</v>
      </c>
      <c r="G123" s="30">
        <f>G124</f>
        <v>0</v>
      </c>
      <c r="H123" s="30">
        <f>H124</f>
        <v>196884</v>
      </c>
      <c r="I123" s="124"/>
    </row>
    <row r="124" spans="1:9" ht="31.5">
      <c r="A124" s="29" t="str">
        <f>IF(B124&gt;0,VLOOKUP(B124,КВСР!A84:B1249,2),IF(C124&gt;0,VLOOKUP(C124,КФСР!A84:B1596,2),IF(D124&gt;0,VLOOKUP(D124,КЦСР!A84:B4044,2),IF(E124&gt;0,VLOOKUP(E124,КВР!A84:B2012,2)))))</f>
        <v>Субсидии бюджетным учреждениям на иные цели</v>
      </c>
      <c r="B124" s="69"/>
      <c r="C124" s="70"/>
      <c r="D124" s="71"/>
      <c r="E124" s="72">
        <v>612</v>
      </c>
      <c r="F124" s="30">
        <v>196884</v>
      </c>
      <c r="G124" s="91"/>
      <c r="H124" s="30">
        <f>F124+G124</f>
        <v>196884</v>
      </c>
      <c r="I124" s="124"/>
    </row>
    <row r="125" spans="1:9" ht="22.5" customHeight="1">
      <c r="A125" s="29" t="str">
        <f>IF(B125&gt;0,VLOOKUP(B125,КВСР!A85:B1250,2),IF(C125&gt;0,VLOOKUP(C125,КФСР!A85:B1597,2),IF(D125&gt;0,VLOOKUP(D125,КЦСР!A85:B4045,2),IF(E125&gt;0,VLOOKUP(E125,КВР!A85:B2013,2)))))</f>
        <v xml:space="preserve"> Общеэкономические вопросы</v>
      </c>
      <c r="B125" s="69"/>
      <c r="C125" s="70">
        <v>401</v>
      </c>
      <c r="D125" s="71"/>
      <c r="E125" s="72"/>
      <c r="F125" s="30">
        <v>250000</v>
      </c>
      <c r="G125" s="30">
        <f t="shared" ref="G125:H125" si="33">G126</f>
        <v>0</v>
      </c>
      <c r="H125" s="30">
        <f t="shared" si="33"/>
        <v>250000</v>
      </c>
      <c r="I125" s="124"/>
    </row>
    <row r="126" spans="1:9" ht="31.5">
      <c r="A126" s="29" t="str">
        <f>IF(B126&gt;0,VLOOKUP(B126,КВСР!A86:B1251,2),IF(C126&gt;0,VLOOKUP(C126,КФСР!A86:B1598,2),IF(D126&gt;0,VLOOKUP(D126,КЦСР!A86:B4046,2),IF(E126&gt;0,VLOOKUP(E126,КВР!A86:B2014,2)))))</f>
        <v>Реализация государственной политики занятости населения</v>
      </c>
      <c r="B126" s="69"/>
      <c r="C126" s="70"/>
      <c r="D126" s="71">
        <v>5100000</v>
      </c>
      <c r="E126" s="72"/>
      <c r="F126" s="30">
        <v>250000</v>
      </c>
      <c r="G126" s="30">
        <f t="shared" ref="G126:H126" si="34">G127</f>
        <v>0</v>
      </c>
      <c r="H126" s="30">
        <f t="shared" si="34"/>
        <v>250000</v>
      </c>
      <c r="I126" s="124"/>
    </row>
    <row r="127" spans="1:9" ht="81" customHeight="1">
      <c r="A127" s="29" t="str">
        <f>IF(B127&gt;0,VLOOKUP(B127,КВСР!A87:B1252,2),IF(C127&gt;0,VLOOKUP(C127,КФСР!A87:B1599,2),IF(D127&gt;0,VLOOKUP(D127,КЦСР!A87:B4047,2),IF(E127&gt;0,VLOOKUP(E127,КВР!A87:B2015,2)))))</f>
        <v>Реализация дополнительных мероприятий, направленных на снижение напряженности на рынке труда субъектов Российской Федерации</v>
      </c>
      <c r="B127" s="69"/>
      <c r="C127" s="70"/>
      <c r="D127" s="71">
        <v>5100302</v>
      </c>
      <c r="E127" s="72"/>
      <c r="F127" s="30">
        <v>250000</v>
      </c>
      <c r="G127" s="30">
        <f t="shared" ref="G127:H127" si="35">G128</f>
        <v>0</v>
      </c>
      <c r="H127" s="30">
        <f t="shared" si="35"/>
        <v>250000</v>
      </c>
      <c r="I127" s="124"/>
    </row>
    <row r="128" spans="1:9" ht="31.5">
      <c r="A128" s="29" t="str">
        <f>IF(B128&gt;0,VLOOKUP(B128,КВСР!A88:B1253,2),IF(C128&gt;0,VLOOKUP(C128,КФСР!A88:B1600,2),IF(D128&gt;0,VLOOKUP(D128,КЦСР!A88:B4048,2),IF(E128&gt;0,VLOOKUP(E128,КВР!A88:B2016,2)))))</f>
        <v>Субсидии бюджетным учреждениям на иные цели</v>
      </c>
      <c r="B128" s="69"/>
      <c r="C128" s="70"/>
      <c r="D128" s="71"/>
      <c r="E128" s="72">
        <v>612</v>
      </c>
      <c r="F128" s="30">
        <v>250000</v>
      </c>
      <c r="G128" s="91"/>
      <c r="H128" s="30">
        <f>SUM(F128:G128)</f>
        <v>250000</v>
      </c>
      <c r="I128" s="124"/>
    </row>
    <row r="129" spans="1:8" ht="21.75" customHeight="1">
      <c r="A129" s="29" t="str">
        <f>IF(B129&gt;0,VLOOKUP(B129,КВСР!A84:B1249,2),IF(C129&gt;0,VLOOKUP(C129,КФСР!A84:B1596,2),IF(D129&gt;0,VLOOKUP(D129,КЦСР!A84:B4044,2),IF(E129&gt;0,VLOOKUP(E129,КВР!A84:B2012,2)))))</f>
        <v>Дошкольное образование</v>
      </c>
      <c r="B129" s="74"/>
      <c r="C129" s="64">
        <v>701</v>
      </c>
      <c r="D129" s="65"/>
      <c r="E129" s="66"/>
      <c r="F129" s="63">
        <v>199757704</v>
      </c>
      <c r="G129" s="63">
        <f>G137+G134+G130</f>
        <v>775970</v>
      </c>
      <c r="H129" s="63">
        <f>H137+H134+H130</f>
        <v>200533674</v>
      </c>
    </row>
    <row r="130" spans="1:8" ht="21.75" customHeight="1">
      <c r="A130" s="29" t="str">
        <f>IF(B130&gt;0,VLOOKUP(B130,КВСР!A85:B1250,2),IF(C130&gt;0,VLOOKUP(C130,КФСР!A85:B1597,2),IF(D130&gt;0,VLOOKUP(D130,КЦСР!A85:B4045,2),IF(E130&gt;0,VLOOKUP(E130,КВР!A85:B2013,2)))))</f>
        <v>Федеральные целевые программы</v>
      </c>
      <c r="B130" s="74"/>
      <c r="C130" s="64"/>
      <c r="D130" s="65">
        <v>1000000</v>
      </c>
      <c r="E130" s="66"/>
      <c r="F130" s="63">
        <f>F131</f>
        <v>0</v>
      </c>
      <c r="G130" s="63">
        <f t="shared" ref="G130:H130" si="36">G131</f>
        <v>970970</v>
      </c>
      <c r="H130" s="63">
        <f t="shared" si="36"/>
        <v>970970</v>
      </c>
    </row>
    <row r="131" spans="1:8" ht="47.25">
      <c r="A131" s="29" t="str">
        <f>IF(B131&gt;0,VLOOKUP(B131,КВСР!A86:B1251,2),IF(C131&gt;0,VLOOKUP(C131,КФСР!A86:B1598,2),IF(D131&gt;0,VLOOKUP(D131,КЦСР!A86:B4046,2),IF(E131&gt;0,VLOOKUP(E131,КВР!A86:B2014,2)))))</f>
        <v>Федеральная целевая программа развития образования на 2011 - 2015 годы</v>
      </c>
      <c r="B131" s="74"/>
      <c r="C131" s="64"/>
      <c r="D131" s="65">
        <v>1008900</v>
      </c>
      <c r="E131" s="66"/>
      <c r="F131" s="63">
        <f>F132</f>
        <v>0</v>
      </c>
      <c r="G131" s="63">
        <f t="shared" ref="G131:H131" si="37">G132</f>
        <v>970970</v>
      </c>
      <c r="H131" s="63">
        <f t="shared" si="37"/>
        <v>970970</v>
      </c>
    </row>
    <row r="132" spans="1:8" ht="47.25">
      <c r="A132" s="29" t="str">
        <f>IF(B132&gt;0,VLOOKUP(B132,КВСР!A87:B1252,2),IF(C132&gt;0,VLOOKUP(C132,КФСР!A87:B1599,2),IF(D132&gt;0,VLOOKUP(D132,КЦСР!A87:B4047,2),IF(E132&gt;0,VLOOKUP(E132,КВР!A87:B2015,2)))))</f>
        <v>Федеральная целевая программа развития образования на 2011 - 2015 годы</v>
      </c>
      <c r="B132" s="74"/>
      <c r="C132" s="64"/>
      <c r="D132" s="65">
        <v>1008901</v>
      </c>
      <c r="E132" s="66"/>
      <c r="F132" s="63">
        <f>F133</f>
        <v>0</v>
      </c>
      <c r="G132" s="63">
        <f t="shared" ref="G132:H132" si="38">G133</f>
        <v>970970</v>
      </c>
      <c r="H132" s="63">
        <f t="shared" si="38"/>
        <v>970970</v>
      </c>
    </row>
    <row r="133" spans="1:8" ht="21.75" customHeight="1">
      <c r="A133" s="29" t="str">
        <f>IF(B133&gt;0,VLOOKUP(B133,КВСР!A87:B1252,2),IF(C133&gt;0,VLOOKUP(C133,КФСР!A87:B1599,2),IF(D133&gt;0,VLOOKUP(D133,КЦСР!A87:B4047,2),IF(E133&gt;0,VLOOKUP(E133,КВР!A87:B2015,2)))))</f>
        <v>Прочая закупка товаров, работ и услуг для государственных нужд</v>
      </c>
      <c r="B133" s="74"/>
      <c r="C133" s="64"/>
      <c r="D133" s="65"/>
      <c r="E133" s="66">
        <v>244</v>
      </c>
      <c r="F133" s="63"/>
      <c r="G133" s="221">
        <v>970970</v>
      </c>
      <c r="H133" s="63">
        <f>F133+G133</f>
        <v>970970</v>
      </c>
    </row>
    <row r="134" spans="1:8">
      <c r="A134" s="29" t="str">
        <f>IF(B134&gt;0,VLOOKUP(B134,КВСР!A85:B1250,2),IF(C134&gt;0,VLOOKUP(C134,КФСР!A85:B1597,2),IF(D134&gt;0,VLOOKUP(D134,КЦСР!A85:B4045,2),IF(E134&gt;0,VLOOKUP(E134,КВР!A85:B2013,2)))))</f>
        <v>Резервные фонды</v>
      </c>
      <c r="B134" s="74"/>
      <c r="C134" s="64"/>
      <c r="D134" s="65">
        <v>700000</v>
      </c>
      <c r="E134" s="66"/>
      <c r="F134" s="63">
        <v>299669</v>
      </c>
      <c r="G134" s="63">
        <f t="shared" ref="G134:H134" si="39">G135</f>
        <v>0</v>
      </c>
      <c r="H134" s="63">
        <f t="shared" si="39"/>
        <v>299669</v>
      </c>
    </row>
    <row r="135" spans="1:8" ht="47.25">
      <c r="A135" s="29" t="str">
        <f>IF(B135&gt;0,VLOOKUP(B135,КВСР!A86:B1251,2),IF(C135&gt;0,VLOOKUP(C135,КФСР!A86:B1598,2),IF(D135&gt;0,VLOOKUP(D135,КЦСР!A86:B4046,2),IF(E135&gt;0,VLOOKUP(E135,КВР!A86:B2014,2)))))</f>
        <v>Резервный фонд исполнительных органов государственной власти субъектов Российской Федерации</v>
      </c>
      <c r="B135" s="74"/>
      <c r="C135" s="64"/>
      <c r="D135" s="65">
        <v>700400</v>
      </c>
      <c r="E135" s="66"/>
      <c r="F135" s="63">
        <v>299669</v>
      </c>
      <c r="G135" s="63">
        <f t="shared" ref="G135:H135" si="40">G136</f>
        <v>0</v>
      </c>
      <c r="H135" s="63">
        <f t="shared" si="40"/>
        <v>299669</v>
      </c>
    </row>
    <row r="136" spans="1:8" ht="31.5">
      <c r="A136" s="29" t="str">
        <f>IF(B136&gt;0,VLOOKUP(B136,КВСР!A87:B1252,2),IF(C136&gt;0,VLOOKUP(C136,КФСР!A87:B1599,2),IF(D136&gt;0,VLOOKUP(D136,КЦСР!A87:B4047,2),IF(E136&gt;0,VLOOKUP(E136,КВР!A87:B2015,2)))))</f>
        <v>Субсидии бюджетным учреждениям на иные цели</v>
      </c>
      <c r="B136" s="74"/>
      <c r="C136" s="64"/>
      <c r="D136" s="65"/>
      <c r="E136" s="66">
        <v>612</v>
      </c>
      <c r="F136" s="63">
        <v>299669</v>
      </c>
      <c r="G136" s="303"/>
      <c r="H136" s="63">
        <f>F136+G136</f>
        <v>299669</v>
      </c>
    </row>
    <row r="137" spans="1:8" ht="24.75" customHeight="1">
      <c r="A137" s="29" t="str">
        <f>IF(B137&gt;0,VLOOKUP(B137,КВСР!A85:B1250,2),IF(C137&gt;0,VLOOKUP(C137,КФСР!A85:B1597,2),IF(D137&gt;0,VLOOKUP(D137,КЦСР!A85:B4045,2),IF(E137&gt;0,VLOOKUP(E137,КВР!A85:B2013,2)))))</f>
        <v>Детские дошкольные учреждения</v>
      </c>
      <c r="B137" s="74"/>
      <c r="C137" s="64"/>
      <c r="D137" s="65">
        <v>4200000</v>
      </c>
      <c r="E137" s="66"/>
      <c r="F137" s="63">
        <v>199458035</v>
      </c>
      <c r="G137" s="63">
        <f t="shared" ref="G137:H137" si="41">G138</f>
        <v>-195000</v>
      </c>
      <c r="H137" s="63">
        <f t="shared" si="41"/>
        <v>199263035</v>
      </c>
    </row>
    <row r="138" spans="1:8" ht="31.5">
      <c r="A138" s="29" t="str">
        <f>IF(B138&gt;0,VLOOKUP(B138,КВСР!A86:B1251,2),IF(C138&gt;0,VLOOKUP(C138,КФСР!A86:B1598,2),IF(D138&gt;0,VLOOKUP(D138,КЦСР!A86:B4046,2),IF(E138&gt;0,VLOOKUP(E138,КВР!A86:B2014,2)))))</f>
        <v>Обеспечение деятельности подведомственных учреждений</v>
      </c>
      <c r="B138" s="74"/>
      <c r="C138" s="64"/>
      <c r="D138" s="65">
        <v>4209900</v>
      </c>
      <c r="E138" s="66"/>
      <c r="F138" s="63">
        <v>199458035</v>
      </c>
      <c r="G138" s="63">
        <f>G139+G140</f>
        <v>-195000</v>
      </c>
      <c r="H138" s="63">
        <f>H139+H140</f>
        <v>199263035</v>
      </c>
    </row>
    <row r="139" spans="1:8" ht="78.75">
      <c r="A139" s="29" t="str">
        <f>IF(B139&gt;0,VLOOKUP(B139,КВСР!A87:B1252,2),IF(C139&gt;0,VLOOKUP(C139,КФСР!A87:B1599,2),IF(D139&gt;0,VLOOKUP(D139,КЦСР!A87:B4047,2),IF(E139&gt;0,VLOOKUP(E139,КВР!A87:B2015,2)))))</f>
        <v>Субсидии бюджетным учреждениям на финансовое обеспечение государственного задания на оказание государственных услуг (выполнение работ)</v>
      </c>
      <c r="B139" s="74"/>
      <c r="C139" s="64"/>
      <c r="D139" s="65"/>
      <c r="E139" s="66">
        <v>611</v>
      </c>
      <c r="F139" s="88">
        <v>186904135</v>
      </c>
      <c r="G139" s="91"/>
      <c r="H139" s="30">
        <f>F139+G139</f>
        <v>186904135</v>
      </c>
    </row>
    <row r="140" spans="1:8" ht="31.5">
      <c r="A140" s="29" t="str">
        <f>IF(B140&gt;0,VLOOKUP(B140,КВСР!A88:B1253,2),IF(C140&gt;0,VLOOKUP(C140,КФСР!A88:B1600,2),IF(D140&gt;0,VLOOKUP(D140,КЦСР!A88:B4048,2),IF(E140&gt;0,VLOOKUP(E140,КВР!A88:B2016,2)))))</f>
        <v>Субсидии бюджетным учреждениям на иные цели</v>
      </c>
      <c r="B140" s="74"/>
      <c r="C140" s="64"/>
      <c r="D140" s="65"/>
      <c r="E140" s="66">
        <v>612</v>
      </c>
      <c r="F140" s="88">
        <v>12553900</v>
      </c>
      <c r="G140" s="91">
        <f>-487000+292000</f>
        <v>-195000</v>
      </c>
      <c r="H140" s="30">
        <f>F140+G140</f>
        <v>12358900</v>
      </c>
    </row>
    <row r="141" spans="1:8" ht="24" customHeight="1">
      <c r="A141" s="29" t="str">
        <f>IF(B141&gt;0,VLOOKUP(B141,КВСР!A93:B1258,2),IF(C141&gt;0,VLOOKUP(C141,КФСР!A93:B1605,2),IF(D141&gt;0,VLOOKUP(D141,КЦСР!A93:B4053,2),IF(E141&gt;0,VLOOKUP(E141,КВР!A93:B2021,2)))))</f>
        <v>Общее образование</v>
      </c>
      <c r="B141" s="74"/>
      <c r="C141" s="64">
        <v>702</v>
      </c>
      <c r="D141" s="65"/>
      <c r="E141" s="66"/>
      <c r="F141" s="63">
        <v>393685020</v>
      </c>
      <c r="G141" s="63">
        <f t="shared" ref="G141:H141" si="42">G142+G145+G149+G153+G156</f>
        <v>195000</v>
      </c>
      <c r="H141" s="63">
        <f t="shared" si="42"/>
        <v>393880020</v>
      </c>
    </row>
    <row r="142" spans="1:8" ht="27" customHeight="1">
      <c r="A142" s="29" t="str">
        <f>IF(B142&gt;0,VLOOKUP(B142,КВСР!A94:B1259,2),IF(C142&gt;0,VLOOKUP(C142,КФСР!A94:B1606,2),IF(D142&gt;0,VLOOKUP(D142,КЦСР!A94:B4054,2),IF(E142&gt;0,VLOOKUP(E142,КВР!A94:B2022,2)))))</f>
        <v>Резервные фонды</v>
      </c>
      <c r="B142" s="74"/>
      <c r="C142" s="64"/>
      <c r="D142" s="65">
        <v>700000</v>
      </c>
      <c r="E142" s="66"/>
      <c r="F142" s="63">
        <v>739550</v>
      </c>
      <c r="G142" s="63">
        <f t="shared" ref="G142:H142" si="43">G143</f>
        <v>0</v>
      </c>
      <c r="H142" s="63">
        <f t="shared" si="43"/>
        <v>739550</v>
      </c>
    </row>
    <row r="143" spans="1:8" ht="47.25">
      <c r="A143" s="29" t="str">
        <f>IF(B143&gt;0,VLOOKUP(B143,КВСР!A95:B1260,2),IF(C143&gt;0,VLOOKUP(C143,КФСР!A95:B1607,2),IF(D143&gt;0,VLOOKUP(D143,КЦСР!A95:B4055,2),IF(E143&gt;0,VLOOKUP(E143,КВР!A95:B2023,2)))))</f>
        <v>Резервный фонд исполнительных органов государственной власти субъектов Российской Федерации</v>
      </c>
      <c r="B143" s="74"/>
      <c r="C143" s="64"/>
      <c r="D143" s="65">
        <v>700400</v>
      </c>
      <c r="E143" s="66"/>
      <c r="F143" s="63">
        <v>739550</v>
      </c>
      <c r="G143" s="63">
        <f t="shared" ref="G143:H143" si="44">G144</f>
        <v>0</v>
      </c>
      <c r="H143" s="63">
        <f t="shared" si="44"/>
        <v>739550</v>
      </c>
    </row>
    <row r="144" spans="1:8" ht="31.5">
      <c r="A144" s="29" t="str">
        <f>IF(B144&gt;0,VLOOKUP(B144,КВСР!A96:B1261,2),IF(C144&gt;0,VLOOKUP(C144,КФСР!A96:B1608,2),IF(D144&gt;0,VLOOKUP(D144,КЦСР!A96:B4056,2),IF(E144&gt;0,VLOOKUP(E144,КВР!A96:B2024,2)))))</f>
        <v>Субсидии бюджетным учреждениям на иные цели</v>
      </c>
      <c r="B144" s="74"/>
      <c r="C144" s="64"/>
      <c r="D144" s="65"/>
      <c r="E144" s="66">
        <v>612</v>
      </c>
      <c r="F144" s="63">
        <v>739550</v>
      </c>
      <c r="G144" s="303"/>
      <c r="H144" s="63">
        <f>F144+G144</f>
        <v>739550</v>
      </c>
    </row>
    <row r="145" spans="1:8" ht="47.25">
      <c r="A145" s="29" t="str">
        <f>IF(B145&gt;0,VLOOKUP(B145,КВСР!A94:B1259,2),IF(C145&gt;0,VLOOKUP(C145,КФСР!A94:B1606,2),IF(D145&gt;0,VLOOKUP(D145,КЦСР!A94:B4054,2),IF(E145&gt;0,VLOOKUP(E145,КВР!A94:B2022,2)))))</f>
        <v>Школы - детские сады, школы начальные, неполные средние и средние</v>
      </c>
      <c r="B145" s="74"/>
      <c r="C145" s="64"/>
      <c r="D145" s="65">
        <v>4210000</v>
      </c>
      <c r="E145" s="66"/>
      <c r="F145" s="63">
        <v>310375033</v>
      </c>
      <c r="G145" s="63">
        <f>G146</f>
        <v>195001</v>
      </c>
      <c r="H145" s="63">
        <f>H146</f>
        <v>310570034</v>
      </c>
    </row>
    <row r="146" spans="1:8" ht="31.5">
      <c r="A146" s="29" t="str">
        <f>IF(B146&gt;0,VLOOKUP(B146,КВСР!A95:B1260,2),IF(C146&gt;0,VLOOKUP(C146,КФСР!A95:B1607,2),IF(D146&gt;0,VLOOKUP(D146,КЦСР!A95:B4055,2),IF(E146&gt;0,VLOOKUP(E146,КВР!A95:B2023,2)))))</f>
        <v>Обеспечение деятельности подведомственных учреждений</v>
      </c>
      <c r="B146" s="74"/>
      <c r="C146" s="64"/>
      <c r="D146" s="65">
        <v>4219900</v>
      </c>
      <c r="E146" s="66"/>
      <c r="F146" s="63">
        <v>310375033</v>
      </c>
      <c r="G146" s="63">
        <f>G147+G148</f>
        <v>195001</v>
      </c>
      <c r="H146" s="63">
        <f>H147+H148</f>
        <v>310570034</v>
      </c>
    </row>
    <row r="147" spans="1:8" ht="78.75">
      <c r="A147" s="29" t="str">
        <f>IF(B147&gt;0,VLOOKUP(B147,КВСР!A96:B1261,2),IF(C147&gt;0,VLOOKUP(C147,КФСР!A96:B1608,2),IF(D147&gt;0,VLOOKUP(D147,КЦСР!A96:B4056,2),IF(E147&gt;0,VLOOKUP(E147,КВР!A96:B2024,2)))))</f>
        <v>Субсидии бюджетным учреждениям на финансовое обеспечение государственного задания на оказание государственных услуг (выполнение работ)</v>
      </c>
      <c r="B147" s="74"/>
      <c r="C147" s="64"/>
      <c r="D147" s="65"/>
      <c r="E147" s="66">
        <v>611</v>
      </c>
      <c r="F147" s="88">
        <v>268400387</v>
      </c>
      <c r="G147" s="91"/>
      <c r="H147" s="30">
        <f>F147+G147</f>
        <v>268400387</v>
      </c>
    </row>
    <row r="148" spans="1:8" ht="31.5">
      <c r="A148" s="29" t="str">
        <f>IF(B148&gt;0,VLOOKUP(B148,КВСР!A97:B1262,2),IF(C148&gt;0,VLOOKUP(C148,КФСР!A97:B1609,2),IF(D148&gt;0,VLOOKUP(D148,КЦСР!A97:B4057,2),IF(E148&gt;0,VLOOKUP(E148,КВР!A97:B2025,2)))))</f>
        <v>Субсидии бюджетным учреждениям на иные цели</v>
      </c>
      <c r="B148" s="74"/>
      <c r="C148" s="64"/>
      <c r="D148" s="65"/>
      <c r="E148" s="66">
        <v>612</v>
      </c>
      <c r="F148" s="88">
        <v>41974646</v>
      </c>
      <c r="G148" s="91">
        <f>195000+1</f>
        <v>195001</v>
      </c>
      <c r="H148" s="30">
        <f>F148+G148</f>
        <v>42169647</v>
      </c>
    </row>
    <row r="149" spans="1:8" ht="31.5">
      <c r="A149" s="29" t="str">
        <f>IF(B149&gt;0,VLOOKUP(B149,КВСР!A98:B1263,2),IF(C149&gt;0,VLOOKUP(C149,КФСР!A98:B1610,2),IF(D149&gt;0,VLOOKUP(D149,КЦСР!A98:B4058,2),IF(E149&gt;0,VLOOKUP(E149,КВР!A98:B2026,2)))))</f>
        <v>Учреждения по внешкольной работе с детьми</v>
      </c>
      <c r="B149" s="74"/>
      <c r="C149" s="64"/>
      <c r="D149" s="65">
        <v>4230000</v>
      </c>
      <c r="E149" s="66"/>
      <c r="F149" s="63">
        <v>59509437</v>
      </c>
      <c r="G149" s="63">
        <f>G150</f>
        <v>-1</v>
      </c>
      <c r="H149" s="63">
        <f>H150</f>
        <v>59509436</v>
      </c>
    </row>
    <row r="150" spans="1:8" ht="31.5">
      <c r="A150" s="29" t="str">
        <f>IF(B150&gt;0,VLOOKUP(B150,КВСР!A99:B1264,2),IF(C150&gt;0,VLOOKUP(C150,КФСР!A99:B1611,2),IF(D150&gt;0,VLOOKUP(D150,КЦСР!A99:B4059,2),IF(E150&gt;0,VLOOKUP(E150,КВР!A99:B2027,2)))))</f>
        <v>Обеспечение деятельности подведомственных учреждений</v>
      </c>
      <c r="B150" s="75"/>
      <c r="C150" s="76"/>
      <c r="D150" s="77">
        <v>4239900</v>
      </c>
      <c r="E150" s="78"/>
      <c r="F150" s="63">
        <v>59509437</v>
      </c>
      <c r="G150" s="63">
        <f>G151+G152</f>
        <v>-1</v>
      </c>
      <c r="H150" s="63">
        <f>H151+H152</f>
        <v>59509436</v>
      </c>
    </row>
    <row r="151" spans="1:8" ht="78.75">
      <c r="A151" s="29" t="str">
        <f>IF(B151&gt;0,VLOOKUP(B151,КВСР!A100:B1265,2),IF(C151&gt;0,VLOOKUP(C151,КФСР!A100:B1612,2),IF(D151&gt;0,VLOOKUP(D151,КЦСР!A100:B4060,2),IF(E151&gt;0,VLOOKUP(E151,КВР!A100:B2028,2)))))</f>
        <v>Субсидии бюджетным учреждениям на финансовое обеспечение государственного задания на оказание государственных услуг (выполнение работ)</v>
      </c>
      <c r="B151" s="75"/>
      <c r="C151" s="76"/>
      <c r="D151" s="77"/>
      <c r="E151" s="66">
        <v>611</v>
      </c>
      <c r="F151" s="88">
        <v>58251996</v>
      </c>
      <c r="G151" s="91"/>
      <c r="H151" s="30">
        <f>F151+G151</f>
        <v>58251996</v>
      </c>
    </row>
    <row r="152" spans="1:8" ht="31.5">
      <c r="A152" s="29" t="str">
        <f>IF(B152&gt;0,VLOOKUP(B152,КВСР!A101:B1266,2),IF(C152&gt;0,VLOOKUP(C152,КФСР!A101:B1613,2),IF(D152&gt;0,VLOOKUP(D152,КЦСР!A101:B4061,2),IF(E152&gt;0,VLOOKUP(E152,КВР!A101:B2029,2)))))</f>
        <v>Субсидии бюджетным учреждениям на иные цели</v>
      </c>
      <c r="B152" s="75"/>
      <c r="C152" s="76"/>
      <c r="D152" s="77"/>
      <c r="E152" s="66">
        <v>612</v>
      </c>
      <c r="F152" s="88">
        <v>1257441</v>
      </c>
      <c r="G152" s="91">
        <v>-1</v>
      </c>
      <c r="H152" s="30">
        <f>F152+G152</f>
        <v>1257440</v>
      </c>
    </row>
    <row r="153" spans="1:8" ht="24.75" customHeight="1">
      <c r="A153" s="29" t="str">
        <f>IF(B153&gt;0,VLOOKUP(B153,КВСР!A102:B1267,2),IF(C153&gt;0,VLOOKUP(C153,КФСР!A102:B1614,2),IF(D153&gt;0,VLOOKUP(D153,КЦСР!A102:B4062,2),IF(E153&gt;0,VLOOKUP(E153,КВР!A102:B2030,2)))))</f>
        <v>Детские дома</v>
      </c>
      <c r="B153" s="75"/>
      <c r="C153" s="76"/>
      <c r="D153" s="77">
        <v>4240000</v>
      </c>
      <c r="E153" s="66"/>
      <c r="F153" s="63">
        <v>19516000</v>
      </c>
      <c r="G153" s="63">
        <f t="shared" ref="G153:H154" si="45">G154</f>
        <v>0</v>
      </c>
      <c r="H153" s="63">
        <f t="shared" si="45"/>
        <v>19516000</v>
      </c>
    </row>
    <row r="154" spans="1:8" ht="31.5">
      <c r="A154" s="29" t="str">
        <f>IF(B154&gt;0,VLOOKUP(B154,КВСР!A103:B1268,2),IF(C154&gt;0,VLOOKUP(C154,КФСР!A103:B1615,2),IF(D154&gt;0,VLOOKUP(D154,КЦСР!A103:B4063,2),IF(E154&gt;0,VLOOKUP(E154,КВР!A103:B2031,2)))))</f>
        <v>Обеспечение деятельности подведомственных учреждений</v>
      </c>
      <c r="B154" s="75"/>
      <c r="C154" s="76"/>
      <c r="D154" s="77">
        <v>4249900</v>
      </c>
      <c r="E154" s="78"/>
      <c r="F154" s="63">
        <v>19516000</v>
      </c>
      <c r="G154" s="63">
        <f t="shared" si="45"/>
        <v>0</v>
      </c>
      <c r="H154" s="63">
        <f t="shared" si="45"/>
        <v>19516000</v>
      </c>
    </row>
    <row r="155" spans="1:8" ht="78.75">
      <c r="A155" s="29" t="str">
        <f>IF(B155&gt;0,VLOOKUP(B155,КВСР!A104:B1269,2),IF(C155&gt;0,VLOOKUP(C155,КФСР!A104:B1616,2),IF(D155&gt;0,VLOOKUP(D155,КЦСР!A104:B4064,2),IF(E155&gt;0,VLOOKUP(E155,КВР!A104:B2032,2)))))</f>
        <v>Субсидии бюджетным учреждениям на финансовое обеспечение государственного задания на оказание государственных услуг (выполнение работ)</v>
      </c>
      <c r="B155" s="75"/>
      <c r="C155" s="76"/>
      <c r="D155" s="77"/>
      <c r="E155" s="66">
        <v>611</v>
      </c>
      <c r="F155" s="88">
        <v>19516000</v>
      </c>
      <c r="G155" s="91"/>
      <c r="H155" s="30">
        <f>F155+G155</f>
        <v>19516000</v>
      </c>
    </row>
    <row r="156" spans="1:8" ht="31.5">
      <c r="A156" s="29" t="str">
        <f>IF(B156&gt;0,VLOOKUP(B156,КВСР!A105:B1270,2),IF(C156&gt;0,VLOOKUP(C156,КФСР!A105:B1617,2),IF(D156&gt;0,VLOOKUP(D156,КЦСР!A105:B4065,2),IF(E156&gt;0,VLOOKUP(E156,КВР!A105:B2033,2)))))</f>
        <v>Иные безвозмездные и безвозвратные перечисления</v>
      </c>
      <c r="B156" s="75"/>
      <c r="C156" s="76"/>
      <c r="D156" s="65">
        <v>5200000</v>
      </c>
      <c r="E156" s="78"/>
      <c r="F156" s="63">
        <v>3545000</v>
      </c>
      <c r="G156" s="63">
        <f>G157</f>
        <v>0</v>
      </c>
      <c r="H156" s="63">
        <f>H157</f>
        <v>3545000</v>
      </c>
    </row>
    <row r="157" spans="1:8" ht="47.25">
      <c r="A157" s="29" t="str">
        <f>IF(B157&gt;0,VLOOKUP(B157,КВСР!A106:B1271,2),IF(C157&gt;0,VLOOKUP(C157,КФСР!A106:B1618,2),IF(D157&gt;0,VLOOKUP(D157,КЦСР!A106:B4066,2),IF(E157&gt;0,VLOOKUP(E157,КВР!A106:B2034,2)))))</f>
        <v>Ежемесячное денежное вознаграждение за классное руководство</v>
      </c>
      <c r="B157" s="75"/>
      <c r="C157" s="76"/>
      <c r="D157" s="65">
        <v>5200900</v>
      </c>
      <c r="E157" s="78"/>
      <c r="F157" s="63">
        <v>3545000</v>
      </c>
      <c r="G157" s="63">
        <f>G159</f>
        <v>0</v>
      </c>
      <c r="H157" s="63">
        <f>H159</f>
        <v>3545000</v>
      </c>
    </row>
    <row r="158" spans="1:8" ht="47.25">
      <c r="A158" s="29" t="str">
        <f>IF(B158&gt;0,VLOOKUP(B158,КВСР!A107:B1272,2),IF(C158&gt;0,VLOOKUP(C158,КФСР!A107:B1619,2),IF(D158&gt;0,VLOOKUP(D158,КЦСР!A107:B4067,2),IF(E158&gt;0,VLOOKUP(E158,КВР!A107:B2035,2)))))</f>
        <v>Ежемесячное денежное вознаграждение за классное руководство</v>
      </c>
      <c r="B158" s="75"/>
      <c r="C158" s="76"/>
      <c r="D158" s="65">
        <v>5200901</v>
      </c>
      <c r="E158" s="78"/>
      <c r="F158" s="63">
        <v>3545000</v>
      </c>
      <c r="G158" s="63">
        <f>G159</f>
        <v>0</v>
      </c>
      <c r="H158" s="63">
        <f>H159</f>
        <v>3545000</v>
      </c>
    </row>
    <row r="159" spans="1:8" ht="31.5">
      <c r="A159" s="29" t="str">
        <f>IF(B159&gt;0,VLOOKUP(B159,КВСР!A108:B1273,2),IF(C159&gt;0,VLOOKUP(C159,КФСР!A108:B1620,2),IF(D159&gt;0,VLOOKUP(D159,КЦСР!A108:B4068,2),IF(E159&gt;0,VLOOKUP(E159,КВР!A108:B2036,2)))))</f>
        <v>Субсидии бюджетным учреждениям на иные цели</v>
      </c>
      <c r="B159" s="75"/>
      <c r="C159" s="76"/>
      <c r="D159" s="77"/>
      <c r="E159" s="78">
        <v>612</v>
      </c>
      <c r="F159" s="88">
        <v>3545000</v>
      </c>
      <c r="G159" s="91"/>
      <c r="H159" s="30">
        <f>F159+G159</f>
        <v>3545000</v>
      </c>
    </row>
    <row r="160" spans="1:8" ht="31.5">
      <c r="A160" s="29" t="str">
        <f>IF(B160&gt;0,VLOOKUP(B160,КВСР!A109:B1274,2),IF(C160&gt;0,VLOOKUP(C160,КФСР!A109:B1621,2),IF(D160&gt;0,VLOOKUP(D160,КЦСР!A109:B4069,2),IF(E160&gt;0,VLOOKUP(E160,КВР!A109:B2037,2)))))</f>
        <v>Молодежная политика и оздоровление детей</v>
      </c>
      <c r="B160" s="75"/>
      <c r="C160" s="76">
        <v>707</v>
      </c>
      <c r="D160" s="77"/>
      <c r="E160" s="78"/>
      <c r="F160" s="63">
        <v>7823900</v>
      </c>
      <c r="G160" s="63">
        <f>G161+G166</f>
        <v>0</v>
      </c>
      <c r="H160" s="63">
        <f>H161+H166</f>
        <v>7823900</v>
      </c>
    </row>
    <row r="161" spans="1:8" ht="31.5">
      <c r="A161" s="29" t="str">
        <f>IF(B161&gt;0,VLOOKUP(B161,КВСР!A110:B1275,2),IF(C161&gt;0,VLOOKUP(C161,КФСР!A110:B1622,2),IF(D161&gt;0,VLOOKUP(D161,КЦСР!A110:B4070,2),IF(E161&gt;0,VLOOKUP(E161,КВР!A110:B2038,2)))))</f>
        <v>Мероприятия по проведению оздоровительной кампании детей</v>
      </c>
      <c r="B161" s="75"/>
      <c r="C161" s="76"/>
      <c r="D161" s="77">
        <v>4320000</v>
      </c>
      <c r="E161" s="78"/>
      <c r="F161" s="63">
        <v>4465000</v>
      </c>
      <c r="G161" s="63">
        <f t="shared" ref="G161:H162" si="46">G162</f>
        <v>0</v>
      </c>
      <c r="H161" s="63">
        <f t="shared" si="46"/>
        <v>4465000</v>
      </c>
    </row>
    <row r="162" spans="1:8" ht="22.5" customHeight="1">
      <c r="A162" s="29" t="str">
        <f>IF(B162&gt;0,VLOOKUP(B162,КВСР!A111:B1276,2),IF(C162&gt;0,VLOOKUP(C162,КФСР!A111:B1623,2),IF(D162&gt;0,VLOOKUP(D162,КЦСР!A111:B4071,2),IF(E162&gt;0,VLOOKUP(E162,КВР!A111:B2039,2)))))</f>
        <v>Оздоровление детей</v>
      </c>
      <c r="B162" s="75"/>
      <c r="C162" s="76"/>
      <c r="D162" s="77">
        <v>4320200</v>
      </c>
      <c r="E162" s="78"/>
      <c r="F162" s="63">
        <v>4465000</v>
      </c>
      <c r="G162" s="63">
        <f t="shared" si="46"/>
        <v>0</v>
      </c>
      <c r="H162" s="63">
        <f t="shared" si="46"/>
        <v>4465000</v>
      </c>
    </row>
    <row r="163" spans="1:8" ht="23.25" customHeight="1">
      <c r="A163" s="29" t="str">
        <f>IF(B163&gt;0,VLOOKUP(B163,КВСР!A112:B1277,2),IF(C163&gt;0,VLOOKUP(C163,КФСР!A112:B1624,2),IF(D163&gt;0,VLOOKUP(D163,КЦСР!A112:B4072,2),IF(E163&gt;0,VLOOKUP(E163,КВР!A112:B2040,2)))))</f>
        <v xml:space="preserve">Оздоровление детей </v>
      </c>
      <c r="B163" s="75"/>
      <c r="C163" s="76"/>
      <c r="D163" s="77">
        <v>4320201</v>
      </c>
      <c r="E163" s="78"/>
      <c r="F163" s="30">
        <v>4465000</v>
      </c>
      <c r="G163" s="30">
        <f>SUM(G164:G165)</f>
        <v>0</v>
      </c>
      <c r="H163" s="30">
        <f>SUM(H164:H165)</f>
        <v>4465000</v>
      </c>
    </row>
    <row r="164" spans="1:8" ht="31.5">
      <c r="A164" s="29" t="str">
        <f>IF(B164&gt;0,VLOOKUP(B164,КВСР!A113:B1278,2),IF(C164&gt;0,VLOOKUP(C164,КФСР!A113:B1625,2),IF(D164&gt;0,VLOOKUP(D164,КЦСР!A113:B4073,2),IF(E164&gt;0,VLOOKUP(E164,КВР!A113:B2041,2)))))</f>
        <v>Приобретение товаров, работ, услуг в пользу граждан</v>
      </c>
      <c r="B164" s="75"/>
      <c r="C164" s="76"/>
      <c r="D164" s="77"/>
      <c r="E164" s="78">
        <v>323</v>
      </c>
      <c r="F164" s="88">
        <v>3395710</v>
      </c>
      <c r="G164" s="91">
        <v>-2510</v>
      </c>
      <c r="H164" s="30">
        <f>F164+G164</f>
        <v>3393200</v>
      </c>
    </row>
    <row r="165" spans="1:8" ht="31.5">
      <c r="A165" s="29" t="str">
        <f>IF(B165&gt;0,VLOOKUP(B165,КВСР!A114:B1279,2),IF(C165&gt;0,VLOOKUP(C165,КФСР!A114:B1626,2),IF(D165&gt;0,VLOOKUP(D165,КЦСР!A114:B4074,2),IF(E165&gt;0,VLOOKUP(E165,КВР!A114:B2042,2)))))</f>
        <v>Субсидии бюджетным учреждениям на иные цели</v>
      </c>
      <c r="B165" s="75"/>
      <c r="C165" s="76"/>
      <c r="D165" s="77"/>
      <c r="E165" s="78">
        <v>612</v>
      </c>
      <c r="F165" s="88">
        <v>1069290</v>
      </c>
      <c r="G165" s="91">
        <v>2510</v>
      </c>
      <c r="H165" s="30">
        <f>F165+G165</f>
        <v>1071800</v>
      </c>
    </row>
    <row r="166" spans="1:8" ht="22.5" customHeight="1">
      <c r="A166" s="29" t="str">
        <f>IF(B166&gt;0,VLOOKUP(B166,КВСР!A116:B1281,2),IF(C166&gt;0,VLOOKUP(C166,КФСР!A116:B1628,2),IF(D166&gt;0,VLOOKUP(D166,КЦСР!A116:B4076,2),IF(E166&gt;0,VLOOKUP(E166,КВР!A116:B2044,2)))))</f>
        <v>Региональные целевые программы</v>
      </c>
      <c r="B166" s="75"/>
      <c r="C166" s="76"/>
      <c r="D166" s="77">
        <v>5220000</v>
      </c>
      <c r="E166" s="66"/>
      <c r="F166" s="63">
        <v>3358900</v>
      </c>
      <c r="G166" s="63">
        <f t="shared" ref="G166:H166" si="47">G167</f>
        <v>0</v>
      </c>
      <c r="H166" s="63">
        <f t="shared" si="47"/>
        <v>3358900</v>
      </c>
    </row>
    <row r="167" spans="1:8" ht="31.5">
      <c r="A167" s="29" t="str">
        <f>IF(B167&gt;0,VLOOKUP(B167,КВСР!A117:B1282,2),IF(C167&gt;0,VLOOKUP(C167,КФСР!A117:B1629,2),IF(D167&gt;0,VLOOKUP(D167,КЦСР!A117:B4077,2),IF(E167&gt;0,VLOOKUP(E167,КВР!A117:B2045,2)))))</f>
        <v>Областная комплексная целевая программа "Семья и дети Ярославии"</v>
      </c>
      <c r="B167" s="75"/>
      <c r="C167" s="76"/>
      <c r="D167" s="77">
        <v>5221300</v>
      </c>
      <c r="E167" s="66"/>
      <c r="F167" s="63">
        <v>3358900</v>
      </c>
      <c r="G167" s="63">
        <f t="shared" ref="G167:H167" si="48">G168+G171+G176+G174</f>
        <v>0</v>
      </c>
      <c r="H167" s="63">
        <f t="shared" si="48"/>
        <v>3358900</v>
      </c>
    </row>
    <row r="168" spans="1:8" ht="47.25">
      <c r="A168" s="29" t="str">
        <f>IF(B168&gt;0,VLOOKUP(B168,КВСР!A118:B1283,2),IF(C168&gt;0,VLOOKUP(C168,КФСР!A118:B1630,2),IF(D168&gt;0,VLOOKUP(D168,КЦСР!A118:B4078,2),IF(E168&gt;0,VLOOKUP(E168,КВР!A118:B2046,2)))))</f>
        <v>Подпрограмма "Ярославские каникулы" в части оздоровления и отдыха</v>
      </c>
      <c r="B168" s="75"/>
      <c r="C168" s="76"/>
      <c r="D168" s="77">
        <v>5221308</v>
      </c>
      <c r="E168" s="78"/>
      <c r="F168" s="63">
        <v>870000</v>
      </c>
      <c r="G168" s="63">
        <f>SUM(G169:G170)</f>
        <v>0</v>
      </c>
      <c r="H168" s="63">
        <f>SUM(H169:H170)</f>
        <v>870000</v>
      </c>
    </row>
    <row r="169" spans="1:8" ht="31.5">
      <c r="A169" s="29" t="str">
        <f>IF(B169&gt;0,VLOOKUP(B169,КВСР!A119:B1284,2),IF(C169&gt;0,VLOOKUP(C169,КФСР!A119:B1631,2),IF(D169&gt;0,VLOOKUP(D169,КЦСР!A119:B4079,2),IF(E169&gt;0,VLOOKUP(E169,КВР!A119:B2047,2)))))</f>
        <v>Приобретение товаров, работ, услуг в пользу граждан</v>
      </c>
      <c r="B169" s="75"/>
      <c r="C169" s="76"/>
      <c r="D169" s="77"/>
      <c r="E169" s="78">
        <v>323</v>
      </c>
      <c r="F169" s="63">
        <v>425610</v>
      </c>
      <c r="G169" s="91">
        <v>-510</v>
      </c>
      <c r="H169" s="30">
        <f>F169+G169</f>
        <v>425100</v>
      </c>
    </row>
    <row r="170" spans="1:8" ht="31.5">
      <c r="A170" s="29" t="str">
        <f>IF(B170&gt;0,VLOOKUP(B170,КВСР!A120:B1285,2),IF(C170&gt;0,VLOOKUP(C170,КФСР!A120:B1632,2),IF(D170&gt;0,VLOOKUP(D170,КЦСР!A120:B4080,2),IF(E170&gt;0,VLOOKUP(E170,КВР!A120:B2048,2)))))</f>
        <v>Субсидии бюджетным учреждениям на иные цели</v>
      </c>
      <c r="B170" s="75"/>
      <c r="C170" s="76"/>
      <c r="D170" s="77"/>
      <c r="E170" s="78">
        <v>612</v>
      </c>
      <c r="F170" s="88">
        <v>444390</v>
      </c>
      <c r="G170" s="91">
        <v>510</v>
      </c>
      <c r="H170" s="30">
        <f>F170+G170</f>
        <v>444900</v>
      </c>
    </row>
    <row r="171" spans="1:8" ht="63">
      <c r="A171" s="29" t="str">
        <f>IF(B171&gt;0,VLOOKUP(B171,КВСР!A121:B1286,2),IF(C171&gt;0,VLOOKUP(C171,КФСР!A121:B1633,2),IF(D171&gt;0,VLOOKUP(D171,КЦСР!A121:B4081,2),IF(E171&gt;0,VLOOKUP(E171,КВР!A121:B2049,2)))))</f>
        <v>Подпрограмма "Ярославские каникулы" оплата стоимости наборов продуктов питания в лагерях с дневной формой пребывания</v>
      </c>
      <c r="B171" s="75"/>
      <c r="C171" s="76"/>
      <c r="D171" s="77">
        <v>5221309</v>
      </c>
      <c r="E171" s="78"/>
      <c r="F171" s="88">
        <v>2288900</v>
      </c>
      <c r="G171" s="88">
        <f>SUM(G172:G173)</f>
        <v>0</v>
      </c>
      <c r="H171" s="88">
        <f>SUM(H172:H173)</f>
        <v>2288900</v>
      </c>
    </row>
    <row r="172" spans="1:8" ht="31.5">
      <c r="A172" s="29" t="str">
        <f>IF(B172&gt;0,VLOOKUP(B172,КВСР!A123:B1288,2),IF(C172&gt;0,VLOOKUP(C172,КФСР!A123:B1635,2),IF(D172&gt;0,VLOOKUP(D172,КЦСР!A123:B4083,2),IF(E172&gt;0,VLOOKUP(E172,КВР!A123:B2051,2)))))</f>
        <v>Субсидии бюджетным учреждениям на иные цели</v>
      </c>
      <c r="B172" s="75"/>
      <c r="C172" s="76"/>
      <c r="D172" s="77"/>
      <c r="E172" s="78">
        <v>612</v>
      </c>
      <c r="F172" s="88">
        <v>2288900</v>
      </c>
      <c r="G172" s="91"/>
      <c r="H172" s="30">
        <f>G172+F172</f>
        <v>2288900</v>
      </c>
    </row>
    <row r="173" spans="1:8" ht="31.5" hidden="1">
      <c r="A173" s="29" t="str">
        <f>IF(B173&gt;0,VLOOKUP(B173,КВСР!A124:B1289,2),IF(C173&gt;0,VLOOKUP(C173,КФСР!A124:B1636,2),IF(D173&gt;0,VLOOKUP(D173,КЦСР!A124:B4084,2),IF(E173&gt;0,VLOOKUP(E173,КВР!A124:B2052,2)))))</f>
        <v>Приобретение товаров, работ, услуг в пользу граждан</v>
      </c>
      <c r="B173" s="75"/>
      <c r="C173" s="76"/>
      <c r="D173" s="77"/>
      <c r="E173" s="78">
        <v>323</v>
      </c>
      <c r="F173" s="88">
        <v>0</v>
      </c>
      <c r="G173" s="91"/>
      <c r="H173" s="30">
        <f>G173+F173</f>
        <v>0</v>
      </c>
    </row>
    <row r="174" spans="1:8" ht="63">
      <c r="A174" s="29" t="str">
        <f>IF(B174&gt;0,VLOOKUP(B174,КВСР!A125:B1290,2),IF(C174&gt;0,VLOOKUP(C174,КФСР!A125:B1637,2),IF(D174&gt;0,VLOOKUP(D174,КЦСР!A125:B4085,2),IF(E174&gt;0,VLOOKUP(E174,КВР!A125:B2053,2)))))</f>
        <v>Подпрограмма "Ярославские каникулы" победители ежегодного конкурса соц. знач. проектов сфере организации отдыха</v>
      </c>
      <c r="B174" s="75"/>
      <c r="C174" s="76"/>
      <c r="D174" s="77">
        <v>5221312</v>
      </c>
      <c r="E174" s="78"/>
      <c r="F174" s="88">
        <v>200000</v>
      </c>
      <c r="G174" s="88">
        <f t="shared" ref="G174:H174" si="49">G175</f>
        <v>0</v>
      </c>
      <c r="H174" s="88">
        <f t="shared" si="49"/>
        <v>200000</v>
      </c>
    </row>
    <row r="175" spans="1:8" ht="31.5">
      <c r="A175" s="29" t="str">
        <f>IF(B175&gt;0,VLOOKUP(B175,КВСР!A126:B1291,2),IF(C175&gt;0,VLOOKUP(C175,КФСР!A126:B1638,2),IF(D175&gt;0,VLOOKUP(D175,КЦСР!A126:B4086,2),IF(E175&gt;0,VLOOKUP(E175,КВР!A126:B2054,2)))))</f>
        <v>Субсидии бюджетным учреждениям на иные цели</v>
      </c>
      <c r="B175" s="75"/>
      <c r="C175" s="76"/>
      <c r="D175" s="77"/>
      <c r="E175" s="78">
        <v>612</v>
      </c>
      <c r="F175" s="88">
        <v>200000</v>
      </c>
      <c r="G175" s="91"/>
      <c r="H175" s="30">
        <f>F175+G175</f>
        <v>200000</v>
      </c>
    </row>
    <row r="176" spans="1:8" ht="63" hidden="1">
      <c r="A176" s="29" t="str">
        <f>IF(B176&gt;0,VLOOKUP(B176,КВСР!A127:B1292,2),IF(C176&gt;0,VLOOKUP(C176,КФСР!A127:B1639,2),IF(D176&gt;0,VLOOKUP(D176,КЦСР!A127:B4087,2),IF(E176&gt;0,VLOOKUP(E176,КВР!A127:B2055,2)))))</f>
        <v>Подпрограмма "Ярославские каникулы" победители ежегодного конкурса соц. знач. проектов сфере организации отдыха</v>
      </c>
      <c r="B176" s="75"/>
      <c r="C176" s="76"/>
      <c r="D176" s="77">
        <v>5221312</v>
      </c>
      <c r="E176" s="78"/>
      <c r="F176" s="88">
        <v>0</v>
      </c>
      <c r="G176" s="88">
        <f t="shared" ref="G176:H176" si="50">G177</f>
        <v>0</v>
      </c>
      <c r="H176" s="88">
        <f t="shared" si="50"/>
        <v>0</v>
      </c>
    </row>
    <row r="177" spans="1:8" ht="31.5" hidden="1">
      <c r="A177" s="29" t="str">
        <f>IF(B177&gt;0,VLOOKUP(B177,КВСР!A128:B1293,2),IF(C177&gt;0,VLOOKUP(C177,КФСР!A128:B1640,2),IF(D177&gt;0,VLOOKUP(D177,КЦСР!A128:B4088,2),IF(E177&gt;0,VLOOKUP(E177,КВР!A128:B2056,2)))))</f>
        <v>Субсидии бюджетным учреждениям на иные цели</v>
      </c>
      <c r="B177" s="75"/>
      <c r="C177" s="76"/>
      <c r="D177" s="77"/>
      <c r="E177" s="78">
        <v>612</v>
      </c>
      <c r="F177" s="88">
        <v>0</v>
      </c>
      <c r="G177" s="91">
        <v>0</v>
      </c>
      <c r="H177" s="30">
        <f>F177+G177</f>
        <v>0</v>
      </c>
    </row>
    <row r="178" spans="1:8" ht="31.5">
      <c r="A178" s="29" t="str">
        <f>IF(B178&gt;0,VLOOKUP(B178,КВСР!A129:B1294,2),IF(C178&gt;0,VLOOKUP(C178,КФСР!A129:B1641,2),IF(D178&gt;0,VLOOKUP(D178,КЦСР!A129:B4089,2),IF(E178&gt;0,VLOOKUP(E178,КВР!A129:B2057,2)))))</f>
        <v>Другие вопросы в области образования</v>
      </c>
      <c r="B178" s="75"/>
      <c r="C178" s="76">
        <v>709</v>
      </c>
      <c r="D178" s="77"/>
      <c r="E178" s="78"/>
      <c r="F178" s="63">
        <v>31235736</v>
      </c>
      <c r="G178" s="63">
        <f t="shared" ref="G178:H178" si="51">G179+G186+G193+G201+G211+G189</f>
        <v>0</v>
      </c>
      <c r="H178" s="63">
        <f t="shared" si="51"/>
        <v>31235736</v>
      </c>
    </row>
    <row r="179" spans="1:8" ht="78.75">
      <c r="A179" s="29" t="str">
        <f>IF(B179&gt;0,VLOOKUP(B179,КВСР!A130:B1295,2),IF(C179&gt;0,VLOOKUP(C179,КФСР!A130:B1642,2),IF(D179&gt;0,VLOOKUP(D179,КЦСР!A130:B4090,2),IF(E179&gt;0,VLOOKUP(E179,КВР!A130:B2058,2)))))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179" s="75"/>
      <c r="C179" s="76"/>
      <c r="D179" s="77">
        <v>20000</v>
      </c>
      <c r="E179" s="78"/>
      <c r="F179" s="63">
        <v>7305748</v>
      </c>
      <c r="G179" s="63">
        <f>G180</f>
        <v>0</v>
      </c>
      <c r="H179" s="63">
        <f>H180</f>
        <v>7305748</v>
      </c>
    </row>
    <row r="180" spans="1:8" ht="24" customHeight="1">
      <c r="A180" s="29" t="str">
        <f>IF(B180&gt;0,VLOOKUP(B180,КВСР!A131:B1296,2),IF(C180&gt;0,VLOOKUP(C180,КФСР!A131:B1643,2),IF(D180&gt;0,VLOOKUP(D180,КЦСР!A131:B4091,2),IF(E180&gt;0,VLOOKUP(E180,КВР!A131:B2059,2)))))</f>
        <v>Центральный аппарат</v>
      </c>
      <c r="B180" s="75"/>
      <c r="C180" s="76"/>
      <c r="D180" s="77">
        <v>20400</v>
      </c>
      <c r="E180" s="78"/>
      <c r="F180" s="63">
        <v>7305748</v>
      </c>
      <c r="G180" s="63">
        <f>G181+G185+G182+G183+G184</f>
        <v>0</v>
      </c>
      <c r="H180" s="63">
        <f>H181+H185+H182+H183+H184</f>
        <v>7305748</v>
      </c>
    </row>
    <row r="181" spans="1:8" ht="31.5">
      <c r="A181" s="29" t="str">
        <f>IF(B181&gt;0,VLOOKUP(B181,КВСР!A132:B1297,2),IF(C181&gt;0,VLOOKUP(C181,КФСР!A132:B1644,2),IF(D181&gt;0,VLOOKUP(D181,КЦСР!A132:B4092,2),IF(E181&gt;0,VLOOKUP(E181,КВР!A132:B2060,2)))))</f>
        <v>Фонд оплаты труда и страховые взносы</v>
      </c>
      <c r="B181" s="75"/>
      <c r="C181" s="76"/>
      <c r="D181" s="77"/>
      <c r="E181" s="66">
        <v>121</v>
      </c>
      <c r="F181" s="88">
        <v>6294676</v>
      </c>
      <c r="G181" s="91"/>
      <c r="H181" s="30">
        <f>F181+G181</f>
        <v>6294676</v>
      </c>
    </row>
    <row r="182" spans="1:8" ht="31.5">
      <c r="A182" s="29" t="str">
        <f>IF(B182&gt;0,VLOOKUP(B182,КВСР!A133:B1298,2),IF(C182&gt;0,VLOOKUP(C182,КФСР!A133:B1645,2),IF(D182&gt;0,VLOOKUP(D182,КЦСР!A133:B4093,2),IF(E182&gt;0,VLOOKUP(E182,КВР!A133:B2061,2)))))</f>
        <v>Иные выплаты персоналу, за исключением фонда оплаты труда</v>
      </c>
      <c r="B182" s="75"/>
      <c r="C182" s="76"/>
      <c r="D182" s="77"/>
      <c r="E182" s="66">
        <v>122</v>
      </c>
      <c r="F182" s="139">
        <v>9000</v>
      </c>
      <c r="G182" s="91">
        <v>-4000</v>
      </c>
      <c r="H182" s="30">
        <f>F182+G182</f>
        <v>5000</v>
      </c>
    </row>
    <row r="183" spans="1:8" ht="47.25">
      <c r="A183" s="29" t="str">
        <f>IF(B183&gt;0,VLOOKUP(B183,КВСР!A134:B1299,2),IF(C183&gt;0,VLOOKUP(C183,КФСР!A134:B1646,2),IF(D183&gt;0,VLOOKUP(D183,КЦСР!A134:B4094,2),IF(E183&gt;0,VLOOKUP(E183,КВР!A134:B2062,2)))))</f>
        <v>Закупка товаров, работ, услуг в сфере информационно-коммуникационных технологий</v>
      </c>
      <c r="B183" s="75"/>
      <c r="C183" s="76"/>
      <c r="D183" s="77"/>
      <c r="E183" s="66">
        <v>242</v>
      </c>
      <c r="F183" s="139">
        <v>239370</v>
      </c>
      <c r="G183" s="91">
        <v>4000</v>
      </c>
      <c r="H183" s="30">
        <f>F183+G183</f>
        <v>243370</v>
      </c>
    </row>
    <row r="184" spans="1:8" ht="47.25" hidden="1">
      <c r="A184" s="29" t="str">
        <f>IF(B184&gt;0,VLOOKUP(B184,КВСР!A135:B1300,2),IF(C184&gt;0,VLOOKUP(C184,КФСР!A135:B1647,2),IF(D184&gt;0,VLOOKUP(D184,КЦСР!A135:B4095,2),IF(E184&gt;0,VLOOKUP(E184,КВР!A135:B2063,2)))))</f>
        <v xml:space="preserve">Закупка товаров, работ, услуг в целях капитального ремонта государственного имущества </v>
      </c>
      <c r="B184" s="75"/>
      <c r="C184" s="76"/>
      <c r="D184" s="77"/>
      <c r="E184" s="66">
        <v>243</v>
      </c>
      <c r="F184" s="139">
        <v>0</v>
      </c>
      <c r="G184" s="91"/>
      <c r="H184" s="30">
        <f>F184+G184</f>
        <v>0</v>
      </c>
    </row>
    <row r="185" spans="1:8" ht="31.5">
      <c r="A185" s="29" t="str">
        <f>IF(B185&gt;0,VLOOKUP(B185,КВСР!A136:B1301,2),IF(C185&gt;0,VLOOKUP(C185,КФСР!A136:B1648,2),IF(D185&gt;0,VLOOKUP(D185,КЦСР!A136:B4096,2),IF(E185&gt;0,VLOOKUP(E185,КВР!A136:B2064,2)))))</f>
        <v>Прочая закупка товаров, работ и услуг для государственных нужд</v>
      </c>
      <c r="B185" s="75"/>
      <c r="C185" s="76"/>
      <c r="D185" s="77"/>
      <c r="E185" s="66">
        <v>244</v>
      </c>
      <c r="F185" s="88">
        <v>762702</v>
      </c>
      <c r="G185" s="91"/>
      <c r="H185" s="30">
        <f>F185+G185</f>
        <v>762702</v>
      </c>
    </row>
    <row r="186" spans="1:8" ht="23.25" customHeight="1">
      <c r="A186" s="29" t="str">
        <f>IF(B186&gt;0,VLOOKUP(B186,КВСР!A137:B1302,2),IF(C186&gt;0,VLOOKUP(C186,КФСР!A137:B1649,2),IF(D186&gt;0,VLOOKUP(D186,КЦСР!A137:B4097,2),IF(E186&gt;0,VLOOKUP(E186,КВР!A137:B2065,2)))))</f>
        <v>Резервные фонды</v>
      </c>
      <c r="B186" s="75"/>
      <c r="C186" s="76"/>
      <c r="D186" s="77">
        <v>700000</v>
      </c>
      <c r="E186" s="66"/>
      <c r="F186" s="88">
        <v>55350</v>
      </c>
      <c r="G186" s="88">
        <f t="shared" ref="G186:H187" si="52">G187</f>
        <v>0</v>
      </c>
      <c r="H186" s="88">
        <f t="shared" si="52"/>
        <v>55350</v>
      </c>
    </row>
    <row r="187" spans="1:8" ht="47.25">
      <c r="A187" s="29" t="str">
        <f>IF(B187&gt;0,VLOOKUP(B187,КВСР!A138:B1303,2),IF(C187&gt;0,VLOOKUP(C187,КФСР!A138:B1650,2),IF(D187&gt;0,VLOOKUP(D187,КЦСР!A138:B4098,2),IF(E187&gt;0,VLOOKUP(E187,КВР!A138:B2066,2)))))</f>
        <v>Резервный фонд исполнительных органов государственной власти субъектов Российской Федерации</v>
      </c>
      <c r="B187" s="75"/>
      <c r="C187" s="76"/>
      <c r="D187" s="77">
        <v>700400</v>
      </c>
      <c r="E187" s="66"/>
      <c r="F187" s="88">
        <v>55350</v>
      </c>
      <c r="G187" s="88">
        <f t="shared" si="52"/>
        <v>0</v>
      </c>
      <c r="H187" s="88">
        <f t="shared" si="52"/>
        <v>55350</v>
      </c>
    </row>
    <row r="188" spans="1:8" ht="31.5">
      <c r="A188" s="29" t="str">
        <f>IF(B188&gt;0,VLOOKUP(B188,КВСР!A139:B1304,2),IF(C188&gt;0,VLOOKUP(C188,КФСР!A139:B1651,2),IF(D188&gt;0,VLOOKUP(D188,КЦСР!A139:B4099,2),IF(E188&gt;0,VLOOKUP(E188,КВР!A139:B2067,2)))))</f>
        <v>Прочая закупка товаров, работ и услуг для государственных нужд</v>
      </c>
      <c r="B188" s="75"/>
      <c r="C188" s="76"/>
      <c r="D188" s="77"/>
      <c r="E188" s="66">
        <v>244</v>
      </c>
      <c r="F188" s="88">
        <v>55350</v>
      </c>
      <c r="G188" s="91"/>
      <c r="H188" s="30">
        <f>F188+G188</f>
        <v>55350</v>
      </c>
    </row>
    <row r="189" spans="1:8" ht="47.25">
      <c r="A189" s="29" t="str">
        <f>IF(B189&gt;0,VLOOKUP(B189,КВСР!A137:B1302,2),IF(C189&gt;0,VLOOKUP(C189,КФСР!A137:B1649,2),IF(D189&gt;0,VLOOKUP(D189,КЦСР!A137:B4097,2),IF(E189&gt;0,VLOOKUP(E189,КВР!A137:B2065,2)))))</f>
        <v>Реализация государственных функций, связанных с общегосударственным управлением</v>
      </c>
      <c r="B189" s="75"/>
      <c r="C189" s="76"/>
      <c r="D189" s="77">
        <v>920000</v>
      </c>
      <c r="E189" s="66"/>
      <c r="F189" s="88">
        <v>1629462</v>
      </c>
      <c r="G189" s="88">
        <f t="shared" ref="G189:H189" si="53">G190</f>
        <v>0</v>
      </c>
      <c r="H189" s="88">
        <f t="shared" si="53"/>
        <v>1629462</v>
      </c>
    </row>
    <row r="190" spans="1:8" ht="63">
      <c r="A190" s="29" t="str">
        <f>IF(B190&gt;0,VLOOKUP(B190,КВСР!A138:B1303,2),IF(C190&gt;0,VLOOKUP(C190,КФСР!A138:B1650,2),IF(D190&gt;0,VLOOKUP(D190,КЦСР!A138:B4098,2),IF(E190&gt;0,VLOOKUP(E190,КВР!A138:B2066,2)))))</f>
        <v>Программа энергосбережения и повышения энергетической эффективности на период до 2020 года</v>
      </c>
      <c r="B190" s="75"/>
      <c r="C190" s="76"/>
      <c r="D190" s="77">
        <v>923400</v>
      </c>
      <c r="E190" s="66"/>
      <c r="F190" s="88">
        <v>1629462</v>
      </c>
      <c r="G190" s="88">
        <f t="shared" ref="G190:H190" si="54">G191</f>
        <v>0</v>
      </c>
      <c r="H190" s="88">
        <f t="shared" si="54"/>
        <v>1629462</v>
      </c>
    </row>
    <row r="191" spans="1:8" ht="126">
      <c r="A191" s="29" t="str">
        <f>IF(B191&gt;0,VLOOKUP(B191,КВСР!A139:B1304,2),IF(C191&gt;0,VLOOKUP(C191,КФСР!A139:B1651,2),IF(D191&gt;0,VLOOKUP(D191,КЦСР!A139:B4099,2),IF(E191&gt;0,VLOOKUP(E191,КВР!A139:B2067,2)))))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191" s="75"/>
      <c r="C191" s="76"/>
      <c r="D191" s="77">
        <v>923403</v>
      </c>
      <c r="E191" s="66"/>
      <c r="F191" s="88">
        <v>1629462</v>
      </c>
      <c r="G191" s="88">
        <f t="shared" ref="G191:H191" si="55">G192</f>
        <v>0</v>
      </c>
      <c r="H191" s="88">
        <f t="shared" si="55"/>
        <v>1629462</v>
      </c>
    </row>
    <row r="192" spans="1:8" ht="31.5">
      <c r="A192" s="29" t="str">
        <f>IF(B192&gt;0,VLOOKUP(B192,КВСР!A140:B1305,2),IF(C192&gt;0,VLOOKUP(C192,КФСР!A140:B1652,2),IF(D192&gt;0,VLOOKUP(D192,КЦСР!A140:B4100,2),IF(E192&gt;0,VLOOKUP(E192,КВР!A140:B2068,2)))))</f>
        <v>Субсидии бюджетным учреждениям на иные цели</v>
      </c>
      <c r="B192" s="75"/>
      <c r="C192" s="76"/>
      <c r="D192" s="77"/>
      <c r="E192" s="66">
        <v>612</v>
      </c>
      <c r="F192" s="88">
        <v>1629462</v>
      </c>
      <c r="G192" s="91"/>
      <c r="H192" s="30">
        <f>F192+G192</f>
        <v>1629462</v>
      </c>
    </row>
    <row r="193" spans="1:8" ht="24" customHeight="1">
      <c r="A193" s="29" t="str">
        <f>IF(B193&gt;0,VLOOKUP(B193,КВСР!A137:B1302,2),IF(C193&gt;0,VLOOKUP(C193,КФСР!A137:B1649,2),IF(D193&gt;0,VLOOKUP(D193,КЦСР!A137:B4097,2),IF(E193&gt;0,VLOOKUP(E193,КВР!A137:B2065,2)))))</f>
        <v>Мероприятия в области образования</v>
      </c>
      <c r="B193" s="75"/>
      <c r="C193" s="76"/>
      <c r="D193" s="77">
        <v>4360000</v>
      </c>
      <c r="E193" s="66"/>
      <c r="F193" s="63">
        <v>1695490</v>
      </c>
      <c r="G193" s="63">
        <f>G198+G196+G194</f>
        <v>0</v>
      </c>
      <c r="H193" s="63">
        <f>H198+H196+H194</f>
        <v>1695490</v>
      </c>
    </row>
    <row r="194" spans="1:8" ht="31.5">
      <c r="A194" s="29" t="str">
        <f>IF(B194&gt;0,VLOOKUP(B194,КВСР!A138:B1303,2),IF(C194&gt;0,VLOOKUP(C194,КФСР!A138:B1650,2),IF(D194&gt;0,VLOOKUP(D194,КЦСР!A138:B4098,2),IF(E194&gt;0,VLOOKUP(E194,КВР!A138:B2066,2)))))</f>
        <v>Государственная поддержка в сфере образования</v>
      </c>
      <c r="B194" s="75"/>
      <c r="C194" s="76"/>
      <c r="D194" s="77">
        <v>4360100</v>
      </c>
      <c r="E194" s="66"/>
      <c r="F194" s="63">
        <v>1050000</v>
      </c>
      <c r="G194" s="63">
        <f>G195</f>
        <v>0</v>
      </c>
      <c r="H194" s="63">
        <f>H195</f>
        <v>1050000</v>
      </c>
    </row>
    <row r="195" spans="1:8" ht="47.25">
      <c r="A195" s="29" t="str">
        <f>IF(B195&gt;0,VLOOKUP(B195,КВСР!A139:B1304,2),IF(C195&gt;0,VLOOKUP(C195,КФСР!A139:B1651,2),IF(D195&gt;0,VLOOKUP(D195,КЦСР!A139:B4099,2),IF(E195&gt;0,VLOOKUP(E195,КВР!A139:B2067,2)))))</f>
        <v>Субсидии некоммерческим организациям (за исключением государственных учреждений)</v>
      </c>
      <c r="B195" s="75"/>
      <c r="C195" s="76"/>
      <c r="D195" s="77"/>
      <c r="E195" s="66">
        <v>630</v>
      </c>
      <c r="F195" s="88">
        <v>1050000</v>
      </c>
      <c r="G195" s="91"/>
      <c r="H195" s="30">
        <f>F195+G195</f>
        <v>1050000</v>
      </c>
    </row>
    <row r="196" spans="1:8" ht="31.5">
      <c r="A196" s="29" t="str">
        <f>IF(B196&gt;0,VLOOKUP(B196,КВСР!A140:B1305,2),IF(C196&gt;0,VLOOKUP(C196,КФСР!A140:B1652,2),IF(D196&gt;0,VLOOKUP(D196,КЦСР!A140:B4100,2),IF(E196&gt;0,VLOOKUP(E196,КВР!A140:B2068,2)))))</f>
        <v>Государственная поддержка талантливой молодежи</v>
      </c>
      <c r="B196" s="75"/>
      <c r="C196" s="76"/>
      <c r="D196" s="77">
        <v>4360400</v>
      </c>
      <c r="E196" s="66"/>
      <c r="F196" s="63">
        <v>341500</v>
      </c>
      <c r="G196" s="63">
        <f>G197</f>
        <v>0</v>
      </c>
      <c r="H196" s="63">
        <f>H197</f>
        <v>341500</v>
      </c>
    </row>
    <row r="197" spans="1:8" ht="23.25" customHeight="1">
      <c r="A197" s="29" t="str">
        <f>IF(B197&gt;0,VLOOKUP(B197,КВСР!A141:B1306,2),IF(C197&gt;0,VLOOKUP(C197,КФСР!A141:B1653,2),IF(D197&gt;0,VLOOKUP(D197,КЦСР!A141:B4101,2),IF(E197&gt;0,VLOOKUP(E197,КВР!A141:B2069,2)))))</f>
        <v>Стипендии</v>
      </c>
      <c r="B197" s="75"/>
      <c r="C197" s="76"/>
      <c r="D197" s="77"/>
      <c r="E197" s="66">
        <v>340</v>
      </c>
      <c r="F197" s="88">
        <v>341500</v>
      </c>
      <c r="G197" s="91"/>
      <c r="H197" s="30">
        <f>F197+G197</f>
        <v>341500</v>
      </c>
    </row>
    <row r="198" spans="1:8" ht="31.5">
      <c r="A198" s="29" t="str">
        <f>IF(B198&gt;0,VLOOKUP(B198,КВСР!A142:B1307,2),IF(C198&gt;0,VLOOKUP(C198,КФСР!A142:B1654,2),IF(D198&gt;0,VLOOKUP(D198,КЦСР!A142:B4102,2),IF(E198&gt;0,VLOOKUP(E198,КВР!A142:B2070,2)))))</f>
        <v>Проведение мероприятий для детей и молодежи</v>
      </c>
      <c r="B198" s="75"/>
      <c r="C198" s="76"/>
      <c r="D198" s="77">
        <v>4360900</v>
      </c>
      <c r="E198" s="78"/>
      <c r="F198" s="63">
        <v>303990</v>
      </c>
      <c r="G198" s="63">
        <f>G200+G199</f>
        <v>0</v>
      </c>
      <c r="H198" s="63">
        <f>H200+H199</f>
        <v>303990</v>
      </c>
    </row>
    <row r="199" spans="1:8" ht="31.5">
      <c r="A199" s="29" t="str">
        <f>IF(B199&gt;0,VLOOKUP(B199,КВСР!A143:B1308,2),IF(C199&gt;0,VLOOKUP(C199,КФСР!A143:B1655,2),IF(D199&gt;0,VLOOKUP(D199,КЦСР!A143:B4103,2),IF(E199&gt;0,VLOOKUP(E199,КВР!A143:B2071,2)))))</f>
        <v>Прочая закупка товаров, работ и услуг для государственных нужд</v>
      </c>
      <c r="B199" s="75"/>
      <c r="C199" s="76"/>
      <c r="D199" s="77"/>
      <c r="E199" s="78">
        <v>244</v>
      </c>
      <c r="F199" s="63">
        <v>258990</v>
      </c>
      <c r="G199" s="137"/>
      <c r="H199" s="30">
        <f>F199+G199</f>
        <v>258990</v>
      </c>
    </row>
    <row r="200" spans="1:8" ht="29.25" customHeight="1">
      <c r="A200" s="29" t="str">
        <f>IF(B200&gt;0,VLOOKUP(B200,КВСР!A144:B1309,2),IF(C200&gt;0,VLOOKUP(C200,КФСР!A144:B1656,2),IF(D200&gt;0,VLOOKUP(D200,КЦСР!A144:B4104,2),IF(E200&gt;0,VLOOKUP(E200,КВР!A144:B2072,2)))))</f>
        <v>Премии и гранты</v>
      </c>
      <c r="B200" s="75"/>
      <c r="C200" s="76"/>
      <c r="D200" s="77"/>
      <c r="E200" s="78">
        <v>350</v>
      </c>
      <c r="F200" s="88">
        <v>45000</v>
      </c>
      <c r="G200" s="138"/>
      <c r="H200" s="30">
        <f>F200+G200</f>
        <v>45000</v>
      </c>
    </row>
    <row r="201" spans="1:8" ht="110.25">
      <c r="A201" s="29" t="str">
        <f>IF(B201&gt;0,VLOOKUP(B201,КВСР!A145:B1310,2),IF(C201&gt;0,VLOOKUP(C201,КФСР!A145:B1657,2),IF(D201&gt;0,VLOOKUP(D201,КЦСР!A145:B4105,2),IF(E201&gt;0,VLOOKUP(E201,КВР!A145:B2073,2)))))</f>
        <v>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v>
      </c>
      <c r="B201" s="74"/>
      <c r="C201" s="76"/>
      <c r="D201" s="77">
        <v>4520000</v>
      </c>
      <c r="E201" s="78"/>
      <c r="F201" s="63">
        <v>19989586</v>
      </c>
      <c r="G201" s="63">
        <f>G202</f>
        <v>0</v>
      </c>
      <c r="H201" s="63">
        <f>H202</f>
        <v>19989586</v>
      </c>
    </row>
    <row r="202" spans="1:8" ht="31.5">
      <c r="A202" s="29" t="str">
        <f>IF(B202&gt;0,VLOOKUP(B202,КВСР!A146:B1311,2),IF(C202&gt;0,VLOOKUP(C202,КФСР!A146:B1658,2),IF(D202&gt;0,VLOOKUP(D202,КЦСР!A146:B4106,2),IF(E202&gt;0,VLOOKUP(E202,КВР!A146:B2074,2)))))</f>
        <v>Обеспечение деятельности подведомственных учреждений</v>
      </c>
      <c r="B202" s="75"/>
      <c r="C202" s="76"/>
      <c r="D202" s="77">
        <v>4529900</v>
      </c>
      <c r="E202" s="78"/>
      <c r="F202" s="63">
        <v>19989586</v>
      </c>
      <c r="G202" s="63">
        <f>SUM(G203:G210)</f>
        <v>0</v>
      </c>
      <c r="H202" s="63">
        <f>SUM(H203:H210)</f>
        <v>19989586</v>
      </c>
    </row>
    <row r="203" spans="1:8" ht="31.5">
      <c r="A203" s="29" t="str">
        <f>IF(B203&gt;0,VLOOKUP(B203,КВСР!A147:B1312,2),IF(C203&gt;0,VLOOKUP(C203,КФСР!A147:B1659,2),IF(D203&gt;0,VLOOKUP(D203,КЦСР!A147:B4107,2),IF(E203&gt;0,VLOOKUP(E203,КВР!A147:B2075,2)))))</f>
        <v>Фонд оплаты труда и страховые взносы</v>
      </c>
      <c r="B203" s="75"/>
      <c r="C203" s="76"/>
      <c r="D203" s="77"/>
      <c r="E203" s="78">
        <v>121</v>
      </c>
      <c r="F203" s="63">
        <v>11580000</v>
      </c>
      <c r="G203" s="91">
        <v>92000</v>
      </c>
      <c r="H203" s="30">
        <f t="shared" ref="H203:H210" si="56">F203+G203</f>
        <v>11672000</v>
      </c>
    </row>
    <row r="204" spans="1:8" ht="47.25">
      <c r="A204" s="29" t="str">
        <f>IF(B204&gt;0,VLOOKUP(B204,КВСР!A148:B1313,2),IF(C204&gt;0,VLOOKUP(C204,КФСР!A148:B1660,2),IF(D204&gt;0,VLOOKUP(D204,КЦСР!A148:B4108,2),IF(E204&gt;0,VLOOKUP(E204,КВР!A148:B2076,2)))))</f>
        <v>Закупка товаров, работ, услуг в сфере информационно-коммуникационных технологий</v>
      </c>
      <c r="B204" s="75"/>
      <c r="C204" s="76"/>
      <c r="D204" s="77"/>
      <c r="E204" s="78">
        <v>242</v>
      </c>
      <c r="F204" s="63">
        <v>281330</v>
      </c>
      <c r="G204" s="91"/>
      <c r="H204" s="30">
        <f t="shared" si="56"/>
        <v>281330</v>
      </c>
    </row>
    <row r="205" spans="1:8" ht="47.25">
      <c r="A205" s="29" t="str">
        <f>IF(B205&gt;0,VLOOKUP(B205,КВСР!A149:B1314,2),IF(C205&gt;0,VLOOKUP(C205,КФСР!A149:B1661,2),IF(D205&gt;0,VLOOKUP(D205,КЦСР!A149:B4109,2),IF(E205&gt;0,VLOOKUP(E205,КВР!A149:B2077,2)))))</f>
        <v xml:space="preserve">Закупка товаров, работ, услуг в целях капитального ремонта государственного имущества </v>
      </c>
      <c r="B205" s="75"/>
      <c r="C205" s="76"/>
      <c r="D205" s="77"/>
      <c r="E205" s="78">
        <v>243</v>
      </c>
      <c r="F205" s="63">
        <v>25000</v>
      </c>
      <c r="G205" s="91"/>
      <c r="H205" s="30">
        <f t="shared" si="56"/>
        <v>25000</v>
      </c>
    </row>
    <row r="206" spans="1:8" ht="31.5">
      <c r="A206" s="29" t="str">
        <f>IF(B206&gt;0,VLOOKUP(B206,КВСР!A150:B1315,2),IF(C206&gt;0,VLOOKUP(C206,КФСР!A150:B1662,2),IF(D206&gt;0,VLOOKUP(D206,КЦСР!A150:B4110,2),IF(E206&gt;0,VLOOKUP(E206,КВР!A150:B2078,2)))))</f>
        <v>Прочая закупка товаров, работ и услуг для государственных нужд</v>
      </c>
      <c r="B206" s="75"/>
      <c r="C206" s="76"/>
      <c r="D206" s="77"/>
      <c r="E206" s="78">
        <v>244</v>
      </c>
      <c r="F206" s="63">
        <v>1175221</v>
      </c>
      <c r="G206" s="91">
        <v>-92000</v>
      </c>
      <c r="H206" s="30">
        <f t="shared" si="56"/>
        <v>1083221</v>
      </c>
    </row>
    <row r="207" spans="1:8" ht="78.75">
      <c r="A207" s="29" t="str">
        <f>IF(B207&gt;0,VLOOKUP(B207,КВСР!A151:B1316,2),IF(C207&gt;0,VLOOKUP(C207,КФСР!A151:B1663,2),IF(D207&gt;0,VLOOKUP(D207,КЦСР!A151:B4111,2),IF(E207&gt;0,VLOOKUP(E207,КВР!A151:B2079,2)))))</f>
        <v>Субсидии бюджетным учреждениям на финансовое обеспечение государственного задания на оказание государственных услуг (выполнение работ)</v>
      </c>
      <c r="B207" s="75"/>
      <c r="C207" s="76"/>
      <c r="D207" s="77"/>
      <c r="E207" s="78">
        <v>611</v>
      </c>
      <c r="F207" s="88">
        <v>6848000</v>
      </c>
      <c r="G207" s="91"/>
      <c r="H207" s="30">
        <f t="shared" si="56"/>
        <v>6848000</v>
      </c>
    </row>
    <row r="208" spans="1:8" ht="31.5">
      <c r="A208" s="29" t="str">
        <f>IF(B208&gt;0,VLOOKUP(B208,КВСР!A152:B1317,2),IF(C208&gt;0,VLOOKUP(C208,КФСР!A152:B1664,2),IF(D208&gt;0,VLOOKUP(D208,КЦСР!A152:B4112,2),IF(E208&gt;0,VLOOKUP(E208,КВР!A152:B2080,2)))))</f>
        <v>Субсидии бюджетным учреждениям на иные цели</v>
      </c>
      <c r="B208" s="75"/>
      <c r="C208" s="76"/>
      <c r="D208" s="77"/>
      <c r="E208" s="78">
        <v>612</v>
      </c>
      <c r="F208" s="88">
        <v>8323</v>
      </c>
      <c r="G208" s="91"/>
      <c r="H208" s="30">
        <f t="shared" si="56"/>
        <v>8323</v>
      </c>
    </row>
    <row r="209" spans="1:8" ht="31.5">
      <c r="A209" s="29" t="str">
        <f>IF(B209&gt;0,VLOOKUP(B209,КВСР!A153:B1318,2),IF(C209&gt;0,VLOOKUP(C209,КФСР!A153:B1665,2),IF(D209&gt;0,VLOOKUP(D209,КЦСР!A153:B4113,2),IF(E209&gt;0,VLOOKUP(E209,КВР!A153:B2081,2)))))</f>
        <v>Уплата налога на имущество организаций и земельного налога</v>
      </c>
      <c r="B209" s="75"/>
      <c r="C209" s="76"/>
      <c r="D209" s="77"/>
      <c r="E209" s="78">
        <v>851</v>
      </c>
      <c r="F209" s="88">
        <v>35512</v>
      </c>
      <c r="G209" s="91"/>
      <c r="H209" s="30">
        <f t="shared" si="56"/>
        <v>35512</v>
      </c>
    </row>
    <row r="210" spans="1:8" ht="31.5">
      <c r="A210" s="29" t="str">
        <f>IF(B210&gt;0,VLOOKUP(B210,КВСР!A154:B1319,2),IF(C210&gt;0,VLOOKUP(C210,КФСР!A154:B1666,2),IF(D210&gt;0,VLOOKUP(D210,КЦСР!A154:B4114,2),IF(E210&gt;0,VLOOKUP(E210,КВР!A154:B2082,2)))))</f>
        <v>Уплата прочих налогов, сборов и иных обязательных платежей</v>
      </c>
      <c r="B210" s="75"/>
      <c r="C210" s="76"/>
      <c r="D210" s="77"/>
      <c r="E210" s="78">
        <v>852</v>
      </c>
      <c r="F210" s="88">
        <v>36200</v>
      </c>
      <c r="G210" s="91"/>
      <c r="H210" s="30">
        <f t="shared" si="56"/>
        <v>36200</v>
      </c>
    </row>
    <row r="211" spans="1:8" ht="24" customHeight="1">
      <c r="A211" s="29" t="str">
        <f>IF(B211&gt;0,VLOOKUP(B211,КВСР!A155:B1320,2),IF(C211&gt;0,VLOOKUP(C211,КФСР!A155:B1667,2),IF(D211&gt;0,VLOOKUP(D211,КЦСР!A155:B4115,2),IF(E211&gt;0,VLOOKUP(E211,КВР!A155:B2083,2)))))</f>
        <v>Региональные целевые программы</v>
      </c>
      <c r="B211" s="75"/>
      <c r="C211" s="76"/>
      <c r="D211" s="77">
        <v>5220000</v>
      </c>
      <c r="E211" s="78"/>
      <c r="F211" s="63">
        <v>560100</v>
      </c>
      <c r="G211" s="63">
        <f>G215+G212</f>
        <v>0</v>
      </c>
      <c r="H211" s="63">
        <f>H215+H218+H212</f>
        <v>560100</v>
      </c>
    </row>
    <row r="212" spans="1:8" ht="31.5">
      <c r="A212" s="29" t="str">
        <f>IF(B212&gt;0,VLOOKUP(B212,КВСР!A156:B1321,2),IF(C212&gt;0,VLOOKUP(C212,КФСР!A156:B1668,2),IF(D212&gt;0,VLOOKUP(D212,КЦСР!A156:B4116,2),IF(E212&gt;0,VLOOKUP(E212,КВР!A156:B2084,2)))))</f>
        <v>Областная комплексная целевая программа "Семья и дети Ярославии"</v>
      </c>
      <c r="B212" s="75"/>
      <c r="C212" s="76"/>
      <c r="D212" s="77">
        <v>5221300</v>
      </c>
      <c r="E212" s="78"/>
      <c r="F212" s="63">
        <v>127800</v>
      </c>
      <c r="G212" s="63">
        <f t="shared" ref="G212:H213" si="57">G213</f>
        <v>0</v>
      </c>
      <c r="H212" s="63">
        <f t="shared" si="57"/>
        <v>127800</v>
      </c>
    </row>
    <row r="213" spans="1:8" ht="63">
      <c r="A213" s="29" t="str">
        <f>IF(B213&gt;0,VLOOKUP(B213,КВСР!A157:B1322,2),IF(C213&gt;0,VLOOKUP(C213,КФСР!A157:B1669,2),IF(D213&gt;0,VLOOKUP(D213,КЦСР!A157:B4117,2),IF(E213&gt;0,VLOOKUP(E213,КВР!A157:B2085,2)))))</f>
        <v>Оказание господ. поддержки победителям конкурса проект. иннов. моделей по выявл. и поддержке одарен. детей</v>
      </c>
      <c r="B213" s="75"/>
      <c r="C213" s="76"/>
      <c r="D213" s="77">
        <v>5221313</v>
      </c>
      <c r="E213" s="78"/>
      <c r="F213" s="63">
        <v>127800</v>
      </c>
      <c r="G213" s="63">
        <f t="shared" si="57"/>
        <v>0</v>
      </c>
      <c r="H213" s="63">
        <f t="shared" si="57"/>
        <v>127800</v>
      </c>
    </row>
    <row r="214" spans="1:8" ht="31.5">
      <c r="A214" s="29" t="str">
        <f>IF(B214&gt;0,VLOOKUP(B214,КВСР!A158:B1323,2),IF(C214&gt;0,VLOOKUP(C214,КФСР!A158:B1670,2),IF(D214&gt;0,VLOOKUP(D214,КЦСР!A158:B4118,2),IF(E214&gt;0,VLOOKUP(E214,КВР!A158:B2086,2)))))</f>
        <v>Субсидии бюджетным учреждениям на иные цели</v>
      </c>
      <c r="B214" s="75"/>
      <c r="C214" s="76"/>
      <c r="D214" s="77"/>
      <c r="E214" s="78">
        <v>612</v>
      </c>
      <c r="F214" s="63">
        <v>127800</v>
      </c>
      <c r="G214" s="91"/>
      <c r="H214" s="63">
        <f>F214+G214</f>
        <v>127800</v>
      </c>
    </row>
    <row r="215" spans="1:8" ht="78.75">
      <c r="A215" s="29" t="str">
        <f>IF(B215&gt;0,VLOOKUP(B215,КВСР!A159:B1324,2),IF(C215&gt;0,VLOOKUP(C215,КФСР!A159:B1671,2),IF(D215&gt;0,VLOOKUP(D215,КЦСР!A159:B4119,2),IF(E215&gt;0,VLOOKUP(E215,КВР!A159:B2087,2)))))</f>
        <v>Областная целевая программа "Комплексные меры противодействия злоупотреблению наркотиками и их незаконному обороту"</v>
      </c>
      <c r="B215" s="74"/>
      <c r="C215" s="64"/>
      <c r="D215" s="77">
        <v>5222900</v>
      </c>
      <c r="E215" s="66"/>
      <c r="F215" s="30">
        <v>432300</v>
      </c>
      <c r="G215" s="30">
        <f>G217</f>
        <v>0</v>
      </c>
      <c r="H215" s="30">
        <f>H217</f>
        <v>432300</v>
      </c>
    </row>
    <row r="216" spans="1:8" ht="78.75">
      <c r="A216" s="29" t="str">
        <f>IF(B216&gt;0,VLOOKUP(B216,КВСР!A160:B1325,2),IF(C216&gt;0,VLOOKUP(C216,КФСР!A160:B1672,2),IF(D216&gt;0,VLOOKUP(D216,КЦСР!A160:B4120,2),IF(E216&gt;0,VLOOKUP(E216,КВР!A160:B2088,2)))))</f>
        <v>Областная целевая программа "Комплексные меры противодействия злоупотреблению наркотиками и их незаконному обороту"</v>
      </c>
      <c r="B216" s="74"/>
      <c r="C216" s="64"/>
      <c r="D216" s="65">
        <v>5222902</v>
      </c>
      <c r="E216" s="66"/>
      <c r="F216" s="30">
        <v>432300</v>
      </c>
      <c r="G216" s="30">
        <f>G217</f>
        <v>0</v>
      </c>
      <c r="H216" s="30">
        <f>H217</f>
        <v>432300</v>
      </c>
    </row>
    <row r="217" spans="1:8" ht="31.5">
      <c r="A217" s="29" t="str">
        <f>IF(B217&gt;0,VLOOKUP(B217,КВСР!A161:B1326,2),IF(C217&gt;0,VLOOKUP(C217,КФСР!A161:B1673,2),IF(D217&gt;0,VLOOKUP(D217,КЦСР!A161:B4121,2),IF(E217&gt;0,VLOOKUP(E217,КВР!A161:B2089,2)))))</f>
        <v>Субсидии бюджетным учреждениям на иные цели</v>
      </c>
      <c r="B217" s="74"/>
      <c r="C217" s="64"/>
      <c r="D217" s="65"/>
      <c r="E217" s="66">
        <v>612</v>
      </c>
      <c r="F217" s="88">
        <v>432300</v>
      </c>
      <c r="G217" s="91"/>
      <c r="H217" s="30">
        <f>F217+G217</f>
        <v>432300</v>
      </c>
    </row>
    <row r="218" spans="1:8" ht="63" hidden="1">
      <c r="A218" s="29" t="str">
        <f>IF(B218&gt;0,VLOOKUP(B218,КВСР!A162:B1327,2),IF(C218&gt;0,VLOOKUP(C218,КФСР!A162:B1674,2),IF(D218&gt;0,VLOOKUP(D218,КЦСР!A162:B4122,2),IF(E218&gt;0,VLOOKUP(E218,КВР!A162:B2090,2)))))</f>
        <v>Программа энергосбережения и повышения энергетической эффективности на период до 2020 года</v>
      </c>
      <c r="B218" s="74"/>
      <c r="C218" s="64"/>
      <c r="D218" s="65">
        <v>5224000</v>
      </c>
      <c r="E218" s="66"/>
      <c r="F218" s="88">
        <v>0</v>
      </c>
      <c r="G218" s="88">
        <f t="shared" ref="G218:H219" si="58">G219</f>
        <v>0</v>
      </c>
      <c r="H218" s="88">
        <f t="shared" si="58"/>
        <v>0</v>
      </c>
    </row>
    <row r="219" spans="1:8" ht="31.5" hidden="1">
      <c r="A219" s="29" t="str">
        <f>IF(B219&gt;0,VLOOKUP(B219,КВСР!A163:B1328,2),IF(C219&gt;0,VLOOKUP(C219,КФСР!A163:B1675,2),IF(D219&gt;0,VLOOKUP(D219,КЦСР!A163:B4123,2),IF(E219&gt;0,VLOOKUP(E219,КВР!A163:B2091,2)))))</f>
        <v>Программа "Энергоресурсосбережений"</v>
      </c>
      <c r="B219" s="74"/>
      <c r="C219" s="64"/>
      <c r="D219" s="65">
        <v>5224005</v>
      </c>
      <c r="E219" s="66"/>
      <c r="F219" s="88">
        <v>0</v>
      </c>
      <c r="G219" s="88">
        <f t="shared" si="58"/>
        <v>0</v>
      </c>
      <c r="H219" s="88">
        <f t="shared" si="58"/>
        <v>0</v>
      </c>
    </row>
    <row r="220" spans="1:8" ht="31.5" hidden="1">
      <c r="A220" s="29" t="str">
        <f>IF(B220&gt;0,VLOOKUP(B220,КВСР!A164:B1329,2),IF(C220&gt;0,VLOOKUP(C220,КФСР!A164:B1676,2),IF(D220&gt;0,VLOOKUP(D220,КЦСР!A164:B4124,2),IF(E220&gt;0,VLOOKUP(E220,КВР!A164:B2092,2)))))</f>
        <v>Субсидии бюджетным учреждениям на иные цели</v>
      </c>
      <c r="B220" s="74"/>
      <c r="C220" s="64"/>
      <c r="D220" s="65"/>
      <c r="E220" s="66">
        <v>612</v>
      </c>
      <c r="F220" s="88">
        <v>0</v>
      </c>
      <c r="G220" s="91">
        <v>0</v>
      </c>
      <c r="H220" s="30">
        <f>F220+G220</f>
        <v>0</v>
      </c>
    </row>
    <row r="221" spans="1:8" ht="23.25" customHeight="1">
      <c r="A221" s="29" t="str">
        <f>IF(B221&gt;0,VLOOKUP(B221,КВСР!A165:B1330,2),IF(C221&gt;0,VLOOKUP(C221,КФСР!A165:B1677,2),IF(D221&gt;0,VLOOKUP(D221,КЦСР!A165:B4125,2),IF(E221&gt;0,VLOOKUP(E221,КВР!A165:B2093,2)))))</f>
        <v>Социальное обеспечение населения</v>
      </c>
      <c r="B221" s="74"/>
      <c r="C221" s="64">
        <v>1003</v>
      </c>
      <c r="D221" s="65"/>
      <c r="E221" s="66"/>
      <c r="F221" s="30">
        <v>106000</v>
      </c>
      <c r="G221" s="30">
        <f t="shared" ref="G221:H223" si="59">G222</f>
        <v>0</v>
      </c>
      <c r="H221" s="30">
        <f t="shared" si="59"/>
        <v>106000</v>
      </c>
    </row>
    <row r="222" spans="1:8" ht="24.75" customHeight="1">
      <c r="A222" s="29" t="str">
        <f>IF(B222&gt;0,VLOOKUP(B222,КВСР!A166:B1331,2),IF(C222&gt;0,VLOOKUP(C222,КФСР!A166:B1678,2),IF(D222&gt;0,VLOOKUP(D222,КЦСР!A166:B4126,2),IF(E222&gt;0,VLOOKUP(E222,КВР!A166:B2094,2)))))</f>
        <v>Социальная помощь</v>
      </c>
      <c r="B222" s="74"/>
      <c r="C222" s="64"/>
      <c r="D222" s="65">
        <v>5050000</v>
      </c>
      <c r="E222" s="66"/>
      <c r="F222" s="30">
        <v>106000</v>
      </c>
      <c r="G222" s="30">
        <f t="shared" si="59"/>
        <v>0</v>
      </c>
      <c r="H222" s="30">
        <f t="shared" si="59"/>
        <v>106000</v>
      </c>
    </row>
    <row r="223" spans="1:8" ht="31.5">
      <c r="A223" s="29" t="str">
        <f>IF(B223&gt;0,VLOOKUP(B223,КВСР!A167:B1332,2),IF(C223&gt;0,VLOOKUP(C223,КФСР!A167:B1679,2),IF(D223&gt;0,VLOOKUP(D223,КЦСР!A167:B4127,2),IF(E223&gt;0,VLOOKUP(E223,КВР!A167:B2095,2)))))</f>
        <v>Оказание других видов социальной помощи</v>
      </c>
      <c r="B223" s="74"/>
      <c r="C223" s="64"/>
      <c r="D223" s="65">
        <v>5058600</v>
      </c>
      <c r="E223" s="66"/>
      <c r="F223" s="30">
        <v>106000</v>
      </c>
      <c r="G223" s="30">
        <f t="shared" si="59"/>
        <v>0</v>
      </c>
      <c r="H223" s="30">
        <f t="shared" si="59"/>
        <v>106000</v>
      </c>
    </row>
    <row r="224" spans="1:8" ht="47.25">
      <c r="A224" s="29" t="str">
        <f>IF(B224&gt;0,VLOOKUP(B224,КВСР!A168:B1333,2),IF(C224&gt;0,VLOOKUP(C224,КФСР!A168:B1680,2),IF(D224&gt;0,VLOOKUP(D224,КЦСР!A168:B4128,2),IF(E224&gt;0,VLOOKUP(E224,КВР!A168:B2096,2)))))</f>
        <v>Меры социальной поддержки населения по публичным нормативным обязательствам</v>
      </c>
      <c r="B224" s="74"/>
      <c r="C224" s="64"/>
      <c r="D224" s="65"/>
      <c r="E224" s="66">
        <v>314</v>
      </c>
      <c r="F224" s="88">
        <v>106000</v>
      </c>
      <c r="G224" s="91"/>
      <c r="H224" s="30">
        <f>SUM(F224:G224)</f>
        <v>106000</v>
      </c>
    </row>
    <row r="225" spans="1:8">
      <c r="A225" s="29" t="str">
        <f>IF(B225&gt;0,VLOOKUP(B225,КВСР!A169:B1334,2),IF(C225&gt;0,VLOOKUP(C225,КФСР!A169:B1681,2),IF(D225&gt;0,VLOOKUP(D225,КЦСР!A169:B4129,2),IF(E225&gt;0,VLOOKUP(E225,КВР!A169:B2097,2)))))</f>
        <v>Охрана семьи и детства</v>
      </c>
      <c r="B225" s="75"/>
      <c r="C225" s="64">
        <v>1004</v>
      </c>
      <c r="D225" s="65"/>
      <c r="E225" s="78"/>
      <c r="F225" s="63">
        <v>28675273</v>
      </c>
      <c r="G225" s="63">
        <f>G226+G236+G244+G230</f>
        <v>0</v>
      </c>
      <c r="H225" s="63">
        <f>H226+H236+H244+H230</f>
        <v>28675273</v>
      </c>
    </row>
    <row r="226" spans="1:8">
      <c r="A226" s="29" t="str">
        <f>IF(B226&gt;0,VLOOKUP(B226,КВСР!A170:B1335,2),IF(C226&gt;0,VLOOKUP(C226,КФСР!A170:B1682,2),IF(D226&gt;0,VLOOKUP(D226,КЦСР!A170:B4130,2),IF(E226&gt;0,VLOOKUP(E226,КВР!A170:B2098,2)))))</f>
        <v>Социальная помощь</v>
      </c>
      <c r="B226" s="74"/>
      <c r="C226" s="64"/>
      <c r="D226" s="79">
        <v>5050000</v>
      </c>
      <c r="E226" s="78"/>
      <c r="F226" s="63">
        <v>188000</v>
      </c>
      <c r="G226" s="63">
        <f>G228</f>
        <v>0</v>
      </c>
      <c r="H226" s="63">
        <f>H228</f>
        <v>188000</v>
      </c>
    </row>
    <row r="227" spans="1:8" ht="63">
      <c r="A227" s="29" t="str">
        <f>IF(B227&gt;0,VLOOKUP(B227,КВСР!A171:B1336,2),IF(C227&gt;0,VLOOKUP(C227,КФСР!A171:B1683,2),IF(D227&gt;0,VLOOKUP(D227,КЦСР!A171:B4131,2),IF(E227&gt;0,VLOOKUP(E227,КВР!A171:B2099,2)))))</f>
        <v>Федеральный закон от 19 мая 1995 года № 81-ФЗ "О государственных пособиях гражданам, имеющим детей"</v>
      </c>
      <c r="B227" s="74"/>
      <c r="C227" s="64"/>
      <c r="D227" s="79">
        <v>5050500</v>
      </c>
      <c r="E227" s="78"/>
      <c r="F227" s="63">
        <v>188000</v>
      </c>
      <c r="G227" s="63">
        <f t="shared" ref="G227:H228" si="60">G228</f>
        <v>0</v>
      </c>
      <c r="H227" s="63">
        <f t="shared" si="60"/>
        <v>188000</v>
      </c>
    </row>
    <row r="228" spans="1:8" ht="63">
      <c r="A228" s="29" t="str">
        <f>IF(B228&gt;0,VLOOKUP(B228,КВСР!A172:B1337,2),IF(C228&gt;0,VLOOKUP(C228,КФСР!A172:B1684,2),IF(D228&gt;0,VLOOKUP(D228,КЦСР!A172:B4132,2),IF(E228&gt;0,VLOOKUP(E228,КВР!A172:B2100,2)))))</f>
        <v>Выплата единовременного пособия при всех формах устройства детей, лишенных родительского попечения, в семью</v>
      </c>
      <c r="B228" s="74"/>
      <c r="C228" s="64"/>
      <c r="D228" s="79">
        <v>5050502</v>
      </c>
      <c r="E228" s="78"/>
      <c r="F228" s="63">
        <v>188000</v>
      </c>
      <c r="G228" s="63">
        <f t="shared" si="60"/>
        <v>0</v>
      </c>
      <c r="H228" s="63">
        <f t="shared" si="60"/>
        <v>188000</v>
      </c>
    </row>
    <row r="229" spans="1:8" ht="47.25">
      <c r="A229" s="29" t="str">
        <f>IF(B229&gt;0,VLOOKUP(B229,КВСР!A173:B1338,2),IF(C229&gt;0,VLOOKUP(C229,КФСР!A173:B1685,2),IF(D229&gt;0,VLOOKUP(D229,КЦСР!A173:B4133,2),IF(E229&gt;0,VLOOKUP(E229,КВР!A173:B2101,2)))))</f>
        <v>Пособия и компенсации по публичным нормативным обязательствам</v>
      </c>
      <c r="B229" s="74"/>
      <c r="C229" s="64"/>
      <c r="D229" s="79"/>
      <c r="E229" s="78">
        <v>313</v>
      </c>
      <c r="F229" s="88">
        <v>188000</v>
      </c>
      <c r="G229" s="91"/>
      <c r="H229" s="30">
        <f>F229+G229</f>
        <v>188000</v>
      </c>
    </row>
    <row r="230" spans="1:8" ht="47.25">
      <c r="A230" s="29" t="str">
        <f>IF(B230&gt;0,VLOOKUP(B230,КВСР!A174:B1339,2),IF(C230&gt;0,VLOOKUP(C230,КФСР!A174:B1686,2),IF(D230&gt;0,VLOOKUP(D230,КЦСР!A174:B4134,2),IF(E230&gt;0,VLOOKUP(E230,КВР!A174:B2102,2)))))</f>
        <v>Реализация государственных функций в области социальной политики</v>
      </c>
      <c r="B230" s="74"/>
      <c r="C230" s="64"/>
      <c r="D230" s="79">
        <v>5140000</v>
      </c>
      <c r="E230" s="78"/>
      <c r="F230" s="30">
        <v>1148217</v>
      </c>
      <c r="G230" s="30">
        <f t="shared" ref="G230:H231" si="61">G231</f>
        <v>0</v>
      </c>
      <c r="H230" s="30">
        <f t="shared" si="61"/>
        <v>1148217</v>
      </c>
    </row>
    <row r="231" spans="1:8" ht="31.5">
      <c r="A231" s="29" t="str">
        <f>IF(B231&gt;0,VLOOKUP(B231,КВСР!A175:B1340,2),IF(C231&gt;0,VLOOKUP(C231,КФСР!A175:B1687,2),IF(D231&gt;0,VLOOKUP(D231,КЦСР!A175:B4135,2),IF(E231&gt;0,VLOOKUP(E231,КВР!A175:B2103,2)))))</f>
        <v>Мероприятия в области социальной политики</v>
      </c>
      <c r="B231" s="74"/>
      <c r="C231" s="64"/>
      <c r="D231" s="79">
        <v>5140100</v>
      </c>
      <c r="E231" s="78"/>
      <c r="F231" s="30">
        <v>1148217</v>
      </c>
      <c r="G231" s="30">
        <f t="shared" si="61"/>
        <v>0</v>
      </c>
      <c r="H231" s="30">
        <f t="shared" si="61"/>
        <v>1148217</v>
      </c>
    </row>
    <row r="232" spans="1:8" ht="29.25" customHeight="1">
      <c r="A232" s="29" t="str">
        <f>IF(B232&gt;0,VLOOKUP(B232,КВСР!A176:B1341,2),IF(C232&gt;0,VLOOKUP(C232,КФСР!A176:B1688,2),IF(D232&gt;0,VLOOKUP(D232,КЦСР!A176:B4136,2),IF(E232&gt;0,VLOOKUP(E232,КВР!A176:B2104,2)))))</f>
        <v>Господдержка опеки и попечительства</v>
      </c>
      <c r="B232" s="74"/>
      <c r="C232" s="64"/>
      <c r="D232" s="79">
        <v>5140110</v>
      </c>
      <c r="E232" s="78"/>
      <c r="F232" s="88">
        <v>1148217</v>
      </c>
      <c r="G232" s="88">
        <f>G234+G233+G235</f>
        <v>0</v>
      </c>
      <c r="H232" s="88">
        <f>H234+H233+H235</f>
        <v>1148217</v>
      </c>
    </row>
    <row r="233" spans="1:8" ht="31.5">
      <c r="A233" s="29" t="str">
        <f>IF(B233&gt;0,VLOOKUP(B233,КВСР!A177:B1342,2),IF(C233&gt;0,VLOOKUP(C233,КФСР!A177:B1689,2),IF(D233&gt;0,VLOOKUP(D233,КЦСР!A177:B4137,2),IF(E233&gt;0,VLOOKUP(E233,КВР!A177:B2105,2)))))</f>
        <v>Прочая закупка товаров, работ и услуг для государственных нужд</v>
      </c>
      <c r="B233" s="74"/>
      <c r="C233" s="64"/>
      <c r="D233" s="79"/>
      <c r="E233" s="78">
        <v>244</v>
      </c>
      <c r="F233" s="88">
        <v>310848</v>
      </c>
      <c r="G233" s="91"/>
      <c r="H233" s="88">
        <f>F233+G233</f>
        <v>310848</v>
      </c>
    </row>
    <row r="234" spans="1:8" ht="47.25">
      <c r="A234" s="29" t="str">
        <f>IF(B234&gt;0,VLOOKUP(B234,КВСР!A178:B1343,2),IF(C234&gt;0,VLOOKUP(C234,КФСР!A178:B1690,2),IF(D234&gt;0,VLOOKUP(D234,КЦСР!A178:B4138,2),IF(E234&gt;0,VLOOKUP(E234,КВР!A178:B2106,2)))))</f>
        <v>Пособия и компенсации по публичным нормативным обязательствам</v>
      </c>
      <c r="B234" s="74"/>
      <c r="C234" s="64"/>
      <c r="D234" s="79"/>
      <c r="E234" s="78">
        <v>313</v>
      </c>
      <c r="F234" s="88">
        <v>381383</v>
      </c>
      <c r="G234" s="91"/>
      <c r="H234" s="88">
        <f>F234+G234</f>
        <v>381383</v>
      </c>
    </row>
    <row r="235" spans="1:8" ht="31.5">
      <c r="A235" s="29" t="str">
        <f>IF(B235&gt;0,VLOOKUP(B235,КВСР!A179:B1344,2),IF(C235&gt;0,VLOOKUP(C235,КФСР!A179:B1691,2),IF(D235&gt;0,VLOOKUP(D235,КЦСР!A179:B4139,2),IF(E235&gt;0,VLOOKUP(E235,КВР!A179:B2107,2)))))</f>
        <v>Субсидии бюджетным учреждениям на иные цели</v>
      </c>
      <c r="B235" s="74"/>
      <c r="C235" s="64"/>
      <c r="D235" s="79"/>
      <c r="E235" s="78">
        <v>612</v>
      </c>
      <c r="F235" s="88">
        <v>455986</v>
      </c>
      <c r="G235" s="91"/>
      <c r="H235" s="88">
        <f>F235+G235</f>
        <v>455986</v>
      </c>
    </row>
    <row r="236" spans="1:8" ht="31.5">
      <c r="A236" s="29" t="str">
        <f>IF(B236&gt;0,VLOOKUP(B236,КВСР!A180:B1345,2),IF(C236&gt;0,VLOOKUP(C236,КФСР!A180:B1692,2),IF(D236&gt;0,VLOOKUP(D236,КЦСР!A180:B4140,2),IF(E236&gt;0,VLOOKUP(E236,КВР!A180:B2108,2)))))</f>
        <v>Иные безвозмездные и безвозвратные перечисления</v>
      </c>
      <c r="B236" s="74"/>
      <c r="C236" s="64"/>
      <c r="D236" s="79">
        <v>5200000</v>
      </c>
      <c r="E236" s="78"/>
      <c r="F236" s="127">
        <v>27022356</v>
      </c>
      <c r="G236" s="127">
        <f>G237+G240</f>
        <v>0</v>
      </c>
      <c r="H236" s="127">
        <f>H237+H240</f>
        <v>27022356</v>
      </c>
    </row>
    <row r="237" spans="1:8" ht="110.25">
      <c r="A237" s="29" t="str">
        <f>IF(B237&gt;0,VLOOKUP(B237,КВСР!A181:B1346,2),IF(C237&gt;0,VLOOKUP(C237,КФСР!A181:B1693,2),IF(D237&gt;0,VLOOKUP(D237,КЦСР!A181:B4141,2),IF(E237&gt;0,VLOOKUP(E237,КВР!A181:B2109,2)))))</f>
        <v>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v>
      </c>
      <c r="B237" s="74"/>
      <c r="C237" s="64"/>
      <c r="D237" s="126">
        <v>5201000</v>
      </c>
      <c r="E237" s="78"/>
      <c r="F237" s="127">
        <v>5470000</v>
      </c>
      <c r="G237" s="127">
        <f>G239</f>
        <v>0</v>
      </c>
      <c r="H237" s="127">
        <f>H239</f>
        <v>5470000</v>
      </c>
    </row>
    <row r="238" spans="1:8" ht="47.25">
      <c r="A238" s="29" t="str">
        <f>IF(B238&gt;0,VLOOKUP(B238,КВСР!A182:B1347,2),IF(C238&gt;0,VLOOKUP(C238,КФСР!A182:B1694,2),IF(D238&gt;0,VLOOKUP(D238,КЦСР!A182:B4142,2),IF(E238&gt;0,VLOOKUP(E238,КВР!A182:B2110,2)))))</f>
        <v>Компенсация расходов на содержание ребенка в дошкольной образовательной организации</v>
      </c>
      <c r="B238" s="74"/>
      <c r="C238" s="64"/>
      <c r="D238" s="126">
        <v>5201001</v>
      </c>
      <c r="E238" s="78"/>
      <c r="F238" s="127">
        <v>5470000</v>
      </c>
      <c r="G238" s="127">
        <f>G239</f>
        <v>0</v>
      </c>
      <c r="H238" s="127">
        <f>H239</f>
        <v>5470000</v>
      </c>
    </row>
    <row r="239" spans="1:8" ht="30.75" customHeight="1">
      <c r="A239" s="29" t="str">
        <f>IF(B239&gt;0,VLOOKUP(B239,КВСР!A183:B1348,2),IF(C239&gt;0,VLOOKUP(C239,КФСР!A183:B1695,2),IF(D239&gt;0,VLOOKUP(D239,КЦСР!A183:B4143,2),IF(E239&gt;0,VLOOKUP(E239,КВР!A183:B2111,2)))))</f>
        <v>Пособия и компенсации по публичным нормативным обязательствам</v>
      </c>
      <c r="B239" s="75"/>
      <c r="C239" s="64"/>
      <c r="D239" s="126"/>
      <c r="E239" s="78">
        <v>313</v>
      </c>
      <c r="F239" s="88">
        <v>5470000</v>
      </c>
      <c r="G239" s="91"/>
      <c r="H239" s="30">
        <f>F239+G239</f>
        <v>5470000</v>
      </c>
    </row>
    <row r="240" spans="1:8" ht="63">
      <c r="A240" s="29" t="str">
        <f>IF(B240&gt;0,VLOOKUP(B240,КВСР!A184:B1349,2),IF(C240&gt;0,VLOOKUP(C240,КФСР!A184:B1696,2),IF(D240&gt;0,VLOOKUP(D240,КЦСР!A184:B4144,2),IF(E240&gt;0,VLOOKUP(E240,КВР!A184:B2112,2)))))</f>
        <v>Содержание ребенка в семье опекуна и приемной семье, а также вознаграждение, причитающееся приемному родителю</v>
      </c>
      <c r="B240" s="75"/>
      <c r="C240" s="76"/>
      <c r="D240" s="77">
        <v>5201300</v>
      </c>
      <c r="E240" s="78"/>
      <c r="F240" s="63">
        <v>21552356</v>
      </c>
      <c r="G240" s="63">
        <f>G241</f>
        <v>0</v>
      </c>
      <c r="H240" s="63">
        <f>H241</f>
        <v>21552356</v>
      </c>
    </row>
    <row r="241" spans="1:9" ht="63">
      <c r="A241" s="29" t="str">
        <f>IF(B241&gt;0,VLOOKUP(B241,КВСР!A166:B1331,2),IF(C241&gt;0,VLOOKUP(C241,КФСР!A166:B1678,2),IF(D241&gt;0,VLOOKUP(D241,КЦСР!A166:B4126,2),IF(E241&gt;0,VLOOKUP(E241,КВР!A166:B2094,2)))))</f>
        <v>Содержание ребенка в семье опекуна и приемной семье, а также вознаграждение, причитающееся приемному родителю</v>
      </c>
      <c r="B241" s="75"/>
      <c r="C241" s="76"/>
      <c r="D241" s="77">
        <v>5201301</v>
      </c>
      <c r="E241" s="78"/>
      <c r="F241" s="63">
        <v>21552356</v>
      </c>
      <c r="G241" s="63">
        <f>G242+G243</f>
        <v>0</v>
      </c>
      <c r="H241" s="63">
        <f>H242+H243</f>
        <v>21552356</v>
      </c>
    </row>
    <row r="242" spans="1:9" ht="31.5">
      <c r="A242" s="29" t="str">
        <f>IF(B242&gt;0,VLOOKUP(B242,КВСР!A167:B1332,2),IF(C242&gt;0,VLOOKUP(C242,КФСР!A167:B1679,2),IF(D242&gt;0,VLOOKUP(D242,КЦСР!A167:B4127,2),IF(E242&gt;0,VLOOKUP(E242,КВР!A167:B2095,2)))))</f>
        <v>Прочая закупка товаров, работ и услуг для государственных нужд</v>
      </c>
      <c r="B242" s="75"/>
      <c r="C242" s="76"/>
      <c r="D242" s="77"/>
      <c r="E242" s="78">
        <v>244</v>
      </c>
      <c r="F242" s="63">
        <v>4964580</v>
      </c>
      <c r="G242" s="91"/>
      <c r="H242" s="63">
        <f>F242+G242</f>
        <v>4964580</v>
      </c>
    </row>
    <row r="243" spans="1:9" ht="47.25">
      <c r="A243" s="29" t="str">
        <f>IF(B243&gt;0,VLOOKUP(B243,КВСР!A168:B1333,2),IF(C243&gt;0,VLOOKUP(C243,КФСР!A168:B1680,2),IF(D243&gt;0,VLOOKUP(D243,КЦСР!A168:B4128,2),IF(E243&gt;0,VLOOKUP(E243,КВР!A168:B2096,2)))))</f>
        <v>Пособия и компенсации по публичным нормативным обязательствам</v>
      </c>
      <c r="B243" s="75"/>
      <c r="C243" s="76"/>
      <c r="D243" s="77"/>
      <c r="E243" s="78">
        <v>313</v>
      </c>
      <c r="F243" s="63">
        <v>16587776</v>
      </c>
      <c r="G243" s="91"/>
      <c r="H243" s="63">
        <f>F243+G243</f>
        <v>16587776</v>
      </c>
    </row>
    <row r="244" spans="1:9" s="16" customFormat="1">
      <c r="A244" s="29" t="str">
        <f>IF(B244&gt;0,VLOOKUP(B244,КВСР!A169:B1334,2),IF(C244&gt;0,VLOOKUP(C244,КФСР!A169:B1681,2),IF(D244&gt;0,VLOOKUP(D244,КЦСР!A169:B4129,2),IF(E244&gt;0,VLOOKUP(E244,КВР!A169:B2097,2)))))</f>
        <v>Региональные целевые программы</v>
      </c>
      <c r="B244" s="75"/>
      <c r="C244" s="76"/>
      <c r="D244" s="65">
        <v>5220000</v>
      </c>
      <c r="E244" s="66"/>
      <c r="F244" s="63">
        <v>316700</v>
      </c>
      <c r="G244" s="63">
        <f>G245</f>
        <v>0</v>
      </c>
      <c r="H244" s="63">
        <f>H245</f>
        <v>316700</v>
      </c>
    </row>
    <row r="245" spans="1:9" s="16" customFormat="1" ht="31.5">
      <c r="A245" s="29" t="str">
        <f>IF(B245&gt;0,VLOOKUP(B245,КВСР!A170:B1335,2),IF(C245&gt;0,VLOOKUP(C245,КФСР!A170:B1682,2),IF(D245&gt;0,VLOOKUP(D245,КЦСР!A170:B4130,2),IF(E245&gt;0,VLOOKUP(E245,КВР!A170:B2098,2)))))</f>
        <v>Областная комплексная целевая программа "Семья и дети Ярославии"</v>
      </c>
      <c r="B245" s="75"/>
      <c r="C245" s="76"/>
      <c r="D245" s="65">
        <v>5221300</v>
      </c>
      <c r="E245" s="66"/>
      <c r="F245" s="63">
        <v>316700</v>
      </c>
      <c r="G245" s="63">
        <f>G246+G250</f>
        <v>0</v>
      </c>
      <c r="H245" s="63">
        <f>H246+H250</f>
        <v>316700</v>
      </c>
    </row>
    <row r="246" spans="1:9" s="16" customFormat="1" ht="47.25">
      <c r="A246" s="29" t="str">
        <f>IF(B246&gt;0,VLOOKUP(B246,КВСР!A171:B1336,2),IF(C246&gt;0,VLOOKUP(C246,КФСР!A171:B1683,2),IF(D246&gt;0,VLOOKUP(D246,КЦСР!A171:B4131,2),IF(E246&gt;0,VLOOKUP(E246,КВР!A171:B2099,2)))))</f>
        <v>Реализация подпрограмм "Семья", "Дети-сироты", Дети-инвалиды", "Одаренные дети"</v>
      </c>
      <c r="B246" s="75"/>
      <c r="C246" s="76"/>
      <c r="D246" s="65">
        <v>5221306</v>
      </c>
      <c r="E246" s="66"/>
      <c r="F246" s="63">
        <v>236700</v>
      </c>
      <c r="G246" s="63">
        <f>SUM(G247:G249)</f>
        <v>0</v>
      </c>
      <c r="H246" s="63">
        <f>SUM(H247:H249)</f>
        <v>236700</v>
      </c>
    </row>
    <row r="247" spans="1:9" s="16" customFormat="1" ht="31.5">
      <c r="A247" s="29" t="str">
        <f>IF(B247&gt;0,VLOOKUP(B247,КВСР!A172:B1337,2),IF(C247&gt;0,VLOOKUP(C247,КФСР!A172:B1684,2),IF(D247&gt;0,VLOOKUP(D247,КЦСР!A172:B4132,2),IF(E247&gt;0,VLOOKUP(E247,КВР!A172:B2100,2)))))</f>
        <v>Прочая закупка товаров, работ и услуг для государственных нужд</v>
      </c>
      <c r="B247" s="75"/>
      <c r="C247" s="76"/>
      <c r="D247" s="65"/>
      <c r="E247" s="66">
        <v>244</v>
      </c>
      <c r="F247" s="63">
        <v>66700</v>
      </c>
      <c r="G247" s="92"/>
      <c r="H247" s="30">
        <f>F247+G247</f>
        <v>66700</v>
      </c>
    </row>
    <row r="248" spans="1:9" s="16" customFormat="1" ht="31.5">
      <c r="A248" s="29" t="str">
        <f>IF(B248&gt;0,VLOOKUP(B248,КВСР!A173:B1338,2),IF(C248&gt;0,VLOOKUP(C248,КФСР!A173:B1685,2),IF(D248&gt;0,VLOOKUP(D248,КЦСР!A173:B4133,2),IF(E248&gt;0,VLOOKUP(E248,КВР!A173:B2101,2)))))</f>
        <v>Приобретение товаров, работ, услуг в пользу граждан</v>
      </c>
      <c r="B248" s="74"/>
      <c r="C248" s="76"/>
      <c r="D248" s="65"/>
      <c r="E248" s="66">
        <v>323</v>
      </c>
      <c r="F248" s="63">
        <v>34400</v>
      </c>
      <c r="G248" s="92"/>
      <c r="H248" s="30">
        <f>F248+G248</f>
        <v>34400</v>
      </c>
    </row>
    <row r="249" spans="1:9" s="16" customFormat="1" ht="31.5">
      <c r="A249" s="29" t="str">
        <f>IF(B249&gt;0,VLOOKUP(B249,КВСР!A174:B1339,2),IF(C249&gt;0,VLOOKUP(C249,КФСР!A174:B1686,2),IF(D249&gt;0,VLOOKUP(D249,КЦСР!A174:B4134,2),IF(E249&gt;0,VLOOKUP(E249,КВР!A174:B2102,2)))))</f>
        <v>Субсидии бюджетным учреждениям на иные цели</v>
      </c>
      <c r="B249" s="75"/>
      <c r="C249" s="76"/>
      <c r="D249" s="65"/>
      <c r="E249" s="66">
        <v>612</v>
      </c>
      <c r="F249" s="88">
        <v>135600</v>
      </c>
      <c r="G249" s="91"/>
      <c r="H249" s="30">
        <f>F249+G249</f>
        <v>135600</v>
      </c>
    </row>
    <row r="250" spans="1:9" s="16" customFormat="1" ht="47.25">
      <c r="A250" s="29" t="str">
        <f>IF(B250&gt;0,VLOOKUP(B250,КВСР!A175:B1340,2),IF(C250&gt;0,VLOOKUP(C250,КФСР!A175:B1687,2),IF(D250&gt;0,VLOOKUP(D250,КЦСР!A175:B4135,2),IF(E250&gt;0,VLOOKUP(E250,КВР!A175:B2103,2)))))</f>
        <v>Оказание гос. поддержки  побед конкурса мун. модел. по сопр. семей восп. детей-инвалидов</v>
      </c>
      <c r="B250" s="75"/>
      <c r="C250" s="76"/>
      <c r="D250" s="65">
        <v>5221315</v>
      </c>
      <c r="E250" s="66"/>
      <c r="F250" s="88">
        <v>80000</v>
      </c>
      <c r="G250" s="88">
        <f>G251</f>
        <v>0</v>
      </c>
      <c r="H250" s="88">
        <f>H251</f>
        <v>80000</v>
      </c>
    </row>
    <row r="251" spans="1:9" s="16" customFormat="1" ht="31.5">
      <c r="A251" s="29" t="str">
        <f>IF(B251&gt;0,VLOOKUP(B251,КВСР!A176:B1341,2),IF(C251&gt;0,VLOOKUP(C251,КФСР!A176:B1688,2),IF(D251&gt;0,VLOOKUP(D251,КЦСР!A176:B4136,2),IF(E251&gt;0,VLOOKUP(E251,КВР!A176:B2104,2)))))</f>
        <v>Субсидии бюджетным учреждениям на иные цели</v>
      </c>
      <c r="B251" s="75"/>
      <c r="C251" s="76"/>
      <c r="D251" s="65"/>
      <c r="E251" s="66">
        <v>612</v>
      </c>
      <c r="F251" s="88">
        <v>80000</v>
      </c>
      <c r="G251" s="91"/>
      <c r="H251" s="30">
        <f>F251+G251</f>
        <v>80000</v>
      </c>
    </row>
    <row r="252" spans="1:9" s="16" customFormat="1" ht="24" customHeight="1">
      <c r="A252" s="29" t="str">
        <f>IF(B252&gt;0,VLOOKUP(B252,КВСР!A175:B1340,2),IF(C252&gt;0,VLOOKUP(C252,КФСР!A175:B1687,2),IF(D252&gt;0,VLOOKUP(D252,КЦСР!A175:B4135,2),IF(E252&gt;0,VLOOKUP(E252,КВР!A175:B2103,2)))))</f>
        <v>Массовый спорт</v>
      </c>
      <c r="B252" s="75"/>
      <c r="C252" s="76">
        <v>1102</v>
      </c>
      <c r="D252" s="65"/>
      <c r="E252" s="66"/>
      <c r="F252" s="88">
        <v>1600000</v>
      </c>
      <c r="G252" s="88">
        <f t="shared" ref="G252:H254" si="62">G253</f>
        <v>0</v>
      </c>
      <c r="H252" s="88">
        <f t="shared" si="62"/>
        <v>1600000</v>
      </c>
    </row>
    <row r="253" spans="1:9" s="16" customFormat="1" ht="31.5">
      <c r="A253" s="29" t="str">
        <f>IF(B253&gt;0,VLOOKUP(B253,КВСР!A176:B1341,2),IF(C253&gt;0,VLOOKUP(C253,КФСР!A176:B1688,2),IF(D253&gt;0,VLOOKUP(D253,КЦСР!A176:B4136,2),IF(E253&gt;0,VLOOKUP(E253,КВР!A176:B2104,2)))))</f>
        <v>Физкультурно-оздоровительная работа и спортивные мероприятия</v>
      </c>
      <c r="B253" s="75"/>
      <c r="C253" s="76"/>
      <c r="D253" s="65">
        <v>5120000</v>
      </c>
      <c r="E253" s="66"/>
      <c r="F253" s="88">
        <v>1600000</v>
      </c>
      <c r="G253" s="88">
        <f t="shared" si="62"/>
        <v>0</v>
      </c>
      <c r="H253" s="88">
        <f t="shared" si="62"/>
        <v>1600000</v>
      </c>
    </row>
    <row r="254" spans="1:9" s="16" customFormat="1" ht="47.25">
      <c r="A254" s="29" t="str">
        <f>IF(B254&gt;0,VLOOKUP(B254,КВСР!A177:B1342,2),IF(C254&gt;0,VLOOKUP(C254,КФСР!A177:B1689,2),IF(D254&gt;0,VLOOKUP(D254,КЦСР!A177:B4137,2),IF(E254&gt;0,VLOOKUP(E254,КВР!A177:B2105,2)))))</f>
        <v>Мероприятия в области здравоохранения, спорта и физической культуры, туризма</v>
      </c>
      <c r="B254" s="75"/>
      <c r="C254" s="76"/>
      <c r="D254" s="65">
        <v>5129700</v>
      </c>
      <c r="E254" s="66"/>
      <c r="F254" s="88">
        <v>1600000</v>
      </c>
      <c r="G254" s="88">
        <f t="shared" si="62"/>
        <v>0</v>
      </c>
      <c r="H254" s="88">
        <f t="shared" si="62"/>
        <v>1600000</v>
      </c>
    </row>
    <row r="255" spans="1:9" s="16" customFormat="1" ht="31.5">
      <c r="A255" s="29" t="str">
        <f>IF(B255&gt;0,VLOOKUP(B255,КВСР!A178:B1343,2),IF(C255&gt;0,VLOOKUP(C255,КФСР!A178:B1690,2),IF(D255&gt;0,VLOOKUP(D255,КЦСР!A178:B4138,2),IF(E255&gt;0,VLOOKUP(E255,КВР!A178:B2106,2)))))</f>
        <v>Прочая закупка товаров, работ и услуг для государственных нужд</v>
      </c>
      <c r="B255" s="75"/>
      <c r="C255" s="76"/>
      <c r="D255" s="65"/>
      <c r="E255" s="66">
        <v>244</v>
      </c>
      <c r="F255" s="88">
        <v>1600000</v>
      </c>
      <c r="G255" s="91"/>
      <c r="H255" s="30">
        <f>F255+G255</f>
        <v>1600000</v>
      </c>
    </row>
    <row r="256" spans="1:9" s="16" customFormat="1" ht="31.5">
      <c r="A256" s="34" t="str">
        <f>IF(B256&gt;0,VLOOKUP(B256,КВСР!A179:B1344,2),IF(C256&gt;0,VLOOKUP(C256,КФСР!A179:B1691,2),IF(D256&gt;0,VLOOKUP(D256,КЦСР!A179:B4139,2),IF(E256&gt;0,VLOOKUP(E256,КВР!A179:B2107,2)))))</f>
        <v>Департамент труда и соц. развития Администрации ТМР</v>
      </c>
      <c r="B256" s="69">
        <v>954</v>
      </c>
      <c r="C256" s="70"/>
      <c r="D256" s="71"/>
      <c r="E256" s="72"/>
      <c r="F256" s="35">
        <v>222944096</v>
      </c>
      <c r="G256" s="35">
        <f>G257+G261+G266+G309+G314</f>
        <v>148333</v>
      </c>
      <c r="H256" s="35">
        <f>H257+H261+H266+H309+H314</f>
        <v>223092429</v>
      </c>
      <c r="I256" s="124"/>
    </row>
    <row r="257" spans="1:8" s="16" customFormat="1" ht="23.25" customHeight="1">
      <c r="A257" s="29" t="str">
        <f>IF(B257&gt;0,VLOOKUP(B257,КВСР!A180:B1345,2),IF(C257&gt;0,VLOOKUP(C257,КФСР!A180:B1692,2),IF(D257&gt;0,VLOOKUP(D257,КЦСР!A180:B4140,2),IF(E257&gt;0,VLOOKUP(E257,КВР!A180:B2108,2)))))</f>
        <v>Пенсионное обеспечение</v>
      </c>
      <c r="B257" s="74"/>
      <c r="C257" s="64">
        <v>1001</v>
      </c>
      <c r="D257" s="65"/>
      <c r="E257" s="66"/>
      <c r="F257" s="63">
        <v>2730200</v>
      </c>
      <c r="G257" s="63">
        <f t="shared" ref="G257:H259" si="63">G258</f>
        <v>0</v>
      </c>
      <c r="H257" s="63">
        <f t="shared" si="63"/>
        <v>2730200</v>
      </c>
    </row>
    <row r="258" spans="1:8" s="16" customFormat="1" ht="31.5">
      <c r="A258" s="29" t="str">
        <f>IF(B258&gt;0,VLOOKUP(B258,КВСР!A181:B1346,2),IF(C258&gt;0,VLOOKUP(C258,КФСР!A181:B1693,2),IF(D258&gt;0,VLOOKUP(D258,КЦСР!A181:B4141,2),IF(E258&gt;0,VLOOKUP(E258,КВР!A181:B2109,2)))))</f>
        <v>Доплаты к пенсиям, дополнительное пенсионное обеспечение</v>
      </c>
      <c r="B258" s="74"/>
      <c r="C258" s="64"/>
      <c r="D258" s="77">
        <v>4910000</v>
      </c>
      <c r="E258" s="66"/>
      <c r="F258" s="63">
        <v>2730200</v>
      </c>
      <c r="G258" s="63">
        <f t="shared" si="63"/>
        <v>0</v>
      </c>
      <c r="H258" s="63">
        <f t="shared" si="63"/>
        <v>2730200</v>
      </c>
    </row>
    <row r="259" spans="1:8" s="16" customFormat="1" ht="63">
      <c r="A259" s="29" t="str">
        <f>IF(B259&gt;0,VLOOKUP(B259,КВСР!A182:B1347,2),IF(C259&gt;0,VLOOKUP(C259,КФСР!A182:B1694,2),IF(D259&gt;0,VLOOKUP(D259,КЦСР!A182:B4142,2),IF(E259&gt;0,VLOOKUP(E259,КВР!A182:B2110,2)))))</f>
        <v xml:space="preserve">Доплаты к пенсиям государственных служащих субъектов Российской Федерации и муниципальных служащих </v>
      </c>
      <c r="B259" s="74"/>
      <c r="C259" s="64"/>
      <c r="D259" s="65">
        <v>4910100</v>
      </c>
      <c r="E259" s="66"/>
      <c r="F259" s="63">
        <v>2730200</v>
      </c>
      <c r="G259" s="63">
        <f t="shared" si="63"/>
        <v>0</v>
      </c>
      <c r="H259" s="63">
        <f t="shared" si="63"/>
        <v>2730200</v>
      </c>
    </row>
    <row r="260" spans="1:8" s="16" customFormat="1" ht="47.25">
      <c r="A260" s="29" t="str">
        <f>IF(B260&gt;0,VLOOKUP(B260,КВСР!A183:B1348,2),IF(C260&gt;0,VLOOKUP(C260,КФСР!A183:B1695,2),IF(D260&gt;0,VLOOKUP(D260,КЦСР!A183:B4143,2),IF(E260&gt;0,VLOOKUP(E260,КВР!A183:B2111,2)))))</f>
        <v>Пенсии, выплачиваемые организациями сектора государственного управления</v>
      </c>
      <c r="B260" s="74"/>
      <c r="C260" s="64"/>
      <c r="D260" s="65"/>
      <c r="E260" s="66">
        <v>312</v>
      </c>
      <c r="F260" s="88">
        <v>2730200</v>
      </c>
      <c r="G260" s="91"/>
      <c r="H260" s="30">
        <f>F260+G260</f>
        <v>2730200</v>
      </c>
    </row>
    <row r="261" spans="1:8" s="16" customFormat="1" ht="23.25" customHeight="1">
      <c r="A261" s="29" t="str">
        <f>IF(B261&gt;0,VLOOKUP(B261,КВСР!A184:B1349,2),IF(C261&gt;0,VLOOKUP(C261,КФСР!A184:B1696,2),IF(D261&gt;0,VLOOKUP(D261,КЦСР!A184:B4144,2),IF(E261&gt;0,VLOOKUP(E261,КВР!A184:B2112,2)))))</f>
        <v>Социальное обслуживание населения</v>
      </c>
      <c r="B261" s="74"/>
      <c r="C261" s="64">
        <v>1002</v>
      </c>
      <c r="D261" s="65"/>
      <c r="E261" s="66"/>
      <c r="F261" s="88">
        <v>36071288</v>
      </c>
      <c r="G261" s="88">
        <f t="shared" ref="G261:H262" si="64">G262</f>
        <v>0</v>
      </c>
      <c r="H261" s="88">
        <f t="shared" si="64"/>
        <v>36071288</v>
      </c>
    </row>
    <row r="262" spans="1:8" s="16" customFormat="1" ht="31.5">
      <c r="A262" s="29" t="str">
        <f>IF(B262&gt;0,VLOOKUP(B262,КВСР!A185:B1350,2),IF(C262&gt;0,VLOOKUP(C262,КФСР!A185:B1697,2),IF(D262&gt;0,VLOOKUP(D262,КЦСР!A185:B4145,2),IF(E262&gt;0,VLOOKUP(E262,КВР!A185:B2113,2)))))</f>
        <v>Учреждения социального обслуживание  населения</v>
      </c>
      <c r="B262" s="74"/>
      <c r="C262" s="64"/>
      <c r="D262" s="65">
        <v>5080000</v>
      </c>
      <c r="E262" s="66"/>
      <c r="F262" s="88">
        <v>36071288</v>
      </c>
      <c r="G262" s="88">
        <f t="shared" si="64"/>
        <v>0</v>
      </c>
      <c r="H262" s="88">
        <f t="shared" si="64"/>
        <v>36071288</v>
      </c>
    </row>
    <row r="263" spans="1:8" s="16" customFormat="1" ht="31.5">
      <c r="A263" s="29" t="str">
        <f>IF(B263&gt;0,VLOOKUP(B263,КВСР!A186:B1351,2),IF(C263&gt;0,VLOOKUP(C263,КФСР!A186:B1698,2),IF(D263&gt;0,VLOOKUP(D263,КЦСР!A186:B4146,2),IF(E263&gt;0,VLOOKUP(E263,КВР!A186:B2114,2)))))</f>
        <v>Обеспечение деятельности подведомственных учреждений</v>
      </c>
      <c r="B263" s="74"/>
      <c r="C263" s="64"/>
      <c r="D263" s="65">
        <v>5089900</v>
      </c>
      <c r="E263" s="66"/>
      <c r="F263" s="88">
        <v>36071288</v>
      </c>
      <c r="G263" s="88">
        <f>G264+G265</f>
        <v>0</v>
      </c>
      <c r="H263" s="88">
        <f>H264+H265</f>
        <v>36071288</v>
      </c>
    </row>
    <row r="264" spans="1:8" s="16" customFormat="1" ht="78.75">
      <c r="A264" s="29" t="str">
        <f>IF(B264&gt;0,VLOOKUP(B264,КВСР!A187:B1352,2),IF(C264&gt;0,VLOOKUP(C264,КФСР!A187:B1699,2),IF(D264&gt;0,VLOOKUP(D264,КЦСР!A187:B4147,2),IF(E264&gt;0,VLOOKUP(E264,КВР!A187:B2115,2)))))</f>
        <v>Субсидии бюджетным учреждениям на финансовое обеспечение государственного задания на оказание государственных услуг (выполнение работ)</v>
      </c>
      <c r="B264" s="74"/>
      <c r="C264" s="64"/>
      <c r="D264" s="65"/>
      <c r="E264" s="66">
        <v>611</v>
      </c>
      <c r="F264" s="88">
        <v>33091711</v>
      </c>
      <c r="G264" s="91"/>
      <c r="H264" s="30">
        <f>F264+G264</f>
        <v>33091711</v>
      </c>
    </row>
    <row r="265" spans="1:8" s="16" customFormat="1" ht="31.5">
      <c r="A265" s="29" t="str">
        <f>IF(B265&gt;0,VLOOKUP(B265,КВСР!A188:B1353,2),IF(C265&gt;0,VLOOKUP(C265,КФСР!A188:B1700,2),IF(D265&gt;0,VLOOKUP(D265,КЦСР!A188:B4148,2),IF(E265&gt;0,VLOOKUP(E265,КВР!A188:B2116,2)))))</f>
        <v>Субсидии бюджетным учреждениям на иные цели</v>
      </c>
      <c r="B265" s="74"/>
      <c r="C265" s="64"/>
      <c r="D265" s="65"/>
      <c r="E265" s="66">
        <v>612</v>
      </c>
      <c r="F265" s="88">
        <v>2979577</v>
      </c>
      <c r="G265" s="91"/>
      <c r="H265" s="30">
        <f>F265+G265</f>
        <v>2979577</v>
      </c>
    </row>
    <row r="266" spans="1:8" s="16" customFormat="1" ht="24" customHeight="1">
      <c r="A266" s="29" t="str">
        <f>IF(B266&gt;0,VLOOKUP(B266,КВСР!A189:B1354,2),IF(C266&gt;0,VLOOKUP(C266,КФСР!A189:B1701,2),IF(D266&gt;0,VLOOKUP(D266,КЦСР!A189:B4149,2),IF(E266&gt;0,VLOOKUP(E266,КВР!A189:B2117,2)))))</f>
        <v>Социальное обеспечение населения</v>
      </c>
      <c r="B266" s="74"/>
      <c r="C266" s="64">
        <v>1003</v>
      </c>
      <c r="D266" s="65"/>
      <c r="E266" s="66"/>
      <c r="F266" s="63">
        <v>172355413</v>
      </c>
      <c r="G266" s="63">
        <f t="shared" ref="G266:H266" si="65">G267+G270+G296+G301+G306</f>
        <v>148333</v>
      </c>
      <c r="H266" s="63">
        <f t="shared" si="65"/>
        <v>172503746</v>
      </c>
    </row>
    <row r="267" spans="1:8" s="16" customFormat="1" ht="24.75" customHeight="1">
      <c r="A267" s="29" t="str">
        <f>IF(B267&gt;0,VLOOKUP(B267,КВСР!A190:B1355,2),IF(C267&gt;0,VLOOKUP(C267,КФСР!A190:B1702,2),IF(D267&gt;0,VLOOKUP(D267,КЦСР!A190:B4150,2),IF(E267&gt;0,VLOOKUP(E267,КВР!A190:B2118,2)))))</f>
        <v>Резервные фонды</v>
      </c>
      <c r="B267" s="74"/>
      <c r="C267" s="64"/>
      <c r="D267" s="65">
        <v>700000</v>
      </c>
      <c r="E267" s="66"/>
      <c r="F267" s="63">
        <v>2949566</v>
      </c>
      <c r="G267" s="63">
        <f t="shared" ref="G267:H267" si="66">G268</f>
        <v>0</v>
      </c>
      <c r="H267" s="63">
        <f t="shared" si="66"/>
        <v>2949566</v>
      </c>
    </row>
    <row r="268" spans="1:8" s="16" customFormat="1" ht="47.25">
      <c r="A268" s="29" t="str">
        <f>IF(B268&gt;0,VLOOKUP(B268,КВСР!A191:B1356,2),IF(C268&gt;0,VLOOKUP(C268,КФСР!A191:B1703,2),IF(D268&gt;0,VLOOKUP(D268,КЦСР!A191:B4151,2),IF(E268&gt;0,VLOOKUP(E268,КВР!A191:B2119,2)))))</f>
        <v>Резервный фонд исполнительных органов государственной власти субъектов Российской Федерации</v>
      </c>
      <c r="B268" s="74"/>
      <c r="C268" s="64"/>
      <c r="D268" s="65">
        <v>700400</v>
      </c>
      <c r="E268" s="66"/>
      <c r="F268" s="63">
        <v>2949566</v>
      </c>
      <c r="G268" s="63">
        <f t="shared" ref="G268:H268" si="67">G269</f>
        <v>0</v>
      </c>
      <c r="H268" s="63">
        <f t="shared" si="67"/>
        <v>2949566</v>
      </c>
    </row>
    <row r="269" spans="1:8" s="16" customFormat="1" ht="63">
      <c r="A269" s="29" t="str">
        <f>IF(B269&gt;0,VLOOKUP(B269,КВСР!A192:B1357,2),IF(C269&gt;0,VLOOKUP(C269,КФСР!A192:B1704,2),IF(D269&gt;0,VLOOKUP(D269,КЦСР!A192:B4152,2),IF(E269&gt;0,VLOOKUP(E269,КВР!A192:B2120,2)))))</f>
        <v>Пособия и компенсации гражданам и иные социальные выплаты, кроме публичных нормативных обязательств</v>
      </c>
      <c r="B269" s="74"/>
      <c r="C269" s="64"/>
      <c r="D269" s="65"/>
      <c r="E269" s="66">
        <v>321</v>
      </c>
      <c r="F269" s="63">
        <v>2949566</v>
      </c>
      <c r="G269" s="303"/>
      <c r="H269" s="63">
        <f>F269+G269</f>
        <v>2949566</v>
      </c>
    </row>
    <row r="270" spans="1:8" s="16" customFormat="1" ht="26.25" customHeight="1">
      <c r="A270" s="29" t="str">
        <f>IF(B270&gt;0,VLOOKUP(B270,КВСР!A190:B1355,2),IF(C270&gt;0,VLOOKUP(C270,КФСР!A190:B1702,2),IF(D270&gt;0,VLOOKUP(D270,КЦСР!A190:B4150,2),IF(E270&gt;0,VLOOKUP(E270,КВР!A190:B2118,2)))))</f>
        <v>Социальная помощь</v>
      </c>
      <c r="B270" s="74"/>
      <c r="C270" s="64"/>
      <c r="D270" s="65">
        <v>5050000</v>
      </c>
      <c r="E270" s="66"/>
      <c r="F270" s="63">
        <v>167022400</v>
      </c>
      <c r="G270" s="63">
        <f>G271+G273+G276+G279+G281+G283+G293</f>
        <v>148333</v>
      </c>
      <c r="H270" s="63">
        <f>H271+H273+H276+H279+H281+H283+H293</f>
        <v>167170733</v>
      </c>
    </row>
    <row r="271" spans="1:8" s="16" customFormat="1" ht="110.25">
      <c r="A271" s="29" t="str">
        <f>IF(B271&gt;0,VLOOKUP(B271,КВСР!A191:B1356,2),IF(C271&gt;0,VLOOKUP(C271,КФСР!A191:B1703,2),IF(D271&gt;0,VLOOKUP(D271,КЦСР!A191:B4151,2),IF(E271&gt;0,VLOOKUP(E271,КВР!A191:B2119,2)))))</f>
        <v>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v>
      </c>
      <c r="B271" s="74"/>
      <c r="C271" s="64"/>
      <c r="D271" s="65">
        <v>5051900</v>
      </c>
      <c r="E271" s="66"/>
      <c r="F271" s="63">
        <v>747000</v>
      </c>
      <c r="G271" s="63">
        <f>G272</f>
        <v>0</v>
      </c>
      <c r="H271" s="63">
        <f>H272</f>
        <v>747000</v>
      </c>
    </row>
    <row r="272" spans="1:8" s="16" customFormat="1" ht="47.25">
      <c r="A272" s="29" t="str">
        <f>IF(B272&gt;0,VLOOKUP(B272,КВСР!A192:B1357,2),IF(C272&gt;0,VLOOKUP(C272,КФСР!A192:B1704,2),IF(D272&gt;0,VLOOKUP(D272,КЦСР!A192:B4152,2),IF(E272&gt;0,VLOOKUP(E272,КВР!A192:B2120,2)))))</f>
        <v>Пособия и компенсации по публичным нормативным обязательствам</v>
      </c>
      <c r="B272" s="74"/>
      <c r="C272" s="64"/>
      <c r="D272" s="65"/>
      <c r="E272" s="66">
        <v>313</v>
      </c>
      <c r="F272" s="88">
        <v>747000</v>
      </c>
      <c r="G272" s="91"/>
      <c r="H272" s="30">
        <f>F272+G272</f>
        <v>747000</v>
      </c>
    </row>
    <row r="273" spans="1:8" s="16" customFormat="1" ht="47.25">
      <c r="A273" s="29" t="str">
        <f>IF(B273&gt;0,VLOOKUP(B273,КВСР!A193:B1358,2),IF(C273&gt;0,VLOOKUP(C273,КФСР!A193:B1705,2),IF(D273&gt;0,VLOOKUP(D273,КЦСР!A193:B4153,2),IF(E273&gt;0,VLOOKUP(E273,КВР!A193:B2121,2)))))</f>
        <v>Федеральный закон от 12 января 1996 года № 8-ФЗ "О погребении и похоронном деле"</v>
      </c>
      <c r="B273" s="74"/>
      <c r="C273" s="64"/>
      <c r="D273" s="65">
        <v>5052200</v>
      </c>
      <c r="E273" s="66"/>
      <c r="F273" s="63">
        <v>2288000</v>
      </c>
      <c r="G273" s="63">
        <f t="shared" ref="G273:H274" si="68">G274</f>
        <v>0</v>
      </c>
      <c r="H273" s="63">
        <f t="shared" si="68"/>
        <v>2288000</v>
      </c>
    </row>
    <row r="274" spans="1:8" s="16" customFormat="1" ht="47.25">
      <c r="A274" s="29" t="str">
        <f>IF(B274&gt;0,VLOOKUP(B274,КВСР!A194:B1359,2),IF(C274&gt;0,VLOOKUP(C274,КФСР!A194:B1706,2),IF(D274&gt;0,VLOOKUP(D274,КЦСР!A194:B4154,2),IF(E274&gt;0,VLOOKUP(E274,КВР!A194:B2122,2)))))</f>
        <v>Возмещение федеральными органами исполнительной власти расходов на погребение</v>
      </c>
      <c r="B274" s="74"/>
      <c r="C274" s="64"/>
      <c r="D274" s="65">
        <v>5052205</v>
      </c>
      <c r="E274" s="66"/>
      <c r="F274" s="63">
        <v>2288000</v>
      </c>
      <c r="G274" s="63">
        <f t="shared" si="68"/>
        <v>0</v>
      </c>
      <c r="H274" s="63">
        <f t="shared" si="68"/>
        <v>2288000</v>
      </c>
    </row>
    <row r="275" spans="1:8" s="16" customFormat="1" ht="47.25">
      <c r="A275" s="29" t="str">
        <f>IF(B275&gt;0,VLOOKUP(B275,КВСР!A195:B1360,2),IF(C275&gt;0,VLOOKUP(C275,КФСР!A195:B1707,2),IF(D275&gt;0,VLOOKUP(D275,КЦСР!A195:B4155,2),IF(E275&gt;0,VLOOKUP(E275,КВР!A195:B2123,2)))))</f>
        <v>Пособия и компенсации по публичным нормативным обязательствам</v>
      </c>
      <c r="B275" s="74"/>
      <c r="C275" s="64"/>
      <c r="D275" s="65"/>
      <c r="E275" s="66">
        <v>313</v>
      </c>
      <c r="F275" s="88">
        <v>2288000</v>
      </c>
      <c r="G275" s="91"/>
      <c r="H275" s="30">
        <f>F275+G275</f>
        <v>2288000</v>
      </c>
    </row>
    <row r="276" spans="1:8" s="16" customFormat="1" ht="47.25">
      <c r="A276" s="29" t="str">
        <f>IF(B276&gt;0,VLOOKUP(B276,КВСР!A196:B1361,2),IF(C276&gt;0,VLOOKUP(C276,КФСР!A196:B1708,2),IF(D276&gt;0,VLOOKUP(D276,КЦСР!A196:B4156,2),IF(E276&gt;0,VLOOKUP(E276,КВР!A196:B2124,2)))))</f>
        <v>Закон Российской Федерации от 9 июня 1993 года № 5142-I "О донорстве крови и ее компонентов"</v>
      </c>
      <c r="B276" s="74"/>
      <c r="C276" s="64"/>
      <c r="D276" s="65">
        <v>5052900</v>
      </c>
      <c r="E276" s="66"/>
      <c r="F276" s="63">
        <v>3407000</v>
      </c>
      <c r="G276" s="63">
        <f t="shared" ref="G276:H277" si="69">G277</f>
        <v>148333</v>
      </c>
      <c r="H276" s="63">
        <f t="shared" si="69"/>
        <v>3555333</v>
      </c>
    </row>
    <row r="277" spans="1:8" s="16" customFormat="1" ht="63">
      <c r="A277" s="29" t="str">
        <f>IF(B277&gt;0,VLOOKUP(B277,КВСР!A197:B1362,2),IF(C277&gt;0,VLOOKUP(C277,КФСР!A197:B1709,2),IF(D277&gt;0,VLOOKUP(D277,КЦСР!A197:B4157,2),IF(E277&gt;0,VLOOKUP(E277,КВР!A197:B2125,2)))))</f>
        <v>Обеспечение мер социальной поддержки для лиц, награжденных знаком "Почетный донор СССР", "Почетный донор России"</v>
      </c>
      <c r="B277" s="74"/>
      <c r="C277" s="64"/>
      <c r="D277" s="65">
        <v>5052901</v>
      </c>
      <c r="E277" s="66"/>
      <c r="F277" s="63">
        <v>3407000</v>
      </c>
      <c r="G277" s="63">
        <f t="shared" si="69"/>
        <v>148333</v>
      </c>
      <c r="H277" s="63">
        <f t="shared" si="69"/>
        <v>3555333</v>
      </c>
    </row>
    <row r="278" spans="1:8" s="16" customFormat="1" ht="47.25">
      <c r="A278" s="29" t="str">
        <f>IF(B278&gt;0,VLOOKUP(B278,КВСР!A198:B1363,2),IF(C278&gt;0,VLOOKUP(C278,КФСР!A198:B1710,2),IF(D278&gt;0,VLOOKUP(D278,КЦСР!A198:B4158,2),IF(E278&gt;0,VLOOKUP(E278,КВР!A198:B2126,2)))))</f>
        <v>Пособия и компенсации по публичным нормативным обязательствам</v>
      </c>
      <c r="B278" s="74"/>
      <c r="C278" s="64"/>
      <c r="D278" s="65"/>
      <c r="E278" s="66">
        <v>313</v>
      </c>
      <c r="F278" s="88">
        <v>3407000</v>
      </c>
      <c r="G278" s="91">
        <v>148333</v>
      </c>
      <c r="H278" s="30">
        <f>F278+G278</f>
        <v>3555333</v>
      </c>
    </row>
    <row r="279" spans="1:8" s="16" customFormat="1" ht="31.5">
      <c r="A279" s="29" t="str">
        <f>IF(B279&gt;0,VLOOKUP(B279,КВСР!A199:B1364,2),IF(C279&gt;0,VLOOKUP(C279,КФСР!A199:B1711,2),IF(D279&gt;0,VLOOKUP(D279,КЦСР!A199:B4159,2),IF(E279&gt;0,VLOOKUP(E279,КВР!A199:B2127,2)))))</f>
        <v>Оплата жилищно-коммунальных услуг отдельным категориям граждан</v>
      </c>
      <c r="B279" s="74"/>
      <c r="C279" s="64"/>
      <c r="D279" s="65">
        <v>5054600</v>
      </c>
      <c r="E279" s="66"/>
      <c r="F279" s="63">
        <v>21532000</v>
      </c>
      <c r="G279" s="63">
        <f>G280</f>
        <v>0</v>
      </c>
      <c r="H279" s="63">
        <f>H280</f>
        <v>21532000</v>
      </c>
    </row>
    <row r="280" spans="1:8" s="16" customFormat="1" ht="47.25">
      <c r="A280" s="29" t="str">
        <f>IF(B280&gt;0,VLOOKUP(B280,КВСР!A200:B1365,2),IF(C280&gt;0,VLOOKUP(C280,КФСР!A200:B1712,2),IF(D280&gt;0,VLOOKUP(D280,КЦСР!A200:B4160,2),IF(E280&gt;0,VLOOKUP(E280,КВР!A200:B2128,2)))))</f>
        <v>Пособия и компенсации по публичным нормативным обязательствам</v>
      </c>
      <c r="B280" s="74"/>
      <c r="C280" s="64"/>
      <c r="D280" s="65"/>
      <c r="E280" s="66">
        <v>313</v>
      </c>
      <c r="F280" s="88">
        <v>21532000</v>
      </c>
      <c r="G280" s="91"/>
      <c r="H280" s="30">
        <f>F280+G280</f>
        <v>21532000</v>
      </c>
    </row>
    <row r="281" spans="1:8" s="16" customFormat="1" ht="47.25">
      <c r="A281" s="29" t="str">
        <f>IF(B281&gt;0,VLOOKUP(B281,КВСР!A201:B1366,2),IF(C281&gt;0,VLOOKUP(C281,КФСР!A201:B1713,2),IF(D281&gt;0,VLOOKUP(D281,КЦСР!A201:B4161,2),IF(E281&gt;0,VLOOKUP(E281,КВР!A201:B2129,2)))))</f>
        <v>Предоставление гражданам субсидий на оплату жилого помещения и коммунальных услуг</v>
      </c>
      <c r="B281" s="74"/>
      <c r="C281" s="64"/>
      <c r="D281" s="65">
        <v>5054800</v>
      </c>
      <c r="E281" s="66"/>
      <c r="F281" s="63">
        <v>20559000</v>
      </c>
      <c r="G281" s="63">
        <f>G282</f>
        <v>0</v>
      </c>
      <c r="H281" s="63">
        <f>H282</f>
        <v>20559000</v>
      </c>
    </row>
    <row r="282" spans="1:8" s="16" customFormat="1" ht="47.25">
      <c r="A282" s="29" t="str">
        <f>IF(B282&gt;0,VLOOKUP(B282,КВСР!A202:B1367,2),IF(C282&gt;0,VLOOKUP(C282,КФСР!A202:B1714,2),IF(D282&gt;0,VLOOKUP(D282,КЦСР!A202:B4162,2),IF(E282&gt;0,VLOOKUP(E282,КВР!A202:B2130,2)))))</f>
        <v>Меры социальной поддержки населения по публичным нормативным обязательствам</v>
      </c>
      <c r="B282" s="74"/>
      <c r="C282" s="64"/>
      <c r="D282" s="65"/>
      <c r="E282" s="66">
        <v>314</v>
      </c>
      <c r="F282" s="88">
        <v>20559000</v>
      </c>
      <c r="G282" s="91"/>
      <c r="H282" s="30">
        <f>F282+G282</f>
        <v>20559000</v>
      </c>
    </row>
    <row r="283" spans="1:8" s="16" customFormat="1" ht="47.25">
      <c r="A283" s="29" t="str">
        <f>IF(B283&gt;0,VLOOKUP(B283,КВСР!A203:B1368,2),IF(C283&gt;0,VLOOKUP(C283,КФСР!A203:B1715,2),IF(D283&gt;0,VLOOKUP(D283,КЦСР!A203:B4163,2),IF(E283&gt;0,VLOOKUP(E283,КВР!A203:B2131,2)))))</f>
        <v>Реализация мер социальной поддержки отдельных категорий граждан</v>
      </c>
      <c r="B283" s="74"/>
      <c r="C283" s="64"/>
      <c r="D283" s="65">
        <v>5055500</v>
      </c>
      <c r="E283" s="66"/>
      <c r="F283" s="30">
        <v>81123700</v>
      </c>
      <c r="G283" s="30">
        <f>G284+G286+G291</f>
        <v>0</v>
      </c>
      <c r="H283" s="30">
        <f>H284+H286+H291</f>
        <v>81123700</v>
      </c>
    </row>
    <row r="284" spans="1:8" s="16" customFormat="1" ht="26.25" customHeight="1">
      <c r="A284" s="29" t="str">
        <f>IF(B284&gt;0,VLOOKUP(B284,КВСР!A204:B1369,2),IF(C284&gt;0,VLOOKUP(C284,КФСР!A204:B1716,2),IF(D284&gt;0,VLOOKUP(D284,КЦСР!A204:B4164,2),IF(E284&gt;0,VLOOKUP(E284,КВР!A204:B2132,2)))))</f>
        <v>Ежемесячное пособие на ребенка</v>
      </c>
      <c r="B284" s="74"/>
      <c r="C284" s="64"/>
      <c r="D284" s="65">
        <v>5055510</v>
      </c>
      <c r="E284" s="66"/>
      <c r="F284" s="30">
        <v>26105000</v>
      </c>
      <c r="G284" s="30">
        <f>G285</f>
        <v>0</v>
      </c>
      <c r="H284" s="30">
        <f>H285</f>
        <v>26105000</v>
      </c>
    </row>
    <row r="285" spans="1:8" s="16" customFormat="1" ht="47.25">
      <c r="A285" s="29" t="str">
        <f>IF(B285&gt;0,VLOOKUP(B285,КВСР!A205:B1370,2),IF(C285&gt;0,VLOOKUP(C285,КФСР!A205:B1717,2),IF(D285&gt;0,VLOOKUP(D285,КЦСР!A205:B4165,2),IF(E285&gt;0,VLOOKUP(E285,КВР!A205:B2133,2)))))</f>
        <v>Пособия и компенсации по публичным нормативным обязательствам</v>
      </c>
      <c r="B285" s="74"/>
      <c r="C285" s="64"/>
      <c r="D285" s="65"/>
      <c r="E285" s="66">
        <v>313</v>
      </c>
      <c r="F285" s="88">
        <v>26105000</v>
      </c>
      <c r="G285" s="91"/>
      <c r="H285" s="30">
        <f>F285+G285</f>
        <v>26105000</v>
      </c>
    </row>
    <row r="286" spans="1:8" s="16" customFormat="1" ht="47.25">
      <c r="A286" s="29" t="str">
        <f>IF(B286&gt;0,VLOOKUP(B286,КВСР!A206:B1371,2),IF(C286&gt;0,VLOOKUP(C286,КФСР!A206:B1718,2),IF(D286&gt;0,VLOOKUP(D286,КЦСР!A206:B4166,2),IF(E286&gt;0,VLOOKUP(E286,КВР!A206:B2134,2)))))</f>
        <v>Обеспечение мер социальной поддержки ветеранов труда и тружеников тыла</v>
      </c>
      <c r="B286" s="74"/>
      <c r="C286" s="64"/>
      <c r="D286" s="65">
        <v>5055520</v>
      </c>
      <c r="E286" s="66"/>
      <c r="F286" s="30">
        <v>53725400</v>
      </c>
      <c r="G286" s="30">
        <f>G287+G289</f>
        <v>0</v>
      </c>
      <c r="H286" s="30">
        <f>H287+H289</f>
        <v>53725400</v>
      </c>
    </row>
    <row r="287" spans="1:8" s="16" customFormat="1" ht="31.5">
      <c r="A287" s="29" t="str">
        <f>IF(B287&gt;0,VLOOKUP(B287,КВСР!A207:B1372,2),IF(C287&gt;0,VLOOKUP(C287,КФСР!A207:B1719,2),IF(D287&gt;0,VLOOKUP(D287,КЦСР!A207:B4167,2),IF(E287&gt;0,VLOOKUP(E287,КВР!A207:B2135,2)))))</f>
        <v>Обеспечение мер социальной поддержки ветеранов труда</v>
      </c>
      <c r="B287" s="74"/>
      <c r="C287" s="64"/>
      <c r="D287" s="65">
        <v>5055521</v>
      </c>
      <c r="E287" s="66"/>
      <c r="F287" s="63">
        <v>49486400</v>
      </c>
      <c r="G287" s="63">
        <f>G288</f>
        <v>0</v>
      </c>
      <c r="H287" s="63">
        <f>H288</f>
        <v>49486400</v>
      </c>
    </row>
    <row r="288" spans="1:8" s="16" customFormat="1" ht="47.25">
      <c r="A288" s="29" t="str">
        <f>IF(B288&gt;0,VLOOKUP(B288,КВСР!A208:B1373,2),IF(C288&gt;0,VLOOKUP(C288,КФСР!A208:B1720,2),IF(D288&gt;0,VLOOKUP(D288,КЦСР!A208:B4168,2),IF(E288&gt;0,VLOOKUP(E288,КВР!A208:B2136,2)))))</f>
        <v>Пособия и компенсации по публичным нормативным обязательствам</v>
      </c>
      <c r="B288" s="74"/>
      <c r="C288" s="64"/>
      <c r="D288" s="65"/>
      <c r="E288" s="66">
        <v>313</v>
      </c>
      <c r="F288" s="88">
        <v>49486400</v>
      </c>
      <c r="G288" s="91"/>
      <c r="H288" s="30">
        <f>F288+G288</f>
        <v>49486400</v>
      </c>
    </row>
    <row r="289" spans="1:8" s="16" customFormat="1" ht="31.5">
      <c r="A289" s="29" t="str">
        <f>IF(B289&gt;0,VLOOKUP(B289,КВСР!A209:B1374,2),IF(C289&gt;0,VLOOKUP(C289,КФСР!A209:B1721,2),IF(D289&gt;0,VLOOKUP(D289,КЦСР!A209:B4169,2),IF(E289&gt;0,VLOOKUP(E289,КВР!A209:B2137,2)))))</f>
        <v>Обеспечение мер социальной поддержки тружеников тыла</v>
      </c>
      <c r="B289" s="74"/>
      <c r="C289" s="64"/>
      <c r="D289" s="65">
        <v>5055522</v>
      </c>
      <c r="E289" s="66"/>
      <c r="F289" s="30">
        <v>4239000</v>
      </c>
      <c r="G289" s="30">
        <f>G290</f>
        <v>0</v>
      </c>
      <c r="H289" s="30">
        <f>H290</f>
        <v>4239000</v>
      </c>
    </row>
    <row r="290" spans="1:8" s="16" customFormat="1" ht="47.25">
      <c r="A290" s="29" t="str">
        <f>IF(B290&gt;0,VLOOKUP(B290,КВСР!A210:B1375,2),IF(C290&gt;0,VLOOKUP(C290,КФСР!A210:B1722,2),IF(D290&gt;0,VLOOKUP(D290,КЦСР!A210:B4170,2),IF(E290&gt;0,VLOOKUP(E290,КВР!A210:B2138,2)))))</f>
        <v>Пособия и компенсации по публичным нормативным обязательствам</v>
      </c>
      <c r="B290" s="74"/>
      <c r="C290" s="64"/>
      <c r="D290" s="65"/>
      <c r="E290" s="66">
        <v>313</v>
      </c>
      <c r="F290" s="88">
        <v>4239000</v>
      </c>
      <c r="G290" s="91"/>
      <c r="H290" s="30">
        <f>F290+G290</f>
        <v>4239000</v>
      </c>
    </row>
    <row r="291" spans="1:8" s="16" customFormat="1" ht="63">
      <c r="A291" s="29" t="str">
        <f>IF(B291&gt;0,VLOOKUP(B291,КВСР!A211:B1376,2),IF(C291&gt;0,VLOOKUP(C291,КФСР!A211:B1723,2),IF(D291&gt;0,VLOOKUP(D291,КЦСР!A211:B4171,2),IF(E291&gt;0,VLOOKUP(E291,КВР!A211:B2139,2)))))</f>
        <v>Обеспечение мер социальной поддержки реабилитированных лиц и лиц, признанных пострадавшими от политических репрессий</v>
      </c>
      <c r="B291" s="74"/>
      <c r="C291" s="64"/>
      <c r="D291" s="65">
        <v>5055531</v>
      </c>
      <c r="E291" s="66"/>
      <c r="F291" s="88">
        <v>1293300</v>
      </c>
      <c r="G291" s="88">
        <f>G292</f>
        <v>0</v>
      </c>
      <c r="H291" s="88">
        <f>H292</f>
        <v>1293300</v>
      </c>
    </row>
    <row r="292" spans="1:8" s="16" customFormat="1" ht="47.25">
      <c r="A292" s="29" t="str">
        <f>IF(B292&gt;0,VLOOKUP(B292,КВСР!A212:B1377,2),IF(C292&gt;0,VLOOKUP(C292,КФСР!A212:B1724,2),IF(D292&gt;0,VLOOKUP(D292,КЦСР!A212:B4172,2),IF(E292&gt;0,VLOOKUP(E292,КВР!A212:B2140,2)))))</f>
        <v>Пособия и компенсации по публичным нормативным обязательствам</v>
      </c>
      <c r="B292" s="74"/>
      <c r="C292" s="64"/>
      <c r="D292" s="65"/>
      <c r="E292" s="66">
        <v>313</v>
      </c>
      <c r="F292" s="88">
        <v>1293300</v>
      </c>
      <c r="G292" s="91"/>
      <c r="H292" s="30">
        <f>F292+G292</f>
        <v>1293300</v>
      </c>
    </row>
    <row r="293" spans="1:8" s="16" customFormat="1" ht="31.5">
      <c r="A293" s="29" t="str">
        <f>IF(B293&gt;0,VLOOKUP(B293,КВСР!A213:B1378,2),IF(C293&gt;0,VLOOKUP(C293,КФСР!A213:B1725,2),IF(D293&gt;0,VLOOKUP(D293,КЦСР!A213:B4173,2),IF(E293&gt;0,VLOOKUP(E293,КВР!A213:B2141,2)))))</f>
        <v>Оказание других видов социальной помощи</v>
      </c>
      <c r="B293" s="74"/>
      <c r="C293" s="64"/>
      <c r="D293" s="65">
        <v>5058600</v>
      </c>
      <c r="E293" s="66"/>
      <c r="F293" s="63">
        <v>37365700</v>
      </c>
      <c r="G293" s="63">
        <f>G294+G295</f>
        <v>0</v>
      </c>
      <c r="H293" s="63">
        <f>H294+H295</f>
        <v>37365700</v>
      </c>
    </row>
    <row r="294" spans="1:8" s="16" customFormat="1" ht="47.25">
      <c r="A294" s="29" t="str">
        <f>IF(B294&gt;0,VLOOKUP(B294,КВСР!A214:B1379,2),IF(C294&gt;0,VLOOKUP(C294,КФСР!A214:B1726,2),IF(D294&gt;0,VLOOKUP(D294,КЦСР!A214:B4174,2),IF(E294&gt;0,VLOOKUP(E294,КВР!A214:B2142,2)))))</f>
        <v>Пособия и компенсации по публичным нормативным обязательствам</v>
      </c>
      <c r="B294" s="74"/>
      <c r="C294" s="64"/>
      <c r="D294" s="65"/>
      <c r="E294" s="66">
        <v>313</v>
      </c>
      <c r="F294" s="88">
        <v>34718700</v>
      </c>
      <c r="G294" s="91"/>
      <c r="H294" s="30">
        <f>F294+G294</f>
        <v>34718700</v>
      </c>
    </row>
    <row r="295" spans="1:8" s="16" customFormat="1" ht="47.25">
      <c r="A295" s="29" t="str">
        <f>IF(B295&gt;0,VLOOKUP(B295,КВСР!A215:B1380,2),IF(C295&gt;0,VLOOKUP(C295,КФСР!A215:B1727,2),IF(D295&gt;0,VLOOKUP(D295,КЦСР!A215:B4175,2),IF(E295&gt;0,VLOOKUP(E295,КВР!A215:B2143,2)))))</f>
        <v>Меры социальной поддержки населения по публичным нормативным обязательствам</v>
      </c>
      <c r="B295" s="74"/>
      <c r="C295" s="64"/>
      <c r="D295" s="65"/>
      <c r="E295" s="66">
        <v>314</v>
      </c>
      <c r="F295" s="88">
        <v>2647000</v>
      </c>
      <c r="G295" s="91"/>
      <c r="H295" s="30">
        <f>F295+G295</f>
        <v>2647000</v>
      </c>
    </row>
    <row r="296" spans="1:8" s="16" customFormat="1" ht="47.25">
      <c r="A296" s="29" t="str">
        <f>IF(B296&gt;0,VLOOKUP(B296,КВСР!A216:B1381,2),IF(C296&gt;0,VLOOKUP(C296,КФСР!A216:B1728,2),IF(D296&gt;0,VLOOKUP(D296,КЦСР!A216:B4176,2),IF(E296&gt;0,VLOOKUP(E296,КВР!A216:B2144,2)))))</f>
        <v>Реализация государственных функций в области социальной политики</v>
      </c>
      <c r="B296" s="74"/>
      <c r="C296" s="64"/>
      <c r="D296" s="65">
        <v>5140000</v>
      </c>
      <c r="E296" s="66"/>
      <c r="F296" s="30">
        <v>853507</v>
      </c>
      <c r="G296" s="30">
        <f t="shared" ref="G296:H297" si="70">G297</f>
        <v>0</v>
      </c>
      <c r="H296" s="30">
        <f t="shared" si="70"/>
        <v>853507</v>
      </c>
    </row>
    <row r="297" spans="1:8" s="16" customFormat="1" ht="31.5">
      <c r="A297" s="29" t="str">
        <f>IF(B297&gt;0,VLOOKUP(B297,КВСР!A217:B1382,2),IF(C297&gt;0,VLOOKUP(C297,КФСР!A217:B1729,2),IF(D297&gt;0,VLOOKUP(D297,КЦСР!A217:B4177,2),IF(E297&gt;0,VLOOKUP(E297,КВР!A217:B2145,2)))))</f>
        <v>Мероприятия в области социальной политики</v>
      </c>
      <c r="B297" s="74"/>
      <c r="C297" s="64"/>
      <c r="D297" s="65">
        <v>5140100</v>
      </c>
      <c r="E297" s="66"/>
      <c r="F297" s="30">
        <v>853507</v>
      </c>
      <c r="G297" s="30">
        <f t="shared" si="70"/>
        <v>0</v>
      </c>
      <c r="H297" s="30">
        <f t="shared" si="70"/>
        <v>853507</v>
      </c>
    </row>
    <row r="298" spans="1:8" s="16" customFormat="1" ht="47.25">
      <c r="A298" s="29" t="str">
        <f>IF(B298&gt;0,VLOOKUP(B298,КВСР!A218:B1383,2),IF(C298&gt;0,VLOOKUP(C298,КФСР!A218:B1730,2),IF(D298&gt;0,VLOOKUP(D298,КЦСР!A218:B4178,2),IF(E298&gt;0,VLOOKUP(E298,КВР!A218:B2146,2)))))</f>
        <v>ВЦП "Развитие системы мер социальной поддержки населения ЯО"</v>
      </c>
      <c r="B298" s="74"/>
      <c r="C298" s="64"/>
      <c r="D298" s="65">
        <v>5140102</v>
      </c>
      <c r="E298" s="66"/>
      <c r="F298" s="30">
        <v>853507</v>
      </c>
      <c r="G298" s="30">
        <f>G300+G299</f>
        <v>0</v>
      </c>
      <c r="H298" s="30">
        <f>H300+H299</f>
        <v>853507</v>
      </c>
    </row>
    <row r="299" spans="1:8" s="16" customFormat="1" ht="47.25">
      <c r="A299" s="29" t="str">
        <f>IF(B299&gt;0,VLOOKUP(B299,КВСР!A219:B1384,2),IF(C299&gt;0,VLOOKUP(C299,КФСР!A219:B1731,2),IF(D299&gt;0,VLOOKUP(D299,КЦСР!A219:B4179,2),IF(E299&gt;0,VLOOKUP(E299,КВР!A219:B2147,2)))))</f>
        <v>Закупка товаров, работ, услуг в сфере информационно-коммуникационных технологий</v>
      </c>
      <c r="B299" s="74"/>
      <c r="C299" s="64"/>
      <c r="D299" s="65"/>
      <c r="E299" s="66">
        <v>242</v>
      </c>
      <c r="F299" s="30">
        <v>595000</v>
      </c>
      <c r="G299" s="123"/>
      <c r="H299" s="30">
        <f>F299+G299</f>
        <v>595000</v>
      </c>
    </row>
    <row r="300" spans="1:8" s="16" customFormat="1" ht="31.5">
      <c r="A300" s="29" t="str">
        <f>IF(B300&gt;0,VLOOKUP(B300,КВСР!A220:B1385,2),IF(C300&gt;0,VLOOKUP(C300,КФСР!A220:B1732,2),IF(D300&gt;0,VLOOKUP(D300,КЦСР!A220:B4180,2),IF(E300&gt;0,VLOOKUP(E300,КВР!A220:B2148,2)))))</f>
        <v>Прочая закупка товаров, работ и услуг для государственных нужд</v>
      </c>
      <c r="B300" s="74"/>
      <c r="C300" s="64"/>
      <c r="D300" s="65"/>
      <c r="E300" s="66">
        <v>244</v>
      </c>
      <c r="F300" s="88">
        <v>258507</v>
      </c>
      <c r="G300" s="91"/>
      <c r="H300" s="30">
        <f>F300+G300</f>
        <v>258507</v>
      </c>
    </row>
    <row r="301" spans="1:8" s="17" customFormat="1" ht="25.5" customHeight="1">
      <c r="A301" s="29" t="str">
        <f>IF(B301&gt;0,VLOOKUP(B301,КВСР!A221:B1386,2),IF(C301&gt;0,VLOOKUP(C301,КФСР!A221:B1733,2),IF(D301&gt;0,VLOOKUP(D301,КЦСР!A221:B4181,2),IF(E301&gt;0,VLOOKUP(E301,КВР!A221:B2149,2)))))</f>
        <v>Региональные целевые программы</v>
      </c>
      <c r="B301" s="74"/>
      <c r="C301" s="64"/>
      <c r="D301" s="65">
        <v>5220000</v>
      </c>
      <c r="E301" s="66"/>
      <c r="F301" s="88">
        <v>1420920</v>
      </c>
      <c r="G301" s="88">
        <f t="shared" ref="G301:H302" si="71">G302</f>
        <v>0</v>
      </c>
      <c r="H301" s="88">
        <f t="shared" si="71"/>
        <v>1420920</v>
      </c>
    </row>
    <row r="302" spans="1:8" s="17" customFormat="1" ht="47.25">
      <c r="A302" s="29" t="str">
        <f>IF(B302&gt;0,VLOOKUP(B302,КВСР!A222:B1387,2),IF(C302&gt;0,VLOOKUP(C302,КФСР!A222:B1734,2),IF(D302&gt;0,VLOOKUP(D302,КЦСР!A222:B4182,2),IF(E302&gt;0,VLOOKUP(E302,КВР!A222:B2150,2)))))</f>
        <v>Региональная программа "Социальная поддержка пожилых граждан в Ярославской области"</v>
      </c>
      <c r="B302" s="74"/>
      <c r="C302" s="64"/>
      <c r="D302" s="65">
        <v>5226900</v>
      </c>
      <c r="E302" s="66"/>
      <c r="F302" s="88">
        <v>1420920</v>
      </c>
      <c r="G302" s="88">
        <f t="shared" si="71"/>
        <v>0</v>
      </c>
      <c r="H302" s="88">
        <f t="shared" si="71"/>
        <v>1420920</v>
      </c>
    </row>
    <row r="303" spans="1:8" s="17" customFormat="1" ht="94.5">
      <c r="A303" s="29" t="str">
        <f>IF(B303&gt;0,VLOOKUP(B303,КВСР!A223:B1388,2),IF(C303&gt;0,VLOOKUP(C303,КФСР!A223:B1735,2),IF(D303&gt;0,VLOOKUP(D303,КЦСР!A223:B4183,2),IF(E303&gt;0,VLOOKUP(E303,КВР!A223:B2151,2)))))</f>
        <v>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v>
      </c>
      <c r="B303" s="74"/>
      <c r="C303" s="64"/>
      <c r="D303" s="65">
        <v>5226902</v>
      </c>
      <c r="E303" s="66"/>
      <c r="F303" s="88">
        <v>1420920</v>
      </c>
      <c r="G303" s="88">
        <f>G304+G305</f>
        <v>0</v>
      </c>
      <c r="H303" s="88">
        <f>H304+H305</f>
        <v>1420920</v>
      </c>
    </row>
    <row r="304" spans="1:8" s="17" customFormat="1" ht="47.25">
      <c r="A304" s="29" t="str">
        <f>IF(B304&gt;0,VLOOKUP(B304,КВСР!A224:B1389,2),IF(C304&gt;0,VLOOKUP(C304,КФСР!A224:B1736,2),IF(D304&gt;0,VLOOKUP(D304,КЦСР!A224:B4184,2),IF(E304&gt;0,VLOOKUP(E304,КВР!A224:B2152,2)))))</f>
        <v>Меры социальной поддержки населения по публичным нормативным обязательствам</v>
      </c>
      <c r="B304" s="74"/>
      <c r="C304" s="64"/>
      <c r="D304" s="65"/>
      <c r="E304" s="66">
        <v>314</v>
      </c>
      <c r="F304" s="88">
        <v>790000</v>
      </c>
      <c r="G304" s="91"/>
      <c r="H304" s="88">
        <f>F304+G304</f>
        <v>790000</v>
      </c>
    </row>
    <row r="305" spans="1:8" s="17" customFormat="1" ht="31.5">
      <c r="A305" s="29" t="str">
        <f>IF(B305&gt;0,VLOOKUP(B305,КВСР!A225:B1390,2),IF(C305&gt;0,VLOOKUP(C305,КФСР!A225:B1737,2),IF(D305&gt;0,VLOOKUP(D305,КЦСР!A225:B4185,2),IF(E305&gt;0,VLOOKUP(E305,КВР!A225:B2153,2)))))</f>
        <v>Субсидии бюджетным учреждениям на иные цели</v>
      </c>
      <c r="B305" s="74"/>
      <c r="C305" s="64"/>
      <c r="D305" s="65"/>
      <c r="E305" s="66">
        <v>612</v>
      </c>
      <c r="F305" s="88">
        <v>630920</v>
      </c>
      <c r="G305" s="91"/>
      <c r="H305" s="30">
        <f>F305+G305</f>
        <v>630920</v>
      </c>
    </row>
    <row r="306" spans="1:8" s="17" customFormat="1" ht="31.5">
      <c r="A306" s="29" t="str">
        <f>IF(B306&gt;0,VLOOKUP(B306,КВСР!A226:B1391,2),IF(C306&gt;0,VLOOKUP(C306,КФСР!A226:B1738,2),IF(D306&gt;0,VLOOKUP(D306,КЦСР!A226:B4186,2),IF(E306&gt;0,VLOOKUP(E306,КВР!A226:B2154,2)))))</f>
        <v>Целевые программы муниципальных образований</v>
      </c>
      <c r="B306" s="74"/>
      <c r="C306" s="64"/>
      <c r="D306" s="65">
        <v>7950000</v>
      </c>
      <c r="E306" s="66"/>
      <c r="F306" s="88">
        <v>109020</v>
      </c>
      <c r="G306" s="88">
        <f t="shared" ref="G306:H307" si="72">G307</f>
        <v>0</v>
      </c>
      <c r="H306" s="88">
        <f t="shared" si="72"/>
        <v>109020</v>
      </c>
    </row>
    <row r="307" spans="1:8" s="17" customFormat="1" ht="26.25" customHeight="1">
      <c r="A307" s="29" t="str">
        <f>IF(B307&gt;0,VLOOKUP(B307,КВСР!A227:B1392,2),IF(C307&gt;0,VLOOKUP(C307,КФСР!A227:B1739,2),IF(D307&gt;0,VLOOKUP(D307,КЦСР!A227:B4187,2),IF(E307&gt;0,VLOOKUP(E307,КВР!A227:B2155,2)))))</f>
        <v>Программа соц. защиты населения</v>
      </c>
      <c r="B307" s="74"/>
      <c r="C307" s="64"/>
      <c r="D307" s="65">
        <v>7950100</v>
      </c>
      <c r="E307" s="66"/>
      <c r="F307" s="88">
        <v>109020</v>
      </c>
      <c r="G307" s="88">
        <f t="shared" si="72"/>
        <v>0</v>
      </c>
      <c r="H307" s="88">
        <f t="shared" si="72"/>
        <v>109020</v>
      </c>
    </row>
    <row r="308" spans="1:8" s="17" customFormat="1" ht="31.5">
      <c r="A308" s="29" t="str">
        <f>IF(B308&gt;0,VLOOKUP(B308,КВСР!A228:B1393,2),IF(C308&gt;0,VLOOKUP(C308,КФСР!A228:B1740,2),IF(D308&gt;0,VLOOKUP(D308,КЦСР!A228:B4188,2),IF(E308&gt;0,VLOOKUP(E308,КВР!A228:B2156,2)))))</f>
        <v>Субсидии бюджетным учреждениям на иные цели</v>
      </c>
      <c r="B308" s="74"/>
      <c r="C308" s="64"/>
      <c r="D308" s="65"/>
      <c r="E308" s="66">
        <v>612</v>
      </c>
      <c r="F308" s="88">
        <v>109020</v>
      </c>
      <c r="G308" s="91"/>
      <c r="H308" s="30">
        <f>F308+G308</f>
        <v>109020</v>
      </c>
    </row>
    <row r="309" spans="1:8" s="17" customFormat="1" ht="21.75" customHeight="1">
      <c r="A309" s="29" t="str">
        <f>IF(B309&gt;0,VLOOKUP(B309,КВСР!A229:B1394,2),IF(C309&gt;0,VLOOKUP(C309,КФСР!A229:B1741,2),IF(D309&gt;0,VLOOKUP(D309,КЦСР!A229:B4189,2),IF(E309&gt;0,VLOOKUP(E309,КВР!A229:B2157,2)))))</f>
        <v>Охрана семьи и детства</v>
      </c>
      <c r="B309" s="74"/>
      <c r="C309" s="64">
        <v>1004</v>
      </c>
      <c r="D309" s="65"/>
      <c r="E309" s="66"/>
      <c r="F309" s="63">
        <v>25600</v>
      </c>
      <c r="G309" s="63">
        <f t="shared" ref="G309:H312" si="73">G310</f>
        <v>0</v>
      </c>
      <c r="H309" s="63">
        <f t="shared" si="73"/>
        <v>25600</v>
      </c>
    </row>
    <row r="310" spans="1:8" s="17" customFormat="1" ht="23.25" customHeight="1">
      <c r="A310" s="29" t="str">
        <f>IF(B310&gt;0,VLOOKUP(B310,КВСР!A230:B1395,2),IF(C310&gt;0,VLOOKUP(C310,КФСР!A230:B1742,2),IF(D310&gt;0,VLOOKUP(D310,КЦСР!A230:B4190,2),IF(E310&gt;0,VLOOKUP(E310,КВР!A230:B2158,2)))))</f>
        <v>Региональные целевые программы</v>
      </c>
      <c r="B310" s="74"/>
      <c r="C310" s="64"/>
      <c r="D310" s="65">
        <v>5220000</v>
      </c>
      <c r="E310" s="66"/>
      <c r="F310" s="63">
        <v>25600</v>
      </c>
      <c r="G310" s="63">
        <f t="shared" si="73"/>
        <v>0</v>
      </c>
      <c r="H310" s="63">
        <f t="shared" si="73"/>
        <v>25600</v>
      </c>
    </row>
    <row r="311" spans="1:8" s="17" customFormat="1" ht="31.5">
      <c r="A311" s="29" t="str">
        <f>IF(B311&gt;0,VLOOKUP(B311,КВСР!A231:B1396,2),IF(C311&gt;0,VLOOKUP(C311,КФСР!A231:B1743,2),IF(D311&gt;0,VLOOKUP(D311,КЦСР!A231:B4191,2),IF(E311&gt;0,VLOOKUP(E311,КВР!A231:B2159,2)))))</f>
        <v>Областная комплексная целевая программа "Семья и дети Ярославии"</v>
      </c>
      <c r="B311" s="74"/>
      <c r="C311" s="64"/>
      <c r="D311" s="79">
        <v>5221300</v>
      </c>
      <c r="E311" s="66"/>
      <c r="F311" s="63">
        <v>25600</v>
      </c>
      <c r="G311" s="63">
        <f t="shared" si="73"/>
        <v>0</v>
      </c>
      <c r="H311" s="63">
        <f t="shared" si="73"/>
        <v>25600</v>
      </c>
    </row>
    <row r="312" spans="1:8" s="17" customFormat="1" ht="47.25">
      <c r="A312" s="29" t="str">
        <f>IF(B312&gt;0,VLOOKUP(B312,КВСР!A232:B1397,2),IF(C312&gt;0,VLOOKUP(C312,КФСР!A232:B1744,2),IF(D312&gt;0,VLOOKUP(D312,КЦСР!A232:B4192,2),IF(E312&gt;0,VLOOKUP(E312,КВР!A232:B2160,2)))))</f>
        <v>Реализация подпрограмм "Семья", "Дети-сироты", Дети-инвалиды", "Одаренные дети"</v>
      </c>
      <c r="B312" s="74"/>
      <c r="C312" s="64"/>
      <c r="D312" s="65">
        <v>5221306</v>
      </c>
      <c r="E312" s="66"/>
      <c r="F312" s="63">
        <v>25600</v>
      </c>
      <c r="G312" s="63">
        <f t="shared" si="73"/>
        <v>0</v>
      </c>
      <c r="H312" s="63">
        <f t="shared" si="73"/>
        <v>25600</v>
      </c>
    </row>
    <row r="313" spans="1:8" s="17" customFormat="1" ht="31.5">
      <c r="A313" s="29" t="str">
        <f>IF(B313&gt;0,VLOOKUP(B313,КВСР!A233:B1398,2),IF(C313&gt;0,VLOOKUP(C313,КФСР!A233:B1745,2),IF(D313&gt;0,VLOOKUP(D313,КЦСР!A233:B4193,2),IF(E313&gt;0,VLOOKUP(E313,КВР!A233:B2161,2)))))</f>
        <v>Приобретение товаров, работ, услуг в пользу граждан</v>
      </c>
      <c r="B313" s="74"/>
      <c r="C313" s="64"/>
      <c r="D313" s="65"/>
      <c r="E313" s="66">
        <v>323</v>
      </c>
      <c r="F313" s="88">
        <v>25600</v>
      </c>
      <c r="G313" s="91"/>
      <c r="H313" s="30">
        <f>G313+F313</f>
        <v>25600</v>
      </c>
    </row>
    <row r="314" spans="1:8" s="17" customFormat="1" ht="31.5">
      <c r="A314" s="29" t="str">
        <f>IF(B314&gt;0,VLOOKUP(B314,КВСР!A234:B1399,2),IF(C314&gt;0,VLOOKUP(C314,КФСР!A234:B1746,2),IF(D314&gt;0,VLOOKUP(D314,КЦСР!A234:B4194,2),IF(E314&gt;0,VLOOKUP(E314,КВР!A234:B2162,2)))))</f>
        <v>Другие вопросы в области социальной политики</v>
      </c>
      <c r="B314" s="74"/>
      <c r="C314" s="64">
        <v>1006</v>
      </c>
      <c r="D314" s="71"/>
      <c r="E314" s="66"/>
      <c r="F314" s="63">
        <v>11761595</v>
      </c>
      <c r="G314" s="63">
        <f>G315+G324</f>
        <v>0</v>
      </c>
      <c r="H314" s="63">
        <f>H315+H324</f>
        <v>11761595</v>
      </c>
    </row>
    <row r="315" spans="1:8" s="17" customFormat="1" ht="78.75">
      <c r="A315" s="29" t="str">
        <f>IF(B315&gt;0,VLOOKUP(B315,КВСР!A235:B1400,2),IF(C315&gt;0,VLOOKUP(C315,КФСР!A235:B1747,2),IF(D315&gt;0,VLOOKUP(D315,КЦСР!A235:B4195,2),IF(E315&gt;0,VLOOKUP(E315,КВР!A235:B2163,2)))))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315" s="74"/>
      <c r="C315" s="64"/>
      <c r="D315" s="71">
        <v>20000</v>
      </c>
      <c r="E315" s="66"/>
      <c r="F315" s="63">
        <v>11661605</v>
      </c>
      <c r="G315" s="63">
        <f t="shared" ref="G315:H315" si="74">G316</f>
        <v>0</v>
      </c>
      <c r="H315" s="63">
        <f t="shared" si="74"/>
        <v>11661605</v>
      </c>
    </row>
    <row r="316" spans="1:8" s="17" customFormat="1" ht="24" customHeight="1">
      <c r="A316" s="29" t="str">
        <f>IF(B316&gt;0,VLOOKUP(B316,КВСР!A236:B1401,2),IF(C316&gt;0,VLOOKUP(C316,КФСР!A236:B1748,2),IF(D316&gt;0,VLOOKUP(D316,КЦСР!A236:B4196,2),IF(E316&gt;0,VLOOKUP(E316,КВР!A236:B2164,2)))))</f>
        <v>Центральный аппарат</v>
      </c>
      <c r="B316" s="74"/>
      <c r="C316" s="64"/>
      <c r="D316" s="71">
        <v>20400</v>
      </c>
      <c r="E316" s="66"/>
      <c r="F316" s="63">
        <v>11661605</v>
      </c>
      <c r="G316" s="63">
        <f>SUM(G317:G323)</f>
        <v>0</v>
      </c>
      <c r="H316" s="63">
        <f>SUM(H317:H323)</f>
        <v>11661605</v>
      </c>
    </row>
    <row r="317" spans="1:8" s="17" customFormat="1" ht="31.5">
      <c r="A317" s="29" t="str">
        <f>IF(B317&gt;0,VLOOKUP(B317,КВСР!A237:B1402,2),IF(C317&gt;0,VLOOKUP(C317,КФСР!A237:B1749,2),IF(D317&gt;0,VLOOKUP(D317,КЦСР!A237:B4197,2),IF(E317&gt;0,VLOOKUP(E317,КВР!A237:B2165,2)))))</f>
        <v>Фонд оплаты труда и страховые взносы</v>
      </c>
      <c r="B317" s="74"/>
      <c r="C317" s="64"/>
      <c r="D317" s="71"/>
      <c r="E317" s="66">
        <v>121</v>
      </c>
      <c r="F317" s="63">
        <v>9993898</v>
      </c>
      <c r="G317" s="92"/>
      <c r="H317" s="63">
        <f t="shared" ref="H317:H323" si="75">F317+G317</f>
        <v>9993898</v>
      </c>
    </row>
    <row r="318" spans="1:8" s="17" customFormat="1" ht="31.5">
      <c r="A318" s="29" t="str">
        <f>IF(B318&gt;0,VLOOKUP(B318,КВСР!A238:B1403,2),IF(C318&gt;0,VLOOKUP(C318,КФСР!A238:B1750,2),IF(D318&gt;0,VLOOKUP(D318,КЦСР!A238:B4198,2),IF(E318&gt;0,VLOOKUP(E318,КВР!A238:B2166,2)))))</f>
        <v>Иные выплаты персоналу, за исключением фонда оплаты труда</v>
      </c>
      <c r="B318" s="74"/>
      <c r="C318" s="64"/>
      <c r="D318" s="71"/>
      <c r="E318" s="66">
        <v>122</v>
      </c>
      <c r="F318" s="63">
        <v>6102</v>
      </c>
      <c r="G318" s="92"/>
      <c r="H318" s="63">
        <f t="shared" si="75"/>
        <v>6102</v>
      </c>
    </row>
    <row r="319" spans="1:8" s="17" customFormat="1" ht="47.25">
      <c r="A319" s="29" t="str">
        <f>IF(B319&gt;0,VLOOKUP(B319,КВСР!A239:B1404,2),IF(C319&gt;0,VLOOKUP(C319,КФСР!A239:B1751,2),IF(D319&gt;0,VLOOKUP(D319,КЦСР!A239:B4199,2),IF(E319&gt;0,VLOOKUP(E319,КВР!A239:B2167,2)))))</f>
        <v>Закупка товаров, работ, услуг в сфере информационно-коммуникационных технологий</v>
      </c>
      <c r="B319" s="74"/>
      <c r="C319" s="64"/>
      <c r="D319" s="71"/>
      <c r="E319" s="66">
        <v>242</v>
      </c>
      <c r="F319" s="63">
        <v>663493</v>
      </c>
      <c r="G319" s="92"/>
      <c r="H319" s="63">
        <f t="shared" si="75"/>
        <v>663493</v>
      </c>
    </row>
    <row r="320" spans="1:8" s="17" customFormat="1" ht="31.5">
      <c r="A320" s="29" t="str">
        <f>IF(B320&gt;0,VLOOKUP(B320,КВСР!A240:B1405,2),IF(C320&gt;0,VLOOKUP(C320,КФСР!A240:B1752,2),IF(D320&gt;0,VLOOKUP(D320,КЦСР!A240:B4200,2),IF(E320&gt;0,VLOOKUP(E320,КВР!A240:B2168,2)))))</f>
        <v>Прочая закупка товаров, работ и услуг для государственных нужд</v>
      </c>
      <c r="B320" s="74"/>
      <c r="C320" s="64"/>
      <c r="D320" s="65"/>
      <c r="E320" s="66">
        <v>244</v>
      </c>
      <c r="F320" s="88">
        <v>969185</v>
      </c>
      <c r="G320" s="91"/>
      <c r="H320" s="63">
        <f t="shared" si="75"/>
        <v>969185</v>
      </c>
    </row>
    <row r="321" spans="1:9" s="17" customFormat="1" ht="157.5">
      <c r="A321" s="29" t="str">
        <f>IF(B321&gt;0,VLOOKUP(B321,КВСР!A241:B1406,2),IF(C321&gt;0,VLOOKUP(C321,КФСР!A241:B1753,2),IF(D321&gt;0,VLOOKUP(D321,КЦСР!A241:B4201,2),IF(E321&gt;0,VLOOKUP(E321,КВР!A241:B2169,2)))))</f>
        <v>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v>
      </c>
      <c r="B321" s="74"/>
      <c r="C321" s="64"/>
      <c r="D321" s="65"/>
      <c r="E321" s="66">
        <v>831</v>
      </c>
      <c r="F321" s="88">
        <v>8350</v>
      </c>
      <c r="G321" s="91"/>
      <c r="H321" s="63">
        <f>F321+G321</f>
        <v>8350</v>
      </c>
    </row>
    <row r="322" spans="1:9" s="17" customFormat="1" ht="31.5">
      <c r="A322" s="29" t="str">
        <f>IF(B322&gt;0,VLOOKUP(B322,КВСР!A241:B1406,2),IF(C322&gt;0,VLOOKUP(C322,КФСР!A241:B1753,2),IF(D322&gt;0,VLOOKUP(D322,КЦСР!A241:B4201,2),IF(E322&gt;0,VLOOKUP(E322,КВР!A241:B2169,2)))))</f>
        <v>Уплата налога на имущество организаций и земельного налога</v>
      </c>
      <c r="B322" s="74"/>
      <c r="C322" s="64"/>
      <c r="D322" s="65"/>
      <c r="E322" s="66">
        <v>851</v>
      </c>
      <c r="F322" s="88">
        <v>10243</v>
      </c>
      <c r="G322" s="91"/>
      <c r="H322" s="63">
        <f t="shared" si="75"/>
        <v>10243</v>
      </c>
    </row>
    <row r="323" spans="1:9" s="17" customFormat="1" ht="31.5">
      <c r="A323" s="29" t="str">
        <f>IF(B323&gt;0,VLOOKUP(B323,КВСР!A242:B1407,2),IF(C323&gt;0,VLOOKUP(C323,КФСР!A242:B1754,2),IF(D323&gt;0,VLOOKUP(D323,КЦСР!A242:B4202,2),IF(E323&gt;0,VLOOKUP(E323,КВР!A242:B2170,2)))))</f>
        <v>Уплата прочих налогов, сборов и иных обязательных платежей</v>
      </c>
      <c r="B323" s="74"/>
      <c r="C323" s="64"/>
      <c r="D323" s="65"/>
      <c r="E323" s="66">
        <v>852</v>
      </c>
      <c r="F323" s="88">
        <v>10334</v>
      </c>
      <c r="G323" s="91"/>
      <c r="H323" s="63">
        <f t="shared" si="75"/>
        <v>10334</v>
      </c>
    </row>
    <row r="324" spans="1:9" s="17" customFormat="1" ht="47.25">
      <c r="A324" s="29" t="str">
        <f>IF(B324&gt;0,VLOOKUP(B324,КВСР!A243:B1408,2),IF(C324&gt;0,VLOOKUP(C324,КФСР!A243:B1755,2),IF(D324&gt;0,VLOOKUP(D324,КЦСР!A243:B4203,2),IF(E324&gt;0,VLOOKUP(E324,КВР!A243:B2171,2)))))</f>
        <v>Реализация государственных функций, связанных с общегосударственным управлением</v>
      </c>
      <c r="B324" s="74"/>
      <c r="C324" s="64"/>
      <c r="D324" s="65">
        <v>920000</v>
      </c>
      <c r="E324" s="66"/>
      <c r="F324" s="88">
        <v>99990</v>
      </c>
      <c r="G324" s="88">
        <f t="shared" ref="G324:H324" si="76">G325</f>
        <v>0</v>
      </c>
      <c r="H324" s="88">
        <f t="shared" si="76"/>
        <v>99990</v>
      </c>
    </row>
    <row r="325" spans="1:9" s="17" customFormat="1" ht="63">
      <c r="A325" s="29" t="str">
        <f>IF(B325&gt;0,VLOOKUP(B325,КВСР!A244:B1409,2),IF(C325&gt;0,VLOOKUP(C325,КФСР!A244:B1756,2),IF(D325&gt;0,VLOOKUP(D325,КЦСР!A244:B4204,2),IF(E325&gt;0,VLOOKUP(E325,КВР!A244:B2172,2)))))</f>
        <v>Программа энергосбережения и повышения энергетической эффективности на период до 2020 года</v>
      </c>
      <c r="B325" s="74"/>
      <c r="C325" s="64"/>
      <c r="D325" s="65">
        <v>923400</v>
      </c>
      <c r="E325" s="66"/>
      <c r="F325" s="88">
        <v>99990</v>
      </c>
      <c r="G325" s="88">
        <f t="shared" ref="G325:H325" si="77">G326</f>
        <v>0</v>
      </c>
      <c r="H325" s="88">
        <f t="shared" si="77"/>
        <v>99990</v>
      </c>
    </row>
    <row r="326" spans="1:9" s="17" customFormat="1" ht="126">
      <c r="A326" s="29" t="str">
        <f>IF(B326&gt;0,VLOOKUP(B326,КВСР!A245:B1410,2),IF(C326&gt;0,VLOOKUP(C326,КФСР!A245:B1757,2),IF(D326&gt;0,VLOOKUP(D326,КЦСР!A245:B4205,2),IF(E326&gt;0,VLOOKUP(E326,КВР!A245:B2173,2)))))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326" s="74"/>
      <c r="C326" s="64"/>
      <c r="D326" s="65">
        <v>923403</v>
      </c>
      <c r="E326" s="66"/>
      <c r="F326" s="88">
        <v>99990</v>
      </c>
      <c r="G326" s="88">
        <f t="shared" ref="G326:H326" si="78">G327</f>
        <v>0</v>
      </c>
      <c r="H326" s="88">
        <f t="shared" si="78"/>
        <v>99990</v>
      </c>
    </row>
    <row r="327" spans="1:9" s="17" customFormat="1" ht="31.5">
      <c r="A327" s="29" t="str">
        <f>IF(B327&gt;0,VLOOKUP(B327,КВСР!A246:B1411,2),IF(C327&gt;0,VLOOKUP(C327,КФСР!A246:B1758,2),IF(D327&gt;0,VLOOKUP(D327,КЦСР!A246:B4206,2),IF(E327&gt;0,VLOOKUP(E327,КВР!A246:B2174,2)))))</f>
        <v>Прочая закупка товаров, работ и услуг для государственных нужд</v>
      </c>
      <c r="B327" s="74"/>
      <c r="C327" s="64"/>
      <c r="D327" s="65"/>
      <c r="E327" s="66">
        <v>244</v>
      </c>
      <c r="F327" s="88">
        <v>99990</v>
      </c>
      <c r="G327" s="91"/>
      <c r="H327" s="63">
        <f>SUM(F327:G327)</f>
        <v>99990</v>
      </c>
    </row>
    <row r="328" spans="1:9" s="17" customFormat="1" ht="31.5">
      <c r="A328" s="34" t="str">
        <f>IF(B328&gt;0,VLOOKUP(B328,КВСР!A243:B1408,2),IF(C328&gt;0,VLOOKUP(C328,КФСР!A243:B1755,2),IF(D328&gt;0,VLOOKUP(D328,КЦСР!A243:B4203,2),IF(E328&gt;0,VLOOKUP(E328,КВР!A243:B2171,2)))))</f>
        <v>Департамент финансов администрации ТМР</v>
      </c>
      <c r="B328" s="69">
        <v>955</v>
      </c>
      <c r="C328" s="70"/>
      <c r="D328" s="71"/>
      <c r="E328" s="72"/>
      <c r="F328" s="35">
        <v>68335490</v>
      </c>
      <c r="G328" s="35">
        <f>G329+G350+G338+G354+G362+G359+G342</f>
        <v>0</v>
      </c>
      <c r="H328" s="35">
        <f>H329+H350+H338+H354+H362+H359+H342</f>
        <v>68335490</v>
      </c>
      <c r="I328" s="124"/>
    </row>
    <row r="329" spans="1:9" s="17" customFormat="1" ht="78.75">
      <c r="A329" s="29" t="str">
        <f>IF(B329&gt;0,VLOOKUP(B329,КВСР!A244:B1409,2),IF(C329&gt;0,VLOOKUP(C329,КФСР!A244:B1756,2),IF(D329&gt;0,VLOOKUP(D329,КЦСР!A244:B4204,2),IF(E329&gt;0,VLOOKUP(E329,КВР!A244:B2172,2)))))</f>
        <v>Обеспечение деятельности финансовых, налоговых и таможенных органов и органов финансового (финансово-бюджетного) надзора</v>
      </c>
      <c r="B329" s="74"/>
      <c r="C329" s="64">
        <v>106</v>
      </c>
      <c r="D329" s="65"/>
      <c r="E329" s="66"/>
      <c r="F329" s="63">
        <v>12227656</v>
      </c>
      <c r="G329" s="63">
        <f t="shared" ref="G329:H330" si="79">G330</f>
        <v>0</v>
      </c>
      <c r="H329" s="63">
        <f t="shared" si="79"/>
        <v>12227656</v>
      </c>
    </row>
    <row r="330" spans="1:9" s="17" customFormat="1" ht="78.75">
      <c r="A330" s="29" t="str">
        <f>IF(B330&gt;0,VLOOKUP(B330,КВСР!A245:B1410,2),IF(C330&gt;0,VLOOKUP(C330,КФСР!A245:B1757,2),IF(D330&gt;0,VLOOKUP(D330,КЦСР!A245:B4205,2),IF(E330&gt;0,VLOOKUP(E330,КВР!A245:B2173,2)))))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330" s="74"/>
      <c r="C330" s="64"/>
      <c r="D330" s="65">
        <v>20000</v>
      </c>
      <c r="E330" s="66"/>
      <c r="F330" s="63">
        <v>12227656</v>
      </c>
      <c r="G330" s="63">
        <f t="shared" si="79"/>
        <v>0</v>
      </c>
      <c r="H330" s="63">
        <f t="shared" si="79"/>
        <v>12227656</v>
      </c>
    </row>
    <row r="331" spans="1:9" s="17" customFormat="1" ht="21" customHeight="1">
      <c r="A331" s="29" t="str">
        <f>IF(B331&gt;0,VLOOKUP(B331,КВСР!A246:B1411,2),IF(C331&gt;0,VLOOKUP(C331,КФСР!A246:B1758,2),IF(D331&gt;0,VLOOKUP(D331,КЦСР!A246:B4206,2),IF(E331&gt;0,VLOOKUP(E331,КВР!A246:B2174,2)))))</f>
        <v>Центральный аппарат</v>
      </c>
      <c r="B331" s="74"/>
      <c r="C331" s="64"/>
      <c r="D331" s="71">
        <v>20400</v>
      </c>
      <c r="E331" s="66"/>
      <c r="F331" s="63">
        <v>12227656</v>
      </c>
      <c r="G331" s="63">
        <f>SUM(G332:G337)</f>
        <v>0</v>
      </c>
      <c r="H331" s="63">
        <f>SUM(H332:H337)</f>
        <v>12227656</v>
      </c>
    </row>
    <row r="332" spans="1:9" ht="31.5">
      <c r="A332" s="29" t="str">
        <f>IF(B332&gt;0,VLOOKUP(B332,КВСР!A247:B1412,2),IF(C332&gt;0,VLOOKUP(C332,КФСР!A247:B1759,2),IF(D332&gt;0,VLOOKUP(D332,КЦСР!A247:B4207,2),IF(E332&gt;0,VLOOKUP(E332,КВР!A247:B2175,2)))))</f>
        <v>Фонд оплаты труда и страховые взносы</v>
      </c>
      <c r="B332" s="74"/>
      <c r="C332" s="64"/>
      <c r="D332" s="65"/>
      <c r="E332" s="66">
        <v>121</v>
      </c>
      <c r="F332" s="88">
        <v>9797150</v>
      </c>
      <c r="G332" s="91"/>
      <c r="H332" s="30">
        <f t="shared" ref="H332:H337" si="80">F332+G332</f>
        <v>9797150</v>
      </c>
    </row>
    <row r="333" spans="1:9" ht="31.5">
      <c r="A333" s="29" t="str">
        <f>IF(B333&gt;0,VLOOKUP(B333,КВСР!A248:B1413,2),IF(C333&gt;0,VLOOKUP(C333,КФСР!A248:B1760,2),IF(D333&gt;0,VLOOKUP(D333,КЦСР!A248:B4208,2),IF(E333&gt;0,VLOOKUP(E333,КВР!A248:B2176,2)))))</f>
        <v>Иные выплаты персоналу, за исключением фонда оплаты труда</v>
      </c>
      <c r="B333" s="74"/>
      <c r="C333" s="64"/>
      <c r="D333" s="65"/>
      <c r="E333" s="66">
        <v>122</v>
      </c>
      <c r="F333" s="88">
        <v>5000</v>
      </c>
      <c r="G333" s="91"/>
      <c r="H333" s="30">
        <f t="shared" si="80"/>
        <v>5000</v>
      </c>
    </row>
    <row r="334" spans="1:9" ht="47.25">
      <c r="A334" s="29" t="str">
        <f>IF(B334&gt;0,VLOOKUP(B334,КВСР!A249:B1414,2),IF(C334&gt;0,VLOOKUP(C334,КФСР!A249:B1761,2),IF(D334&gt;0,VLOOKUP(D334,КЦСР!A249:B4209,2),IF(E334&gt;0,VLOOKUP(E334,КВР!A249:B2177,2)))))</f>
        <v>Закупка товаров, работ, услуг в сфере информационно-коммуникационных технологий</v>
      </c>
      <c r="B334" s="74"/>
      <c r="C334" s="64"/>
      <c r="D334" s="65"/>
      <c r="E334" s="66">
        <v>242</v>
      </c>
      <c r="F334" s="88">
        <v>1216500</v>
      </c>
      <c r="G334" s="91"/>
      <c r="H334" s="30">
        <f t="shared" si="80"/>
        <v>1216500</v>
      </c>
    </row>
    <row r="335" spans="1:9" ht="31.5">
      <c r="A335" s="29" t="str">
        <f>IF(B335&gt;0,VLOOKUP(B335,КВСР!A250:B1415,2),IF(C335&gt;0,VLOOKUP(C335,КФСР!A250:B1762,2),IF(D335&gt;0,VLOOKUP(D335,КЦСР!A250:B4210,2),IF(E335&gt;0,VLOOKUP(E335,КВР!A250:B2178,2)))))</f>
        <v>Прочая закупка товаров, работ и услуг для государственных нужд</v>
      </c>
      <c r="B335" s="74"/>
      <c r="C335" s="64"/>
      <c r="D335" s="65"/>
      <c r="E335" s="66">
        <v>244</v>
      </c>
      <c r="F335" s="88">
        <v>1160803</v>
      </c>
      <c r="G335" s="91"/>
      <c r="H335" s="30">
        <f t="shared" si="80"/>
        <v>1160803</v>
      </c>
    </row>
    <row r="336" spans="1:9" ht="31.5">
      <c r="A336" s="29" t="str">
        <f>IF(B336&gt;0,VLOOKUP(B336,КВСР!A251:B1416,2),IF(C336&gt;0,VLOOKUP(C336,КФСР!A251:B1763,2),IF(D336&gt;0,VLOOKUP(D336,КЦСР!A251:B4211,2),IF(E336&gt;0,VLOOKUP(E336,КВР!A251:B2179,2)))))</f>
        <v>Уплата налога на имущество организаций и земельного налога</v>
      </c>
      <c r="B336" s="74"/>
      <c r="C336" s="64"/>
      <c r="D336" s="65"/>
      <c r="E336" s="66">
        <v>851</v>
      </c>
      <c r="F336" s="88">
        <v>40003</v>
      </c>
      <c r="G336" s="91"/>
      <c r="H336" s="30">
        <f t="shared" si="80"/>
        <v>40003</v>
      </c>
    </row>
    <row r="337" spans="1:8" ht="31.5">
      <c r="A337" s="29" t="str">
        <f>IF(B337&gt;0,VLOOKUP(B337,КВСР!A252:B1417,2),IF(C337&gt;0,VLOOKUP(C337,КФСР!A252:B1764,2),IF(D337&gt;0,VLOOKUP(D337,КЦСР!A252:B4212,2),IF(E337&gt;0,VLOOKUP(E337,КВР!A252:B2180,2)))))</f>
        <v>Уплата прочих налогов, сборов и иных обязательных платежей</v>
      </c>
      <c r="B337" s="74"/>
      <c r="C337" s="64"/>
      <c r="D337" s="65"/>
      <c r="E337" s="66">
        <v>852</v>
      </c>
      <c r="F337" s="88">
        <v>8200</v>
      </c>
      <c r="G337" s="91"/>
      <c r="H337" s="30">
        <f t="shared" si="80"/>
        <v>8200</v>
      </c>
    </row>
    <row r="338" spans="1:8" ht="31.5">
      <c r="A338" s="29" t="str">
        <f>IF(B338&gt;0,VLOOKUP(B338,КВСР!A253:B1418,2),IF(C338&gt;0,VLOOKUP(C338,КФСР!A253:B1765,2),IF(D338&gt;0,VLOOKUP(D338,КЦСР!A253:B4213,2),IF(E338&gt;0,VLOOKUP(E338,КВР!A253:B2181,2)))))</f>
        <v>Мобилизационная и вневойсковая подготовка</v>
      </c>
      <c r="B338" s="74"/>
      <c r="C338" s="64">
        <v>203</v>
      </c>
      <c r="D338" s="65"/>
      <c r="E338" s="66"/>
      <c r="F338" s="30">
        <v>661000</v>
      </c>
      <c r="G338" s="30">
        <f t="shared" ref="G338:H340" si="81">G339</f>
        <v>0</v>
      </c>
      <c r="H338" s="30">
        <f t="shared" si="81"/>
        <v>661000</v>
      </c>
    </row>
    <row r="339" spans="1:8" ht="31.5">
      <c r="A339" s="29" t="str">
        <f>IF(B339&gt;0,VLOOKUP(B339,КВСР!A254:B1419,2),IF(C339&gt;0,VLOOKUP(C339,КФСР!A254:B1766,2),IF(D339&gt;0,VLOOKUP(D339,КЦСР!A254:B4214,2),IF(E339&gt;0,VLOOKUP(E339,КВР!A254:B2182,2)))))</f>
        <v>Руководство и управление в сфере установленных функций</v>
      </c>
      <c r="B339" s="74"/>
      <c r="C339" s="64"/>
      <c r="D339" s="65">
        <v>10000</v>
      </c>
      <c r="E339" s="66"/>
      <c r="F339" s="30">
        <v>661000</v>
      </c>
      <c r="G339" s="30">
        <f t="shared" si="81"/>
        <v>0</v>
      </c>
      <c r="H339" s="30">
        <f t="shared" si="81"/>
        <v>661000</v>
      </c>
    </row>
    <row r="340" spans="1:8" ht="47.25">
      <c r="A340" s="29" t="str">
        <f>IF(B340&gt;0,VLOOKUP(B340,КВСР!A255:B1420,2),IF(C340&gt;0,VLOOKUP(C340,КФСР!A255:B1767,2),IF(D340&gt;0,VLOOKUP(D340,КЦСР!A255:B4215,2),IF(E340&gt;0,VLOOKUP(E340,КВР!A255:B2183,2)))))</f>
        <v>Осуществление первичного воинского учета на территориях, где отсутствуют военные комиссариаты</v>
      </c>
      <c r="B340" s="74"/>
      <c r="C340" s="64"/>
      <c r="D340" s="65">
        <v>13600</v>
      </c>
      <c r="E340" s="66"/>
      <c r="F340" s="30">
        <v>661000</v>
      </c>
      <c r="G340" s="30">
        <f t="shared" si="81"/>
        <v>0</v>
      </c>
      <c r="H340" s="30">
        <f t="shared" si="81"/>
        <v>661000</v>
      </c>
    </row>
    <row r="341" spans="1:8" ht="26.25" customHeight="1">
      <c r="A341" s="29" t="str">
        <f>IF(B341&gt;0,VLOOKUP(B341,КВСР!A256:B1421,2),IF(C341&gt;0,VLOOKUP(C341,КФСР!A256:B1768,2),IF(D341&gt;0,VLOOKUP(D341,КЦСР!A256:B4216,2),IF(E341&gt;0,VLOOKUP(E341,КВР!A256:B2184,2)))))</f>
        <v>Субвенции</v>
      </c>
      <c r="B341" s="74"/>
      <c r="C341" s="64"/>
      <c r="D341" s="65"/>
      <c r="E341" s="66">
        <v>530</v>
      </c>
      <c r="F341" s="88">
        <v>661000</v>
      </c>
      <c r="G341" s="91"/>
      <c r="H341" s="30">
        <f>F341+G341</f>
        <v>661000</v>
      </c>
    </row>
    <row r="342" spans="1:8" ht="31.5" customHeight="1">
      <c r="A342" s="29" t="str">
        <f>IF(B342&gt;0,VLOOKUP(B342,КВСР!A257:B1422,2),IF(C342&gt;0,VLOOKUP(C342,КФСР!A257:B1769,2),IF(D342&gt;0,VLOOKUP(D342,КЦСР!A257:B4217,2),IF(E342&gt;0,VLOOKUP(E342,КВР!A257:B2185,2)))))</f>
        <v>Другие вопросы в области национальной экономики</v>
      </c>
      <c r="B342" s="74"/>
      <c r="C342" s="64">
        <v>412</v>
      </c>
      <c r="D342" s="65"/>
      <c r="E342" s="66"/>
      <c r="F342" s="88">
        <v>28718434</v>
      </c>
      <c r="G342" s="88">
        <f>G343+G346</f>
        <v>0</v>
      </c>
      <c r="H342" s="88">
        <f>H343+H346</f>
        <v>28718434</v>
      </c>
    </row>
    <row r="343" spans="1:8" ht="30" customHeight="1">
      <c r="A343" s="29" t="str">
        <f>IF(B343&gt;0,VLOOKUP(B343,КВСР!A258:B1423,2),IF(C343&gt;0,VLOOKUP(C343,КФСР!A258:B1770,2),IF(D343&gt;0,VLOOKUP(D343,КЦСР!A258:B4218,2),IF(E343&gt;0,VLOOKUP(E343,КВР!A258:B2186,2)))))</f>
        <v>Малое и среднее предпринимательство</v>
      </c>
      <c r="B343" s="74"/>
      <c r="C343" s="64"/>
      <c r="D343" s="65">
        <v>3450000</v>
      </c>
      <c r="E343" s="66"/>
      <c r="F343" s="88">
        <v>24100334</v>
      </c>
      <c r="G343" s="139">
        <f>G344</f>
        <v>0</v>
      </c>
      <c r="H343" s="30">
        <f>SUM(F343:G343)</f>
        <v>24100334</v>
      </c>
    </row>
    <row r="344" spans="1:8" ht="64.5" customHeight="1">
      <c r="A344" s="29" t="str">
        <f>IF(B344&gt;0,VLOOKUP(B344,КВСР!A259:B1424,2),IF(C344&gt;0,VLOOKUP(C344,КФСР!A259:B1771,2),IF(D344&gt;0,VLOOKUP(D344,КЦСР!A259:B4219,2),IF(E344&gt;0,VLOOKUP(E344,КВР!A259:B2187,2)))))</f>
        <v>Субсидии на государственную поддержку малого и среднего предпринимательства, включая крестьянские (фермерские) хозяйства</v>
      </c>
      <c r="B344" s="74"/>
      <c r="C344" s="64"/>
      <c r="D344" s="65">
        <v>3450103</v>
      </c>
      <c r="E344" s="66"/>
      <c r="F344" s="88">
        <v>24100334</v>
      </c>
      <c r="G344" s="88">
        <f>G345</f>
        <v>0</v>
      </c>
      <c r="H344" s="30">
        <f>SUM(F344:G344)</f>
        <v>24100334</v>
      </c>
    </row>
    <row r="345" spans="1:8" ht="82.5" customHeight="1">
      <c r="A345" s="29" t="str">
        <f>IF(B345&gt;0,VLOOKUP(B345,КВСР!A260:B1425,2),IF(C345&gt;0,VLOOKUP(C345,КФСР!A260:B1772,2),IF(D345&gt;0,VLOOKUP(D345,КЦСР!A260:B4220,2),IF(E345&gt;0,VLOOKUP(E345,КВР!A260:B2188,2)))))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345" s="74"/>
      <c r="C345" s="64"/>
      <c r="D345" s="65"/>
      <c r="E345" s="66">
        <v>521</v>
      </c>
      <c r="F345" s="88">
        <v>24100334</v>
      </c>
      <c r="G345" s="91"/>
      <c r="H345" s="30">
        <f>F345+G345</f>
        <v>24100334</v>
      </c>
    </row>
    <row r="346" spans="1:8" ht="27" customHeight="1">
      <c r="A346" s="29" t="str">
        <f>IF(B346&gt;0,VLOOKUP(B346,КВСР!A261:B1426,2),IF(C346&gt;0,VLOOKUP(C346,КФСР!A261:B1773,2),IF(D346&gt;0,VLOOKUP(D346,КЦСР!A261:B4221,2),IF(E346&gt;0,VLOOKUP(E346,КВР!A261:B2189,2)))))</f>
        <v>Региональные целевые программы</v>
      </c>
      <c r="B346" s="74"/>
      <c r="C346" s="64"/>
      <c r="D346" s="65">
        <v>5220000</v>
      </c>
      <c r="E346" s="66"/>
      <c r="F346" s="88">
        <v>4618100</v>
      </c>
      <c r="G346" s="88">
        <f t="shared" ref="G346:H348" si="82">G347</f>
        <v>0</v>
      </c>
      <c r="H346" s="88">
        <f t="shared" si="82"/>
        <v>4618100</v>
      </c>
    </row>
    <row r="347" spans="1:8" ht="31.5">
      <c r="A347" s="29" t="str">
        <f>IF(B347&gt;0,VLOOKUP(B347,КВСР!A262:B1427,2),IF(C347&gt;0,VLOOKUP(C347,КФСР!A262:B1774,2),IF(D347&gt;0,VLOOKUP(D347,КЦСР!A262:B4222,2),IF(E347&gt;0,VLOOKUP(E347,КВР!A262:B2190,2)))))</f>
        <v>ОЦП Развития субъектов малого и среднего предпринимательства ЯО</v>
      </c>
      <c r="B347" s="74"/>
      <c r="C347" s="64"/>
      <c r="D347" s="65">
        <v>5223100</v>
      </c>
      <c r="E347" s="66"/>
      <c r="F347" s="88">
        <v>4618100</v>
      </c>
      <c r="G347" s="88">
        <f t="shared" si="82"/>
        <v>0</v>
      </c>
      <c r="H347" s="88">
        <f t="shared" si="82"/>
        <v>4618100</v>
      </c>
    </row>
    <row r="348" spans="1:8" ht="78.75">
      <c r="A348" s="29" t="str">
        <f>IF(B348&gt;0,VLOOKUP(B348,КВСР!A263:B1428,2),IF(C348&gt;0,VLOOKUP(C348,КФСР!A263:B1775,2),IF(D348&gt;0,VLOOKUP(D348,КЦСР!A263:B4223,2),IF(E348&gt;0,VLOOKUP(E348,КВР!A263:B2191,2)))))</f>
        <v>ОЦП Развития субъектов малого и среднего предпринимательства ЯО в части реализации МП включенных в перечень монопрофильных муниципальных районов</v>
      </c>
      <c r="B348" s="74"/>
      <c r="C348" s="64"/>
      <c r="D348" s="65">
        <v>5223103</v>
      </c>
      <c r="E348" s="66"/>
      <c r="F348" s="88">
        <v>4618100</v>
      </c>
      <c r="G348" s="88">
        <f t="shared" si="82"/>
        <v>0</v>
      </c>
      <c r="H348" s="88">
        <f t="shared" si="82"/>
        <v>4618100</v>
      </c>
    </row>
    <row r="349" spans="1:8" ht="78.75">
      <c r="A349" s="29" t="str">
        <f>IF(B349&gt;0,VLOOKUP(B349,КВСР!A264:B1429,2),IF(C349&gt;0,VLOOKUP(C349,КФСР!A264:B1776,2),IF(D349&gt;0,VLOOKUP(D349,КЦСР!A264:B4224,2),IF(E349&gt;0,VLOOKUP(E349,КВР!A264:B2192,2)))))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349" s="74"/>
      <c r="C349" s="64"/>
      <c r="D349" s="65"/>
      <c r="E349" s="66">
        <v>521</v>
      </c>
      <c r="F349" s="88">
        <v>4618100</v>
      </c>
      <c r="G349" s="91"/>
      <c r="H349" s="30">
        <f>F349+G349</f>
        <v>4618100</v>
      </c>
    </row>
    <row r="350" spans="1:8" ht="47.25">
      <c r="A350" s="29" t="str">
        <f>IF(B350&gt;0,VLOOKUP(B350,КВСР!A257:B1422,2),IF(C350&gt;0,VLOOKUP(C350,КФСР!A257:B1769,2),IF(D350&gt;0,VLOOKUP(D350,КЦСР!A257:B4217,2),IF(E350&gt;0,VLOOKUP(E350,КВР!A257:B2185,2)))))</f>
        <v>Обслуживание внутреннего государственного и муниципального долга</v>
      </c>
      <c r="B350" s="74"/>
      <c r="C350" s="64">
        <v>1301</v>
      </c>
      <c r="D350" s="65"/>
      <c r="E350" s="66"/>
      <c r="F350" s="63">
        <v>1024400</v>
      </c>
      <c r="G350" s="63">
        <f t="shared" ref="G350:H352" si="83">G351</f>
        <v>0</v>
      </c>
      <c r="H350" s="63">
        <f t="shared" si="83"/>
        <v>1024400</v>
      </c>
    </row>
    <row r="351" spans="1:8" ht="31.5">
      <c r="A351" s="29" t="str">
        <f>IF(B351&gt;0,VLOOKUP(B351,КВСР!A258:B1423,2),IF(C351&gt;0,VLOOKUP(C351,КФСР!A258:B1770,2),IF(D351&gt;0,VLOOKUP(D351,КЦСР!A258:B4218,2),IF(E351&gt;0,VLOOKUP(E351,КВР!A258:B2186,2)))))</f>
        <v>Процентные платежи по долговым обязательствам</v>
      </c>
      <c r="B351" s="74"/>
      <c r="C351" s="64"/>
      <c r="D351" s="65">
        <v>650000</v>
      </c>
      <c r="E351" s="66"/>
      <c r="F351" s="63">
        <v>1024400</v>
      </c>
      <c r="G351" s="63">
        <f t="shared" si="83"/>
        <v>0</v>
      </c>
      <c r="H351" s="63">
        <f t="shared" si="83"/>
        <v>1024400</v>
      </c>
    </row>
    <row r="352" spans="1:8" ht="31.5">
      <c r="A352" s="29" t="str">
        <f>IF(B352&gt;0,VLOOKUP(B352,КВСР!A259:B1424,2),IF(C352&gt;0,VLOOKUP(C352,КФСР!A259:B1771,2),IF(D352&gt;0,VLOOKUP(D352,КЦСР!A259:B4219,2),IF(E352&gt;0,VLOOKUP(E352,КВР!A259:B2187,2)))))</f>
        <v>Процентные платежи по муниципальному долгу</v>
      </c>
      <c r="B352" s="74"/>
      <c r="C352" s="64"/>
      <c r="D352" s="65">
        <v>650300</v>
      </c>
      <c r="E352" s="66"/>
      <c r="F352" s="63">
        <v>1024400</v>
      </c>
      <c r="G352" s="63">
        <f t="shared" si="83"/>
        <v>0</v>
      </c>
      <c r="H352" s="63">
        <f t="shared" si="83"/>
        <v>1024400</v>
      </c>
    </row>
    <row r="353" spans="1:9" ht="31.5">
      <c r="A353" s="29" t="str">
        <f>IF(B353&gt;0,VLOOKUP(B353,КВСР!A260:B1425,2),IF(C353&gt;0,VLOOKUP(C353,КФСР!A260:B1772,2),IF(D353&gt;0,VLOOKUP(D353,КЦСР!A260:B4220,2),IF(E353&gt;0,VLOOKUP(E353,КВР!A260:B2188,2)))))</f>
        <v>Обслуживание муниципального долга</v>
      </c>
      <c r="B353" s="74"/>
      <c r="C353" s="64"/>
      <c r="D353" s="65"/>
      <c r="E353" s="66">
        <v>710</v>
      </c>
      <c r="F353" s="88">
        <v>1024400</v>
      </c>
      <c r="G353" s="91"/>
      <c r="H353" s="30">
        <f>F353+G353</f>
        <v>1024400</v>
      </c>
    </row>
    <row r="354" spans="1:9" ht="63">
      <c r="A354" s="29" t="str">
        <f>IF(B354&gt;0,VLOOKUP(B354,КВСР!A261:B1426,2),IF(C354&gt;0,VLOOKUP(C354,КФСР!A261:B1773,2),IF(D354&gt;0,VLOOKUP(D354,КЦСР!A261:B4221,2),IF(E354&gt;0,VLOOKUP(E354,КВР!A261:B2189,2)))))</f>
        <v>Дотации на выравнивание бюджетной обеспеченности субъектов Российской Федерации и муниципальных образований</v>
      </c>
      <c r="B354" s="74"/>
      <c r="C354" s="64">
        <v>1401</v>
      </c>
      <c r="D354" s="65"/>
      <c r="E354" s="66"/>
      <c r="F354" s="63">
        <v>4948000</v>
      </c>
      <c r="G354" s="63">
        <f>G355</f>
        <v>0</v>
      </c>
      <c r="H354" s="63">
        <f>H355</f>
        <v>4948000</v>
      </c>
    </row>
    <row r="355" spans="1:9" ht="31.5">
      <c r="A355" s="29" t="str">
        <f>IF(B355&gt;0,VLOOKUP(B355,КВСР!A262:B1427,2),IF(C355&gt;0,VLOOKUP(C355,КФСР!A262:B1774,2),IF(D355&gt;0,VLOOKUP(D355,КЦСР!A262:B4222,2),IF(E355&gt;0,VLOOKUP(E355,КВР!A262:B2190,2)))))</f>
        <v>Выравнивание бюджетной обеспеченности</v>
      </c>
      <c r="B355" s="74"/>
      <c r="C355" s="64"/>
      <c r="D355" s="65">
        <v>5160000</v>
      </c>
      <c r="E355" s="66"/>
      <c r="F355" s="63">
        <v>4948000</v>
      </c>
      <c r="G355" s="63">
        <f t="shared" ref="G355:H357" si="84">G356</f>
        <v>0</v>
      </c>
      <c r="H355" s="63">
        <f t="shared" si="84"/>
        <v>4948000</v>
      </c>
    </row>
    <row r="356" spans="1:9" ht="31.5">
      <c r="A356" s="29" t="str">
        <f>IF(B356&gt;0,VLOOKUP(B356,КВСР!A263:B1428,2),IF(C356&gt;0,VLOOKUP(C356,КФСР!A263:B1775,2),IF(D356&gt;0,VLOOKUP(D356,КЦСР!A263:B4223,2),IF(E356&gt;0,VLOOKUP(E356,КВР!A263:B2191,2)))))</f>
        <v>Выравнивание бюджетной обеспеченности</v>
      </c>
      <c r="B356" s="74"/>
      <c r="C356" s="64"/>
      <c r="D356" s="65">
        <v>5160100</v>
      </c>
      <c r="E356" s="66"/>
      <c r="F356" s="63">
        <v>4948000</v>
      </c>
      <c r="G356" s="63">
        <f t="shared" si="84"/>
        <v>0</v>
      </c>
      <c r="H356" s="63">
        <f t="shared" si="84"/>
        <v>4948000</v>
      </c>
    </row>
    <row r="357" spans="1:9" ht="63">
      <c r="A357" s="29" t="str">
        <f>IF(B357&gt;0,VLOOKUP(B357,КВСР!A264:B1429,2),IF(C357&gt;0,VLOOKUP(C357,КФСР!A264:B1776,2),IF(D357&gt;0,VLOOKUP(D357,КЦСР!A264:B4224,2),IF(E357&gt;0,VLOOKUP(E357,КВР!A264:B2192,2)))))</f>
        <v xml:space="preserve">Выравнивание бюджетной обеспеченности поселений из районного фонда финансовой поддержки </v>
      </c>
      <c r="B357" s="74"/>
      <c r="C357" s="64"/>
      <c r="D357" s="65">
        <v>5160130</v>
      </c>
      <c r="E357" s="66"/>
      <c r="F357" s="63">
        <v>4948000</v>
      </c>
      <c r="G357" s="63">
        <f t="shared" si="84"/>
        <v>0</v>
      </c>
      <c r="H357" s="63">
        <f t="shared" si="84"/>
        <v>4948000</v>
      </c>
    </row>
    <row r="358" spans="1:9" ht="47.25">
      <c r="A358" s="29" t="str">
        <f>IF(B358&gt;0,VLOOKUP(B358,КВСР!A265:B1430,2),IF(C358&gt;0,VLOOKUP(C358,КФСР!A265:B1777,2),IF(D358&gt;0,VLOOKUP(D358,КЦСР!A265:B4225,2),IF(E358&gt;0,VLOOKUP(E358,КВР!A265:B2193,2)))))</f>
        <v>Дотации на выравнивание бюджетной обеспеченности субъектов Российской Федерации</v>
      </c>
      <c r="B358" s="74"/>
      <c r="C358" s="64"/>
      <c r="D358" s="65"/>
      <c r="E358" s="66">
        <v>511</v>
      </c>
      <c r="F358" s="88">
        <v>4948000</v>
      </c>
      <c r="G358" s="91"/>
      <c r="H358" s="30">
        <f>F358+G358</f>
        <v>4948000</v>
      </c>
    </row>
    <row r="359" spans="1:9" ht="25.5" customHeight="1">
      <c r="A359" s="29" t="str">
        <f>IF(B359&gt;0,VLOOKUP(B359,КВСР!A266:B1431,2),IF(C359&gt;0,VLOOKUP(C359,КФСР!A266:B1778,2),IF(D359&gt;0,VLOOKUP(D359,КЦСР!A266:B4226,2),IF(E359&gt;0,VLOOKUP(E359,КВР!A266:B2194,2)))))</f>
        <v>Иные дотации</v>
      </c>
      <c r="B359" s="74"/>
      <c r="C359" s="64">
        <v>1402</v>
      </c>
      <c r="D359" s="65"/>
      <c r="E359" s="66"/>
      <c r="F359" s="88">
        <v>6060000</v>
      </c>
      <c r="G359" s="88">
        <f t="shared" ref="G359:H360" si="85">G360</f>
        <v>0</v>
      </c>
      <c r="H359" s="88">
        <f t="shared" si="85"/>
        <v>6060000</v>
      </c>
    </row>
    <row r="360" spans="1:9" ht="110.25">
      <c r="A360" s="29" t="str">
        <f>IF(B360&gt;0,VLOOKUP(B360,КВСР!A267:B1432,2),IF(C360&gt;0,VLOOKUP(C360,КФСР!A267:B1779,2),IF(D360&gt;0,VLOOKUP(D360,КЦСР!A267:B4227,2),IF(E360&gt;0,VLOOKUP(E360,КВР!A267:B2195,2)))))</f>
        <v>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v>
      </c>
      <c r="B360" s="74"/>
      <c r="C360" s="64"/>
      <c r="D360" s="65">
        <v>5171000</v>
      </c>
      <c r="E360" s="66"/>
      <c r="F360" s="88">
        <v>6060000</v>
      </c>
      <c r="G360" s="88">
        <f t="shared" si="85"/>
        <v>0</v>
      </c>
      <c r="H360" s="88">
        <f t="shared" si="85"/>
        <v>6060000</v>
      </c>
    </row>
    <row r="361" spans="1:9" ht="24" customHeight="1">
      <c r="A361" s="29" t="str">
        <f>IF(B361&gt;0,VLOOKUP(B361,КВСР!A268:B1433,2),IF(C361&gt;0,VLOOKUP(C361,КФСР!A268:B1780,2),IF(D361&gt;0,VLOOKUP(D361,КЦСР!A268:B4228,2),IF(E361&gt;0,VLOOKUP(E361,КВР!A268:B2196,2)))))</f>
        <v>Прочие дотации</v>
      </c>
      <c r="B361" s="74"/>
      <c r="C361" s="64"/>
      <c r="D361" s="65"/>
      <c r="E361" s="66">
        <v>515</v>
      </c>
      <c r="F361" s="88">
        <v>6060000</v>
      </c>
      <c r="G361" s="91"/>
      <c r="H361" s="30">
        <f>F361+G361</f>
        <v>6060000</v>
      </c>
    </row>
    <row r="362" spans="1:9" ht="63">
      <c r="A362" s="29" t="str">
        <f>IF(B362&gt;0,VLOOKUP(B362,КВСР!A266:B1431,2),IF(C362&gt;0,VLOOKUP(C362,КФСР!A266:B1778,2),IF(D362&gt;0,VLOOKUP(D362,КЦСР!A266:B4226,2),IF(E362&gt;0,VLOOKUP(E362,КВР!A266:B2194,2)))))</f>
        <v>Прочие межбюджетные трансферты бюджетам субъектов Российской Федерации и муниципальных образований общего характера</v>
      </c>
      <c r="B362" s="74"/>
      <c r="C362" s="64">
        <v>1403</v>
      </c>
      <c r="D362" s="65"/>
      <c r="E362" s="66"/>
      <c r="F362" s="88">
        <v>14696000</v>
      </c>
      <c r="G362" s="88">
        <f t="shared" ref="G362:H362" si="86">G366+G363</f>
        <v>0</v>
      </c>
      <c r="H362" s="88">
        <f t="shared" si="86"/>
        <v>14696000</v>
      </c>
    </row>
    <row r="363" spans="1:9" ht="24" customHeight="1">
      <c r="A363" s="29" t="str">
        <f>IF(B363&gt;0,VLOOKUP(B363,КВСР!A267:B1432,2),IF(C363&gt;0,VLOOKUP(C363,КФСР!A267:B1779,2),IF(D363&gt;0,VLOOKUP(D363,КЦСР!A267:B4227,2),IF(E363&gt;0,VLOOKUP(E363,КВР!A267:B2195,2)))))</f>
        <v>Резервные фонды</v>
      </c>
      <c r="B363" s="74"/>
      <c r="C363" s="64"/>
      <c r="D363" s="65">
        <v>700000</v>
      </c>
      <c r="E363" s="66"/>
      <c r="F363" s="88">
        <v>11142000</v>
      </c>
      <c r="G363" s="88">
        <f t="shared" ref="G363:H363" si="87">G364</f>
        <v>0</v>
      </c>
      <c r="H363" s="88">
        <f t="shared" si="87"/>
        <v>11142000</v>
      </c>
    </row>
    <row r="364" spans="1:9" ht="57.75" customHeight="1">
      <c r="A364" s="29" t="str">
        <f>IF(B364&gt;0,VLOOKUP(B364,КВСР!A268:B1433,2),IF(C364&gt;0,VLOOKUP(C364,КФСР!A268:B1780,2),IF(D364&gt;0,VLOOKUP(D364,КЦСР!A268:B4228,2),IF(E364&gt;0,VLOOKUP(E364,КВР!A268:B2196,2)))))</f>
        <v>Резервный фонд исполнительных органов государственной власти субъектов Российской Федерации</v>
      </c>
      <c r="B364" s="74"/>
      <c r="C364" s="64"/>
      <c r="D364" s="65">
        <v>700400</v>
      </c>
      <c r="E364" s="66"/>
      <c r="F364" s="88">
        <v>11142000</v>
      </c>
      <c r="G364" s="88">
        <f t="shared" ref="G364:H364" si="88">G365</f>
        <v>0</v>
      </c>
      <c r="H364" s="88">
        <f t="shared" si="88"/>
        <v>11142000</v>
      </c>
    </row>
    <row r="365" spans="1:9" ht="19.5" customHeight="1">
      <c r="A365" s="29" t="str">
        <f>IF(B365&gt;0,VLOOKUP(B365,КВСР!A269:B1434,2),IF(C365&gt;0,VLOOKUP(C365,КФСР!A269:B1781,2),IF(D365&gt;0,VLOOKUP(D365,КЦСР!A269:B4229,2),IF(E365&gt;0,VLOOKUP(E365,КВР!A269:B2197,2)))))</f>
        <v xml:space="preserve">Иные межбюджетные трансферты </v>
      </c>
      <c r="B365" s="74"/>
      <c r="C365" s="64"/>
      <c r="D365" s="65"/>
      <c r="E365" s="66">
        <v>540</v>
      </c>
      <c r="F365" s="88">
        <v>11142000</v>
      </c>
      <c r="G365" s="263"/>
      <c r="H365" s="88">
        <f>SUM(F365:G365)</f>
        <v>11142000</v>
      </c>
    </row>
    <row r="366" spans="1:9" ht="31.5">
      <c r="A366" s="29" t="str">
        <f>IF(B366&gt;0,VLOOKUP(B366,КВСР!A269:B1434,2),IF(C366&gt;0,VLOOKUP(C366,КФСР!A269:B1781,2),IF(D366&gt;0,VLOOKUP(D366,КЦСР!A269:B4229,2),IF(E366&gt;0,VLOOKUP(E366,КВР!A269:B2197,2)))))</f>
        <v>Субсидия на содержание органов местного самоуправления</v>
      </c>
      <c r="B366" s="74"/>
      <c r="C366" s="64"/>
      <c r="D366" s="65">
        <v>5210129</v>
      </c>
      <c r="E366" s="66"/>
      <c r="F366" s="88">
        <v>3554000</v>
      </c>
      <c r="G366" s="88">
        <f t="shared" ref="G366:H366" si="89">G367</f>
        <v>0</v>
      </c>
      <c r="H366" s="88">
        <f t="shared" si="89"/>
        <v>3554000</v>
      </c>
    </row>
    <row r="367" spans="1:9" ht="78.75">
      <c r="A367" s="29" t="str">
        <f>IF(B367&gt;0,VLOOKUP(B367,КВСР!A270:B1435,2),IF(C367&gt;0,VLOOKUP(C367,КФСР!A270:B1782,2),IF(D367&gt;0,VLOOKUP(D367,КЦСР!A270:B4230,2),IF(E367&gt;0,VLOOKUP(E367,КВР!A270:B2198,2)))))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367" s="74"/>
      <c r="C367" s="64"/>
      <c r="D367" s="65"/>
      <c r="E367" s="66">
        <v>521</v>
      </c>
      <c r="F367" s="88">
        <v>3554000</v>
      </c>
      <c r="G367" s="91"/>
      <c r="H367" s="30">
        <f>F367+G367</f>
        <v>3554000</v>
      </c>
    </row>
    <row r="368" spans="1:9" ht="47.25">
      <c r="A368" s="34" t="str">
        <f>IF(B368&gt;0,VLOOKUP(B368,КВСР!A266:B1431,2),IF(C368&gt;0,VLOOKUP(C368,КФСР!A266:B1778,2),IF(D368&gt;0,VLOOKUP(D368,КЦСР!A266:B4226,2),IF(E368&gt;0,VLOOKUP(E368,КВР!A266:B2194,2)))))</f>
        <v>Департамент культуры, туризма и молодежной политики Администрации ТМР</v>
      </c>
      <c r="B368" s="69">
        <v>956</v>
      </c>
      <c r="C368" s="70"/>
      <c r="D368" s="71"/>
      <c r="E368" s="72"/>
      <c r="F368" s="35">
        <v>117321669</v>
      </c>
      <c r="G368" s="35">
        <f>G378+G383+G405+G450+G455+G428+G373+G369+G400</f>
        <v>23000</v>
      </c>
      <c r="H368" s="35">
        <f>H378+H383+H405+H450+H455+H428+H373+H369+H400</f>
        <v>117344669</v>
      </c>
      <c r="I368" s="124"/>
    </row>
    <row r="369" spans="1:9" ht="23.25" customHeight="1">
      <c r="A369" s="29" t="str">
        <f>IF(B369&gt;0,VLOOKUP(B369,КВСР!A258:B1423,2),IF(C369&gt;0,VLOOKUP(C369,КФСР!A258:B1770,2),IF(D369&gt;0,VLOOKUP(D369,КЦСР!A258:B4218,2),IF(E369&gt;0,VLOOKUP(E369,КВР!A258:B2186,2)))))</f>
        <v>Резервные фонды</v>
      </c>
      <c r="B369" s="69"/>
      <c r="C369" s="70">
        <v>111</v>
      </c>
      <c r="D369" s="71"/>
      <c r="E369" s="72"/>
      <c r="F369" s="30">
        <v>823799</v>
      </c>
      <c r="G369" s="30">
        <f t="shared" ref="G369:H369" si="90">G370</f>
        <v>0</v>
      </c>
      <c r="H369" s="30">
        <f t="shared" si="90"/>
        <v>823799</v>
      </c>
      <c r="I369" s="124"/>
    </row>
    <row r="370" spans="1:9" ht="21" customHeight="1">
      <c r="A370" s="29" t="str">
        <f>IF(B370&gt;0,VLOOKUP(B370,КВСР!A259:B1424,2),IF(C370&gt;0,VLOOKUP(C370,КФСР!A259:B1771,2),IF(D370&gt;0,VLOOKUP(D370,КЦСР!A259:B4219,2),IF(E370&gt;0,VLOOKUP(E370,КВР!A259:B2187,2)))))</f>
        <v>Резервные фонды</v>
      </c>
      <c r="B370" s="69"/>
      <c r="C370" s="70"/>
      <c r="D370" s="71">
        <v>700000</v>
      </c>
      <c r="E370" s="72"/>
      <c r="F370" s="30">
        <v>823799</v>
      </c>
      <c r="G370" s="30">
        <f t="shared" ref="G370:H370" si="91">G371</f>
        <v>0</v>
      </c>
      <c r="H370" s="30">
        <f t="shared" si="91"/>
        <v>823799</v>
      </c>
      <c r="I370" s="124"/>
    </row>
    <row r="371" spans="1:9" ht="31.5">
      <c r="A371" s="29" t="str">
        <f>IF(B371&gt;0,VLOOKUP(B371,КВСР!A260:B1425,2),IF(C371&gt;0,VLOOKUP(C371,КФСР!A260:B1772,2),IF(D371&gt;0,VLOOKUP(D371,КЦСР!A260:B4220,2),IF(E371&gt;0,VLOOKUP(E371,КВР!A260:B2188,2)))))</f>
        <v>Резервные фонды местных администраций</v>
      </c>
      <c r="B371" s="69"/>
      <c r="C371" s="70"/>
      <c r="D371" s="71">
        <v>700500</v>
      </c>
      <c r="E371" s="72"/>
      <c r="F371" s="30">
        <v>823799</v>
      </c>
      <c r="G371" s="30">
        <f t="shared" ref="G371:H371" si="92">G372</f>
        <v>0</v>
      </c>
      <c r="H371" s="30">
        <f t="shared" si="92"/>
        <v>823799</v>
      </c>
      <c r="I371" s="124"/>
    </row>
    <row r="372" spans="1:9" ht="31.5">
      <c r="A372" s="29" t="str">
        <f>IF(B372&gt;0,VLOOKUP(B372,КВСР!A261:B1426,2),IF(C372&gt;0,VLOOKUP(C372,КФСР!A261:B1773,2),IF(D372&gt;0,VLOOKUP(D372,КЦСР!A261:B4221,2),IF(E372&gt;0,VLOOKUP(E372,КВР!A261:B2189,2)))))</f>
        <v>Субсидии бюджетным учреждениям на иные цели</v>
      </c>
      <c r="B372" s="69"/>
      <c r="C372" s="70"/>
      <c r="D372" s="71"/>
      <c r="E372" s="72">
        <v>612</v>
      </c>
      <c r="F372" s="30">
        <v>823799</v>
      </c>
      <c r="G372" s="231"/>
      <c r="H372" s="30">
        <f>F372+G372</f>
        <v>823799</v>
      </c>
      <c r="I372" s="124"/>
    </row>
    <row r="373" spans="1:9" ht="31.5">
      <c r="A373" s="29" t="str">
        <f>IF(B373&gt;0,VLOOKUP(B373,КВСР!A262:B1427,2),IF(C373&gt;0,VLOOKUP(C373,КФСР!A262:B1774,2),IF(D373&gt;0,VLOOKUP(D373,КЦСР!A262:B4222,2),IF(E373&gt;0,VLOOKUP(E373,КВР!A262:B2190,2)))))</f>
        <v>Другие вопросы в области национальной экономики</v>
      </c>
      <c r="B373" s="69"/>
      <c r="C373" s="70">
        <v>412</v>
      </c>
      <c r="D373" s="71"/>
      <c r="E373" s="72"/>
      <c r="F373" s="30">
        <v>455770</v>
      </c>
      <c r="G373" s="30">
        <f t="shared" ref="G373:H376" si="93">G374</f>
        <v>0</v>
      </c>
      <c r="H373" s="30">
        <f t="shared" si="93"/>
        <v>455770</v>
      </c>
      <c r="I373" s="124"/>
    </row>
    <row r="374" spans="1:9" ht="21.75" customHeight="1">
      <c r="A374" s="29" t="str">
        <f>IF(B374&gt;0,VLOOKUP(B374,КВСР!A263:B1428,2),IF(C374&gt;0,VLOOKUP(C374,КФСР!A263:B1775,2),IF(D374&gt;0,VLOOKUP(D374,КЦСР!A263:B4223,2),IF(E374&gt;0,VLOOKUP(E374,КВР!A263:B2191,2)))))</f>
        <v>Региональные целевые программы</v>
      </c>
      <c r="B374" s="69"/>
      <c r="C374" s="70"/>
      <c r="D374" s="71">
        <v>5220000</v>
      </c>
      <c r="E374" s="72"/>
      <c r="F374" s="30">
        <v>455770</v>
      </c>
      <c r="G374" s="30">
        <f t="shared" si="93"/>
        <v>0</v>
      </c>
      <c r="H374" s="30">
        <f t="shared" si="93"/>
        <v>455770</v>
      </c>
      <c r="I374" s="124"/>
    </row>
    <row r="375" spans="1:9" ht="31.5">
      <c r="A375" s="29" t="str">
        <f>IF(B375&gt;0,VLOOKUP(B375,КВСР!A264:B1429,2),IF(C375&gt;0,VLOOKUP(C375,КФСР!A264:B1776,2),IF(D375&gt;0,VLOOKUP(D375,КЦСР!A264:B4224,2),IF(E375&gt;0,VLOOKUP(E375,КВР!A264:B2192,2)))))</f>
        <v>ОЦП "Развитие туризма и отдыха в Ярославской области"</v>
      </c>
      <c r="B375" s="69"/>
      <c r="C375" s="70"/>
      <c r="D375" s="71">
        <v>5221400</v>
      </c>
      <c r="E375" s="72"/>
      <c r="F375" s="30">
        <v>455770</v>
      </c>
      <c r="G375" s="30">
        <f t="shared" si="93"/>
        <v>0</v>
      </c>
      <c r="H375" s="30">
        <f t="shared" si="93"/>
        <v>455770</v>
      </c>
      <c r="I375" s="124"/>
    </row>
    <row r="376" spans="1:9" ht="47.25">
      <c r="A376" s="29" t="str">
        <f>IF(B376&gt;0,VLOOKUP(B376,КВСР!A265:B1430,2),IF(C376&gt;0,VLOOKUP(C376,КФСР!A265:B1777,2),IF(D376&gt;0,VLOOKUP(D376,КЦСР!A265:B4225,2),IF(E376&gt;0,VLOOKUP(E376,КВР!A265:B2193,2)))))</f>
        <v>Субсидия на реализацию муниципальных программ  развития туризма и отдыха</v>
      </c>
      <c r="B376" s="69"/>
      <c r="C376" s="70"/>
      <c r="D376" s="71">
        <v>5221401</v>
      </c>
      <c r="E376" s="72"/>
      <c r="F376" s="30">
        <v>455770</v>
      </c>
      <c r="G376" s="30">
        <f t="shared" si="93"/>
        <v>0</v>
      </c>
      <c r="H376" s="30">
        <f t="shared" si="93"/>
        <v>455770</v>
      </c>
      <c r="I376" s="124"/>
    </row>
    <row r="377" spans="1:9" ht="78.75">
      <c r="A377" s="29" t="str">
        <f>IF(B377&gt;0,VLOOKUP(B377,КВСР!A266:B1431,2),IF(C377&gt;0,VLOOKUP(C377,КФСР!A266:B1778,2),IF(D377&gt;0,VLOOKUP(D377,КЦСР!A266:B4226,2),IF(E377&gt;0,VLOOKUP(E377,КВР!A266:B2194,2)))))</f>
        <v>Субсидии бюджетным учреждениям на финансовое обеспечение государственного задания на оказание государственных услуг (выполнение работ)</v>
      </c>
      <c r="B377" s="69"/>
      <c r="C377" s="70"/>
      <c r="D377" s="71"/>
      <c r="E377" s="72">
        <v>611</v>
      </c>
      <c r="F377" s="88">
        <v>455770</v>
      </c>
      <c r="G377" s="91"/>
      <c r="H377" s="30">
        <f>F377+G377</f>
        <v>455770</v>
      </c>
      <c r="I377" s="124"/>
    </row>
    <row r="378" spans="1:9" s="16" customFormat="1" ht="23.25" customHeight="1">
      <c r="A378" s="29" t="str">
        <f>IF(B378&gt;0,VLOOKUP(B378,КВСР!A267:B1432,2),IF(C378&gt;0,VLOOKUP(C378,КФСР!A267:B1779,2),IF(D378&gt;0,VLOOKUP(D378,КЦСР!A267:B4227,2),IF(E378&gt;0,VLOOKUP(E378,КВР!A267:B2195,2)))))</f>
        <v>Общее образование</v>
      </c>
      <c r="B378" s="74"/>
      <c r="C378" s="64">
        <v>702</v>
      </c>
      <c r="D378" s="65"/>
      <c r="E378" s="66"/>
      <c r="F378" s="63">
        <v>22154594</v>
      </c>
      <c r="G378" s="63">
        <f t="shared" ref="G378:H379" si="94">G379</f>
        <v>0</v>
      </c>
      <c r="H378" s="63">
        <f t="shared" si="94"/>
        <v>22154594</v>
      </c>
    </row>
    <row r="379" spans="1:9" s="16" customFormat="1" ht="31.5">
      <c r="A379" s="29" t="str">
        <f>IF(B379&gt;0,VLOOKUP(B379,КВСР!A268:B1433,2),IF(C379&gt;0,VLOOKUP(C379,КФСР!A268:B1780,2),IF(D379&gt;0,VLOOKUP(D379,КЦСР!A268:B4228,2),IF(E379&gt;0,VLOOKUP(E379,КВР!A268:B2196,2)))))</f>
        <v>Учреждения по внешкольной работе с детьми</v>
      </c>
      <c r="B379" s="74"/>
      <c r="C379" s="64"/>
      <c r="D379" s="77">
        <v>4230000</v>
      </c>
      <c r="E379" s="66"/>
      <c r="F379" s="63">
        <v>22154594</v>
      </c>
      <c r="G379" s="63">
        <f t="shared" si="94"/>
        <v>0</v>
      </c>
      <c r="H379" s="63">
        <f t="shared" si="94"/>
        <v>22154594</v>
      </c>
    </row>
    <row r="380" spans="1:9" s="16" customFormat="1" ht="31.5">
      <c r="A380" s="29" t="str">
        <f>IF(B380&gt;0,VLOOKUP(B380,КВСР!A269:B1434,2),IF(C380&gt;0,VLOOKUP(C380,КФСР!A269:B1781,2),IF(D380&gt;0,VLOOKUP(D380,КЦСР!A269:B4229,2),IF(E380&gt;0,VLOOKUP(E380,КВР!A269:B2197,2)))))</f>
        <v>Обеспечение деятельности подведомственных учреждений</v>
      </c>
      <c r="B380" s="74"/>
      <c r="C380" s="64"/>
      <c r="D380" s="65">
        <v>4239900</v>
      </c>
      <c r="E380" s="66"/>
      <c r="F380" s="63">
        <v>22154594</v>
      </c>
      <c r="G380" s="63">
        <f t="shared" ref="G380:H380" si="95">G381+G382</f>
        <v>0</v>
      </c>
      <c r="H380" s="63">
        <f t="shared" si="95"/>
        <v>22154594</v>
      </c>
    </row>
    <row r="381" spans="1:9" s="16" customFormat="1" ht="78.75">
      <c r="A381" s="29" t="str">
        <f>IF(B381&gt;0,VLOOKUP(B381,КВСР!A270:B1435,2),IF(C381&gt;0,VLOOKUP(C381,КФСР!A270:B1782,2),IF(D381&gt;0,VLOOKUP(D381,КЦСР!A270:B4230,2),IF(E381&gt;0,VLOOKUP(E381,КВР!A270:B2198,2)))))</f>
        <v>Субсидии бюджетным учреждениям на финансовое обеспечение государственного задания на оказание государственных услуг (выполнение работ)</v>
      </c>
      <c r="B381" s="74"/>
      <c r="C381" s="64"/>
      <c r="D381" s="65"/>
      <c r="E381" s="66">
        <v>611</v>
      </c>
      <c r="F381" s="88">
        <v>21936377</v>
      </c>
      <c r="G381" s="91"/>
      <c r="H381" s="30">
        <f>F381+G381</f>
        <v>21936377</v>
      </c>
    </row>
    <row r="382" spans="1:9" s="16" customFormat="1" ht="31.5">
      <c r="A382" s="29" t="str">
        <f>IF(B382&gt;0,VLOOKUP(B382,КВСР!A271:B1436,2),IF(C382&gt;0,VLOOKUP(C382,КФСР!A271:B1783,2),IF(D382&gt;0,VLOOKUP(D382,КЦСР!A271:B4231,2),IF(E382&gt;0,VLOOKUP(E382,КВР!A271:B2199,2)))))</f>
        <v>Субсидии бюджетным учреждениям на иные цели</v>
      </c>
      <c r="B382" s="74"/>
      <c r="C382" s="64"/>
      <c r="D382" s="65"/>
      <c r="E382" s="66">
        <v>612</v>
      </c>
      <c r="F382" s="88">
        <v>218217</v>
      </c>
      <c r="G382" s="91"/>
      <c r="H382" s="30">
        <f>F382+G382</f>
        <v>218217</v>
      </c>
    </row>
    <row r="383" spans="1:9" s="16" customFormat="1" ht="31.5">
      <c r="A383" s="29" t="str">
        <f>IF(B383&gt;0,VLOOKUP(B383,КВСР!A272:B1437,2),IF(C383&gt;0,VLOOKUP(C383,КФСР!A272:B1784,2),IF(D383&gt;0,VLOOKUP(D383,КЦСР!A272:B4232,2),IF(E383&gt;0,VLOOKUP(E383,КВР!A272:B2200,2)))))</f>
        <v>Молодежная политика и оздоровление детей</v>
      </c>
      <c r="B383" s="74"/>
      <c r="C383" s="64">
        <v>707</v>
      </c>
      <c r="D383" s="65"/>
      <c r="E383" s="66"/>
      <c r="F383" s="63">
        <v>13786100</v>
      </c>
      <c r="G383" s="63">
        <f>G384+G393</f>
        <v>0</v>
      </c>
      <c r="H383" s="63">
        <f>H384+H393</f>
        <v>13786100</v>
      </c>
    </row>
    <row r="384" spans="1:9" s="16" customFormat="1" ht="31.5">
      <c r="A384" s="29" t="str">
        <f>IF(B384&gt;0,VLOOKUP(B384,КВСР!A273:B1438,2),IF(C384&gt;0,VLOOKUP(C384,КФСР!A273:B1785,2),IF(D384&gt;0,VLOOKUP(D384,КЦСР!A273:B4233,2),IF(E384&gt;0,VLOOKUP(E384,КВР!A273:B2201,2)))))</f>
        <v>Организационно-воспитательная работа с молодежью</v>
      </c>
      <c r="B384" s="74"/>
      <c r="C384" s="64"/>
      <c r="D384" s="65">
        <v>4310000</v>
      </c>
      <c r="E384" s="66"/>
      <c r="F384" s="63">
        <v>12004563</v>
      </c>
      <c r="G384" s="63">
        <f>G385+G390</f>
        <v>0</v>
      </c>
      <c r="H384" s="63">
        <f>H385+H390</f>
        <v>12004563</v>
      </c>
    </row>
    <row r="385" spans="1:8" s="16" customFormat="1" ht="31.5">
      <c r="A385" s="29" t="str">
        <f>IF(B385&gt;0,VLOOKUP(B385,КВСР!A274:B1439,2),IF(C385&gt;0,VLOOKUP(C385,КФСР!A274:B1786,2),IF(D385&gt;0,VLOOKUP(D385,КЦСР!A274:B4234,2),IF(E385&gt;0,VLOOKUP(E385,КВР!A274:B2202,2)))))</f>
        <v>Проведение мероприятий для детей и молодежи</v>
      </c>
      <c r="B385" s="74"/>
      <c r="C385" s="64"/>
      <c r="D385" s="65">
        <v>4310100</v>
      </c>
      <c r="E385" s="66"/>
      <c r="F385" s="63">
        <v>7870472</v>
      </c>
      <c r="G385" s="63">
        <f>G386+G388</f>
        <v>0</v>
      </c>
      <c r="H385" s="63">
        <f>H386+H388</f>
        <v>7870472</v>
      </c>
    </row>
    <row r="386" spans="1:8" s="16" customFormat="1" ht="47.25">
      <c r="A386" s="29" t="str">
        <f>IF(B386&gt;0,VLOOKUP(B386,КВСР!A275:B1440,2),IF(C386&gt;0,VLOOKUP(C386,КФСР!A275:B1787,2),IF(D386&gt;0,VLOOKUP(D386,КЦСР!A275:B4235,2),IF(E386&gt;0,VLOOKUP(E386,КВР!A275:B2203,2)))))</f>
        <v>Расходы на реализацию мероприятий по патриотическому воспитанию молодежи ЯО</v>
      </c>
      <c r="B386" s="74"/>
      <c r="C386" s="64"/>
      <c r="D386" s="65">
        <v>4310102</v>
      </c>
      <c r="E386" s="66"/>
      <c r="F386" s="30">
        <v>56000</v>
      </c>
      <c r="G386" s="30">
        <f>G387</f>
        <v>0</v>
      </c>
      <c r="H386" s="30">
        <f>H387</f>
        <v>56000</v>
      </c>
    </row>
    <row r="387" spans="1:8" s="16" customFormat="1" ht="31.5">
      <c r="A387" s="29" t="str">
        <f>IF(B387&gt;0,VLOOKUP(B387,КВСР!A276:B1441,2),IF(C387&gt;0,VLOOKUP(C387,КФСР!A276:B1788,2),IF(D387&gt;0,VLOOKUP(D387,КЦСР!A276:B4236,2),IF(E387&gt;0,VLOOKUP(E387,КВР!A276:B2204,2)))))</f>
        <v>Субсидии бюджетным учреждениям на иные цели</v>
      </c>
      <c r="B387" s="74"/>
      <c r="C387" s="64"/>
      <c r="D387" s="65"/>
      <c r="E387" s="66">
        <v>612</v>
      </c>
      <c r="F387" s="88">
        <v>56000</v>
      </c>
      <c r="G387" s="91"/>
      <c r="H387" s="30">
        <f>F387+G387</f>
        <v>56000</v>
      </c>
    </row>
    <row r="388" spans="1:8" s="16" customFormat="1" ht="31.5">
      <c r="A388" s="29" t="str">
        <f>IF(B388&gt;0,VLOOKUP(B388,КВСР!A277:B1442,2),IF(C388&gt;0,VLOOKUP(C388,КФСР!A277:B1789,2),IF(D388&gt;0,VLOOKUP(D388,КЦСР!A277:B4237,2),IF(E388&gt;0,VLOOKUP(E388,КВР!A277:B2205,2)))))</f>
        <v>Проведение мероприятий для детей и молодежи</v>
      </c>
      <c r="B388" s="74"/>
      <c r="C388" s="64"/>
      <c r="D388" s="65">
        <v>4310104</v>
      </c>
      <c r="E388" s="66"/>
      <c r="F388" s="88">
        <v>7814472</v>
      </c>
      <c r="G388" s="88">
        <f>G389</f>
        <v>0</v>
      </c>
      <c r="H388" s="88">
        <f>H389</f>
        <v>7814472</v>
      </c>
    </row>
    <row r="389" spans="1:8" s="16" customFormat="1" ht="78.75">
      <c r="A389" s="29" t="str">
        <f>IF(B389&gt;0,VLOOKUP(B389,КВСР!A278:B1443,2),IF(C389&gt;0,VLOOKUP(C389,КФСР!A278:B1790,2),IF(D389&gt;0,VLOOKUP(D389,КЦСР!A278:B4238,2),IF(E389&gt;0,VLOOKUP(E389,КВР!A278:B2206,2)))))</f>
        <v>Субсидии бюджетным учреждениям на финансовое обеспечение государственного задания на оказание государственных услуг (выполнение работ)</v>
      </c>
      <c r="B389" s="74"/>
      <c r="C389" s="64"/>
      <c r="D389" s="65"/>
      <c r="E389" s="66">
        <v>611</v>
      </c>
      <c r="F389" s="88">
        <v>7814472</v>
      </c>
      <c r="G389" s="91"/>
      <c r="H389" s="30">
        <f>F389+G389</f>
        <v>7814472</v>
      </c>
    </row>
    <row r="390" spans="1:8" s="16" customFormat="1" ht="31.5">
      <c r="A390" s="29" t="str">
        <f>IF(B390&gt;0,VLOOKUP(B390,КВСР!A279:B1444,2),IF(C390&gt;0,VLOOKUP(C390,КФСР!A279:B1791,2),IF(D390&gt;0,VLOOKUP(D390,КЦСР!A279:B4239,2),IF(E390&gt;0,VLOOKUP(E390,КВР!A279:B2207,2)))))</f>
        <v>Обеспечение деятельности подведомственных учреждений</v>
      </c>
      <c r="B390" s="74"/>
      <c r="C390" s="64"/>
      <c r="D390" s="65">
        <v>4319900</v>
      </c>
      <c r="E390" s="66"/>
      <c r="F390" s="88">
        <v>4134091</v>
      </c>
      <c r="G390" s="88">
        <f>G391+G392</f>
        <v>0</v>
      </c>
      <c r="H390" s="88">
        <f>H391+H392</f>
        <v>4134091</v>
      </c>
    </row>
    <row r="391" spans="1:8" s="16" customFormat="1" ht="78.75">
      <c r="A391" s="29" t="str">
        <f>IF(B391&gt;0,VLOOKUP(B391,КВСР!A280:B1445,2),IF(C391&gt;0,VLOOKUP(C391,КФСР!A280:B1792,2),IF(D391&gt;0,VLOOKUP(D391,КЦСР!A280:B4240,2),IF(E391&gt;0,VLOOKUP(E391,КВР!A280:B2208,2)))))</f>
        <v>Субсидии бюджетным учреждениям на финансовое обеспечение государственного задания на оказание государственных услуг (выполнение работ)</v>
      </c>
      <c r="B391" s="74"/>
      <c r="C391" s="64"/>
      <c r="D391" s="65"/>
      <c r="E391" s="66">
        <v>611</v>
      </c>
      <c r="F391" s="88">
        <v>4029091</v>
      </c>
      <c r="G391" s="91"/>
      <c r="H391" s="30">
        <f>F391+G391</f>
        <v>4029091</v>
      </c>
    </row>
    <row r="392" spans="1:8" s="16" customFormat="1" ht="31.5">
      <c r="A392" s="29" t="str">
        <f>IF(B392&gt;0,VLOOKUP(B392,КВСР!A281:B1446,2),IF(C392&gt;0,VLOOKUP(C392,КФСР!A281:B1793,2),IF(D392&gt;0,VLOOKUP(D392,КЦСР!A281:B4241,2),IF(E392&gt;0,VLOOKUP(E392,КВР!A281:B2209,2)))))</f>
        <v>Субсидии бюджетным учреждениям на иные цели</v>
      </c>
      <c r="B392" s="74"/>
      <c r="C392" s="64"/>
      <c r="D392" s="65"/>
      <c r="E392" s="66">
        <v>612</v>
      </c>
      <c r="F392" s="88">
        <v>105000</v>
      </c>
      <c r="G392" s="91"/>
      <c r="H392" s="30">
        <f>F392+G392</f>
        <v>105000</v>
      </c>
    </row>
    <row r="393" spans="1:8" s="16" customFormat="1" ht="24.75" customHeight="1">
      <c r="A393" s="29" t="str">
        <f>IF(B393&gt;0,VLOOKUP(B393,КВСР!A282:B1447,2),IF(C393&gt;0,VLOOKUP(C393,КФСР!A282:B1794,2),IF(D393&gt;0,VLOOKUP(D393,КЦСР!A282:B4242,2),IF(E393&gt;0,VLOOKUP(E393,КВР!A282:B2210,2)))))</f>
        <v>Региональные целевые программы</v>
      </c>
      <c r="B393" s="74"/>
      <c r="C393" s="64"/>
      <c r="D393" s="65">
        <v>5220000</v>
      </c>
      <c r="E393" s="66"/>
      <c r="F393" s="88">
        <v>1781537</v>
      </c>
      <c r="G393" s="88">
        <f>G397+G394</f>
        <v>0</v>
      </c>
      <c r="H393" s="88">
        <f>H397+H394</f>
        <v>1781537</v>
      </c>
    </row>
    <row r="394" spans="1:8" s="16" customFormat="1" ht="31.5">
      <c r="A394" s="29" t="str">
        <f>IF(B394&gt;0,VLOOKUP(B394,КВСР!A283:B1448,2),IF(C394&gt;0,VLOOKUP(C394,КФСР!A283:B1795,2),IF(D394&gt;0,VLOOKUP(D394,КЦСР!A283:B4243,2),IF(E394&gt;0,VLOOKUP(E394,КВР!A283:B2211,2)))))</f>
        <v>Областная комплексная целевая программа "Семья и дети Ярославии"</v>
      </c>
      <c r="B394" s="74"/>
      <c r="C394" s="64"/>
      <c r="D394" s="65">
        <v>5221300</v>
      </c>
      <c r="E394" s="66"/>
      <c r="F394" s="88">
        <v>259199</v>
      </c>
      <c r="G394" s="88">
        <f t="shared" ref="G394:H395" si="96">G395</f>
        <v>0</v>
      </c>
      <c r="H394" s="88">
        <f t="shared" si="96"/>
        <v>259199</v>
      </c>
    </row>
    <row r="395" spans="1:8" s="16" customFormat="1" ht="31.5">
      <c r="A395" s="29" t="str">
        <f>IF(B395&gt;0,VLOOKUP(B395,КВСР!A284:B1449,2),IF(C395&gt;0,VLOOKUP(C395,КФСР!A284:B1796,2),IF(D395&gt;0,VLOOKUP(D395,КЦСР!A284:B4244,2),IF(E395&gt;0,VLOOKUP(E395,КВР!A284:B2212,2)))))</f>
        <v>Подпрограмма "Ярославские каникулы" профильные лагеря</v>
      </c>
      <c r="B395" s="74"/>
      <c r="C395" s="64"/>
      <c r="D395" s="65">
        <v>5221310</v>
      </c>
      <c r="E395" s="66"/>
      <c r="F395" s="88">
        <v>259199</v>
      </c>
      <c r="G395" s="88">
        <f t="shared" si="96"/>
        <v>0</v>
      </c>
      <c r="H395" s="88">
        <f t="shared" si="96"/>
        <v>259199</v>
      </c>
    </row>
    <row r="396" spans="1:8" s="16" customFormat="1" ht="31.5">
      <c r="A396" s="29" t="str">
        <f>IF(B396&gt;0,VLOOKUP(B396,КВСР!A285:B1450,2),IF(C396&gt;0,VLOOKUP(C396,КФСР!A285:B1797,2),IF(D396&gt;0,VLOOKUP(D396,КЦСР!A285:B4245,2),IF(E396&gt;0,VLOOKUP(E396,КВР!A285:B2213,2)))))</f>
        <v>Субсидии бюджетным учреждениям на иные цели</v>
      </c>
      <c r="B396" s="74"/>
      <c r="C396" s="64"/>
      <c r="D396" s="65"/>
      <c r="E396" s="66">
        <v>612</v>
      </c>
      <c r="F396" s="88">
        <v>259199</v>
      </c>
      <c r="G396" s="91"/>
      <c r="H396" s="88">
        <f>F396+G396</f>
        <v>259199</v>
      </c>
    </row>
    <row r="397" spans="1:8" s="16" customFormat="1" ht="47.25">
      <c r="A397" s="29" t="str">
        <f>IF(B397&gt;0,VLOOKUP(B397,КВСР!A286:B1451,2),IF(C397&gt;0,VLOOKUP(C397,КФСР!A286:B1798,2),IF(D397&gt;0,VLOOKUP(D397,КЦСР!A286:B4246,2),IF(E397&gt;0,VLOOKUP(E397,КВР!A286:B2214,2)))))</f>
        <v>Региональная программа "Социальная поддержка пожилых граждан в Ярославской области"</v>
      </c>
      <c r="B397" s="74"/>
      <c r="C397" s="64"/>
      <c r="D397" s="65">
        <v>5226900</v>
      </c>
      <c r="E397" s="66"/>
      <c r="F397" s="88">
        <v>1522338</v>
      </c>
      <c r="G397" s="88">
        <f t="shared" ref="G397:H398" si="97">G398</f>
        <v>0</v>
      </c>
      <c r="H397" s="88">
        <f t="shared" si="97"/>
        <v>1522338</v>
      </c>
    </row>
    <row r="398" spans="1:8" s="16" customFormat="1" ht="63">
      <c r="A398" s="29" t="str">
        <f>IF(B398&gt;0,VLOOKUP(B398,КВСР!A287:B1452,2),IF(C398&gt;0,VLOOKUP(C398,КФСР!A287:B1799,2),IF(D398&gt;0,VLOOKUP(D398,КЦСР!A287:B4247,2),IF(E398&gt;0,VLOOKUP(E398,КВР!A287:B2215,2)))))</f>
        <v>Региональная программа "Социальная поддержка пожилых граждан в Ярославской области" в сфере молодежной политики</v>
      </c>
      <c r="B398" s="74"/>
      <c r="C398" s="64"/>
      <c r="D398" s="65">
        <v>5226905</v>
      </c>
      <c r="E398" s="66"/>
      <c r="F398" s="88">
        <v>1522338</v>
      </c>
      <c r="G398" s="88">
        <f t="shared" si="97"/>
        <v>0</v>
      </c>
      <c r="H398" s="88">
        <f t="shared" si="97"/>
        <v>1522338</v>
      </c>
    </row>
    <row r="399" spans="1:8" s="16" customFormat="1" ht="31.5">
      <c r="A399" s="29" t="str">
        <f>IF(B399&gt;0,VLOOKUP(B399,КВСР!A288:B1453,2),IF(C399&gt;0,VLOOKUP(C399,КФСР!A288:B1800,2),IF(D399&gt;0,VLOOKUP(D399,КЦСР!A288:B4248,2),IF(E399&gt;0,VLOOKUP(E399,КВР!A288:B2216,2)))))</f>
        <v>Субсидии бюджетным учреждениям на иные цели</v>
      </c>
      <c r="B399" s="74"/>
      <c r="C399" s="64"/>
      <c r="D399" s="65"/>
      <c r="E399" s="66">
        <v>612</v>
      </c>
      <c r="F399" s="88">
        <v>1522338</v>
      </c>
      <c r="G399" s="91"/>
      <c r="H399" s="30">
        <f>F399+G399</f>
        <v>1522338</v>
      </c>
    </row>
    <row r="400" spans="1:8" s="16" customFormat="1" ht="31.5">
      <c r="A400" s="29" t="str">
        <f>IF(B400&gt;0,VLOOKUP(B400,КВСР!A289:B1454,2),IF(C400&gt;0,VLOOKUP(C400,КФСР!A289:B1801,2),IF(D400&gt;0,VLOOKUP(D400,КЦСР!A289:B4249,2),IF(E400&gt;0,VLOOKUP(E400,КВР!A289:B2217,2)))))</f>
        <v>Другие вопросы в области образования</v>
      </c>
      <c r="B400" s="74"/>
      <c r="C400" s="64">
        <v>709</v>
      </c>
      <c r="D400" s="65"/>
      <c r="E400" s="66"/>
      <c r="F400" s="88">
        <v>18980</v>
      </c>
      <c r="G400" s="88">
        <f t="shared" ref="G400:H400" si="98">G401</f>
        <v>0</v>
      </c>
      <c r="H400" s="88">
        <f t="shared" si="98"/>
        <v>18980</v>
      </c>
    </row>
    <row r="401" spans="1:8" s="16" customFormat="1" ht="47.25">
      <c r="A401" s="29" t="str">
        <f>IF(B401&gt;0,VLOOKUP(B401,КВСР!A290:B1455,2),IF(C401&gt;0,VLOOKUP(C401,КФСР!A290:B1802,2),IF(D401&gt;0,VLOOKUP(D401,КЦСР!A290:B4250,2),IF(E401&gt;0,VLOOKUP(E401,КВР!A290:B2218,2)))))</f>
        <v>Реализация государственных функций, связанных с общегосударственным управлением</v>
      </c>
      <c r="B401" s="74"/>
      <c r="C401" s="64"/>
      <c r="D401" s="65">
        <v>920000</v>
      </c>
      <c r="E401" s="66"/>
      <c r="F401" s="88">
        <v>18980</v>
      </c>
      <c r="G401" s="88">
        <f t="shared" ref="G401:H401" si="99">G402</f>
        <v>0</v>
      </c>
      <c r="H401" s="88">
        <f t="shared" si="99"/>
        <v>18980</v>
      </c>
    </row>
    <row r="402" spans="1:8" s="16" customFormat="1" ht="63">
      <c r="A402" s="29" t="str">
        <f>IF(B402&gt;0,VLOOKUP(B402,КВСР!A291:B1456,2),IF(C402&gt;0,VLOOKUP(C402,КФСР!A291:B1803,2),IF(D402&gt;0,VLOOKUP(D402,КЦСР!A291:B4251,2),IF(E402&gt;0,VLOOKUP(E402,КВР!A291:B2219,2)))))</f>
        <v>Программа энергосбережения и повышения энергетической эффективности на период до 2020 года</v>
      </c>
      <c r="B402" s="74"/>
      <c r="C402" s="64"/>
      <c r="D402" s="65">
        <v>923400</v>
      </c>
      <c r="E402" s="66"/>
      <c r="F402" s="88">
        <v>18980</v>
      </c>
      <c r="G402" s="88">
        <f t="shared" ref="G402:H402" si="100">G403</f>
        <v>0</v>
      </c>
      <c r="H402" s="88">
        <f t="shared" si="100"/>
        <v>18980</v>
      </c>
    </row>
    <row r="403" spans="1:8" s="16" customFormat="1" ht="126">
      <c r="A403" s="29" t="str">
        <f>IF(B403&gt;0,VLOOKUP(B403,КВСР!A292:B1457,2),IF(C403&gt;0,VLOOKUP(C403,КФСР!A292:B1804,2),IF(D403&gt;0,VLOOKUP(D403,КЦСР!A292:B4252,2),IF(E403&gt;0,VLOOKUP(E403,КВР!A292:B2220,2)))))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403" s="74"/>
      <c r="C403" s="64"/>
      <c r="D403" s="65">
        <v>923403</v>
      </c>
      <c r="E403" s="66"/>
      <c r="F403" s="88">
        <v>18980</v>
      </c>
      <c r="G403" s="88">
        <f t="shared" ref="G403:H403" si="101">G404</f>
        <v>0</v>
      </c>
      <c r="H403" s="88">
        <f t="shared" si="101"/>
        <v>18980</v>
      </c>
    </row>
    <row r="404" spans="1:8" s="16" customFormat="1" ht="31.5">
      <c r="A404" s="29" t="str">
        <f>IF(B404&gt;0,VLOOKUP(B404,КВСР!A293:B1458,2),IF(C404&gt;0,VLOOKUP(C404,КФСР!A293:B1805,2),IF(D404&gt;0,VLOOKUP(D404,КЦСР!A293:B4253,2),IF(E404&gt;0,VLOOKUP(E404,КВР!A293:B2221,2)))))</f>
        <v>Субсидии бюджетным учреждениям на иные цели</v>
      </c>
      <c r="B404" s="74"/>
      <c r="C404" s="64"/>
      <c r="D404" s="65"/>
      <c r="E404" s="66">
        <v>612</v>
      </c>
      <c r="F404" s="88">
        <v>18980</v>
      </c>
      <c r="G404" s="91"/>
      <c r="H404" s="30">
        <f>F404+G404</f>
        <v>18980</v>
      </c>
    </row>
    <row r="405" spans="1:8" s="16" customFormat="1">
      <c r="A405" s="29" t="str">
        <f>IF(B405&gt;0,VLOOKUP(B405,КВСР!A294:B1459,2),IF(C405&gt;0,VLOOKUP(C405,КФСР!A294:B1806,2),IF(D405&gt;0,VLOOKUP(D405,КЦСР!A294:B4254,2),IF(E405&gt;0,VLOOKUP(E405,КВР!A294:B2222,2)))))</f>
        <v>Культура</v>
      </c>
      <c r="B405" s="74"/>
      <c r="C405" s="64">
        <v>801</v>
      </c>
      <c r="D405" s="77"/>
      <c r="E405" s="78"/>
      <c r="F405" s="63">
        <v>67596958</v>
      </c>
      <c r="G405" s="63">
        <f>G406+G417+G421</f>
        <v>23000</v>
      </c>
      <c r="H405" s="63">
        <f>H406+H417+H421</f>
        <v>67619958</v>
      </c>
    </row>
    <row r="406" spans="1:8" s="16" customFormat="1" ht="31.5">
      <c r="A406" s="29" t="str">
        <f>IF(B406&gt;0,VLOOKUP(B406,КВСР!A290:B1455,2),IF(C406&gt;0,VLOOKUP(C406,КФСР!A290:B1802,2),IF(D406&gt;0,VLOOKUP(D406,КЦСР!A290:B4250,2),IF(E406&gt;0,VLOOKUP(E406,КВР!A290:B2218,2)))))</f>
        <v>Учреждения культуры и мероприятия в сфере культуры и кинематографии</v>
      </c>
      <c r="B406" s="74"/>
      <c r="C406" s="64"/>
      <c r="D406" s="77">
        <v>4400000</v>
      </c>
      <c r="E406" s="78"/>
      <c r="F406" s="63">
        <v>52185074</v>
      </c>
      <c r="G406" s="63">
        <f>G407+G409+G414+G411</f>
        <v>23000</v>
      </c>
      <c r="H406" s="63">
        <f>H407+H409+H414+H411</f>
        <v>52208074</v>
      </c>
    </row>
    <row r="407" spans="1:8" s="16" customFormat="1" ht="31.5">
      <c r="A407" s="29" t="str">
        <f>IF(B407&gt;0,VLOOKUP(B407,КВСР!A291:B1456,2),IF(C407&gt;0,VLOOKUP(C407,КФСР!A291:B1803,2),IF(D407&gt;0,VLOOKUP(D407,КЦСР!A291:B4251,2),IF(E407&gt;0,VLOOKUP(E407,КВР!A291:B2219,2)))))</f>
        <v>Мероприятия в сфере культуры и кинематографии</v>
      </c>
      <c r="B407" s="74"/>
      <c r="C407" s="64"/>
      <c r="D407" s="77">
        <v>4400100</v>
      </c>
      <c r="E407" s="78"/>
      <c r="F407" s="63">
        <v>330000</v>
      </c>
      <c r="G407" s="63">
        <f>G408</f>
        <v>0</v>
      </c>
      <c r="H407" s="63">
        <f>H408</f>
        <v>330000</v>
      </c>
    </row>
    <row r="408" spans="1:8" s="16" customFormat="1" ht="78.75">
      <c r="A408" s="29" t="str">
        <f>IF(B408&gt;0,VLOOKUP(B408,КВСР!A292:B1457,2),IF(C408&gt;0,VLOOKUP(C408,КФСР!A292:B1804,2),IF(D408&gt;0,VLOOKUP(D408,КЦСР!A292:B4252,2),IF(E408&gt;0,VLOOKUP(E408,КВР!A292:B2220,2)))))</f>
        <v>Субсидии бюджетным учреждениям на финансовое обеспечение государственного задания на оказание государственных услуг (выполнение работ)</v>
      </c>
      <c r="B408" s="74"/>
      <c r="C408" s="64"/>
      <c r="D408" s="77"/>
      <c r="E408" s="78">
        <v>611</v>
      </c>
      <c r="F408" s="63">
        <v>330000</v>
      </c>
      <c r="G408" s="92"/>
      <c r="H408" s="31">
        <f>F408+G408</f>
        <v>330000</v>
      </c>
    </row>
    <row r="409" spans="1:8" s="16" customFormat="1" ht="47.25">
      <c r="A409" s="29" t="str">
        <f>IF(B409&gt;0,VLOOKUP(B409,КВСР!A293:B1458,2),IF(C409&gt;0,VLOOKUP(C409,КФСР!A293:B1805,2),IF(D409&gt;0,VLOOKUP(D409,КЦСР!A293:B4253,2),IF(E409&gt;0,VLOOKUP(E409,КВР!A293:B2221,2)))))</f>
        <v>Комплектование книжных фондов библиотек муниципальных образований</v>
      </c>
      <c r="B409" s="74"/>
      <c r="C409" s="64"/>
      <c r="D409" s="77">
        <v>4400200</v>
      </c>
      <c r="E409" s="78"/>
      <c r="F409" s="63">
        <v>155000</v>
      </c>
      <c r="G409" s="63">
        <f>G410</f>
        <v>0</v>
      </c>
      <c r="H409" s="63">
        <f>H410</f>
        <v>155000</v>
      </c>
    </row>
    <row r="410" spans="1:8" s="16" customFormat="1" ht="31.5">
      <c r="A410" s="29" t="str">
        <f>IF(B410&gt;0,VLOOKUP(B410,КВСР!A294:B1459,2),IF(C410&gt;0,VLOOKUP(C410,КФСР!A294:B1806,2),IF(D410&gt;0,VLOOKUP(D410,КЦСР!A294:B4254,2),IF(E410&gt;0,VLOOKUP(E410,КВР!A294:B2222,2)))))</f>
        <v>Субсидии бюджетным учреждениям на иные цели</v>
      </c>
      <c r="B410" s="74"/>
      <c r="C410" s="64"/>
      <c r="D410" s="77"/>
      <c r="E410" s="78">
        <v>612</v>
      </c>
      <c r="F410" s="63">
        <v>155000</v>
      </c>
      <c r="G410" s="92"/>
      <c r="H410" s="31">
        <f>F410+G410</f>
        <v>155000</v>
      </c>
    </row>
    <row r="411" spans="1:8" s="16" customFormat="1" ht="47.25">
      <c r="A411" s="29" t="str">
        <f>IF(B411&gt;0,VLOOKUP(B411,КВСР!A295:B1460,2),IF(C411&gt;0,VLOOKUP(C411,КФСР!A295:B1807,2),IF(D411&gt;0,VLOOKUP(D411,КЦСР!A295:B4255,2),IF(E411&gt;0,VLOOKUP(E411,КВР!A295:B2223,2)))))</f>
        <v>Подключение общедоступных библиотек Российской Федерации к сети Интернет</v>
      </c>
      <c r="B411" s="74"/>
      <c r="C411" s="64"/>
      <c r="D411" s="77">
        <v>4400900</v>
      </c>
      <c r="E411" s="78"/>
      <c r="F411" s="63">
        <f>F412</f>
        <v>0</v>
      </c>
      <c r="G411" s="63">
        <f t="shared" ref="G411:H411" si="102">G412</f>
        <v>23000</v>
      </c>
      <c r="H411" s="63">
        <f t="shared" si="102"/>
        <v>23000</v>
      </c>
    </row>
    <row r="412" spans="1:8" s="16" customFormat="1" ht="47.25">
      <c r="A412" s="29" t="str">
        <f>IF(B412&gt;0,VLOOKUP(B412,КВСР!A296:B1461,2),IF(C412&gt;0,VLOOKUP(C412,КФСР!A296:B1808,2),IF(D412&gt;0,VLOOKUP(D412,КЦСР!A296:B4256,2),IF(E412&gt;0,VLOOKUP(E412,КВР!A296:B2224,2)))))</f>
        <v>Подключение общедоступных библиотек Российской Федерации к сети Интернет</v>
      </c>
      <c r="B412" s="74"/>
      <c r="C412" s="64"/>
      <c r="D412" s="77">
        <v>4400901</v>
      </c>
      <c r="E412" s="78"/>
      <c r="F412" s="63">
        <f>F413</f>
        <v>0</v>
      </c>
      <c r="G412" s="63">
        <f t="shared" ref="G412:H412" si="103">G413</f>
        <v>23000</v>
      </c>
      <c r="H412" s="63">
        <f t="shared" si="103"/>
        <v>23000</v>
      </c>
    </row>
    <row r="413" spans="1:8" s="16" customFormat="1" ht="31.5">
      <c r="A413" s="29" t="str">
        <f>IF(B413&gt;0,VLOOKUP(B413,КВСР!A297:B1462,2),IF(C413&gt;0,VLOOKUP(C413,КФСР!A297:B1809,2),IF(D413&gt;0,VLOOKUP(D413,КЦСР!A297:B4257,2),IF(E413&gt;0,VLOOKUP(E413,КВР!A297:B2225,2)))))</f>
        <v>Субсидии бюджетным учреждениям на иные цели</v>
      </c>
      <c r="B413" s="74"/>
      <c r="C413" s="64"/>
      <c r="D413" s="77"/>
      <c r="E413" s="78">
        <v>612</v>
      </c>
      <c r="F413" s="63"/>
      <c r="G413" s="92">
        <v>23000</v>
      </c>
      <c r="H413" s="31">
        <f>F413+G413</f>
        <v>23000</v>
      </c>
    </row>
    <row r="414" spans="1:8" s="16" customFormat="1" ht="31.5">
      <c r="A414" s="29" t="str">
        <f>IF(B414&gt;0,VLOOKUP(B414,КВСР!A295:B1460,2),IF(C414&gt;0,VLOOKUP(C414,КФСР!A295:B1807,2),IF(D414&gt;0,VLOOKUP(D414,КЦСР!A295:B4255,2),IF(E414&gt;0,VLOOKUP(E414,КВР!A295:B2223,2)))))</f>
        <v>Обеспечение деятельности подведомственных учреждений</v>
      </c>
      <c r="B414" s="74"/>
      <c r="C414" s="64"/>
      <c r="D414" s="65">
        <v>4409900</v>
      </c>
      <c r="E414" s="66"/>
      <c r="F414" s="63">
        <v>51700074</v>
      </c>
      <c r="G414" s="63">
        <f>G415+G416</f>
        <v>0</v>
      </c>
      <c r="H414" s="63">
        <f>H415+H416</f>
        <v>51700074</v>
      </c>
    </row>
    <row r="415" spans="1:8" s="16" customFormat="1" ht="78.75">
      <c r="A415" s="29" t="str">
        <f>IF(B415&gt;0,VLOOKUP(B415,КВСР!A296:B1461,2),IF(C415&gt;0,VLOOKUP(C415,КФСР!A296:B1808,2),IF(D415&gt;0,VLOOKUP(D415,КЦСР!A296:B4256,2),IF(E415&gt;0,VLOOKUP(E415,КВР!A296:B2224,2)))))</f>
        <v>Субсидии бюджетным учреждениям на финансовое обеспечение государственного задания на оказание государственных услуг (выполнение работ)</v>
      </c>
      <c r="B415" s="74"/>
      <c r="C415" s="64"/>
      <c r="D415" s="65"/>
      <c r="E415" s="66">
        <v>611</v>
      </c>
      <c r="F415" s="88">
        <v>51276574</v>
      </c>
      <c r="G415" s="91"/>
      <c r="H415" s="30">
        <f>F415+G415</f>
        <v>51276574</v>
      </c>
    </row>
    <row r="416" spans="1:8" s="16" customFormat="1" ht="31.5">
      <c r="A416" s="29" t="str">
        <f>IF(B416&gt;0,VLOOKUP(B416,КВСР!A297:B1462,2),IF(C416&gt;0,VLOOKUP(C416,КФСР!A297:B1809,2),IF(D416&gt;0,VLOOKUP(D416,КЦСР!A297:B4257,2),IF(E416&gt;0,VLOOKUP(E416,КВР!A297:B2225,2)))))</f>
        <v>Субсидии бюджетным учреждениям на иные цели</v>
      </c>
      <c r="B416" s="74"/>
      <c r="C416" s="64"/>
      <c r="D416" s="65"/>
      <c r="E416" s="66">
        <v>612</v>
      </c>
      <c r="F416" s="88">
        <v>423500</v>
      </c>
      <c r="G416" s="91"/>
      <c r="H416" s="30">
        <f>F416+G416</f>
        <v>423500</v>
      </c>
    </row>
    <row r="417" spans="1:8" s="16" customFormat="1" ht="22.5" customHeight="1">
      <c r="A417" s="29" t="str">
        <f>IF(B417&gt;0,VLOOKUP(B417,КВСР!A298:B1463,2),IF(C417&gt;0,VLOOKUP(C417,КФСР!A298:B1810,2),IF(D417&gt;0,VLOOKUP(D417,КЦСР!A298:B4258,2),IF(E417&gt;0,VLOOKUP(E417,КВР!A298:B2226,2)))))</f>
        <v>Библиотеки</v>
      </c>
      <c r="B417" s="74"/>
      <c r="C417" s="64"/>
      <c r="D417" s="65">
        <v>4420000</v>
      </c>
      <c r="E417" s="66"/>
      <c r="F417" s="63">
        <v>13438425</v>
      </c>
      <c r="G417" s="63">
        <f>G418</f>
        <v>0</v>
      </c>
      <c r="H417" s="63">
        <f>H418</f>
        <v>13438425</v>
      </c>
    </row>
    <row r="418" spans="1:8" s="16" customFormat="1" ht="31.5">
      <c r="A418" s="29" t="str">
        <f>IF(B418&gt;0,VLOOKUP(B418,КВСР!A299:B1464,2),IF(C418&gt;0,VLOOKUP(C418,КФСР!A299:B1811,2),IF(D418&gt;0,VLOOKUP(D418,КЦСР!A299:B4259,2),IF(E418&gt;0,VLOOKUP(E418,КВР!A299:B2227,2)))))</f>
        <v>Обеспечение деятельности подведомственных учреждений</v>
      </c>
      <c r="B418" s="74"/>
      <c r="C418" s="64"/>
      <c r="D418" s="65">
        <v>4429900</v>
      </c>
      <c r="E418" s="66"/>
      <c r="F418" s="63">
        <v>13438425</v>
      </c>
      <c r="G418" s="63">
        <f>G419+G420</f>
        <v>0</v>
      </c>
      <c r="H418" s="63">
        <f>H419+H420</f>
        <v>13438425</v>
      </c>
    </row>
    <row r="419" spans="1:8" s="16" customFormat="1" ht="78.75">
      <c r="A419" s="29" t="str">
        <f>IF(B419&gt;0,VLOOKUP(B419,КВСР!A300:B1465,2),IF(C419&gt;0,VLOOKUP(C419,КФСР!A300:B1812,2),IF(D419&gt;0,VLOOKUP(D419,КЦСР!A300:B4260,2),IF(E419&gt;0,VLOOKUP(E419,КВР!A300:B2228,2)))))</f>
        <v>Субсидии бюджетным учреждениям на финансовое обеспечение государственного задания на оказание государственных услуг (выполнение работ)</v>
      </c>
      <c r="B419" s="74"/>
      <c r="C419" s="64"/>
      <c r="D419" s="65"/>
      <c r="E419" s="66">
        <v>611</v>
      </c>
      <c r="F419" s="88">
        <v>13198425</v>
      </c>
      <c r="G419" s="91"/>
      <c r="H419" s="30">
        <f>F419+G419</f>
        <v>13198425</v>
      </c>
    </row>
    <row r="420" spans="1:8" s="16" customFormat="1" ht="31.5">
      <c r="A420" s="29" t="str">
        <f>IF(B420&gt;0,VLOOKUP(B420,КВСР!A301:B1466,2),IF(C420&gt;0,VLOOKUP(C420,КФСР!A301:B1813,2),IF(D420&gt;0,VLOOKUP(D420,КЦСР!A301:B4261,2),IF(E420&gt;0,VLOOKUP(E420,КВР!A301:B2229,2)))))</f>
        <v>Субсидии бюджетным учреждениям на иные цели</v>
      </c>
      <c r="B420" s="74"/>
      <c r="C420" s="64"/>
      <c r="D420" s="65"/>
      <c r="E420" s="66">
        <v>612</v>
      </c>
      <c r="F420" s="88">
        <v>240000</v>
      </c>
      <c r="G420" s="91"/>
      <c r="H420" s="30">
        <f>F420+G420</f>
        <v>240000</v>
      </c>
    </row>
    <row r="421" spans="1:8" s="16" customFormat="1" ht="23.25" customHeight="1">
      <c r="A421" s="29" t="str">
        <f>IF(B421&gt;0,VLOOKUP(B421,КВСР!A302:B1467,2),IF(C421&gt;0,VLOOKUP(C421,КФСР!A302:B1814,2),IF(D421&gt;0,VLOOKUP(D421,КЦСР!A302:B4262,2),IF(E421&gt;0,VLOOKUP(E421,КВР!A302:B2230,2)))))</f>
        <v>Региональные целевые программы</v>
      </c>
      <c r="B421" s="74"/>
      <c r="C421" s="64"/>
      <c r="D421" s="65">
        <v>5220000</v>
      </c>
      <c r="E421" s="66"/>
      <c r="F421" s="30">
        <v>1973459</v>
      </c>
      <c r="G421" s="30">
        <f>G422+G425</f>
        <v>0</v>
      </c>
      <c r="H421" s="30">
        <f>H422+H425</f>
        <v>1973459</v>
      </c>
    </row>
    <row r="422" spans="1:8" s="16" customFormat="1" ht="31.5">
      <c r="A422" s="29" t="str">
        <f>IF(B422&gt;0,VLOOKUP(B422,КВСР!A303:B1468,2),IF(C422&gt;0,VLOOKUP(C422,КФСР!A303:B1815,2),IF(D422&gt;0,VLOOKUP(D422,КЦСР!A303:B4263,2),IF(E422&gt;0,VLOOKUP(E422,КВР!A303:B2231,2)))))</f>
        <v>ОЦП "развитие МТБ учреждений культуры ЯО"</v>
      </c>
      <c r="B422" s="74"/>
      <c r="C422" s="64"/>
      <c r="D422" s="65">
        <v>5226100</v>
      </c>
      <c r="E422" s="66"/>
      <c r="F422" s="30">
        <v>1875659</v>
      </c>
      <c r="G422" s="30">
        <f t="shared" ref="G422:H423" si="104">G423</f>
        <v>0</v>
      </c>
      <c r="H422" s="30">
        <f t="shared" si="104"/>
        <v>1875659</v>
      </c>
    </row>
    <row r="423" spans="1:8" s="16" customFormat="1" ht="31.5">
      <c r="A423" s="29" t="str">
        <f>IF(B423&gt;0,VLOOKUP(B423,КВСР!A304:B1469,2),IF(C423&gt;0,VLOOKUP(C423,КФСР!A304:B1816,2),IF(D423&gt;0,VLOOKUP(D423,КЦСР!A304:B4264,2),IF(E423&gt;0,VLOOKUP(E423,КВР!A304:B2232,2)))))</f>
        <v>ОЦП "Развитие МТБ учреждений культуры ЯО"</v>
      </c>
      <c r="B423" s="74"/>
      <c r="C423" s="64"/>
      <c r="D423" s="65">
        <v>5226102</v>
      </c>
      <c r="E423" s="66"/>
      <c r="F423" s="30">
        <v>1875659</v>
      </c>
      <c r="G423" s="30">
        <f t="shared" si="104"/>
        <v>0</v>
      </c>
      <c r="H423" s="30">
        <f t="shared" si="104"/>
        <v>1875659</v>
      </c>
    </row>
    <row r="424" spans="1:8" s="16" customFormat="1" ht="63">
      <c r="A424" s="29" t="str">
        <f>IF(B424&gt;0,VLOOKUP(B424,КВСР!A305:B1470,2),IF(C424&gt;0,VLOOKUP(C424,КФСР!A305:B1817,2),IF(D424&gt;0,VLOOKUP(D424,КЦСР!A305:B4265,2),IF(E424&gt;0,VLOOKUP(E424,КВР!A305:B2233,2)))))</f>
        <v>Бюджетные инвестиции в объекты государственной собственности бюджетным учреждениям вне рамок государственного оборонного заказа</v>
      </c>
      <c r="B424" s="74"/>
      <c r="C424" s="64"/>
      <c r="D424" s="65"/>
      <c r="E424" s="66">
        <v>413</v>
      </c>
      <c r="F424" s="88">
        <v>1875659</v>
      </c>
      <c r="G424" s="91"/>
      <c r="H424" s="30">
        <f>F424+G424</f>
        <v>1875659</v>
      </c>
    </row>
    <row r="425" spans="1:8" s="16" customFormat="1" ht="47.25">
      <c r="A425" s="29" t="str">
        <f>IF(B425&gt;0,VLOOKUP(B425,КВСР!A306:B1471,2),IF(C425&gt;0,VLOOKUP(C425,КФСР!A306:B1818,2),IF(D425&gt;0,VLOOKUP(D425,КЦСР!A306:B4266,2),IF(E425&gt;0,VLOOKUP(E425,КВР!A306:B2234,2)))))</f>
        <v>Региональная программа "Социальная поддержка пожилых граждан в Ярославской области"</v>
      </c>
      <c r="B425" s="74"/>
      <c r="C425" s="64"/>
      <c r="D425" s="65">
        <v>5226900</v>
      </c>
      <c r="E425" s="66"/>
      <c r="F425" s="88">
        <v>97800</v>
      </c>
      <c r="G425" s="88">
        <f t="shared" ref="G425:H426" si="105">G426</f>
        <v>0</v>
      </c>
      <c r="H425" s="88">
        <f t="shared" si="105"/>
        <v>97800</v>
      </c>
    </row>
    <row r="426" spans="1:8" s="16" customFormat="1" ht="63">
      <c r="A426" s="29" t="str">
        <f>IF(B426&gt;0,VLOOKUP(B426,КВСР!A307:B1472,2),IF(C426&gt;0,VLOOKUP(C426,КФСР!A307:B1819,2),IF(D426&gt;0,VLOOKUP(D426,КЦСР!A307:B4267,2),IF(E426&gt;0,VLOOKUP(E426,КВР!A307:B2235,2)))))</f>
        <v>Региональная программа "Социальная поддержка пожилых граждан в Ярославской области" в сфере культуры</v>
      </c>
      <c r="B426" s="74"/>
      <c r="C426" s="64"/>
      <c r="D426" s="65">
        <v>5226904</v>
      </c>
      <c r="E426" s="66"/>
      <c r="F426" s="88">
        <v>97800</v>
      </c>
      <c r="G426" s="88">
        <f t="shared" si="105"/>
        <v>0</v>
      </c>
      <c r="H426" s="88">
        <f t="shared" si="105"/>
        <v>97800</v>
      </c>
    </row>
    <row r="427" spans="1:8" s="16" customFormat="1" ht="31.5">
      <c r="A427" s="29" t="str">
        <f>IF(B427&gt;0,VLOOKUP(B427,КВСР!A308:B1473,2),IF(C427&gt;0,VLOOKUP(C427,КФСР!A308:B1820,2),IF(D427&gt;0,VLOOKUP(D427,КЦСР!A308:B4268,2),IF(E427&gt;0,VLOOKUP(E427,КВР!A308:B2236,2)))))</f>
        <v>Субсидии бюджетным учреждениям на иные цели</v>
      </c>
      <c r="B427" s="74"/>
      <c r="C427" s="64"/>
      <c r="D427" s="65"/>
      <c r="E427" s="66">
        <v>612</v>
      </c>
      <c r="F427" s="88">
        <v>97800</v>
      </c>
      <c r="G427" s="91"/>
      <c r="H427" s="30">
        <f>F427+G427</f>
        <v>97800</v>
      </c>
    </row>
    <row r="428" spans="1:8" ht="31.5">
      <c r="A428" s="29" t="str">
        <f>IF(B428&gt;0,VLOOKUP(B428,КВСР!A309:B1474,2),IF(C428&gt;0,VLOOKUP(C428,КФСР!A309:B1821,2),IF(D428&gt;0,VLOOKUP(D428,КЦСР!A309:B4269,2),IF(E428&gt;0,VLOOKUP(E428,КВР!A309:B2237,2)))))</f>
        <v>Другие вопросы в области культуры, кинематографии</v>
      </c>
      <c r="B428" s="74"/>
      <c r="C428" s="64">
        <v>804</v>
      </c>
      <c r="D428" s="65"/>
      <c r="E428" s="66"/>
      <c r="F428" s="88">
        <v>8663401</v>
      </c>
      <c r="G428" s="88">
        <f>G429+G441+G437</f>
        <v>0</v>
      </c>
      <c r="H428" s="88">
        <f>H429+H441+H447+H437</f>
        <v>8663401</v>
      </c>
    </row>
    <row r="429" spans="1:8" ht="78.75">
      <c r="A429" s="29" t="str">
        <f>IF(B429&gt;0,VLOOKUP(B429,КВСР!A310:B1475,2),IF(C429&gt;0,VLOOKUP(C429,КФСР!A310:B1822,2),IF(D429&gt;0,VLOOKUP(D429,КЦСР!A310:B4270,2),IF(E429&gt;0,VLOOKUP(E429,КВР!A310:B2238,2)))))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429" s="74"/>
      <c r="C429" s="64"/>
      <c r="D429" s="65">
        <v>20000</v>
      </c>
      <c r="E429" s="66"/>
      <c r="F429" s="88">
        <v>4161711</v>
      </c>
      <c r="G429" s="88">
        <f>G430</f>
        <v>0</v>
      </c>
      <c r="H429" s="88">
        <f>H430</f>
        <v>4161711</v>
      </c>
    </row>
    <row r="430" spans="1:8" ht="27.75" customHeight="1">
      <c r="A430" s="29" t="str">
        <f>IF(B430&gt;0,VLOOKUP(B430,КВСР!A311:B1476,2),IF(C430&gt;0,VLOOKUP(C430,КФСР!A311:B1823,2),IF(D430&gt;0,VLOOKUP(D430,КЦСР!A311:B4271,2),IF(E430&gt;0,VLOOKUP(E430,КВР!A311:B2239,2)))))</f>
        <v>Центральный аппарат</v>
      </c>
      <c r="B430" s="74"/>
      <c r="C430" s="64"/>
      <c r="D430" s="65">
        <v>20400</v>
      </c>
      <c r="E430" s="66"/>
      <c r="F430" s="88">
        <v>4161711</v>
      </c>
      <c r="G430" s="88">
        <f>SUM(G431:G436)</f>
        <v>0</v>
      </c>
      <c r="H430" s="88">
        <f>SUM(H431:H436)</f>
        <v>4161711</v>
      </c>
    </row>
    <row r="431" spans="1:8" ht="31.5">
      <c r="A431" s="29" t="str">
        <f>IF(B431&gt;0,VLOOKUP(B431,КВСР!A312:B1477,2),IF(C431&gt;0,VLOOKUP(C431,КФСР!A312:B1824,2),IF(D431&gt;0,VLOOKUP(D431,КЦСР!A312:B4272,2),IF(E431&gt;0,VLOOKUP(E431,КВР!A312:B2240,2)))))</f>
        <v>Фонд оплаты труда и страховые взносы</v>
      </c>
      <c r="B431" s="74"/>
      <c r="C431" s="64"/>
      <c r="D431" s="65"/>
      <c r="E431" s="66">
        <v>121</v>
      </c>
      <c r="F431" s="88">
        <v>3571406</v>
      </c>
      <c r="G431" s="91"/>
      <c r="H431" s="30">
        <f t="shared" ref="H431:H436" si="106">F431+G431</f>
        <v>3571406</v>
      </c>
    </row>
    <row r="432" spans="1:8" ht="31.5">
      <c r="A432" s="29" t="str">
        <f>IF(B432&gt;0,VLOOKUP(B432,КВСР!A313:B1478,2),IF(C432&gt;0,VLOOKUP(C432,КФСР!A313:B1825,2),IF(D432&gt;0,VLOOKUP(D432,КЦСР!A313:B4273,2),IF(E432&gt;0,VLOOKUP(E432,КВР!A313:B2241,2)))))</f>
        <v>Иные выплаты персоналу, за исключением фонда оплаты труда</v>
      </c>
      <c r="B432" s="74"/>
      <c r="C432" s="64"/>
      <c r="D432" s="65"/>
      <c r="E432" s="66">
        <v>122</v>
      </c>
      <c r="F432" s="88">
        <v>3000</v>
      </c>
      <c r="G432" s="91"/>
      <c r="H432" s="30">
        <f t="shared" si="106"/>
        <v>3000</v>
      </c>
    </row>
    <row r="433" spans="1:8" ht="47.25">
      <c r="A433" s="29" t="str">
        <f>IF(B433&gt;0,VLOOKUP(B433,КВСР!A314:B1479,2),IF(C433&gt;0,VLOOKUP(C433,КФСР!A314:B1826,2),IF(D433&gt;0,VLOOKUP(D433,КЦСР!A314:B4274,2),IF(E433&gt;0,VLOOKUP(E433,КВР!A314:B2242,2)))))</f>
        <v>Закупка товаров, работ, услуг в сфере информационно-коммуникационных технологий</v>
      </c>
      <c r="B433" s="74"/>
      <c r="C433" s="64"/>
      <c r="D433" s="65"/>
      <c r="E433" s="66">
        <v>242</v>
      </c>
      <c r="F433" s="88">
        <v>152980</v>
      </c>
      <c r="G433" s="91"/>
      <c r="H433" s="30">
        <f t="shared" si="106"/>
        <v>152980</v>
      </c>
    </row>
    <row r="434" spans="1:8" ht="31.5">
      <c r="A434" s="29" t="str">
        <f>IF(B434&gt;0,VLOOKUP(B434,КВСР!A315:B1480,2),IF(C434&gt;0,VLOOKUP(C434,КФСР!A315:B1827,2),IF(D434&gt;0,VLOOKUP(D434,КЦСР!A315:B4275,2),IF(E434&gt;0,VLOOKUP(E434,КВР!A315:B2243,2)))))</f>
        <v>Прочая закупка товаров, работ и услуг для государственных нужд</v>
      </c>
      <c r="B434" s="74"/>
      <c r="C434" s="64"/>
      <c r="D434" s="65"/>
      <c r="E434" s="66">
        <v>244</v>
      </c>
      <c r="F434" s="88">
        <v>247020</v>
      </c>
      <c r="G434" s="91"/>
      <c r="H434" s="30">
        <f t="shared" si="106"/>
        <v>247020</v>
      </c>
    </row>
    <row r="435" spans="1:8" ht="31.5">
      <c r="A435" s="29" t="str">
        <f>IF(B435&gt;0,VLOOKUP(B435,КВСР!A316:B1481,2),IF(C435&gt;0,VLOOKUP(C435,КФСР!A316:B1828,2),IF(D435&gt;0,VLOOKUP(D435,КЦСР!A316:B4276,2),IF(E435&gt;0,VLOOKUP(E435,КВР!A316:B2244,2)))))</f>
        <v>Уплата налога на имущество организаций и земельного налога</v>
      </c>
      <c r="B435" s="74"/>
      <c r="C435" s="64"/>
      <c r="D435" s="65"/>
      <c r="E435" s="66">
        <v>851</v>
      </c>
      <c r="F435" s="88">
        <v>186305</v>
      </c>
      <c r="G435" s="91"/>
      <c r="H435" s="30">
        <f t="shared" si="106"/>
        <v>186305</v>
      </c>
    </row>
    <row r="436" spans="1:8" ht="31.5">
      <c r="A436" s="29" t="str">
        <f>IF(B436&gt;0,VLOOKUP(B436,КВСР!A317:B1482,2),IF(C436&gt;0,VLOOKUP(C436,КФСР!A317:B1829,2),IF(D436&gt;0,VLOOKUP(D436,КЦСР!A317:B4277,2),IF(E436&gt;0,VLOOKUP(E436,КВР!A317:B2245,2)))))</f>
        <v>Уплата прочих налогов, сборов и иных обязательных платежей</v>
      </c>
      <c r="B436" s="74"/>
      <c r="C436" s="64"/>
      <c r="D436" s="65"/>
      <c r="E436" s="66">
        <v>852</v>
      </c>
      <c r="F436" s="88">
        <v>1000</v>
      </c>
      <c r="G436" s="91"/>
      <c r="H436" s="30">
        <f t="shared" si="106"/>
        <v>1000</v>
      </c>
    </row>
    <row r="437" spans="1:8" ht="47.25">
      <c r="A437" s="29" t="str">
        <f>IF(B437&gt;0,VLOOKUP(B437,КВСР!A318:B1483,2),IF(C437&gt;0,VLOOKUP(C437,КФСР!A318:B1830,2),IF(D437&gt;0,VLOOKUP(D437,КЦСР!A318:B4278,2),IF(E437&gt;0,VLOOKUP(E437,КВР!A318:B2246,2)))))</f>
        <v>Реализация государственных функций, связанных с общегосударственным управлением</v>
      </c>
      <c r="B437" s="74"/>
      <c r="C437" s="64"/>
      <c r="D437" s="65">
        <v>920000</v>
      </c>
      <c r="E437" s="66"/>
      <c r="F437" s="88">
        <v>78205</v>
      </c>
      <c r="G437" s="88">
        <f t="shared" ref="G437:H437" si="107">G438</f>
        <v>0</v>
      </c>
      <c r="H437" s="88">
        <f t="shared" si="107"/>
        <v>78205</v>
      </c>
    </row>
    <row r="438" spans="1:8" ht="63">
      <c r="A438" s="29" t="str">
        <f>IF(B438&gt;0,VLOOKUP(B438,КВСР!A319:B1484,2),IF(C438&gt;0,VLOOKUP(C438,КФСР!A319:B1831,2),IF(D438&gt;0,VLOOKUP(D438,КЦСР!A319:B4279,2),IF(E438&gt;0,VLOOKUP(E438,КВР!A319:B2247,2)))))</f>
        <v>Программа энергосбережения и повышения энергетической эффективности на период до 2020 года</v>
      </c>
      <c r="B438" s="74"/>
      <c r="C438" s="64"/>
      <c r="D438" s="65">
        <v>923400</v>
      </c>
      <c r="E438" s="66"/>
      <c r="F438" s="88">
        <v>78205</v>
      </c>
      <c r="G438" s="88">
        <f t="shared" ref="G438:H438" si="108">G439</f>
        <v>0</v>
      </c>
      <c r="H438" s="88">
        <f t="shared" si="108"/>
        <v>78205</v>
      </c>
    </row>
    <row r="439" spans="1:8" ht="126">
      <c r="A439" s="29" t="str">
        <f>IF(B439&gt;0,VLOOKUP(B439,КВСР!A320:B1485,2),IF(C439&gt;0,VLOOKUP(C439,КФСР!A320:B1832,2),IF(D439&gt;0,VLOOKUP(D439,КЦСР!A320:B4280,2),IF(E439&gt;0,VLOOKUP(E439,КВР!A320:B2248,2)))))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439" s="74"/>
      <c r="C439" s="64"/>
      <c r="D439" s="65">
        <v>923403</v>
      </c>
      <c r="E439" s="66"/>
      <c r="F439" s="88">
        <v>78205</v>
      </c>
      <c r="G439" s="88">
        <f t="shared" ref="G439:H439" si="109">G440</f>
        <v>0</v>
      </c>
      <c r="H439" s="88">
        <f t="shared" si="109"/>
        <v>78205</v>
      </c>
    </row>
    <row r="440" spans="1:8" ht="31.5">
      <c r="A440" s="29" t="str">
        <f>IF(B440&gt;0,VLOOKUP(B440,КВСР!A321:B1486,2),IF(C440&gt;0,VLOOKUP(C440,КФСР!A321:B1833,2),IF(D440&gt;0,VLOOKUP(D440,КЦСР!A321:B4281,2),IF(E440&gt;0,VLOOKUP(E440,КВР!A321:B2249,2)))))</f>
        <v>Субсидии бюджетным учреждениям на иные цели</v>
      </c>
      <c r="B440" s="74"/>
      <c r="C440" s="64"/>
      <c r="D440" s="65"/>
      <c r="E440" s="66">
        <v>612</v>
      </c>
      <c r="F440" s="88">
        <v>78205</v>
      </c>
      <c r="G440" s="91"/>
      <c r="H440" s="30">
        <f>F440+G440</f>
        <v>78205</v>
      </c>
    </row>
    <row r="441" spans="1:8" ht="110.25">
      <c r="A441" s="29" t="str">
        <f>IF(B441&gt;0,VLOOKUP(B441,КВСР!A317:B1482,2),IF(C441&gt;0,VLOOKUP(C441,КФСР!A317:B1829,2),IF(D441&gt;0,VLOOKUP(D441,КЦСР!A317:B4277,2),IF(E441&gt;0,VLOOKUP(E441,КВР!A317:B2245,2)))))</f>
        <v>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v>
      </c>
      <c r="B441" s="74"/>
      <c r="C441" s="64"/>
      <c r="D441" s="65">
        <v>4520000</v>
      </c>
      <c r="E441" s="66"/>
      <c r="F441" s="30">
        <v>4423485</v>
      </c>
      <c r="G441" s="30">
        <f>G442</f>
        <v>0</v>
      </c>
      <c r="H441" s="30">
        <f>H442</f>
        <v>4423485</v>
      </c>
    </row>
    <row r="442" spans="1:8" ht="31.5">
      <c r="A442" s="29" t="str">
        <f>IF(B442&gt;0,VLOOKUP(B442,КВСР!A318:B1483,2),IF(C442&gt;0,VLOOKUP(C442,КФСР!A318:B1830,2),IF(D442&gt;0,VLOOKUP(D442,КЦСР!A318:B4278,2),IF(E442&gt;0,VLOOKUP(E442,КВР!A318:B2246,2)))))</f>
        <v>Обеспечение деятельности подведомственных учреждений</v>
      </c>
      <c r="B442" s="74"/>
      <c r="C442" s="64"/>
      <c r="D442" s="65">
        <v>4529900</v>
      </c>
      <c r="E442" s="66"/>
      <c r="F442" s="88">
        <v>4423485</v>
      </c>
      <c r="G442" s="88">
        <f>SUM(G443:G446)</f>
        <v>0</v>
      </c>
      <c r="H442" s="88">
        <f>SUM(H443:H446)</f>
        <v>4423485</v>
      </c>
    </row>
    <row r="443" spans="1:8" ht="31.5">
      <c r="A443" s="29" t="str">
        <f>IF(B443&gt;0,VLOOKUP(B443,КВСР!A319:B1484,2),IF(C443&gt;0,VLOOKUP(C443,КФСР!A319:B1831,2),IF(D443&gt;0,VLOOKUP(D443,КЦСР!A319:B4279,2),IF(E443&gt;0,VLOOKUP(E443,КВР!A319:B2247,2)))))</f>
        <v>Фонд оплаты труда и страховые взносы</v>
      </c>
      <c r="B443" s="74"/>
      <c r="C443" s="64"/>
      <c r="D443" s="65"/>
      <c r="E443" s="66">
        <v>121</v>
      </c>
      <c r="F443" s="88">
        <v>4116594</v>
      </c>
      <c r="G443" s="91"/>
      <c r="H443" s="30">
        <f>G443+F443</f>
        <v>4116594</v>
      </c>
    </row>
    <row r="444" spans="1:8" ht="31.5">
      <c r="A444" s="29" t="str">
        <f>IF(B444&gt;0,VLOOKUP(B444,КВСР!A320:B1485,2),IF(C444&gt;0,VLOOKUP(C444,КФСР!A320:B1832,2),IF(D444&gt;0,VLOOKUP(D444,КЦСР!A320:B4280,2),IF(E444&gt;0,VLOOKUP(E444,КВР!A320:B2248,2)))))</f>
        <v>Иные выплаты персоналу, за исключением фонда оплаты труда</v>
      </c>
      <c r="B444" s="74"/>
      <c r="C444" s="64"/>
      <c r="D444" s="65"/>
      <c r="E444" s="66">
        <v>122</v>
      </c>
      <c r="F444" s="88">
        <v>2500</v>
      </c>
      <c r="G444" s="91"/>
      <c r="H444" s="30">
        <f>G444+F444</f>
        <v>2500</v>
      </c>
    </row>
    <row r="445" spans="1:8" ht="47.25">
      <c r="A445" s="29" t="str">
        <f>IF(B445&gt;0,VLOOKUP(B445,КВСР!A321:B1486,2),IF(C445&gt;0,VLOOKUP(C445,КФСР!A321:B1833,2),IF(D445&gt;0,VLOOKUP(D445,КЦСР!A321:B4281,2),IF(E445&gt;0,VLOOKUP(E445,КВР!A321:B2249,2)))))</f>
        <v>Закупка товаров, работ, услуг в сфере информационно-коммуникационных технологий</v>
      </c>
      <c r="B445" s="74"/>
      <c r="C445" s="64"/>
      <c r="D445" s="65"/>
      <c r="E445" s="66">
        <v>242</v>
      </c>
      <c r="F445" s="88">
        <v>232641</v>
      </c>
      <c r="G445" s="91"/>
      <c r="H445" s="30">
        <f>G445+F445</f>
        <v>232641</v>
      </c>
    </row>
    <row r="446" spans="1:8" ht="31.5">
      <c r="A446" s="29" t="str">
        <f>IF(B446&gt;0,VLOOKUP(B446,КВСР!A322:B1487,2),IF(C446&gt;0,VLOOKUP(C446,КФСР!A322:B1834,2),IF(D446&gt;0,VLOOKUP(D446,КЦСР!A322:B4282,2),IF(E446&gt;0,VLOOKUP(E446,КВР!A322:B2250,2)))))</f>
        <v>Прочая закупка товаров, работ и услуг для государственных нужд</v>
      </c>
      <c r="B446" s="74"/>
      <c r="C446" s="64"/>
      <c r="D446" s="65"/>
      <c r="E446" s="66">
        <v>244</v>
      </c>
      <c r="F446" s="88">
        <v>71750</v>
      </c>
      <c r="G446" s="91"/>
      <c r="H446" s="30">
        <f>G446+F446</f>
        <v>71750</v>
      </c>
    </row>
    <row r="447" spans="1:8" hidden="1">
      <c r="A447" s="29" t="str">
        <f>IF(B447&gt;0,VLOOKUP(B447,КВСР!A323:B1488,2),IF(C447&gt;0,VLOOKUP(C447,КФСР!A323:B1835,2),IF(D447&gt;0,VLOOKUP(D447,КЦСР!A323:B4283,2),IF(E447&gt;0,VLOOKUP(E447,КВР!A323:B2251,2)))))</f>
        <v>Региональные целевые программы</v>
      </c>
      <c r="B447" s="74"/>
      <c r="C447" s="64"/>
      <c r="D447" s="65">
        <v>5220000</v>
      </c>
      <c r="E447" s="66"/>
      <c r="F447" s="88">
        <v>0</v>
      </c>
      <c r="G447" s="88">
        <f t="shared" ref="G447:H448" si="110">G448</f>
        <v>0</v>
      </c>
      <c r="H447" s="88">
        <f t="shared" si="110"/>
        <v>0</v>
      </c>
    </row>
    <row r="448" spans="1:8" ht="31.5" hidden="1">
      <c r="A448" s="29" t="str">
        <f>IF(B448&gt;0,VLOOKUP(B448,КВСР!A324:B1489,2),IF(C448&gt;0,VLOOKUP(C448,КФСР!A324:B1836,2),IF(D448&gt;0,VLOOKUP(D448,КЦСР!A324:B4284,2),IF(E448&gt;0,VLOOKUP(E448,КВР!A324:B2252,2)))))</f>
        <v>Программа "Энергоресурсосбережений"</v>
      </c>
      <c r="B448" s="74"/>
      <c r="C448" s="64"/>
      <c r="D448" s="65">
        <v>5224005</v>
      </c>
      <c r="E448" s="66"/>
      <c r="F448" s="88">
        <v>0</v>
      </c>
      <c r="G448" s="88">
        <f t="shared" si="110"/>
        <v>0</v>
      </c>
      <c r="H448" s="88">
        <f t="shared" si="110"/>
        <v>0</v>
      </c>
    </row>
    <row r="449" spans="1:9" ht="31.5" hidden="1">
      <c r="A449" s="29" t="str">
        <f>IF(B449&gt;0,VLOOKUP(B449,КВСР!A325:B1490,2),IF(C449&gt;0,VLOOKUP(C449,КФСР!A325:B1837,2),IF(D449&gt;0,VLOOKUP(D449,КЦСР!A325:B4285,2),IF(E449&gt;0,VLOOKUP(E449,КВР!A325:B2253,2)))))</f>
        <v>Субсидии бюджетным учреждениям на иные цели</v>
      </c>
      <c r="B449" s="74"/>
      <c r="C449" s="64"/>
      <c r="D449" s="65"/>
      <c r="E449" s="66">
        <v>612</v>
      </c>
      <c r="F449" s="88">
        <v>0</v>
      </c>
      <c r="G449" s="91">
        <v>0</v>
      </c>
      <c r="H449" s="30">
        <f>F449+G449</f>
        <v>0</v>
      </c>
    </row>
    <row r="450" spans="1:9">
      <c r="A450" s="29" t="str">
        <f>IF(B450&gt;0,VLOOKUP(B450,КВСР!A323:B1488,2),IF(C450&gt;0,VLOOKUP(C450,КФСР!A323:B1835,2),IF(D450&gt;0,VLOOKUP(D450,КЦСР!A323:B4283,2),IF(E450&gt;0,VLOOKUP(E450,КВР!A323:B2251,2)))))</f>
        <v>Охрана семьи и детства</v>
      </c>
      <c r="B450" s="74"/>
      <c r="C450" s="64">
        <v>1004</v>
      </c>
      <c r="D450" s="65"/>
      <c r="E450" s="66"/>
      <c r="F450" s="30">
        <v>63300</v>
      </c>
      <c r="G450" s="30">
        <f t="shared" ref="G450:H453" si="111">G451</f>
        <v>0</v>
      </c>
      <c r="H450" s="30">
        <f t="shared" si="111"/>
        <v>63300</v>
      </c>
    </row>
    <row r="451" spans="1:9" ht="22.5" customHeight="1">
      <c r="A451" s="29" t="str">
        <f>IF(B451&gt;0,VLOOKUP(B451,КВСР!A324:B1489,2),IF(C451&gt;0,VLOOKUP(C451,КФСР!A324:B1836,2),IF(D451&gt;0,VLOOKUP(D451,КЦСР!A324:B4284,2),IF(E451&gt;0,VLOOKUP(E451,КВР!A324:B2252,2)))))</f>
        <v>Региональные целевые программы</v>
      </c>
      <c r="B451" s="74"/>
      <c r="C451" s="64"/>
      <c r="D451" s="65">
        <v>5220000</v>
      </c>
      <c r="E451" s="66"/>
      <c r="F451" s="30">
        <v>63300</v>
      </c>
      <c r="G451" s="30">
        <f t="shared" si="111"/>
        <v>0</v>
      </c>
      <c r="H451" s="30">
        <f t="shared" si="111"/>
        <v>63300</v>
      </c>
    </row>
    <row r="452" spans="1:9" ht="31.5">
      <c r="A452" s="29" t="str">
        <f>IF(B452&gt;0,VLOOKUP(B452,КВСР!A325:B1490,2),IF(C452&gt;0,VLOOKUP(C452,КФСР!A325:B1837,2),IF(D452&gt;0,VLOOKUP(D452,КЦСР!A325:B4285,2),IF(E452&gt;0,VLOOKUP(E452,КВР!A325:B2253,2)))))</f>
        <v>Областная комплексная целевая программа "Семья и дети Ярославии"</v>
      </c>
      <c r="B452" s="74"/>
      <c r="C452" s="64"/>
      <c r="D452" s="65">
        <v>5221300</v>
      </c>
      <c r="E452" s="66"/>
      <c r="F452" s="30">
        <v>63300</v>
      </c>
      <c r="G452" s="30">
        <f t="shared" si="111"/>
        <v>0</v>
      </c>
      <c r="H452" s="30">
        <f t="shared" si="111"/>
        <v>63300</v>
      </c>
    </row>
    <row r="453" spans="1:9" ht="47.25">
      <c r="A453" s="29" t="str">
        <f>IF(B453&gt;0,VLOOKUP(B453,КВСР!A326:B1491,2),IF(C453&gt;0,VLOOKUP(C453,КФСР!A326:B1838,2),IF(D453&gt;0,VLOOKUP(D453,КЦСР!A326:B4286,2),IF(E453&gt;0,VLOOKUP(E453,КВР!A326:B2254,2)))))</f>
        <v>Реализация подпрограмм "Семья", "Дети-сироты", Дети-инвалиды", "Одаренные дети"</v>
      </c>
      <c r="B453" s="74"/>
      <c r="C453" s="64"/>
      <c r="D453" s="65">
        <v>5221306</v>
      </c>
      <c r="E453" s="66"/>
      <c r="F453" s="30">
        <v>63300</v>
      </c>
      <c r="G453" s="30">
        <f t="shared" si="111"/>
        <v>0</v>
      </c>
      <c r="H453" s="30">
        <f t="shared" si="111"/>
        <v>63300</v>
      </c>
    </row>
    <row r="454" spans="1:9" ht="31.5">
      <c r="A454" s="29" t="str">
        <f>IF(B454&gt;0,VLOOKUP(B454,КВСР!A327:B1492,2),IF(C454&gt;0,VLOOKUP(C454,КФСР!A327:B1839,2),IF(D454&gt;0,VLOOKUP(D454,КЦСР!A327:B4287,2),IF(E454&gt;0,VLOOKUP(E454,КВР!A327:B2255,2)))))</f>
        <v>Субсидии бюджетным учреждениям на иные цели</v>
      </c>
      <c r="B454" s="74"/>
      <c r="C454" s="64"/>
      <c r="D454" s="65"/>
      <c r="E454" s="66">
        <v>612</v>
      </c>
      <c r="F454" s="88">
        <v>63300</v>
      </c>
      <c r="G454" s="91"/>
      <c r="H454" s="30">
        <f>F454+G454</f>
        <v>63300</v>
      </c>
    </row>
    <row r="455" spans="1:9">
      <c r="A455" s="29" t="str">
        <f>IF(B455&gt;0,VLOOKUP(B455,КВСР!A328:B1493,2),IF(C455&gt;0,VLOOKUP(C455,КФСР!A328:B1840,2),IF(D455&gt;0,VLOOKUP(D455,КЦСР!A328:B4288,2),IF(E455&gt;0,VLOOKUP(E455,КВР!A328:B2256,2)))))</f>
        <v>Периодическая печать и издательства</v>
      </c>
      <c r="B455" s="74"/>
      <c r="C455" s="64">
        <v>1202</v>
      </c>
      <c r="D455" s="65"/>
      <c r="E455" s="66"/>
      <c r="F455" s="88">
        <v>3758767</v>
      </c>
      <c r="G455" s="88">
        <f t="shared" ref="G455:H457" si="112">G456</f>
        <v>0</v>
      </c>
      <c r="H455" s="88">
        <f t="shared" si="112"/>
        <v>3758767</v>
      </c>
    </row>
    <row r="456" spans="1:9" ht="63">
      <c r="A456" s="29" t="str">
        <f>IF(B456&gt;0,VLOOKUP(B456,КВСР!A329:B1494,2),IF(C456&gt;0,VLOOKUP(C456,КФСР!A329:B1841,2),IF(D456&gt;0,VLOOKUP(D456,КЦСР!A329:B4289,2),IF(E456&gt;0,VLOOKUP(E456,КВР!A329:B2257,2)))))</f>
        <v>Периодические издания, учрежденные органами законодательной и исполнительной власти</v>
      </c>
      <c r="B456" s="74"/>
      <c r="C456" s="64"/>
      <c r="D456" s="65">
        <v>4570000</v>
      </c>
      <c r="E456" s="66"/>
      <c r="F456" s="88">
        <v>3758767</v>
      </c>
      <c r="G456" s="88">
        <f t="shared" si="112"/>
        <v>0</v>
      </c>
      <c r="H456" s="88">
        <f t="shared" si="112"/>
        <v>3758767</v>
      </c>
    </row>
    <row r="457" spans="1:9" ht="31.5">
      <c r="A457" s="29" t="str">
        <f>IF(B457&gt;0,VLOOKUP(B457,КВСР!A330:B1495,2),IF(C457&gt;0,VLOOKUP(C457,КФСР!A330:B1842,2),IF(D457&gt;0,VLOOKUP(D457,КЦСР!A330:B4290,2),IF(E457&gt;0,VLOOKUP(E457,КВР!A330:B2258,2)))))</f>
        <v>Обеспечение деятельности подведомственных учреждений</v>
      </c>
      <c r="B457" s="74"/>
      <c r="C457" s="64"/>
      <c r="D457" s="65">
        <v>4579900</v>
      </c>
      <c r="E457" s="66"/>
      <c r="F457" s="88">
        <v>3758767</v>
      </c>
      <c r="G457" s="88">
        <f t="shared" si="112"/>
        <v>0</v>
      </c>
      <c r="H457" s="88">
        <f t="shared" si="112"/>
        <v>3758767</v>
      </c>
    </row>
    <row r="458" spans="1:9" ht="78.75">
      <c r="A458" s="29" t="str">
        <f>IF(B458&gt;0,VLOOKUP(B458,КВСР!A331:B1496,2),IF(C458&gt;0,VLOOKUP(C458,КФСР!A331:B1843,2),IF(D458&gt;0,VLOOKUP(D458,КЦСР!A331:B4291,2),IF(E458&gt;0,VLOOKUP(E458,КВР!A331:B2259,2)))))</f>
        <v>Субсидии бюджетным учреждениям на финансовое обеспечение государственного задания на оказание государственных услуг (выполнение работ)</v>
      </c>
      <c r="B458" s="74"/>
      <c r="C458" s="64"/>
      <c r="D458" s="65"/>
      <c r="E458" s="66">
        <v>611</v>
      </c>
      <c r="F458" s="88">
        <v>3758767</v>
      </c>
      <c r="G458" s="91"/>
      <c r="H458" s="30">
        <f>F458+G458</f>
        <v>3758767</v>
      </c>
    </row>
    <row r="459" spans="1:9" ht="47.25">
      <c r="A459" s="34" t="str">
        <f>IF(B459&gt;0,VLOOKUP(B459,КВСР!A332:B1497,2),IF(C459&gt;0,VLOOKUP(C459,КФСР!A332:B1844,2),IF(D459&gt;0,VLOOKUP(D459,КЦСР!A332:B4292,2),IF(E459&gt;0,VLOOKUP(E459,КВР!A332:B2260,2)))))</f>
        <v>Департамент АПК, ООС и природопользования Администрации ТМР</v>
      </c>
      <c r="B459" s="69">
        <v>957</v>
      </c>
      <c r="C459" s="70"/>
      <c r="D459" s="71"/>
      <c r="E459" s="72"/>
      <c r="F459" s="35">
        <v>19100108</v>
      </c>
      <c r="G459" s="35">
        <f t="shared" ref="G459:H459" si="113">G460+G469+G474+G478</f>
        <v>0</v>
      </c>
      <c r="H459" s="35">
        <f t="shared" si="113"/>
        <v>19100108</v>
      </c>
      <c r="I459" s="124"/>
    </row>
    <row r="460" spans="1:9" ht="23.25" customHeight="1">
      <c r="A460" s="29" t="str">
        <f>IF(B460&gt;0,VLOOKUP(B460,КВСР!A333:B1498,2),IF(C460&gt;0,VLOOKUP(C460,КФСР!A333:B1845,2),IF(D460&gt;0,VLOOKUP(D460,КЦСР!A333:B4293,2),IF(E460&gt;0,VLOOKUP(E460,КВР!A333:B2261,2)))))</f>
        <v>Сельское хозяйство и рыболовство</v>
      </c>
      <c r="B460" s="75"/>
      <c r="C460" s="76">
        <v>405</v>
      </c>
      <c r="D460" s="77"/>
      <c r="E460" s="78"/>
      <c r="F460" s="63">
        <v>3584425</v>
      </c>
      <c r="G460" s="63">
        <f t="shared" ref="G460:H461" si="114">G461</f>
        <v>0</v>
      </c>
      <c r="H460" s="63">
        <f t="shared" si="114"/>
        <v>3584425</v>
      </c>
    </row>
    <row r="461" spans="1:9" ht="78.75">
      <c r="A461" s="29" t="str">
        <f>IF(B461&gt;0,VLOOKUP(B461,КВСР!A334:B1499,2),IF(C461&gt;0,VLOOKUP(C461,КФСР!A334:B1846,2),IF(D461&gt;0,VLOOKUP(D461,КЦСР!A334:B4294,2),IF(E461&gt;0,VLOOKUP(E461,КВР!A334:B2262,2)))))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461" s="75"/>
      <c r="C461" s="76"/>
      <c r="D461" s="77">
        <v>20000</v>
      </c>
      <c r="E461" s="78"/>
      <c r="F461" s="63">
        <v>3584425</v>
      </c>
      <c r="G461" s="63">
        <f t="shared" si="114"/>
        <v>0</v>
      </c>
      <c r="H461" s="63">
        <f t="shared" si="114"/>
        <v>3584425</v>
      </c>
    </row>
    <row r="462" spans="1:9" ht="23.25" customHeight="1">
      <c r="A462" s="29" t="str">
        <f>IF(B462&gt;0,VLOOKUP(B462,КВСР!A335:B1500,2),IF(C462&gt;0,VLOOKUP(C462,КФСР!A335:B1847,2),IF(D462&gt;0,VLOOKUP(D462,КЦСР!A335:B4295,2),IF(E462&gt;0,VLOOKUP(E462,КВР!A335:B2263,2)))))</f>
        <v>Центральный аппарат</v>
      </c>
      <c r="B462" s="75"/>
      <c r="C462" s="76"/>
      <c r="D462" s="71">
        <v>20400</v>
      </c>
      <c r="E462" s="78"/>
      <c r="F462" s="63">
        <v>3584425</v>
      </c>
      <c r="G462" s="63">
        <f>SUM(G463:G468)</f>
        <v>0</v>
      </c>
      <c r="H462" s="63">
        <f>SUM(H463:H468)</f>
        <v>3584425</v>
      </c>
    </row>
    <row r="463" spans="1:9" ht="31.5">
      <c r="A463" s="29" t="str">
        <f>IF(B463&gt;0,VLOOKUP(B463,КВСР!A336:B1501,2),IF(C463&gt;0,VLOOKUP(C463,КФСР!A336:B1848,2),IF(D463&gt;0,VLOOKUP(D463,КЦСР!A336:B4296,2),IF(E463&gt;0,VLOOKUP(E463,КВР!A336:B2264,2)))))</f>
        <v>Фонд оплаты труда и страховые взносы</v>
      </c>
      <c r="B463" s="75"/>
      <c r="C463" s="76"/>
      <c r="D463" s="77"/>
      <c r="E463" s="66">
        <v>121</v>
      </c>
      <c r="F463" s="88">
        <v>3143873</v>
      </c>
      <c r="G463" s="91"/>
      <c r="H463" s="30">
        <f t="shared" ref="H463:H468" si="115">F463+G463</f>
        <v>3143873</v>
      </c>
    </row>
    <row r="464" spans="1:9" ht="31.5">
      <c r="A464" s="29" t="str">
        <f>IF(B464&gt;0,VLOOKUP(B464,КВСР!A337:B1502,2),IF(C464&gt;0,VLOOKUP(C464,КФСР!A337:B1849,2),IF(D464&gt;0,VLOOKUP(D464,КЦСР!A337:B4297,2),IF(E464&gt;0,VLOOKUP(E464,КВР!A337:B2265,2)))))</f>
        <v>Иные выплаты персоналу, за исключением фонда оплаты труда</v>
      </c>
      <c r="B464" s="75"/>
      <c r="C464" s="76"/>
      <c r="D464" s="77"/>
      <c r="E464" s="66">
        <v>122</v>
      </c>
      <c r="F464" s="88">
        <v>1000</v>
      </c>
      <c r="G464" s="91"/>
      <c r="H464" s="30">
        <f t="shared" si="115"/>
        <v>1000</v>
      </c>
    </row>
    <row r="465" spans="1:8" ht="47.25">
      <c r="A465" s="29" t="str">
        <f>IF(B465&gt;0,VLOOKUP(B465,КВСР!A338:B1503,2),IF(C465&gt;0,VLOOKUP(C465,КФСР!A338:B1850,2),IF(D465&gt;0,VLOOKUP(D465,КЦСР!A338:B4298,2),IF(E465&gt;0,VLOOKUP(E465,КВР!A338:B2266,2)))))</f>
        <v>Закупка товаров, работ, услуг в сфере информационно-коммуникационных технологий</v>
      </c>
      <c r="B465" s="75"/>
      <c r="C465" s="76"/>
      <c r="D465" s="77"/>
      <c r="E465" s="66">
        <v>242</v>
      </c>
      <c r="F465" s="88">
        <v>133710</v>
      </c>
      <c r="G465" s="91"/>
      <c r="H465" s="30">
        <f t="shared" si="115"/>
        <v>133710</v>
      </c>
    </row>
    <row r="466" spans="1:8" ht="31.5">
      <c r="A466" s="29" t="str">
        <f>IF(B466&gt;0,VLOOKUP(B466,КВСР!A339:B1504,2),IF(C466&gt;0,VLOOKUP(C466,КФСР!A339:B1851,2),IF(D466&gt;0,VLOOKUP(D466,КЦСР!A339:B4299,2),IF(E466&gt;0,VLOOKUP(E466,КВР!A339:B2267,2)))))</f>
        <v>Прочая закупка товаров, работ и услуг для государственных нужд</v>
      </c>
      <c r="B466" s="75"/>
      <c r="C466" s="76"/>
      <c r="D466" s="77"/>
      <c r="E466" s="66">
        <v>244</v>
      </c>
      <c r="F466" s="88">
        <v>294390</v>
      </c>
      <c r="G466" s="91"/>
      <c r="H466" s="30">
        <f t="shared" si="115"/>
        <v>294390</v>
      </c>
    </row>
    <row r="467" spans="1:8" ht="31.5">
      <c r="A467" s="29" t="str">
        <f>IF(B467&gt;0,VLOOKUP(B467,КВСР!A340:B1505,2),IF(C467&gt;0,VLOOKUP(C467,КФСР!A340:B1852,2),IF(D467&gt;0,VLOOKUP(D467,КЦСР!A340:B4300,2),IF(E467&gt;0,VLOOKUP(E467,КВР!A340:B2268,2)))))</f>
        <v>Уплата налога на имущество организаций и земельного налога</v>
      </c>
      <c r="B467" s="75"/>
      <c r="C467" s="76"/>
      <c r="D467" s="77"/>
      <c r="E467" s="66">
        <v>851</v>
      </c>
      <c r="F467" s="88">
        <v>7401</v>
      </c>
      <c r="G467" s="91"/>
      <c r="H467" s="30">
        <f t="shared" si="115"/>
        <v>7401</v>
      </c>
    </row>
    <row r="468" spans="1:8" ht="31.5">
      <c r="A468" s="29" t="str">
        <f>IF(B468&gt;0,VLOOKUP(B468,КВСР!A341:B1506,2),IF(C468&gt;0,VLOOKUP(C468,КФСР!A341:B1853,2),IF(D468&gt;0,VLOOKUP(D468,КЦСР!A341:B4301,2),IF(E468&gt;0,VLOOKUP(E468,КВР!A341:B2269,2)))))</f>
        <v>Уплата прочих налогов, сборов и иных обязательных платежей</v>
      </c>
      <c r="B468" s="75"/>
      <c r="C468" s="76"/>
      <c r="D468" s="77"/>
      <c r="E468" s="66">
        <v>852</v>
      </c>
      <c r="F468" s="88">
        <v>4051</v>
      </c>
      <c r="G468" s="91"/>
      <c r="H468" s="30">
        <f t="shared" si="115"/>
        <v>4051</v>
      </c>
    </row>
    <row r="469" spans="1:8" ht="31.5">
      <c r="A469" s="29" t="str">
        <f>IF(B469&gt;0,VLOOKUP(B469,КВСР!A342:B1507,2),IF(C469&gt;0,VLOOKUP(C469,КФСР!A342:B1854,2),IF(D469&gt;0,VLOOKUP(D469,КЦСР!A342:B4302,2),IF(E469&gt;0,VLOOKUP(E469,КВР!A342:B2270,2)))))</f>
        <v>Другие вопросы в области национальной экономики</v>
      </c>
      <c r="B469" s="75"/>
      <c r="C469" s="76">
        <v>412</v>
      </c>
      <c r="D469" s="77"/>
      <c r="E469" s="66"/>
      <c r="F469" s="30">
        <v>111111</v>
      </c>
      <c r="G469" s="30">
        <f t="shared" ref="G469:H472" si="116">G470</f>
        <v>0</v>
      </c>
      <c r="H469" s="30">
        <f t="shared" si="116"/>
        <v>111111</v>
      </c>
    </row>
    <row r="470" spans="1:8" ht="22.5" customHeight="1">
      <c r="A470" s="29" t="str">
        <f>IF(B470&gt;0,VLOOKUP(B470,КВСР!A343:B1508,2),IF(C470&gt;0,VLOOKUP(C470,КФСР!A343:B1855,2),IF(D470&gt;0,VLOOKUP(D470,КЦСР!A343:B4303,2),IF(E470&gt;0,VLOOKUP(E470,КВР!A343:B2271,2)))))</f>
        <v>Региональные целевые программы</v>
      </c>
      <c r="B470" s="75"/>
      <c r="C470" s="76"/>
      <c r="D470" s="77">
        <v>5220000</v>
      </c>
      <c r="E470" s="66"/>
      <c r="F470" s="30">
        <v>111111</v>
      </c>
      <c r="G470" s="30">
        <f t="shared" si="116"/>
        <v>0</v>
      </c>
      <c r="H470" s="30">
        <f t="shared" si="116"/>
        <v>111111</v>
      </c>
    </row>
    <row r="471" spans="1:8" ht="31.5">
      <c r="A471" s="29" t="str">
        <f>IF(B471&gt;0,VLOOKUP(B471,КВСР!A344:B1509,2),IF(C471&gt;0,VLOOKUP(C471,КФСР!A344:B1856,2),IF(D471&gt;0,VLOOKUP(D471,КЦСР!A344:B4304,2),IF(E471&gt;0,VLOOKUP(E471,КВР!A344:B2272,2)))))</f>
        <v>ОЦП "Поддержка потребительского рынка на селе"</v>
      </c>
      <c r="B471" s="69"/>
      <c r="C471" s="76"/>
      <c r="D471" s="77">
        <v>5223300</v>
      </c>
      <c r="E471" s="66"/>
      <c r="F471" s="30">
        <v>111111</v>
      </c>
      <c r="G471" s="30">
        <f t="shared" si="116"/>
        <v>0</v>
      </c>
      <c r="H471" s="30">
        <f t="shared" si="116"/>
        <v>111111</v>
      </c>
    </row>
    <row r="472" spans="1:8" ht="126">
      <c r="A472" s="29" t="str">
        <f>IF(B472&gt;0,VLOOKUP(B472,КВСР!A345:B1510,2),IF(C472&gt;0,VLOOKUP(C472,КФСР!A345:B1857,2),IF(D472&gt;0,VLOOKUP(D472,КЦСР!A345:B4305,2),IF(E472&gt;0,VLOOKUP(E472,КВР!A345:B2273,2)))))</f>
        <v>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v>
      </c>
      <c r="B472" s="75"/>
      <c r="C472" s="76"/>
      <c r="D472" s="77">
        <v>5223302</v>
      </c>
      <c r="E472" s="66"/>
      <c r="F472" s="30">
        <v>111111</v>
      </c>
      <c r="G472" s="30">
        <f t="shared" si="116"/>
        <v>0</v>
      </c>
      <c r="H472" s="30">
        <f t="shared" si="116"/>
        <v>111111</v>
      </c>
    </row>
    <row r="473" spans="1:8" ht="63">
      <c r="A473" s="29" t="str">
        <f>IF(B473&gt;0,VLOOKUP(B473,КВСР!A346:B1511,2),IF(C473&gt;0,VLOOKUP(C473,КФСР!A346:B1858,2),IF(D473&gt;0,VLOOKUP(D473,КЦСР!A346:B4306,2),IF(E473&gt;0,VLOOKUP(E473,КВР!A346:B2274,2)))))</f>
        <v>Субсидии юридическим лицам (кроме государственных учреждений) и физическим лицам - производителям товаров, работ, услуг</v>
      </c>
      <c r="B473" s="75"/>
      <c r="C473" s="76"/>
      <c r="D473" s="77"/>
      <c r="E473" s="66">
        <v>810</v>
      </c>
      <c r="F473" s="88">
        <v>111111</v>
      </c>
      <c r="G473" s="91"/>
      <c r="H473" s="30">
        <f>F473+G473</f>
        <v>111111</v>
      </c>
    </row>
    <row r="474" spans="1:8" ht="36.75" customHeight="1">
      <c r="A474" s="29" t="str">
        <f>IF(B474&gt;0,VLOOKUP(B474,КВСР!A347:B1512,2),IF(C474&gt;0,VLOOKUP(C474,КФСР!A347:B1859,2),IF(D474&gt;0,VLOOKUP(D474,КЦСР!A347:B4307,2),IF(E474&gt;0,VLOOKUP(E474,КВР!A347:B2275,2)))))</f>
        <v>Другие вопросы в области охраны окружающей среды</v>
      </c>
      <c r="B474" s="75"/>
      <c r="C474" s="76">
        <v>605</v>
      </c>
      <c r="D474" s="77"/>
      <c r="E474" s="66"/>
      <c r="F474" s="88">
        <v>1760</v>
      </c>
      <c r="G474" s="88">
        <f t="shared" ref="G474:H476" si="117">G475</f>
        <v>0</v>
      </c>
      <c r="H474" s="88">
        <f t="shared" si="117"/>
        <v>1760</v>
      </c>
    </row>
    <row r="475" spans="1:8" ht="34.5" customHeight="1">
      <c r="A475" s="29" t="str">
        <f>IF(B475&gt;0,VLOOKUP(B475,КВСР!A348:B1513,2),IF(C475&gt;0,VLOOKUP(C475,КФСР!A348:B1860,2),IF(D475&gt;0,VLOOKUP(D475,КЦСР!A348:B4308,2),IF(E475&gt;0,VLOOKUP(E475,КВР!A348:B2276,2)))))</f>
        <v>Состояние окружающей среды и природопользования</v>
      </c>
      <c r="B475" s="75"/>
      <c r="C475" s="76"/>
      <c r="D475" s="77">
        <v>4100000</v>
      </c>
      <c r="E475" s="66"/>
      <c r="F475" s="88">
        <v>1760</v>
      </c>
      <c r="G475" s="88">
        <f t="shared" si="117"/>
        <v>0</v>
      </c>
      <c r="H475" s="88">
        <f t="shared" si="117"/>
        <v>1760</v>
      </c>
    </row>
    <row r="476" spans="1:8" ht="21.75" customHeight="1">
      <c r="A476" s="29" t="str">
        <f>IF(B476&gt;0,VLOOKUP(B476,КВСР!A349:B1514,2),IF(C476&gt;0,VLOOKUP(C476,КФСР!A349:B1861,2),IF(D476&gt;0,VLOOKUP(D476,КЦСР!A349:B4309,2),IF(E476&gt;0,VLOOKUP(E476,КВР!A349:B2277,2)))))</f>
        <v>Природоохранные мероприятия</v>
      </c>
      <c r="B476" s="75"/>
      <c r="C476" s="76"/>
      <c r="D476" s="77">
        <v>4100100</v>
      </c>
      <c r="E476" s="66"/>
      <c r="F476" s="88">
        <v>1760</v>
      </c>
      <c r="G476" s="88">
        <f t="shared" si="117"/>
        <v>0</v>
      </c>
      <c r="H476" s="88">
        <f t="shared" si="117"/>
        <v>1760</v>
      </c>
    </row>
    <row r="477" spans="1:8" ht="33" customHeight="1">
      <c r="A477" s="29" t="str">
        <f>IF(B477&gt;0,VLOOKUP(B477,КВСР!A350:B1515,2),IF(C477&gt;0,VLOOKUP(C477,КФСР!A350:B1862,2),IF(D477&gt;0,VLOOKUP(D477,КЦСР!A350:B4310,2),IF(E477&gt;0,VLOOKUP(E477,КВР!A350:B2278,2)))))</f>
        <v>Прочая закупка товаров, работ и услуг для государственных нужд</v>
      </c>
      <c r="B477" s="75"/>
      <c r="C477" s="76"/>
      <c r="D477" s="77"/>
      <c r="E477" s="66">
        <v>244</v>
      </c>
      <c r="F477" s="88">
        <v>1760</v>
      </c>
      <c r="G477" s="91"/>
      <c r="H477" s="30">
        <f>SUM(F477:G477)</f>
        <v>1760</v>
      </c>
    </row>
    <row r="478" spans="1:8">
      <c r="A478" s="29" t="str">
        <f>IF(B478&gt;0,VLOOKUP(B478,КВСР!A347:B1512,2),IF(C478&gt;0,VLOOKUP(C478,КФСР!A347:B1859,2),IF(D478&gt;0,VLOOKUP(D478,КЦСР!A347:B4307,2),IF(E478&gt;0,VLOOKUP(E478,КВР!A347:B2275,2)))))</f>
        <v>Социальное обеспечение населения</v>
      </c>
      <c r="B478" s="75"/>
      <c r="C478" s="64">
        <v>1003</v>
      </c>
      <c r="D478" s="77"/>
      <c r="E478" s="78"/>
      <c r="F478" s="63">
        <v>15402812</v>
      </c>
      <c r="G478" s="63">
        <f t="shared" ref="G478:H483" si="118">G479</f>
        <v>0</v>
      </c>
      <c r="H478" s="63">
        <f t="shared" si="118"/>
        <v>15402812</v>
      </c>
    </row>
    <row r="479" spans="1:8" ht="22.5" customHeight="1">
      <c r="A479" s="29" t="str">
        <f>IF(B479&gt;0,VLOOKUP(B479,КВСР!A348:B1513,2),IF(C479&gt;0,VLOOKUP(C479,КФСР!A348:B1860,2),IF(D479&gt;0,VLOOKUP(D479,КЦСР!A348:B4308,2),IF(E479&gt;0,VLOOKUP(E479,КВР!A348:B2276,2)))))</f>
        <v>Федеральные целевые программы</v>
      </c>
      <c r="B479" s="75"/>
      <c r="C479" s="64"/>
      <c r="D479" s="77">
        <v>1000000</v>
      </c>
      <c r="E479" s="78"/>
      <c r="F479" s="63">
        <v>15402812</v>
      </c>
      <c r="G479" s="63">
        <f t="shared" si="118"/>
        <v>0</v>
      </c>
      <c r="H479" s="63">
        <f t="shared" si="118"/>
        <v>15402812</v>
      </c>
    </row>
    <row r="480" spans="1:8" ht="47.25">
      <c r="A480" s="29" t="str">
        <f>IF(B480&gt;0,VLOOKUP(B480,КВСР!A349:B1514,2),IF(C480&gt;0,VLOOKUP(C480,КФСР!A349:B1861,2),IF(D480&gt;0,VLOOKUP(D480,КЦСР!A349:B4309,2),IF(E480&gt;0,VLOOKUP(E480,КВР!A349:B2277,2)))))</f>
        <v>Федеральная целевая программа "Социальное развитие села до 2012 года"</v>
      </c>
      <c r="B480" s="75"/>
      <c r="C480" s="64"/>
      <c r="D480" s="77">
        <v>1001100</v>
      </c>
      <c r="E480" s="78"/>
      <c r="F480" s="63">
        <v>15402812</v>
      </c>
      <c r="G480" s="63">
        <f t="shared" ref="G480:H480" si="119">G483+G481</f>
        <v>0</v>
      </c>
      <c r="H480" s="63">
        <f t="shared" si="119"/>
        <v>15402812</v>
      </c>
    </row>
    <row r="481" spans="1:9" ht="63.75" customHeight="1">
      <c r="A481" s="29" t="str">
        <f>IF(B481&gt;0,VLOOKUP(B481,КВСР!A350:B1515,2),IF(C481&gt;0,VLOOKUP(C481,КФСР!A350:B1862,2),IF(D481&gt;0,VLOOKUP(D481,КЦСР!A350:B4310,2),IF(E481&gt;0,VLOOKUP(E481,КВР!A350:B2278,2)))))</f>
        <v>Субсидия на проведение мероприятий по улучшению жилищных условий граждан РФ, проживающих в сельской местности</v>
      </c>
      <c r="B481" s="75"/>
      <c r="C481" s="64"/>
      <c r="D481" s="77">
        <v>1001102</v>
      </c>
      <c r="E481" s="78"/>
      <c r="F481" s="63">
        <v>6958427</v>
      </c>
      <c r="G481" s="63">
        <f t="shared" ref="G481:H481" si="120">G482</f>
        <v>0</v>
      </c>
      <c r="H481" s="63">
        <f t="shared" si="120"/>
        <v>6958427</v>
      </c>
    </row>
    <row r="482" spans="1:9" ht="35.25" customHeight="1">
      <c r="A482" s="29" t="str">
        <f>IF(B482&gt;0,VLOOKUP(B482,КВСР!A351:B1516,2),IF(C482&gt;0,VLOOKUP(C482,КФСР!A351:B1863,2),IF(D482&gt;0,VLOOKUP(D482,КЦСР!A351:B4311,2),IF(E482&gt;0,VLOOKUP(E482,КВР!A351:B2279,2)))))</f>
        <v>Субсидии гражданам на приобретение жилья</v>
      </c>
      <c r="B482" s="75"/>
      <c r="C482" s="64"/>
      <c r="D482" s="77"/>
      <c r="E482" s="78">
        <v>322</v>
      </c>
      <c r="F482" s="63">
        <v>6958427</v>
      </c>
      <c r="G482" s="221"/>
      <c r="H482" s="63">
        <f>SUM(F482:G482)</f>
        <v>6958427</v>
      </c>
    </row>
    <row r="483" spans="1:9" ht="78.75">
      <c r="A483" s="29" t="str">
        <f>IF(B483&gt;0,VLOOKUP(B483,КВСР!A350:B1515,2),IF(C483&gt;0,VLOOKUP(C483,КФСР!A350:B1862,2),IF(D483&gt;0,VLOOKUP(D483,КЦСР!A350:B4310,2),IF(E483&gt;0,VLOOKUP(E483,КВР!A350:B2278,2)))))</f>
        <v>Субсидия на проведение мероприятий по улучшению жилищных условий граждан РФ, проживающих в сельской местности в части областных средств</v>
      </c>
      <c r="B483" s="75"/>
      <c r="C483" s="76"/>
      <c r="D483" s="77">
        <v>1001122</v>
      </c>
      <c r="E483" s="66"/>
      <c r="F483" s="30">
        <v>8444385</v>
      </c>
      <c r="G483" s="30">
        <f t="shared" si="118"/>
        <v>0</v>
      </c>
      <c r="H483" s="30">
        <f t="shared" si="118"/>
        <v>8444385</v>
      </c>
    </row>
    <row r="484" spans="1:9" ht="31.5">
      <c r="A484" s="29" t="str">
        <f>IF(B484&gt;0,VLOOKUP(B484,КВСР!A351:B1516,2),IF(C484&gt;0,VLOOKUP(C484,КФСР!A351:B1863,2),IF(D484&gt;0,VLOOKUP(D484,КЦСР!A351:B4311,2),IF(E484&gt;0,VLOOKUP(E484,КВР!A351:B2279,2)))))</f>
        <v>Субсидии гражданам на приобретение жилья</v>
      </c>
      <c r="B484" s="75"/>
      <c r="C484" s="76"/>
      <c r="D484" s="77"/>
      <c r="E484" s="66">
        <v>322</v>
      </c>
      <c r="F484" s="88">
        <v>8444385</v>
      </c>
      <c r="G484" s="91"/>
      <c r="H484" s="30">
        <f>F484+G484</f>
        <v>8444385</v>
      </c>
    </row>
    <row r="485" spans="1:9" ht="31.5">
      <c r="A485" s="34" t="str">
        <f>IF(B485&gt;0,VLOOKUP(B485,КВСР!A352:B1517,2),IF(C485&gt;0,VLOOKUP(C485,КФСР!A352:B1864,2),IF(D485&gt;0,VLOOKUP(D485,КЦСР!A352:B4312,2),IF(E485&gt;0,VLOOKUP(E485,КВР!A352:B2280,2)))))</f>
        <v>Департамент ЖКХ и строительства Администрации ТМР</v>
      </c>
      <c r="B485" s="69">
        <v>958</v>
      </c>
      <c r="C485" s="70"/>
      <c r="D485" s="71"/>
      <c r="E485" s="72"/>
      <c r="F485" s="35">
        <v>340674033</v>
      </c>
      <c r="G485" s="35">
        <f>G486+G490+G495+G504+G513+G521+G543+G575+G588+G593+G610+G614+G598+G605+G528+G631+G570+G602+G627</f>
        <v>3273700</v>
      </c>
      <c r="H485" s="35">
        <f>H486+H490+H495+H504+H513+H521+H543+H575+H588+H593+H610+H614+H598+H605+H528+H631+H570+H602+H627</f>
        <v>343947733</v>
      </c>
      <c r="I485" s="124"/>
    </row>
    <row r="486" spans="1:9" ht="24.75" customHeight="1">
      <c r="A486" s="29" t="str">
        <f>IF(B486&gt;0,VLOOKUP(B486,КВСР!A349:B1514,2),IF(C486&gt;0,VLOOKUP(C486,КФСР!A349:B1861,2),IF(D486&gt;0,VLOOKUP(D486,КЦСР!A349:B4309,2),IF(E486&gt;0,VLOOKUP(E486,КВР!A349:B2277,2)))))</f>
        <v>Резервные фонды</v>
      </c>
      <c r="B486" s="69"/>
      <c r="C486" s="70">
        <v>111</v>
      </c>
      <c r="D486" s="71"/>
      <c r="E486" s="72"/>
      <c r="F486" s="30">
        <v>782686</v>
      </c>
      <c r="G486" s="30">
        <f t="shared" ref="G486:H488" si="121">G487</f>
        <v>19700</v>
      </c>
      <c r="H486" s="30">
        <f t="shared" si="121"/>
        <v>802386</v>
      </c>
      <c r="I486" s="124"/>
    </row>
    <row r="487" spans="1:9" ht="21.75" customHeight="1">
      <c r="A487" s="29" t="str">
        <f>IF(B487&gt;0,VLOOKUP(B487,КВСР!A350:B1515,2),IF(C487&gt;0,VLOOKUP(C487,КФСР!A350:B1862,2),IF(D487&gt;0,VLOOKUP(D487,КЦСР!A350:B4310,2),IF(E487&gt;0,VLOOKUP(E487,КВР!A350:B2278,2)))))</f>
        <v>Резервные фонды</v>
      </c>
      <c r="B487" s="69"/>
      <c r="C487" s="70"/>
      <c r="D487" s="71">
        <v>700000</v>
      </c>
      <c r="E487" s="72"/>
      <c r="F487" s="30">
        <v>782686</v>
      </c>
      <c r="G487" s="30">
        <f t="shared" si="121"/>
        <v>19700</v>
      </c>
      <c r="H487" s="30">
        <f t="shared" si="121"/>
        <v>802386</v>
      </c>
      <c r="I487" s="124"/>
    </row>
    <row r="488" spans="1:9" ht="33.75" customHeight="1">
      <c r="A488" s="29" t="str">
        <f>IF(B488&gt;0,VLOOKUP(B488,КВСР!A351:B1516,2),IF(C488&gt;0,VLOOKUP(C488,КФСР!A351:B1863,2),IF(D488&gt;0,VLOOKUP(D488,КЦСР!A351:B4311,2),IF(E488&gt;0,VLOOKUP(E488,КВР!A351:B2279,2)))))</f>
        <v>Резервные фонды местных администраций</v>
      </c>
      <c r="B488" s="69"/>
      <c r="C488" s="70"/>
      <c r="D488" s="71">
        <v>700500</v>
      </c>
      <c r="E488" s="72"/>
      <c r="F488" s="30">
        <v>782686</v>
      </c>
      <c r="G488" s="30">
        <f t="shared" si="121"/>
        <v>19700</v>
      </c>
      <c r="H488" s="30">
        <f t="shared" si="121"/>
        <v>802386</v>
      </c>
      <c r="I488" s="124"/>
    </row>
    <row r="489" spans="1:9" ht="22.5" customHeight="1">
      <c r="A489" s="29" t="str">
        <f>IF(B489&gt;0,VLOOKUP(B489,КВСР!A352:B1517,2),IF(C489&gt;0,VLOOKUP(C489,КФСР!A352:B1864,2),IF(D489&gt;0,VLOOKUP(D489,КЦСР!A352:B4312,2),IF(E489&gt;0,VLOOKUP(E489,КВР!A352:B2280,2)))))</f>
        <v>Резервные средства</v>
      </c>
      <c r="B489" s="69"/>
      <c r="C489" s="70"/>
      <c r="D489" s="71"/>
      <c r="E489" s="72">
        <v>870</v>
      </c>
      <c r="F489" s="30">
        <v>782686</v>
      </c>
      <c r="G489" s="123">
        <v>19700</v>
      </c>
      <c r="H489" s="30">
        <f>F489+G489</f>
        <v>802386</v>
      </c>
      <c r="I489" s="124"/>
    </row>
    <row r="490" spans="1:9" ht="31.5">
      <c r="A490" s="29" t="str">
        <f>IF(B490&gt;0,VLOOKUP(B490,КВСР!A353:B1518,2),IF(C490&gt;0,VLOOKUP(C490,КФСР!A353:B1865,2),IF(D490&gt;0,VLOOKUP(D490,КЦСР!A353:B4313,2),IF(E490&gt;0,VLOOKUP(E490,КВР!A353:B2281,2)))))</f>
        <v>Другие общегосударственные вопросы</v>
      </c>
      <c r="B490" s="69"/>
      <c r="C490" s="70">
        <v>113</v>
      </c>
      <c r="D490" s="71"/>
      <c r="E490" s="72"/>
      <c r="F490" s="30">
        <v>7100972</v>
      </c>
      <c r="G490" s="30">
        <f t="shared" ref="G490:H491" si="122">G491</f>
        <v>0</v>
      </c>
      <c r="H490" s="30">
        <f t="shared" si="122"/>
        <v>7100972</v>
      </c>
    </row>
    <row r="491" spans="1:9" ht="31.5">
      <c r="A491" s="29" t="str">
        <f>IF(B491&gt;0,VLOOKUP(B491,КВСР!A354:B1519,2),IF(C491&gt;0,VLOOKUP(C491,КФСР!A354:B1866,2),IF(D491&gt;0,VLOOKUP(D491,КЦСР!A354:B4314,2),IF(E491&gt;0,VLOOKUP(E491,КВР!A354:B2282,2)))))</f>
        <v>Учреждения по обеспечению хозяйственного обслуживания</v>
      </c>
      <c r="B491" s="69"/>
      <c r="C491" s="70"/>
      <c r="D491" s="71">
        <v>930000</v>
      </c>
      <c r="E491" s="72"/>
      <c r="F491" s="30">
        <v>7100972</v>
      </c>
      <c r="G491" s="30">
        <f t="shared" si="122"/>
        <v>0</v>
      </c>
      <c r="H491" s="30">
        <f t="shared" si="122"/>
        <v>7100972</v>
      </c>
    </row>
    <row r="492" spans="1:9" ht="31.5">
      <c r="A492" s="29" t="str">
        <f>IF(B492&gt;0,VLOOKUP(B492,КВСР!A355:B1520,2),IF(C492&gt;0,VLOOKUP(C492,КФСР!A355:B1867,2),IF(D492&gt;0,VLOOKUP(D492,КЦСР!A355:B4315,2),IF(E492&gt;0,VLOOKUP(E492,КВР!A355:B2283,2)))))</f>
        <v>Обеспечение деятельности подведомственных учреждений</v>
      </c>
      <c r="B492" s="69"/>
      <c r="C492" s="70"/>
      <c r="D492" s="71">
        <v>939900</v>
      </c>
      <c r="E492" s="72"/>
      <c r="F492" s="30">
        <v>7100972</v>
      </c>
      <c r="G492" s="30">
        <f>G493+G494</f>
        <v>0</v>
      </c>
      <c r="H492" s="30">
        <f>H493+H494</f>
        <v>7100972</v>
      </c>
    </row>
    <row r="493" spans="1:9" ht="78.75">
      <c r="A493" s="29" t="str">
        <f>IF(B493&gt;0,VLOOKUP(B493,КВСР!A356:B1521,2),IF(C493&gt;0,VLOOKUP(C493,КФСР!A356:B1868,2),IF(D493&gt;0,VLOOKUP(D493,КЦСР!A356:B4316,2),IF(E493&gt;0,VLOOKUP(E493,КВР!A356:B2284,2)))))</f>
        <v>Субсидии бюджетным учреждениям на финансовое обеспечение государственного задания на оказание государственных услуг (выполнение работ)</v>
      </c>
      <c r="B493" s="69"/>
      <c r="C493" s="70"/>
      <c r="D493" s="71"/>
      <c r="E493" s="72">
        <v>611</v>
      </c>
      <c r="F493" s="30">
        <v>5109422</v>
      </c>
      <c r="G493" s="123"/>
      <c r="H493" s="30">
        <f>F493+G493</f>
        <v>5109422</v>
      </c>
    </row>
    <row r="494" spans="1:9" ht="31.5">
      <c r="A494" s="29" t="str">
        <f>IF(B494&gt;0,VLOOKUP(B494,КВСР!A357:B1522,2),IF(C494&gt;0,VLOOKUP(C494,КФСР!A357:B1869,2),IF(D494&gt;0,VLOOKUP(D494,КЦСР!A357:B4317,2),IF(E494&gt;0,VLOOKUP(E494,КВР!A357:B2285,2)))))</f>
        <v>Субсидии бюджетным учреждениям на иные цели</v>
      </c>
      <c r="B494" s="69"/>
      <c r="C494" s="70"/>
      <c r="D494" s="71"/>
      <c r="E494" s="72">
        <v>612</v>
      </c>
      <c r="F494" s="30">
        <v>1991550</v>
      </c>
      <c r="G494" s="123"/>
      <c r="H494" s="30">
        <f>F494+G494</f>
        <v>1991550</v>
      </c>
    </row>
    <row r="495" spans="1:9" ht="22.5" customHeight="1">
      <c r="A495" s="29" t="str">
        <f>IF(B495&gt;0,VLOOKUP(B495,КВСР!A358:B1523,2),IF(C495&gt;0,VLOOKUP(C495,КФСР!A358:B1870,2),IF(D495&gt;0,VLOOKUP(D495,КЦСР!A358:B4318,2),IF(E495&gt;0,VLOOKUP(E495,КВР!A358:B2286,2)))))</f>
        <v>Топливно-энергетический комплекс</v>
      </c>
      <c r="B495" s="69"/>
      <c r="C495" s="70">
        <v>402</v>
      </c>
      <c r="D495" s="71"/>
      <c r="E495" s="72"/>
      <c r="F495" s="30">
        <v>10083534</v>
      </c>
      <c r="G495" s="30">
        <f t="shared" ref="G495:H495" si="123">G500+G496</f>
        <v>0</v>
      </c>
      <c r="H495" s="30">
        <f t="shared" si="123"/>
        <v>10083534</v>
      </c>
    </row>
    <row r="496" spans="1:9" ht="47.25">
      <c r="A496" s="29" t="str">
        <f>IF(B496&gt;0,VLOOKUP(B496,КВСР!A359:B1524,2),IF(C496&gt;0,VLOOKUP(C496,КФСР!A359:B1871,2),IF(D496&gt;0,VLOOKUP(D496,КЦСР!A359:B4319,2),IF(E496&gt;0,VLOOKUP(E496,КВР!A359:B2287,2)))))</f>
        <v>Реализация государственных функций, связанных с общегосударственным управлением</v>
      </c>
      <c r="B496" s="69"/>
      <c r="C496" s="70"/>
      <c r="D496" s="71">
        <v>920000</v>
      </c>
      <c r="E496" s="72"/>
      <c r="F496" s="30">
        <v>10083534</v>
      </c>
      <c r="G496" s="30">
        <f t="shared" ref="G496:H496" si="124">G497</f>
        <v>0</v>
      </c>
      <c r="H496" s="30">
        <f t="shared" si="124"/>
        <v>10083534</v>
      </c>
    </row>
    <row r="497" spans="1:8" ht="63">
      <c r="A497" s="29" t="str">
        <f>IF(B497&gt;0,VLOOKUP(B497,КВСР!A360:B1525,2),IF(C497&gt;0,VLOOKUP(C497,КФСР!A360:B1872,2),IF(D497&gt;0,VLOOKUP(D497,КЦСР!A360:B4320,2),IF(E497&gt;0,VLOOKUP(E497,КВР!A360:B2288,2)))))</f>
        <v>Программа энергосбережения и повышения энергетической эффективности на период до 2020 года</v>
      </c>
      <c r="B497" s="69"/>
      <c r="C497" s="70"/>
      <c r="D497" s="71">
        <v>923400</v>
      </c>
      <c r="E497" s="72"/>
      <c r="F497" s="30">
        <v>10083534</v>
      </c>
      <c r="G497" s="30">
        <f t="shared" ref="G497:H497" si="125">G498</f>
        <v>0</v>
      </c>
      <c r="H497" s="30">
        <f t="shared" si="125"/>
        <v>10083534</v>
      </c>
    </row>
    <row r="498" spans="1:8" ht="126">
      <c r="A498" s="29" t="str">
        <f>IF(B498&gt;0,VLOOKUP(B498,КВСР!A361:B1526,2),IF(C498&gt;0,VLOOKUP(C498,КФСР!A361:B1873,2),IF(D498&gt;0,VLOOKUP(D498,КЦСР!A361:B4321,2),IF(E498&gt;0,VLOOKUP(E498,КВР!A361:B2289,2)))))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498" s="69"/>
      <c r="C498" s="70"/>
      <c r="D498" s="71">
        <v>923403</v>
      </c>
      <c r="E498" s="72"/>
      <c r="F498" s="30">
        <v>10083534</v>
      </c>
      <c r="G498" s="30">
        <f t="shared" ref="G498:H498" si="126">G499</f>
        <v>0</v>
      </c>
      <c r="H498" s="30">
        <f t="shared" si="126"/>
        <v>10083534</v>
      </c>
    </row>
    <row r="499" spans="1:8" ht="31.5">
      <c r="A499" s="29" t="str">
        <f>IF(B499&gt;0,VLOOKUP(B499,КВСР!A362:B1527,2),IF(C499&gt;0,VLOOKUP(C499,КФСР!A362:B1874,2),IF(D499&gt;0,VLOOKUP(D499,КЦСР!A362:B4322,2),IF(E499&gt;0,VLOOKUP(E499,КВР!A362:B2290,2)))))</f>
        <v>Субсидии бюджетным учреждениям на иные цели</v>
      </c>
      <c r="B499" s="69"/>
      <c r="C499" s="70"/>
      <c r="D499" s="71"/>
      <c r="E499" s="72">
        <v>612</v>
      </c>
      <c r="F499" s="30">
        <v>10083534</v>
      </c>
      <c r="G499" s="216"/>
      <c r="H499" s="30">
        <f>F499+G499</f>
        <v>10083534</v>
      </c>
    </row>
    <row r="500" spans="1:8" hidden="1">
      <c r="A500" s="29" t="str">
        <f>IF(B500&gt;0,VLOOKUP(B500,КВСР!A359:B1524,2),IF(C500&gt;0,VLOOKUP(C500,КФСР!A359:B1871,2),IF(D500&gt;0,VLOOKUP(D500,КЦСР!A359:B4319,2),IF(E500&gt;0,VLOOKUP(E500,КВР!A359:B2287,2)))))</f>
        <v>Региональные целевые программы</v>
      </c>
      <c r="B500" s="69"/>
      <c r="C500" s="70"/>
      <c r="D500" s="71">
        <v>5220000</v>
      </c>
      <c r="E500" s="72"/>
      <c r="F500" s="30">
        <v>0</v>
      </c>
      <c r="G500" s="30">
        <f t="shared" ref="G500:H500" si="127">G501</f>
        <v>0</v>
      </c>
      <c r="H500" s="30">
        <f t="shared" si="127"/>
        <v>0</v>
      </c>
    </row>
    <row r="501" spans="1:8" ht="63" hidden="1">
      <c r="A501" s="29" t="str">
        <f>IF(B501&gt;0,VLOOKUP(B501,КВСР!A360:B1525,2),IF(C501&gt;0,VLOOKUP(C501,КФСР!A360:B1872,2),IF(D501&gt;0,VLOOKUP(D501,КЦСР!A360:B4320,2),IF(E501&gt;0,VLOOKUP(E501,КВР!A360:B2288,2)))))</f>
        <v>Программа энергосбережения и повышения энергетической эффективности на период до 2020 года</v>
      </c>
      <c r="B501" s="69"/>
      <c r="C501" s="70"/>
      <c r="D501" s="71">
        <v>5224000</v>
      </c>
      <c r="E501" s="72"/>
      <c r="F501" s="30">
        <v>0</v>
      </c>
      <c r="G501" s="30">
        <f>G503</f>
        <v>0</v>
      </c>
      <c r="H501" s="30">
        <f>H503</f>
        <v>0</v>
      </c>
    </row>
    <row r="502" spans="1:8" ht="31.5" hidden="1">
      <c r="A502" s="29" t="str">
        <f>IF(B502&gt;0,VLOOKUP(B502,КВСР!A361:B1526,2),IF(C502&gt;0,VLOOKUP(C502,КФСР!A361:B1873,2),IF(D502&gt;0,VLOOKUP(D502,КЦСР!A361:B4321,2),IF(E502&gt;0,VLOOKUP(E502,КВР!A361:B2289,2)))))</f>
        <v>Программа "Энергоресурсосбережений"</v>
      </c>
      <c r="B502" s="69"/>
      <c r="C502" s="70"/>
      <c r="D502" s="71">
        <v>5224005</v>
      </c>
      <c r="E502" s="72"/>
      <c r="F502" s="30">
        <v>0</v>
      </c>
      <c r="G502" s="30">
        <f>G503</f>
        <v>0</v>
      </c>
      <c r="H502" s="30">
        <f>H503</f>
        <v>0</v>
      </c>
    </row>
    <row r="503" spans="1:8" ht="31.5" hidden="1">
      <c r="A503" s="29" t="str">
        <f>IF(B503&gt;0,VLOOKUP(B503,КВСР!A361:B1526,2),IF(C503&gt;0,VLOOKUP(C503,КФСР!A361:B1873,2),IF(D503&gt;0,VLOOKUP(D503,КЦСР!A361:B4321,2),IF(E503&gt;0,VLOOKUP(E503,КВР!A361:B2289,2)))))</f>
        <v>Субсидии бюджетным учреждениям на иные цели</v>
      </c>
      <c r="B503" s="69"/>
      <c r="C503" s="70"/>
      <c r="D503" s="71"/>
      <c r="E503" s="72">
        <v>612</v>
      </c>
      <c r="F503" s="30">
        <v>0</v>
      </c>
      <c r="G503" s="123"/>
      <c r="H503" s="30">
        <f>F503+G503</f>
        <v>0</v>
      </c>
    </row>
    <row r="504" spans="1:8">
      <c r="A504" s="29" t="str">
        <f>IF(B504&gt;0,VLOOKUP(B504,КВСР!A362:B1527,2),IF(C504&gt;0,VLOOKUP(C504,КФСР!A362:B1874,2),IF(D504&gt;0,VLOOKUP(D504,КЦСР!A362:B4322,2),IF(E504&gt;0,VLOOKUP(E504,КВР!A362:B2290,2)))))</f>
        <v>Водные ресурсы</v>
      </c>
      <c r="B504" s="69"/>
      <c r="C504" s="70">
        <v>406</v>
      </c>
      <c r="D504" s="71"/>
      <c r="E504" s="72"/>
      <c r="F504" s="30">
        <v>1750000</v>
      </c>
      <c r="G504" s="30">
        <f>G505</f>
        <v>0</v>
      </c>
      <c r="H504" s="30">
        <f>H505</f>
        <v>1750000</v>
      </c>
    </row>
    <row r="505" spans="1:8">
      <c r="A505" s="29" t="str">
        <f>IF(B505&gt;0,VLOOKUP(B505,КВСР!A363:B1528,2),IF(C505&gt;0,VLOOKUP(C505,КФСР!A363:B1875,2),IF(D505&gt;0,VLOOKUP(D505,КЦСР!A363:B4323,2),IF(E505&gt;0,VLOOKUP(E505,КВР!A363:B2291,2)))))</f>
        <v>Федеральные целевые программы</v>
      </c>
      <c r="B505" s="69"/>
      <c r="C505" s="70"/>
      <c r="D505" s="71">
        <v>1000000</v>
      </c>
      <c r="E505" s="72"/>
      <c r="F505" s="30">
        <v>1750000</v>
      </c>
      <c r="G505" s="30">
        <f t="shared" ref="G505:H505" si="128">G506</f>
        <v>0</v>
      </c>
      <c r="H505" s="30">
        <f t="shared" si="128"/>
        <v>1750000</v>
      </c>
    </row>
    <row r="506" spans="1:8" ht="54.75" customHeight="1">
      <c r="A506" s="29" t="str">
        <f>IF(B506&gt;0,VLOOKUP(B506,КВСР!A364:B1529,2),IF(C506&gt;0,VLOOKUP(C506,КФСР!A364:B1876,2),IF(D506&gt;0,VLOOKUP(D506,КЦСР!A364:B4324,2),IF(E506&gt;0,VLOOKUP(E506,КВР!A364:B2292,2)))))</f>
        <v>Федеральная целевая программа "Развитие водохозяйственного комплекса РФ в 2012-2020 годах</v>
      </c>
      <c r="B506" s="69"/>
      <c r="C506" s="70"/>
      <c r="D506" s="71">
        <v>1001200</v>
      </c>
      <c r="E506" s="72"/>
      <c r="F506" s="30">
        <v>1750000</v>
      </c>
      <c r="G506" s="30">
        <f t="shared" ref="G506:H506" si="129">G507</f>
        <v>0</v>
      </c>
      <c r="H506" s="30">
        <f t="shared" si="129"/>
        <v>1750000</v>
      </c>
    </row>
    <row r="507" spans="1:8" ht="38.25" customHeight="1">
      <c r="A507" s="29" t="str">
        <f>IF(B507&gt;0,VLOOKUP(B507,КВСР!A365:B1530,2),IF(C507&gt;0,VLOOKUP(C507,КФСР!A365:B1877,2),IF(D507&gt;0,VLOOKUP(D507,КЦСР!A365:B4325,2),IF(E507&gt;0,VLOOKUP(E507,КВР!A365:B2293,2)))))</f>
        <v>Субсидия на реализацию ОЦП "Берегоукрепление"</v>
      </c>
      <c r="B507" s="69"/>
      <c r="C507" s="70"/>
      <c r="D507" s="71">
        <v>1001202</v>
      </c>
      <c r="E507" s="72"/>
      <c r="F507" s="30">
        <v>1750000</v>
      </c>
      <c r="G507" s="30">
        <f t="shared" ref="G507:H507" si="130">G508</f>
        <v>0</v>
      </c>
      <c r="H507" s="30">
        <f t="shared" si="130"/>
        <v>1750000</v>
      </c>
    </row>
    <row r="508" spans="1:8" ht="78.75">
      <c r="A508" s="29" t="str">
        <f>IF(B508&gt;0,VLOOKUP(B508,КВСР!A366:B1531,2),IF(C508&gt;0,VLOOKUP(C508,КФСР!A366:B1878,2),IF(D508&gt;0,VLOOKUP(D508,КЦСР!A366:B4326,2),IF(E508&gt;0,VLOOKUP(E508,КВР!A366:B2294,2)))))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508" s="69"/>
      <c r="C508" s="70"/>
      <c r="D508" s="71"/>
      <c r="E508" s="72">
        <v>521</v>
      </c>
      <c r="F508" s="30">
        <v>1750000</v>
      </c>
      <c r="G508" s="231"/>
      <c r="H508" s="30">
        <f>F508+G508</f>
        <v>1750000</v>
      </c>
    </row>
    <row r="509" spans="1:8" ht="47.25" hidden="1">
      <c r="A509" s="29" t="str">
        <f>IF(B509&gt;0,VLOOKUP(B509,КВСР!A363:B1528,2),IF(C509&gt;0,VLOOKUP(C509,КФСР!A363:B1875,2),IF(D509&gt;0,VLOOKUP(D509,КЦСР!A363:B4323,2),IF(E509&gt;0,VLOOKUP(E509,КВР!A363:B2291,2)))))</f>
        <v>Бюджетные инвестиции в объекты капитального строительства, не включенные в целевые программы</v>
      </c>
      <c r="B509" s="69"/>
      <c r="C509" s="70"/>
      <c r="D509" s="71">
        <v>1020000</v>
      </c>
      <c r="E509" s="72"/>
      <c r="F509" s="30">
        <v>0</v>
      </c>
      <c r="G509" s="30">
        <f t="shared" ref="G509:H511" si="131">G510</f>
        <v>0</v>
      </c>
      <c r="H509" s="30">
        <f t="shared" si="131"/>
        <v>0</v>
      </c>
    </row>
    <row r="510" spans="1:8" ht="110.25" hidden="1">
      <c r="A510" s="29" t="str">
        <f>IF(B510&gt;0,VLOOKUP(B510,КВСР!A364:B1529,2),IF(C510&gt;0,VLOOKUP(C510,КФСР!A364:B1876,2),IF(D510&gt;0,VLOOKUP(D510,КЦСР!A364:B4324,2),IF(E510&gt;0,VLOOKUP(E510,КВР!A364:B2292,2)))))</f>
        <v>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v>
      </c>
      <c r="B510" s="69"/>
      <c r="C510" s="70"/>
      <c r="D510" s="71">
        <v>1020100</v>
      </c>
      <c r="E510" s="72"/>
      <c r="F510" s="30">
        <v>0</v>
      </c>
      <c r="G510" s="30">
        <f t="shared" si="131"/>
        <v>0</v>
      </c>
      <c r="H510" s="30">
        <f t="shared" si="131"/>
        <v>0</v>
      </c>
    </row>
    <row r="511" spans="1:8" ht="63" hidden="1">
      <c r="A511" s="29" t="str">
        <f>IF(B511&gt;0,VLOOKUP(B511,КВСР!A365:B1530,2),IF(C511&gt;0,VLOOKUP(C511,КФСР!A365:B1877,2),IF(D511&gt;0,VLOOKUP(D511,КЦСР!A365:B4325,2),IF(E511&gt;0,VLOOKUP(E511,КВР!A365:B2293,2)))))</f>
        <v>Бюджетные инвестиции в объекты капитального строительства собственности муниципальных образований</v>
      </c>
      <c r="B511" s="69"/>
      <c r="C511" s="70"/>
      <c r="D511" s="71">
        <v>1020102</v>
      </c>
      <c r="E511" s="72"/>
      <c r="F511" s="30">
        <v>0</v>
      </c>
      <c r="G511" s="30">
        <f t="shared" si="131"/>
        <v>0</v>
      </c>
      <c r="H511" s="30">
        <f>H512</f>
        <v>0</v>
      </c>
    </row>
    <row r="512" spans="1:8" ht="78.75" hidden="1">
      <c r="A512" s="29" t="str">
        <f>IF(B512&gt;0,VLOOKUP(B512,КВСР!A367:B1532,2),IF(C512&gt;0,VLOOKUP(C512,КФСР!A367:B1879,2),IF(D512&gt;0,VLOOKUP(D512,КЦСР!A367:B4327,2),IF(E512&gt;0,VLOOKUP(E512,КВР!A367:B2295,2)))))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512" s="69"/>
      <c r="C512" s="70"/>
      <c r="D512" s="71"/>
      <c r="E512" s="72">
        <v>521</v>
      </c>
      <c r="F512" s="30">
        <v>0</v>
      </c>
      <c r="G512" s="123"/>
      <c r="H512" s="30">
        <f>F512+G512</f>
        <v>0</v>
      </c>
    </row>
    <row r="513" spans="1:8" ht="24" customHeight="1">
      <c r="A513" s="29" t="str">
        <f>IF(B513&gt;0,VLOOKUP(B513,КВСР!A367:B1532,2),IF(C513&gt;0,VLOOKUP(C513,КФСР!A367:B1879,2),IF(D513&gt;0,VLOOKUP(D513,КЦСР!A367:B4327,2),IF(E513&gt;0,VLOOKUP(E513,КВР!A367:B2295,2)))))</f>
        <v>Транспорт</v>
      </c>
      <c r="B513" s="69"/>
      <c r="C513" s="70">
        <v>408</v>
      </c>
      <c r="D513" s="71"/>
      <c r="E513" s="72"/>
      <c r="F513" s="30">
        <v>18514000</v>
      </c>
      <c r="G513" s="30">
        <f>G514+G518</f>
        <v>0</v>
      </c>
      <c r="H513" s="30">
        <f>H514+H518</f>
        <v>18514000</v>
      </c>
    </row>
    <row r="514" spans="1:8">
      <c r="A514" s="29" t="str">
        <f>IF(B514&gt;0,VLOOKUP(B514,КВСР!A368:B1533,2),IF(C514&gt;0,VLOOKUP(C514,КФСР!A368:B1880,2),IF(D514&gt;0,VLOOKUP(D514,КЦСР!A368:B4328,2),IF(E514&gt;0,VLOOKUP(E514,КВР!A368:B2296,2)))))</f>
        <v>Другие виды транспорта</v>
      </c>
      <c r="B514" s="74"/>
      <c r="C514" s="70"/>
      <c r="D514" s="71">
        <v>3170000</v>
      </c>
      <c r="E514" s="72"/>
      <c r="F514" s="30">
        <v>13764000</v>
      </c>
      <c r="G514" s="30">
        <f t="shared" ref="G514:H516" si="132">G515</f>
        <v>0</v>
      </c>
      <c r="H514" s="30">
        <f t="shared" si="132"/>
        <v>13764000</v>
      </c>
    </row>
    <row r="515" spans="1:8" ht="47.25">
      <c r="A515" s="29" t="str">
        <f>IF(B515&gt;0,VLOOKUP(B515,КВСР!A369:B1534,2),IF(C515&gt;0,VLOOKUP(C515,КФСР!A369:B1881,2),IF(D515&gt;0,VLOOKUP(D515,КЦСР!A369:B4329,2),IF(E515&gt;0,VLOOKUP(E515,КВР!A369:B2297,2)))))</f>
        <v>Субсидии на проведение отдельных мероприятий по другим видам транспорта</v>
      </c>
      <c r="B515" s="74"/>
      <c r="C515" s="70"/>
      <c r="D515" s="71">
        <v>3170100</v>
      </c>
      <c r="E515" s="72"/>
      <c r="F515" s="30">
        <v>13764000</v>
      </c>
      <c r="G515" s="30">
        <f t="shared" si="132"/>
        <v>0</v>
      </c>
      <c r="H515" s="30">
        <f t="shared" si="132"/>
        <v>13764000</v>
      </c>
    </row>
    <row r="516" spans="1:8" ht="110.25">
      <c r="A516" s="29" t="str">
        <f>IF(B516&gt;0,VLOOKUP(B516,КВСР!A370:B1535,2),IF(C516&gt;0,VLOOKUP(C516,КФСР!A370:B1882,2),IF(D516&gt;0,VLOOKUP(D516,КЦСР!A370:B4330,2),IF(E516&gt;0,VLOOKUP(E516,КВР!A370:B2298,2)))))</f>
        <v>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v>
      </c>
      <c r="B516" s="69"/>
      <c r="C516" s="70"/>
      <c r="D516" s="71">
        <v>3170110</v>
      </c>
      <c r="E516" s="72"/>
      <c r="F516" s="30">
        <v>13764000</v>
      </c>
      <c r="G516" s="30">
        <f t="shared" si="132"/>
        <v>0</v>
      </c>
      <c r="H516" s="30">
        <f t="shared" si="132"/>
        <v>13764000</v>
      </c>
    </row>
    <row r="517" spans="1:8" ht="63">
      <c r="A517" s="29" t="str">
        <f>IF(B517&gt;0,VLOOKUP(B517,КВСР!A371:B1536,2),IF(C517&gt;0,VLOOKUP(C517,КФСР!A371:B1883,2),IF(D517&gt;0,VLOOKUP(D517,КЦСР!A371:B4331,2),IF(E517&gt;0,VLOOKUP(E517,КВР!A371:B2299,2)))))</f>
        <v>Субсидии юридическим лицам (кроме государственных учреждений) и физическим лицам - производителям товаров, работ, услуг</v>
      </c>
      <c r="B517" s="69"/>
      <c r="C517" s="70"/>
      <c r="D517" s="71"/>
      <c r="E517" s="72">
        <v>810</v>
      </c>
      <c r="F517" s="88">
        <v>13764000</v>
      </c>
      <c r="G517" s="91"/>
      <c r="H517" s="30">
        <f>F517+G517</f>
        <v>13764000</v>
      </c>
    </row>
    <row r="518" spans="1:8" ht="27" customHeight="1">
      <c r="A518" s="29" t="str">
        <f>IF(B518&gt;0,VLOOKUP(B518,КВСР!A372:B1537,2),IF(C518&gt;0,VLOOKUP(C518,КФСР!A372:B1884,2),IF(D518&gt;0,VLOOKUP(D518,КЦСР!A372:B4332,2),IF(E518&gt;0,VLOOKUP(E518,КВР!A372:B2300,2)))))</f>
        <v>Межбюджетные трансферты</v>
      </c>
      <c r="B518" s="69"/>
      <c r="C518" s="70"/>
      <c r="D518" s="71">
        <v>5210000</v>
      </c>
      <c r="E518" s="72"/>
      <c r="F518" s="88">
        <v>4750000</v>
      </c>
      <c r="G518" s="88">
        <f>G519</f>
        <v>0</v>
      </c>
      <c r="H518" s="30">
        <f>SUM(F518:G518)</f>
        <v>4750000</v>
      </c>
    </row>
    <row r="519" spans="1:8" ht="82.5" customHeight="1">
      <c r="A519" s="29" t="str">
        <f>IF(B519&gt;0,VLOOKUP(B519,КВСР!A373:B1538,2),IF(C519&gt;0,VLOOKUP(C519,КФСР!A373:B1885,2),IF(D519&gt;0,VLOOKUP(D519,КЦСР!A373:B4333,2),IF(E519&gt;0,VLOOKUP(E519,КВР!A373:B2301,2)))))</f>
        <v>Субсидия на компенсацию части затрат по организации внутримуниципального сообщения водным транспортом с использованием переправ</v>
      </c>
      <c r="B519" s="69"/>
      <c r="C519" s="70"/>
      <c r="D519" s="71">
        <v>5210125</v>
      </c>
      <c r="E519" s="72"/>
      <c r="F519" s="88">
        <v>4750000</v>
      </c>
      <c r="G519" s="88">
        <f>G520</f>
        <v>0</v>
      </c>
      <c r="H519" s="30">
        <f>SUM(F519:G519)</f>
        <v>4750000</v>
      </c>
    </row>
    <row r="520" spans="1:8" ht="89.25" customHeight="1">
      <c r="A520" s="29" t="str">
        <f>IF(B520&gt;0,VLOOKUP(B520,КВСР!A374:B1539,2),IF(C520&gt;0,VLOOKUP(C520,КФСР!A374:B1886,2),IF(D520&gt;0,VLOOKUP(D520,КЦСР!A374:B4334,2),IF(E520&gt;0,VLOOKUP(E520,КВР!A374:B2302,2)))))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520" s="69"/>
      <c r="C520" s="70"/>
      <c r="D520" s="71"/>
      <c r="E520" s="72">
        <v>521</v>
      </c>
      <c r="F520" s="88">
        <v>4750000</v>
      </c>
      <c r="G520" s="91"/>
      <c r="H520" s="30">
        <f>SUM(F520:G520)</f>
        <v>4750000</v>
      </c>
    </row>
    <row r="521" spans="1:8" ht="21" customHeight="1">
      <c r="A521" s="29" t="str">
        <f>IF(B521&gt;0,VLOOKUP(B521,КВСР!A372:B1537,2),IF(C521&gt;0,VLOOKUP(C521,КФСР!A372:B1884,2),IF(D521&gt;0,VLOOKUP(D521,КЦСР!A372:B4332,2),IF(E521&gt;0,VLOOKUP(E521,КВР!A372:B2300,2)))))</f>
        <v>Дорожное хозяйство</v>
      </c>
      <c r="B521" s="69"/>
      <c r="C521" s="70">
        <v>409</v>
      </c>
      <c r="D521" s="71"/>
      <c r="E521" s="72"/>
      <c r="F521" s="30">
        <v>80036940</v>
      </c>
      <c r="G521" s="30">
        <f>G522</f>
        <v>0</v>
      </c>
      <c r="H521" s="30">
        <f>H522</f>
        <v>80036940</v>
      </c>
    </row>
    <row r="522" spans="1:8" ht="20.25" customHeight="1">
      <c r="A522" s="29" t="str">
        <f>IF(B522&gt;0,VLOOKUP(B522,КВСР!A373:B1538,2),IF(C522&gt;0,VLOOKUP(C522,КФСР!A373:B1885,2),IF(D522&gt;0,VLOOKUP(D522,КЦСР!A373:B4333,2),IF(E522&gt;0,VLOOKUP(E522,КВР!A373:B2301,2)))))</f>
        <v>Дорожное хозяйство</v>
      </c>
      <c r="B522" s="69"/>
      <c r="C522" s="70"/>
      <c r="D522" s="71">
        <v>3150000</v>
      </c>
      <c r="E522" s="72"/>
      <c r="F522" s="30">
        <v>80036940</v>
      </c>
      <c r="G522" s="30">
        <f t="shared" ref="G522:H523" si="133">G523</f>
        <v>0</v>
      </c>
      <c r="H522" s="30">
        <f t="shared" si="133"/>
        <v>80036940</v>
      </c>
    </row>
    <row r="523" spans="1:8" ht="22.5" customHeight="1">
      <c r="A523" s="29" t="str">
        <f>IF(B523&gt;0,VLOOKUP(B523,КВСР!A374:B1539,2),IF(C523&gt;0,VLOOKUP(C523,КФСР!A374:B1886,2),IF(D523&gt;0,VLOOKUP(D523,КЦСР!A374:B4334,2),IF(E523&gt;0,VLOOKUP(E523,КВР!A374:B2302,2)))))</f>
        <v>Поддержка дорожного хозяйства</v>
      </c>
      <c r="B523" s="69"/>
      <c r="C523" s="70"/>
      <c r="D523" s="71">
        <v>3150200</v>
      </c>
      <c r="E523" s="72"/>
      <c r="F523" s="30">
        <v>80036940</v>
      </c>
      <c r="G523" s="30">
        <f t="shared" si="133"/>
        <v>0</v>
      </c>
      <c r="H523" s="30">
        <f t="shared" si="133"/>
        <v>80036940</v>
      </c>
    </row>
    <row r="524" spans="1:8" ht="94.5">
      <c r="A524" s="29" t="str">
        <f>IF(B524&gt;0,VLOOKUP(B524,КВСР!A375:B1540,2),IF(C524&gt;0,VLOOKUP(C524,КФСР!A375:B1887,2),IF(D524&gt;0,VLOOKUP(D524,КЦСР!A375:B4335,2),IF(E524&gt;0,VLOOKUP(E524,КВР!A375:B2303,2)))))</f>
        <v>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v>
      </c>
      <c r="B524" s="69"/>
      <c r="C524" s="70"/>
      <c r="D524" s="71">
        <v>3150201</v>
      </c>
      <c r="E524" s="72"/>
      <c r="F524" s="30">
        <v>80036940</v>
      </c>
      <c r="G524" s="30">
        <f>G525+G526+G527</f>
        <v>0</v>
      </c>
      <c r="H524" s="30">
        <f>H525+H526+H527</f>
        <v>80036940</v>
      </c>
    </row>
    <row r="525" spans="1:8" ht="47.25">
      <c r="A525" s="29" t="str">
        <f>IF(B525&gt;0,VLOOKUP(B525,КВСР!A376:B1541,2),IF(C525&gt;0,VLOOKUP(C525,КФСР!A376:B1888,2),IF(D525&gt;0,VLOOKUP(D525,КЦСР!A376:B4336,2),IF(E525&gt;0,VLOOKUP(E525,КВР!A376:B2304,2)))))</f>
        <v xml:space="preserve">Закупка товаров, работ, услуг в целях капитального ремонта государственного имущества </v>
      </c>
      <c r="B525" s="69"/>
      <c r="C525" s="70"/>
      <c r="D525" s="71"/>
      <c r="E525" s="72">
        <v>243</v>
      </c>
      <c r="F525" s="88">
        <v>487225</v>
      </c>
      <c r="G525" s="91"/>
      <c r="H525" s="30">
        <f>F525+G525</f>
        <v>487225</v>
      </c>
    </row>
    <row r="526" spans="1:8" ht="31.5">
      <c r="A526" s="29" t="str">
        <f>IF(B526&gt;0,VLOOKUP(B526,КВСР!A377:B1542,2),IF(C526&gt;0,VLOOKUP(C526,КФСР!A377:B1889,2),IF(D526&gt;0,VLOOKUP(D526,КЦСР!A377:B4337,2),IF(E526&gt;0,VLOOKUP(E526,КВР!A377:B2305,2)))))</f>
        <v>Прочая закупка товаров, работ и услуг для государственных нужд</v>
      </c>
      <c r="B526" s="69"/>
      <c r="C526" s="70"/>
      <c r="D526" s="71"/>
      <c r="E526" s="72">
        <v>244</v>
      </c>
      <c r="F526" s="88">
        <v>31410530</v>
      </c>
      <c r="G526" s="91"/>
      <c r="H526" s="30">
        <f t="shared" ref="H526:H542" si="134">SUM(F526:G526)</f>
        <v>31410530</v>
      </c>
    </row>
    <row r="527" spans="1:8" ht="84.75" customHeight="1">
      <c r="A527" s="29" t="str">
        <f>IF(B527&gt;0,VLOOKUP(B527,КВСР!A381:B1546,2),IF(C527&gt;0,VLOOKUP(C527,КФСР!A381:B1893,2),IF(D527&gt;0,VLOOKUP(D527,КЦСР!A381:B4341,2),IF(E527&gt;0,VLOOKUP(E527,КВР!A381:B2309,2)))))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527" s="69"/>
      <c r="C527" s="70"/>
      <c r="D527" s="71"/>
      <c r="E527" s="72">
        <v>521</v>
      </c>
      <c r="F527" s="88">
        <v>48139185</v>
      </c>
      <c r="G527" s="91"/>
      <c r="H527" s="30">
        <f>F527+G527</f>
        <v>48139185</v>
      </c>
    </row>
    <row r="528" spans="1:8" ht="24" customHeight="1">
      <c r="A528" s="29" t="str">
        <f>IF(B528&gt;0,VLOOKUP(B528,КВСР!A378:B1543,2),IF(C528&gt;0,VLOOKUP(C528,КФСР!A378:B1890,2),IF(D528&gt;0,VLOOKUP(D528,КЦСР!A378:B4338,2),IF(E528&gt;0,VLOOKUP(E528,КВР!A378:B2306,2)))))</f>
        <v>Жилищное хозяйство</v>
      </c>
      <c r="B528" s="69"/>
      <c r="C528" s="70">
        <v>501</v>
      </c>
      <c r="D528" s="71"/>
      <c r="E528" s="72"/>
      <c r="F528" s="88">
        <v>20828563</v>
      </c>
      <c r="G528" s="88">
        <f t="shared" ref="G528:H528" si="135">G529+G540+G536</f>
        <v>0</v>
      </c>
      <c r="H528" s="88">
        <f t="shared" si="135"/>
        <v>20828563</v>
      </c>
    </row>
    <row r="529" spans="1:8" ht="81" customHeight="1">
      <c r="A529" s="29" t="str">
        <f>IF(B529&gt;0,VLOOKUP(B529,КВСР!A379:B1544,2),IF(C529&gt;0,VLOOKUP(C529,КФСР!A379:B1891,2),IF(D529&gt;0,VLOOKUP(D529,КЦСР!A379:B4339,2),IF(E529&gt;0,VLOOKUP(E529,КВР!A379:B2307,2)))))</f>
        <v>Обеспечение мероприятий по капитальному ремонту многоквартирных домов и переселению граждан из аварийного жилищного фонда</v>
      </c>
      <c r="B529" s="69"/>
      <c r="C529" s="70"/>
      <c r="D529" s="71">
        <v>980000</v>
      </c>
      <c r="E529" s="72"/>
      <c r="F529" s="88">
        <v>19637787</v>
      </c>
      <c r="G529" s="88">
        <f>G530+G533</f>
        <v>0</v>
      </c>
      <c r="H529" s="30">
        <f t="shared" si="134"/>
        <v>19637787</v>
      </c>
    </row>
    <row r="530" spans="1:8" ht="148.5" customHeight="1">
      <c r="A530" s="29" t="str">
        <f>IF(B530&gt;0,VLOOKUP(B530,КВСР!A380:B1545,2),IF(C530&gt;0,VLOOKUP(C530,КФСР!A380:B1892,2),IF(D530&gt;0,VLOOKUP(D530,КЦСР!A380:B4340,2),IF(E530&gt;0,VLOOKUP(E530,КВР!A380:B2308,2)))))</f>
        <v>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v>
      </c>
      <c r="B530" s="69"/>
      <c r="C530" s="70"/>
      <c r="D530" s="71">
        <v>980100</v>
      </c>
      <c r="E530" s="72"/>
      <c r="F530" s="88">
        <v>11799529</v>
      </c>
      <c r="G530" s="88">
        <f>G531</f>
        <v>0</v>
      </c>
      <c r="H530" s="30">
        <f t="shared" si="134"/>
        <v>11799529</v>
      </c>
    </row>
    <row r="531" spans="1:8" ht="115.5" customHeight="1">
      <c r="A531" s="29" t="str">
        <f>IF(B531&gt;0,VLOOKUP(B531,КВСР!A380:B1545,2),IF(C531&gt;0,VLOOKUP(C531,КФСР!A380:B1892,2),IF(D531&gt;0,VLOOKUP(D531,КЦСР!A380:B4340,2),IF(E531&gt;0,VLOOKUP(E531,КВР!A380:B2308,2)))))</f>
        <v>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v>
      </c>
      <c r="B531" s="69"/>
      <c r="C531" s="70"/>
      <c r="D531" s="71">
        <v>980101</v>
      </c>
      <c r="E531" s="72"/>
      <c r="F531" s="88">
        <v>11799529</v>
      </c>
      <c r="G531" s="88">
        <f>G532</f>
        <v>0</v>
      </c>
      <c r="H531" s="30">
        <f t="shared" si="134"/>
        <v>11799529</v>
      </c>
    </row>
    <row r="532" spans="1:8" ht="66" customHeight="1">
      <c r="A532" s="29" t="str">
        <f>IF(B532&gt;0,VLOOKUP(B532,КВСР!A381:B1546,2),IF(C532&gt;0,VLOOKUP(C532,КФСР!A381:B1893,2),IF(D532&gt;0,VLOOKUP(D532,КЦСР!A381:B4341,2),IF(E532&gt;0,VLOOKUP(E532,КВР!A381:B2309,2)))))</f>
        <v>Субсидии юридическим лицам (кроме государственных учреждений) и физическим лицам - производителям товаров, работ, услуг</v>
      </c>
      <c r="B532" s="69"/>
      <c r="C532" s="70"/>
      <c r="D532" s="71"/>
      <c r="E532" s="72">
        <v>810</v>
      </c>
      <c r="F532" s="139">
        <v>11799529</v>
      </c>
      <c r="G532" s="91"/>
      <c r="H532" s="30">
        <f t="shared" si="134"/>
        <v>11799529</v>
      </c>
    </row>
    <row r="533" spans="1:8" ht="100.5" customHeight="1">
      <c r="A533" s="29" t="str">
        <f>IF(B533&gt;0,VLOOKUP(B533,КВСР!A382:B1547,2),IF(C533&gt;0,VLOOKUP(C533,КФСР!A382:B1894,2),IF(D533&gt;0,VLOOKUP(D533,КЦСР!A382:B4342,2),IF(E533&gt;0,VLOOKUP(E533,КВР!A382:B2310,2)))))</f>
        <v>Обеспечение мероприятий по капитальному ремонту многоквартирных домов и переселение граждан из аварийного жилищного фонда за счет средств бюджетов</v>
      </c>
      <c r="B533" s="69"/>
      <c r="C533" s="70"/>
      <c r="D533" s="71">
        <v>980200</v>
      </c>
      <c r="E533" s="72"/>
      <c r="F533" s="88">
        <v>7838258</v>
      </c>
      <c r="G533" s="88">
        <f>G534</f>
        <v>0</v>
      </c>
      <c r="H533" s="30">
        <f t="shared" si="134"/>
        <v>7838258</v>
      </c>
    </row>
    <row r="534" spans="1:8" ht="96" customHeight="1">
      <c r="A534" s="29" t="str">
        <f>IF(B534&gt;0,VLOOKUP(B534,КВСР!A382:B1547,2),IF(C534&gt;0,VLOOKUP(C534,КФСР!A382:B1894,2),IF(D534&gt;0,VLOOKUP(D534,КЦСР!A382:B4342,2),IF(E534&gt;0,VLOOKUP(E534,КВР!A382:B2310,2)))))</f>
        <v>Обеспечение мероприятий по капитальному ремонту многоквартирных домов и переселению граждан из  аварийного жилфонда за счет средств бюджетов</v>
      </c>
      <c r="B534" s="69"/>
      <c r="C534" s="70"/>
      <c r="D534" s="71">
        <v>980201</v>
      </c>
      <c r="E534" s="72"/>
      <c r="F534" s="88">
        <v>7838258</v>
      </c>
      <c r="G534" s="88">
        <f>G535</f>
        <v>0</v>
      </c>
      <c r="H534" s="30">
        <f t="shared" si="134"/>
        <v>7838258</v>
      </c>
    </row>
    <row r="535" spans="1:8" ht="66.75" customHeight="1">
      <c r="A535" s="29" t="str">
        <f>IF(B535&gt;0,VLOOKUP(B535,КВСР!A383:B1548,2),IF(C535&gt;0,VLOOKUP(C535,КФСР!A383:B1895,2),IF(D535&gt;0,VLOOKUP(D535,КЦСР!A383:B4343,2),IF(E535&gt;0,VLOOKUP(E535,КВР!A383:B2311,2)))))</f>
        <v>Субсидии юридическим лицам (кроме государственных учреждений) и физическим лицам - производителям товаров, работ, услуг</v>
      </c>
      <c r="B535" s="69"/>
      <c r="C535" s="70"/>
      <c r="D535" s="71"/>
      <c r="E535" s="72">
        <v>810</v>
      </c>
      <c r="F535" s="139">
        <v>7838258</v>
      </c>
      <c r="G535" s="91"/>
      <c r="H535" s="30">
        <f t="shared" si="134"/>
        <v>7838258</v>
      </c>
    </row>
    <row r="536" spans="1:8" ht="66.75" customHeight="1">
      <c r="A536" s="29" t="str">
        <f>IF(B536&gt;0,VLOOKUP(B536,КВСР!A384:B1549,2),IF(C536&gt;0,VLOOKUP(C536,КФСР!A384:B1896,2),IF(D536&gt;0,VLOOKUP(D536,КЦСР!A384:B4344,2),IF(E536&gt;0,VLOOKUP(E536,КВР!A384:B2312,2)))))</f>
        <v>Бюджетные инвестиции в объекты капитального строительства, не включенные в целевые программы</v>
      </c>
      <c r="B536" s="69"/>
      <c r="C536" s="70"/>
      <c r="D536" s="71">
        <v>1020000</v>
      </c>
      <c r="E536" s="72"/>
      <c r="F536" s="139">
        <v>1160776</v>
      </c>
      <c r="G536" s="139">
        <f t="shared" ref="G536:H536" si="136">G537</f>
        <v>0</v>
      </c>
      <c r="H536" s="139">
        <f t="shared" si="136"/>
        <v>1160776</v>
      </c>
    </row>
    <row r="537" spans="1:8" ht="110.25">
      <c r="A537" s="29" t="str">
        <f>IF(B537&gt;0,VLOOKUP(B537,КВСР!A385:B1550,2),IF(C537&gt;0,VLOOKUP(C537,КФСР!A385:B1897,2),IF(D537&gt;0,VLOOKUP(D537,КЦСР!A385:B4345,2),IF(E537&gt;0,VLOOKUP(E537,КВР!A385:B2313,2)))))</f>
        <v>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v>
      </c>
      <c r="B537" s="69"/>
      <c r="C537" s="70"/>
      <c r="D537" s="71">
        <v>1020100</v>
      </c>
      <c r="E537" s="72"/>
      <c r="F537" s="139">
        <v>1160776</v>
      </c>
      <c r="G537" s="139">
        <f t="shared" ref="G537:H537" si="137">G538</f>
        <v>0</v>
      </c>
      <c r="H537" s="139">
        <f t="shared" si="137"/>
        <v>1160776</v>
      </c>
    </row>
    <row r="538" spans="1:8" ht="63">
      <c r="A538" s="29" t="str">
        <f>IF(B538&gt;0,VLOOKUP(B538,КВСР!A386:B1551,2),IF(C538&gt;0,VLOOKUP(C538,КФСР!A386:B1898,2),IF(D538&gt;0,VLOOKUP(D538,КЦСР!A386:B4346,2),IF(E538&gt;0,VLOOKUP(E538,КВР!A386:B2314,2)))))</f>
        <v>Бюджетные инвестиции в объекты капитального строительства собственности муниципальных образований</v>
      </c>
      <c r="B538" s="69"/>
      <c r="C538" s="70"/>
      <c r="D538" s="71">
        <v>1020102</v>
      </c>
      <c r="E538" s="72"/>
      <c r="F538" s="139">
        <v>1160776</v>
      </c>
      <c r="G538" s="139">
        <f t="shared" ref="G538:H538" si="138">G539</f>
        <v>0</v>
      </c>
      <c r="H538" s="139">
        <f t="shared" si="138"/>
        <v>1160776</v>
      </c>
    </row>
    <row r="539" spans="1:8" ht="63">
      <c r="A539" s="29" t="str">
        <f>IF(B539&gt;0,VLOOKUP(B539,КВСР!A387:B1552,2),IF(C539&gt;0,VLOOKUP(C539,КФСР!A387:B1899,2),IF(D539&gt;0,VLOOKUP(D539,КЦСР!A387:B4347,2),IF(E539&gt;0,VLOOKUP(E539,КВР!A387:B2315,2)))))</f>
        <v>Бюджетные инвестиции в объекты государственной собственности бюджетным учреждениям вне рамок государственного оборонного заказа</v>
      </c>
      <c r="B539" s="69"/>
      <c r="C539" s="70"/>
      <c r="D539" s="71"/>
      <c r="E539" s="72">
        <v>413</v>
      </c>
      <c r="F539" s="139">
        <v>1160776</v>
      </c>
      <c r="G539" s="91"/>
      <c r="H539" s="30">
        <f>F539+G539</f>
        <v>1160776</v>
      </c>
    </row>
    <row r="540" spans="1:8" ht="20.25" customHeight="1">
      <c r="A540" s="29" t="str">
        <f>IF(B540&gt;0,VLOOKUP(B540,КВСР!A384:B1549,2),IF(C540&gt;0,VLOOKUP(C540,КФСР!A384:B1896,2),IF(D540&gt;0,VLOOKUP(D540,КЦСР!A384:B4344,2),IF(E540&gt;0,VLOOKUP(E540,КВР!A384:B2312,2)))))</f>
        <v>Поддержка жилищного хозяйства</v>
      </c>
      <c r="B540" s="69"/>
      <c r="C540" s="70"/>
      <c r="D540" s="71">
        <v>3500000</v>
      </c>
      <c r="E540" s="72"/>
      <c r="F540" s="88">
        <v>30000</v>
      </c>
      <c r="G540" s="139">
        <f>G541</f>
        <v>0</v>
      </c>
      <c r="H540" s="30">
        <f t="shared" si="134"/>
        <v>30000</v>
      </c>
    </row>
    <row r="541" spans="1:8" ht="100.5" customHeight="1">
      <c r="A541" s="29" t="str">
        <f>IF(B541&gt;0,VLOOKUP(B541,КВСР!A385:B1550,2),IF(C541&gt;0,VLOOKUP(C541,КФСР!A385:B1897,2),IF(D541&gt;0,VLOOKUP(D541,КЦСР!A385:B4345,2),IF(E541&gt;0,VLOOKUP(E541,КВР!A385:B2313,2)))))</f>
        <v>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v>
      </c>
      <c r="B541" s="69"/>
      <c r="C541" s="70"/>
      <c r="D541" s="71">
        <v>3500301</v>
      </c>
      <c r="E541" s="72"/>
      <c r="F541" s="88">
        <v>30000</v>
      </c>
      <c r="G541" s="88">
        <f>G542</f>
        <v>0</v>
      </c>
      <c r="H541" s="30">
        <f t="shared" si="134"/>
        <v>30000</v>
      </c>
    </row>
    <row r="542" spans="1:8" ht="66.75" customHeight="1">
      <c r="A542" s="29" t="str">
        <f>IF(B542&gt;0,VLOOKUP(B542,КВСР!A386:B1551,2),IF(C542&gt;0,VLOOKUP(C542,КФСР!A386:B1898,2),IF(D542&gt;0,VLOOKUP(D542,КЦСР!A386:B4346,2),IF(E542&gt;0,VLOOKUP(E542,КВР!A386:B2314,2)))))</f>
        <v>Субсидии юридическим лицам (кроме государственных учреждений) и физическим лицам - производителям товаров, работ, услуг</v>
      </c>
      <c r="B542" s="69"/>
      <c r="C542" s="70"/>
      <c r="D542" s="71"/>
      <c r="E542" s="72">
        <v>810</v>
      </c>
      <c r="F542" s="88">
        <v>30000</v>
      </c>
      <c r="G542" s="91"/>
      <c r="H542" s="30">
        <f t="shared" si="134"/>
        <v>30000</v>
      </c>
    </row>
    <row r="543" spans="1:8" ht="21" customHeight="1">
      <c r="A543" s="29" t="str">
        <f>IF(B543&gt;0,VLOOKUP(B543,КВСР!A377:B1542,2),IF(C543&gt;0,VLOOKUP(C543,КФСР!A377:B1889,2),IF(D543&gt;0,VLOOKUP(D543,КЦСР!A377:B4337,2),IF(E543&gt;0,VLOOKUP(E543,КВР!A377:B2305,2)))))</f>
        <v>Коммунальное хозяйство</v>
      </c>
      <c r="B543" s="69"/>
      <c r="C543" s="70">
        <v>502</v>
      </c>
      <c r="D543" s="71"/>
      <c r="E543" s="72"/>
      <c r="F543" s="30">
        <v>162003135</v>
      </c>
      <c r="G543" s="30">
        <f t="shared" ref="G543:H543" si="139">G544+G558+G549</f>
        <v>3254000</v>
      </c>
      <c r="H543" s="30">
        <f t="shared" si="139"/>
        <v>165257135</v>
      </c>
    </row>
    <row r="544" spans="1:8" ht="22.5" customHeight="1">
      <c r="A544" s="29" t="str">
        <f>IF(B544&gt;0,VLOOKUP(B544,КВСР!A378:B1543,2),IF(C544&gt;0,VLOOKUP(C544,КФСР!A378:B1890,2),IF(D544&gt;0,VLOOKUP(D544,КЦСР!A378:B4338,2),IF(E544&gt;0,VLOOKUP(E544,КВР!A378:B2306,2)))))</f>
        <v>Федеральные целевые программы</v>
      </c>
      <c r="B544" s="69"/>
      <c r="C544" s="70"/>
      <c r="D544" s="71">
        <v>1000000</v>
      </c>
      <c r="E544" s="72"/>
      <c r="F544" s="30">
        <v>14649400</v>
      </c>
      <c r="G544" s="30">
        <f t="shared" ref="G544:H544" si="140">G545</f>
        <v>0</v>
      </c>
      <c r="H544" s="30">
        <f t="shared" si="140"/>
        <v>14649400</v>
      </c>
    </row>
    <row r="545" spans="1:8" ht="31.5">
      <c r="A545" s="29" t="str">
        <f>IF(B545&gt;0,VLOOKUP(B545,КВСР!A379:B1544,2),IF(C545&gt;0,VLOOKUP(C545,КФСР!A379:B1891,2),IF(D545&gt;0,VLOOKUP(D545,КЦСР!A379:B4339,2),IF(E545&gt;0,VLOOKUP(E545,КВР!A379:B2307,2)))))</f>
        <v>Федеральная целевая программа "Чистая вода" на 2011 - 2017 годы</v>
      </c>
      <c r="B545" s="69"/>
      <c r="C545" s="70"/>
      <c r="D545" s="71">
        <v>1009300</v>
      </c>
      <c r="E545" s="72"/>
      <c r="F545" s="30">
        <v>14649400</v>
      </c>
      <c r="G545" s="30">
        <f t="shared" ref="G545:H545" si="141">G546</f>
        <v>0</v>
      </c>
      <c r="H545" s="30">
        <f t="shared" si="141"/>
        <v>14649400</v>
      </c>
    </row>
    <row r="546" spans="1:8" ht="63.75" customHeight="1">
      <c r="A546" s="29" t="str">
        <f>IF(B546&gt;0,VLOOKUP(B546,КВСР!A380:B1545,2),IF(C546&gt;0,VLOOKUP(C546,КФСР!A380:B1892,2),IF(D546&gt;0,VLOOKUP(D546,КЦСР!A380:B4340,2),IF(E546&gt;0,VLOOKUP(E546,КВР!A380:B2308,2)))))</f>
        <v>Субсидия на реализацию мероприятий по строительству и реконструкции объектов водоснабжения и водоотведения</v>
      </c>
      <c r="B546" s="69"/>
      <c r="C546" s="70"/>
      <c r="D546" s="71">
        <v>1009301</v>
      </c>
      <c r="E546" s="72"/>
      <c r="F546" s="30">
        <v>14649400</v>
      </c>
      <c r="G546" s="30">
        <f t="shared" ref="G546:H546" si="142">G548+G547</f>
        <v>0</v>
      </c>
      <c r="H546" s="30">
        <f t="shared" si="142"/>
        <v>14649400</v>
      </c>
    </row>
    <row r="547" spans="1:8" ht="72.75" customHeight="1">
      <c r="A547" s="29" t="str">
        <f>IF(B547&gt;0,VLOOKUP(B547,КВСР!A381:B1546,2),IF(C547&gt;0,VLOOKUP(C547,КФСР!A381:B1893,2),IF(D547&gt;0,VLOOKUP(D547,КЦСР!A381:B4341,2),IF(E547&gt;0,VLOOKUP(E547,КВР!A381:B2309,2)))))</f>
        <v>Бюджетные инвестиции в объекты государственной собственности бюджетным учреждениям вне рамок государственного оборонного заказа</v>
      </c>
      <c r="B547" s="69"/>
      <c r="C547" s="70"/>
      <c r="D547" s="71"/>
      <c r="E547" s="72">
        <v>413</v>
      </c>
      <c r="F547" s="30">
        <v>8435200</v>
      </c>
      <c r="G547" s="262"/>
      <c r="H547" s="30">
        <f>SUM(F547:G547)</f>
        <v>8435200</v>
      </c>
    </row>
    <row r="548" spans="1:8" ht="63">
      <c r="A548" s="29" t="str">
        <f>IF(B548&gt;0,VLOOKUP(B548,КВСР!A381:B1546,2),IF(C548&gt;0,VLOOKUP(C548,КФСР!A381:B1893,2),IF(D548&gt;0,VLOOKUP(D548,КЦСР!A381:B4341,2),IF(E548&gt;0,VLOOKUP(E548,КВР!A381:B2309,2)))))</f>
        <v>Субсидии на софинансирование объектов капитального строительства государственной (муниципальной) собственности</v>
      </c>
      <c r="B548" s="69"/>
      <c r="C548" s="70"/>
      <c r="D548" s="71"/>
      <c r="E548" s="72">
        <v>522</v>
      </c>
      <c r="F548" s="30">
        <v>6214200</v>
      </c>
      <c r="G548" s="211"/>
      <c r="H548" s="30">
        <f>F548+G548</f>
        <v>6214200</v>
      </c>
    </row>
    <row r="549" spans="1:8" ht="23.25" customHeight="1">
      <c r="A549" s="29" t="str">
        <f>IF(B549&gt;0,VLOOKUP(B549,КВСР!A378:B1543,2),IF(C549&gt;0,VLOOKUP(C549,КФСР!A378:B1890,2),IF(D549&gt;0,VLOOKUP(D549,КЦСР!A378:B4338,2),IF(E549&gt;0,VLOOKUP(E549,КВР!A378:B2306,2)))))</f>
        <v>Поддержка коммунального хозяйства</v>
      </c>
      <c r="B549" s="69"/>
      <c r="C549" s="70"/>
      <c r="D549" s="71">
        <v>3510000</v>
      </c>
      <c r="E549" s="72"/>
      <c r="F549" s="30">
        <v>113036036</v>
      </c>
      <c r="G549" s="30">
        <f t="shared" ref="G549:H549" si="143">G552+G554+G550</f>
        <v>3254000</v>
      </c>
      <c r="H549" s="30">
        <f t="shared" si="143"/>
        <v>116290036</v>
      </c>
    </row>
    <row r="550" spans="1:8" ht="98.25" customHeight="1">
      <c r="A550" s="29" t="str">
        <f>IF(B550&gt;0,VLOOKUP(B550,КВСР!A379:B1544,2),IF(C550&gt;0,VLOOKUP(C550,КФСР!A379:B1891,2),IF(D550&gt;0,VLOOKUP(D550,КЦСР!A379:B4339,2),IF(E550&gt;0,VLOOKUP(E550,КВР!A379:B2307,2)))))</f>
        <v>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v>
      </c>
      <c r="B550" s="69"/>
      <c r="C550" s="70"/>
      <c r="D550" s="71">
        <v>3510700</v>
      </c>
      <c r="E550" s="72"/>
      <c r="F550" s="30">
        <v>1983354</v>
      </c>
      <c r="G550" s="30">
        <f t="shared" ref="G550:H550" si="144">G551</f>
        <v>0</v>
      </c>
      <c r="H550" s="30">
        <f t="shared" si="144"/>
        <v>1983354</v>
      </c>
    </row>
    <row r="551" spans="1:8" ht="69.75" customHeight="1">
      <c r="A551" s="29" t="str">
        <f>IF(B551&gt;0,VLOOKUP(B551,КВСР!A380:B1545,2),IF(C551&gt;0,VLOOKUP(C551,КФСР!A380:B1892,2),IF(D551&gt;0,VLOOKUP(D551,КЦСР!A380:B4340,2),IF(E551&gt;0,VLOOKUP(E551,КВР!A380:B2308,2)))))</f>
        <v>Бюджетные инвестиции в объекты государственной собственности бюджетным учреждениям вне рамок государственного оборонного заказа</v>
      </c>
      <c r="B551" s="69"/>
      <c r="C551" s="70"/>
      <c r="D551" s="71"/>
      <c r="E551" s="72">
        <v>413</v>
      </c>
      <c r="F551" s="30">
        <v>1983354</v>
      </c>
      <c r="G551" s="216"/>
      <c r="H551" s="30">
        <f>SUM(F551:G551)</f>
        <v>1983354</v>
      </c>
    </row>
    <row r="552" spans="1:8" ht="79.5" customHeight="1">
      <c r="A552" s="29" t="str">
        <f>IF(B552&gt;0,VLOOKUP(B552,КВСР!A379:B1544,2),IF(C552&gt;0,VLOOKUP(C552,КФСР!A379:B1891,2),IF(D552&gt;0,VLOOKUP(D552,КЦСР!A379:B4339,2),IF(E552&gt;0,VLOOKUP(E552,КВР!A379:B2307,2)))))</f>
        <v>Субсидия на возмещение затрат организациям - исполнителям коммунальных услуг для населения и социальной сферы Тутаевского муниципального района</v>
      </c>
      <c r="B552" s="69"/>
      <c r="C552" s="70"/>
      <c r="D552" s="71">
        <v>3510800</v>
      </c>
      <c r="E552" s="72"/>
      <c r="F552" s="30">
        <v>107858000</v>
      </c>
      <c r="G552" s="30">
        <f t="shared" ref="G552:H552" si="145">G553</f>
        <v>3254000</v>
      </c>
      <c r="H552" s="30">
        <f t="shared" si="145"/>
        <v>111112000</v>
      </c>
    </row>
    <row r="553" spans="1:8" ht="69.75" customHeight="1">
      <c r="A553" s="29" t="str">
        <f>IF(B553&gt;0,VLOOKUP(B553,КВСР!A380:B1545,2),IF(C553&gt;0,VLOOKUP(C553,КФСР!A380:B1892,2),IF(D553&gt;0,VLOOKUP(D553,КЦСР!A380:B4340,2),IF(E553&gt;0,VLOOKUP(E553,КВР!A380:B2308,2)))))</f>
        <v>Субсидии юридическим лицам (кроме государственных учреждений) и физическим лицам - производителям товаров, работ, услуг</v>
      </c>
      <c r="B553" s="69"/>
      <c r="C553" s="70"/>
      <c r="D553" s="71"/>
      <c r="E553" s="72">
        <v>810</v>
      </c>
      <c r="F553" s="30">
        <v>107858000</v>
      </c>
      <c r="G553" s="123">
        <v>3254000</v>
      </c>
      <c r="H553" s="30">
        <f>F553+G553</f>
        <v>111112000</v>
      </c>
    </row>
    <row r="554" spans="1:8" ht="51.75" customHeight="1">
      <c r="A554" s="29" t="str">
        <f>IF(B554&gt;0,VLOOKUP(B554,КВСР!A381:B1546,2),IF(C554&gt;0,VLOOKUP(C554,КФСР!A381:B1893,2),IF(D554&gt;0,VLOOKUP(D554,КЦСР!A381:B4341,2),IF(E554&gt;0,VLOOKUP(E554,КВР!A381:B2309,2)))))</f>
        <v>Субсидия на реализацию мероприятий по подготовке к зиме объектов коммунального назначения</v>
      </c>
      <c r="B554" s="69"/>
      <c r="C554" s="70"/>
      <c r="D554" s="71">
        <v>3510900</v>
      </c>
      <c r="E554" s="72"/>
      <c r="F554" s="30">
        <v>3194682</v>
      </c>
      <c r="G554" s="30">
        <f t="shared" ref="G554:H554" si="146">G557+G555+G556</f>
        <v>0</v>
      </c>
      <c r="H554" s="30">
        <f t="shared" si="146"/>
        <v>3194682</v>
      </c>
    </row>
    <row r="555" spans="1:8" ht="51.75" customHeight="1">
      <c r="A555" s="29" t="str">
        <f>IF(B555&gt;0,VLOOKUP(B555,КВСР!A382:B1547,2),IF(C555&gt;0,VLOOKUP(C555,КФСР!A382:B1894,2),IF(D555&gt;0,VLOOKUP(D555,КЦСР!A382:B4342,2),IF(E555&gt;0,VLOOKUP(E555,КВР!A382:B2310,2)))))</f>
        <v xml:space="preserve">Закупка товаров, работ, услуг в целях капитального ремонта государственного имущества </v>
      </c>
      <c r="B555" s="69"/>
      <c r="C555" s="70"/>
      <c r="D555" s="71"/>
      <c r="E555" s="72">
        <v>243</v>
      </c>
      <c r="F555" s="30">
        <v>791360</v>
      </c>
      <c r="G555" s="281"/>
      <c r="H555" s="30">
        <f>SUM(F555:G555)</f>
        <v>791360</v>
      </c>
    </row>
    <row r="556" spans="1:8" ht="39.75" customHeight="1">
      <c r="A556" s="29" t="str">
        <f>IF(B556&gt;0,VLOOKUP(B556,КВСР!A383:B1548,2),IF(C556&gt;0,VLOOKUP(C556,КФСР!A383:B1895,2),IF(D556&gt;0,VLOOKUP(D556,КЦСР!A383:B4343,2),IF(E556&gt;0,VLOOKUP(E556,КВР!A383:B2311,2)))))</f>
        <v>Прочая закупка товаров, работ и услуг для государственных нужд</v>
      </c>
      <c r="B556" s="69"/>
      <c r="C556" s="70"/>
      <c r="D556" s="71"/>
      <c r="E556" s="72">
        <v>244</v>
      </c>
      <c r="F556" s="30">
        <v>1481399</v>
      </c>
      <c r="G556" s="281"/>
      <c r="H556" s="30">
        <f>SUM(F556:G556)</f>
        <v>1481399</v>
      </c>
    </row>
    <row r="557" spans="1:8" ht="69.75" customHeight="1">
      <c r="A557" s="29" t="str">
        <f>IF(B557&gt;0,VLOOKUP(B557,КВСР!A382:B1547,2),IF(C557&gt;0,VLOOKUP(C557,КФСР!A382:B1894,2),IF(D557&gt;0,VLOOKUP(D557,КЦСР!A382:B4342,2),IF(E557&gt;0,VLOOKUP(E557,КВР!A382:B2310,2)))))</f>
        <v>Субсидии юридическим лицам (кроме государственных учреждений) и физическим лицам - производителям товаров, работ, услуг</v>
      </c>
      <c r="B557" s="69"/>
      <c r="C557" s="70"/>
      <c r="D557" s="71"/>
      <c r="E557" s="72">
        <v>810</v>
      </c>
      <c r="F557" s="30">
        <v>921923</v>
      </c>
      <c r="G557" s="123"/>
      <c r="H557" s="30">
        <f>SUM(F557:G557)</f>
        <v>921923</v>
      </c>
    </row>
    <row r="558" spans="1:8" ht="24" customHeight="1">
      <c r="A558" s="29" t="str">
        <f>IF(B558&gt;0,VLOOKUP(B558,КВСР!A378:B1543,2),IF(C558&gt;0,VLOOKUP(C558,КФСР!A378:B1890,2),IF(D558&gt;0,VLOOKUP(D558,КЦСР!A378:B4338,2),IF(E558&gt;0,VLOOKUP(E558,КВР!A378:B2306,2)))))</f>
        <v>Региональные целевые программы</v>
      </c>
      <c r="B558" s="69"/>
      <c r="C558" s="70"/>
      <c r="D558" s="71">
        <v>5220000</v>
      </c>
      <c r="E558" s="72"/>
      <c r="F558" s="30">
        <v>34317699</v>
      </c>
      <c r="G558" s="30">
        <f>G563+G559+G567</f>
        <v>0</v>
      </c>
      <c r="H558" s="30">
        <f>H563+H559+H567</f>
        <v>34317699</v>
      </c>
    </row>
    <row r="559" spans="1:8" ht="31.5" hidden="1">
      <c r="A559" s="29" t="str">
        <f>IF(B559&gt;0,VLOOKUP(B559,КВСР!A379:B1544,2),IF(C559&gt;0,VLOOKUP(C559,КФСР!A379:B1891,2),IF(D559&gt;0,VLOOKUP(D559,КЦСР!A379:B4339,2),IF(E559&gt;0,VLOOKUP(E559,КВР!A379:B2307,2)))))</f>
        <v>ОЦП "Чистая вода Ярославской области"</v>
      </c>
      <c r="B559" s="69"/>
      <c r="C559" s="70"/>
      <c r="D559" s="71">
        <v>5225300</v>
      </c>
      <c r="E559" s="72"/>
      <c r="F559" s="30">
        <v>0</v>
      </c>
      <c r="G559" s="30">
        <f t="shared" ref="G559:H560" si="147">G560</f>
        <v>0</v>
      </c>
      <c r="H559" s="30">
        <f t="shared" si="147"/>
        <v>0</v>
      </c>
    </row>
    <row r="560" spans="1:8" ht="78.75" hidden="1">
      <c r="A560" s="29" t="str">
        <f>IF(B560&gt;0,VLOOKUP(B560,КВСР!A380:B1545,2),IF(C560&gt;0,VLOOKUP(C560,КФСР!A380:B1892,2),IF(D560&gt;0,VLOOKUP(D560,КЦСР!A380:B4340,2),IF(E560&gt;0,VLOOKUP(E560,КВР!A380:B2308,2)))))</f>
        <v>ОЦП "Чистая вода Ярославской области" в части мероприятий по строительству и реконструкции систем и объектов водоснабжения и водоотведения</v>
      </c>
      <c r="B560" s="69"/>
      <c r="C560" s="70"/>
      <c r="D560" s="71">
        <v>5225301</v>
      </c>
      <c r="E560" s="72"/>
      <c r="F560" s="30">
        <v>0</v>
      </c>
      <c r="G560" s="30">
        <f t="shared" si="147"/>
        <v>0</v>
      </c>
      <c r="H560" s="30">
        <f t="shared" si="147"/>
        <v>0</v>
      </c>
    </row>
    <row r="561" spans="1:8" ht="63" hidden="1">
      <c r="A561" s="29" t="str">
        <f>IF(B561&gt;0,VLOOKUP(B561,КВСР!A381:B1546,2),IF(C561&gt;0,VLOOKUP(C561,КФСР!A381:B1893,2),IF(D561&gt;0,VLOOKUP(D561,КЦСР!A381:B4341,2),IF(E561&gt;0,VLOOKUP(E561,КВР!A381:B2309,2)))))</f>
        <v>Субсидии на софинансирование объектов капитального строительства государственной (муниципальной) собственности</v>
      </c>
      <c r="B561" s="69"/>
      <c r="C561" s="70"/>
      <c r="D561" s="71"/>
      <c r="E561" s="72">
        <v>522</v>
      </c>
      <c r="F561" s="30">
        <v>0</v>
      </c>
      <c r="G561" s="123">
        <v>0</v>
      </c>
      <c r="H561" s="30">
        <f>F561+G561</f>
        <v>0</v>
      </c>
    </row>
    <row r="562" spans="1:8" ht="78.75">
      <c r="A562" s="29" t="str">
        <f>IF(B562&gt;0,VLOOKUP(B562,КВСР!A382:B1547,2),IF(C562&gt;0,VLOOKUP(C562,КФСР!A382:B1894,2),IF(D562&gt;0,VLOOKUP(D562,КЦСР!A382:B4342,2),IF(E562&gt;0,VLOOKUP(E562,КВР!A382:B2310,2)))))</f>
        <v>Областная целевая программа "Комплексная программа модернизации и реформирования жилищно-коммунального хозяйства Ярославской области"</v>
      </c>
      <c r="B562" s="69"/>
      <c r="C562" s="70"/>
      <c r="D562" s="71">
        <v>5225800</v>
      </c>
      <c r="E562" s="72"/>
      <c r="F562" s="30">
        <v>34317699</v>
      </c>
      <c r="G562" s="30">
        <f>G563</f>
        <v>0</v>
      </c>
      <c r="H562" s="30">
        <f>H563</f>
        <v>34317699</v>
      </c>
    </row>
    <row r="563" spans="1:8" ht="110.25">
      <c r="A563" s="29" t="str">
        <f>IF(B563&gt;0,VLOOKUP(B563,КВСР!A383:B1548,2),IF(C563&gt;0,VLOOKUP(C563,КФСР!A383:B1895,2),IF(D563&gt;0,VLOOKUP(D563,КЦСР!A383:B4343,2),IF(E563&gt;0,VLOOKUP(E563,КВР!A383:B2311,2)))))</f>
        <v>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v>
      </c>
      <c r="B563" s="69"/>
      <c r="C563" s="70"/>
      <c r="D563" s="71">
        <v>5225803</v>
      </c>
      <c r="E563" s="72"/>
      <c r="F563" s="30">
        <v>34317699</v>
      </c>
      <c r="G563" s="30">
        <f>G565+G566+G564</f>
        <v>0</v>
      </c>
      <c r="H563" s="30">
        <f>H565+H566+H564</f>
        <v>34317699</v>
      </c>
    </row>
    <row r="564" spans="1:8" ht="75" customHeight="1">
      <c r="A564" s="29" t="str">
        <f>IF(B564&gt;0,VLOOKUP(B564,КВСР!A384:B1549,2),IF(C564&gt;0,VLOOKUP(C564,КФСР!A384:B1896,2),IF(D564&gt;0,VLOOKUP(D564,КЦСР!A384:B4344,2),IF(E564&gt;0,VLOOKUP(E564,КВР!A384:B2312,2)))))</f>
        <v>Субсидии на софинансирование объектов капитального строительства государственной (муниципальной) собственности</v>
      </c>
      <c r="B564" s="69"/>
      <c r="C564" s="70"/>
      <c r="D564" s="71"/>
      <c r="E564" s="72">
        <v>522</v>
      </c>
      <c r="F564" s="30">
        <v>3751000</v>
      </c>
      <c r="G564" s="178"/>
      <c r="H564" s="30">
        <f>SUM(F564:G564)</f>
        <v>3751000</v>
      </c>
    </row>
    <row r="565" spans="1:8" ht="69.75" customHeight="1">
      <c r="A565" s="29" t="str">
        <f>IF(B565&gt;0,VLOOKUP(B565,КВСР!A384:B1549,2),IF(C565&gt;0,VLOOKUP(C565,КФСР!A384:B1896,2),IF(D565&gt;0,VLOOKUP(D565,КЦСР!A384:B4344,2),IF(E565&gt;0,VLOOKUP(E565,КВР!A384:B2312,2)))))</f>
        <v>Бюджетные инвестиции в объекты государственной собственности бюджетным учреждениям вне рамок государственного оборонного заказа</v>
      </c>
      <c r="B565" s="69"/>
      <c r="C565" s="70"/>
      <c r="D565" s="71"/>
      <c r="E565" s="72">
        <v>413</v>
      </c>
      <c r="F565" s="88">
        <v>30566699</v>
      </c>
      <c r="G565" s="91"/>
      <c r="H565" s="30">
        <f>F565+G565</f>
        <v>30566699</v>
      </c>
    </row>
    <row r="566" spans="1:8" ht="31.5" hidden="1">
      <c r="A566" s="29" t="str">
        <f>IF(B566&gt;0,VLOOKUP(B566,КВСР!A385:B1550,2),IF(C566&gt;0,VLOOKUP(C566,КФСР!A385:B1897,2),IF(D566&gt;0,VLOOKUP(D566,КЦСР!A385:B4345,2),IF(E566&gt;0,VLOOKUP(E566,КВР!A385:B2313,2)))))</f>
        <v>Субсидии бюджетным учреждениям на иные цели</v>
      </c>
      <c r="B566" s="69"/>
      <c r="C566" s="70"/>
      <c r="D566" s="71"/>
      <c r="E566" s="72">
        <v>612</v>
      </c>
      <c r="F566" s="88">
        <v>0</v>
      </c>
      <c r="G566" s="91">
        <v>0</v>
      </c>
      <c r="H566" s="30">
        <f>F566+G566</f>
        <v>0</v>
      </c>
    </row>
    <row r="567" spans="1:8" ht="47.25" hidden="1" customHeight="1">
      <c r="A567" s="29" t="str">
        <f>IF(B567&gt;0,VLOOKUP(B567,КВСР!A385:B1550,2),IF(C567&gt;0,VLOOKUP(C567,КФСР!A385:B1897,2),IF(D567&gt;0,VLOOKUP(D567,КЦСР!A385:B4345,2),IF(E567&gt;0,VLOOKUP(E567,КВР!A385:B2313,2)))))</f>
        <v>ОЦП "Обращение с твердыми бытовыми отходами на территории Ярославской области"</v>
      </c>
      <c r="B567" s="69"/>
      <c r="C567" s="70"/>
      <c r="D567" s="71">
        <v>5226400</v>
      </c>
      <c r="E567" s="72"/>
      <c r="F567" s="88">
        <v>0</v>
      </c>
      <c r="G567" s="88">
        <f t="shared" ref="G567:H568" si="148">G568</f>
        <v>0</v>
      </c>
      <c r="H567" s="88">
        <f t="shared" si="148"/>
        <v>0</v>
      </c>
    </row>
    <row r="568" spans="1:8" ht="94.5" hidden="1" customHeight="1">
      <c r="A568" s="29" t="str">
        <f>IF(B568&gt;0,VLOOKUP(B568,КВСР!A386:B1551,2),IF(C568&gt;0,VLOOKUP(C568,КФСР!A386:B1898,2),IF(D568&gt;0,VLOOKUP(D568,КЦСР!A386:B4346,2),IF(E568&gt;0,VLOOKUP(E568,КВР!A386:B2314,2)))))</f>
        <v>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v>
      </c>
      <c r="B568" s="69"/>
      <c r="C568" s="70"/>
      <c r="D568" s="71">
        <v>5226404</v>
      </c>
      <c r="E568" s="72"/>
      <c r="F568" s="88">
        <v>0</v>
      </c>
      <c r="G568" s="88">
        <f t="shared" si="148"/>
        <v>0</v>
      </c>
      <c r="H568" s="88">
        <f>H569</f>
        <v>0</v>
      </c>
    </row>
    <row r="569" spans="1:8" ht="87" hidden="1" customHeight="1">
      <c r="A569" s="29" t="str">
        <f>IF(B569&gt;0,VLOOKUP(B569,КВСР!A388:B1553,2),IF(C569&gt;0,VLOOKUP(C569,КФСР!A388:B1900,2),IF(D569&gt;0,VLOOKUP(D569,КЦСР!A388:B4348,2),IF(E569&gt;0,VLOOKUP(E569,КВР!A388:B2316,2)))))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569" s="69"/>
      <c r="C569" s="70"/>
      <c r="D569" s="71"/>
      <c r="E569" s="72">
        <v>521</v>
      </c>
      <c r="F569" s="88">
        <v>0</v>
      </c>
      <c r="G569" s="91"/>
      <c r="H569" s="30">
        <f>SUM(F569:G569)</f>
        <v>0</v>
      </c>
    </row>
    <row r="570" spans="1:8" ht="22.5" customHeight="1">
      <c r="A570" s="29" t="str">
        <f>IF(B570&gt;0,VLOOKUP(B570,КВСР!A389:B1554,2),IF(C570&gt;0,VLOOKUP(C570,КФСР!A389:B1901,2),IF(D570&gt;0,VLOOKUP(D570,КЦСР!A389:B4349,2),IF(E570&gt;0,VLOOKUP(E570,КВР!A389:B2317,2)))))</f>
        <v>Благоустройство</v>
      </c>
      <c r="B570" s="69"/>
      <c r="C570" s="70">
        <v>503</v>
      </c>
      <c r="D570" s="71"/>
      <c r="E570" s="72"/>
      <c r="F570" s="88">
        <v>862500</v>
      </c>
      <c r="G570" s="88">
        <f t="shared" ref="G570:H570" si="149">G571</f>
        <v>0</v>
      </c>
      <c r="H570" s="88">
        <f t="shared" si="149"/>
        <v>862500</v>
      </c>
    </row>
    <row r="571" spans="1:8" ht="25.5" customHeight="1">
      <c r="A571" s="29" t="str">
        <f>IF(B571&gt;0,VLOOKUP(B571,КВСР!A390:B1555,2),IF(C571&gt;0,VLOOKUP(C571,КФСР!A390:B1902,2),IF(D571&gt;0,VLOOKUP(D571,КЦСР!A390:B4350,2),IF(E571&gt;0,VLOOKUP(E571,КВР!A390:B2318,2)))))</f>
        <v>Региональные целевые программы</v>
      </c>
      <c r="B571" s="69"/>
      <c r="C571" s="70"/>
      <c r="D571" s="71">
        <v>5220000</v>
      </c>
      <c r="E571" s="72"/>
      <c r="F571" s="88">
        <v>862500</v>
      </c>
      <c r="G571" s="88">
        <f t="shared" ref="G571:H571" si="150">G572</f>
        <v>0</v>
      </c>
      <c r="H571" s="88">
        <f t="shared" si="150"/>
        <v>862500</v>
      </c>
    </row>
    <row r="572" spans="1:8" ht="51.75" customHeight="1">
      <c r="A572" s="29" t="str">
        <f>IF(B572&gt;0,VLOOKUP(B572,КВСР!A391:B1556,2),IF(C572&gt;0,VLOOKUP(C572,КФСР!A391:B1903,2),IF(D572&gt;0,VLOOKUP(D572,КЦСР!A391:B4351,2),IF(E572&gt;0,VLOOKUP(E572,КВР!A391:B2319,2)))))</f>
        <v>ОЦП "Обращение с твердыми бытовыми отходами на территории Ярославской области"</v>
      </c>
      <c r="B572" s="69"/>
      <c r="C572" s="70"/>
      <c r="D572" s="71">
        <v>5226400</v>
      </c>
      <c r="E572" s="72"/>
      <c r="F572" s="88">
        <v>862500</v>
      </c>
      <c r="G572" s="88">
        <f t="shared" ref="G572:H572" si="151">G573</f>
        <v>0</v>
      </c>
      <c r="H572" s="88">
        <f t="shared" si="151"/>
        <v>862500</v>
      </c>
    </row>
    <row r="573" spans="1:8" ht="99.75" customHeight="1">
      <c r="A573" s="29" t="str">
        <f>IF(B573&gt;0,VLOOKUP(B573,КВСР!A392:B1557,2),IF(C573&gt;0,VLOOKUP(C573,КФСР!A392:B1904,2),IF(D573&gt;0,VLOOKUP(D573,КЦСР!A392:B4352,2),IF(E573&gt;0,VLOOKUP(E573,КВР!A392:B2320,2)))))</f>
        <v>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v>
      </c>
      <c r="B573" s="69"/>
      <c r="C573" s="70"/>
      <c r="D573" s="71">
        <v>5226404</v>
      </c>
      <c r="E573" s="72"/>
      <c r="F573" s="88">
        <v>862500</v>
      </c>
      <c r="G573" s="88">
        <f t="shared" ref="G573:H573" si="152">G574</f>
        <v>0</v>
      </c>
      <c r="H573" s="88">
        <f t="shared" si="152"/>
        <v>862500</v>
      </c>
    </row>
    <row r="574" spans="1:8" ht="87" customHeight="1">
      <c r="A574" s="29" t="str">
        <f>IF(B574&gt;0,VLOOKUP(B574,КВСР!A393:B1558,2),IF(C574&gt;0,VLOOKUP(C574,КФСР!A393:B1905,2),IF(D574&gt;0,VLOOKUP(D574,КЦСР!A393:B4353,2),IF(E574&gt;0,VLOOKUP(E574,КВР!A393:B2321,2)))))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574" s="69"/>
      <c r="C574" s="70"/>
      <c r="D574" s="71"/>
      <c r="E574" s="72">
        <v>521</v>
      </c>
      <c r="F574" s="88">
        <v>862500</v>
      </c>
      <c r="G574" s="91"/>
      <c r="H574" s="30">
        <f>SUM(F574:G574)</f>
        <v>862500</v>
      </c>
    </row>
    <row r="575" spans="1:8" ht="31.5">
      <c r="A575" s="29" t="str">
        <f>IF(B575&gt;0,VLOOKUP(B575,КВСР!A388:B1553,2),IF(C575&gt;0,VLOOKUP(C575,КФСР!A388:B1900,2),IF(D575&gt;0,VLOOKUP(D575,КЦСР!A388:B4348,2),IF(E575&gt;0,VLOOKUP(E575,КВР!A388:B2316,2)))))</f>
        <v>Другие вопросы в области жилищно-коммунального хозяйства</v>
      </c>
      <c r="B575" s="57"/>
      <c r="C575" s="64">
        <v>505</v>
      </c>
      <c r="D575" s="65"/>
      <c r="E575" s="66"/>
      <c r="F575" s="30">
        <v>6057064</v>
      </c>
      <c r="G575" s="30">
        <f>G576+G584</f>
        <v>0</v>
      </c>
      <c r="H575" s="30">
        <f>H576+H584</f>
        <v>6057064</v>
      </c>
    </row>
    <row r="576" spans="1:8" ht="78.75">
      <c r="A576" s="29" t="str">
        <f>IF(B576&gt;0,VLOOKUP(B576,КВСР!A389:B1554,2),IF(C576&gt;0,VLOOKUP(C576,КФСР!A389:B1901,2),IF(D576&gt;0,VLOOKUP(D576,КЦСР!A389:B4349,2),IF(E576&gt;0,VLOOKUP(E576,КВР!A389:B2317,2)))))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576" s="74"/>
      <c r="C576" s="64"/>
      <c r="D576" s="65">
        <v>20000</v>
      </c>
      <c r="E576" s="66"/>
      <c r="F576" s="30">
        <v>5957155</v>
      </c>
      <c r="G576" s="30">
        <f t="shared" ref="G576:H576" si="153">G577</f>
        <v>0</v>
      </c>
      <c r="H576" s="30">
        <f t="shared" si="153"/>
        <v>5957155</v>
      </c>
    </row>
    <row r="577" spans="1:8" ht="24" customHeight="1">
      <c r="A577" s="29" t="str">
        <f>IF(B577&gt;0,VLOOKUP(B577,КВСР!A390:B1555,2),IF(C577&gt;0,VLOOKUP(C577,КФСР!A390:B1902,2),IF(D577&gt;0,VLOOKUP(D577,КЦСР!A390:B4350,2),IF(E577&gt;0,VLOOKUP(E577,КВР!A390:B2318,2)))))</f>
        <v>Центральный аппарат</v>
      </c>
      <c r="B577" s="74"/>
      <c r="C577" s="64"/>
      <c r="D577" s="65">
        <v>20400</v>
      </c>
      <c r="E577" s="66"/>
      <c r="F577" s="30">
        <v>5957155</v>
      </c>
      <c r="G577" s="30">
        <f>SUM(G578:G583)</f>
        <v>0</v>
      </c>
      <c r="H577" s="30">
        <f>SUM(H578:H583)</f>
        <v>5957155</v>
      </c>
    </row>
    <row r="578" spans="1:8" ht="31.5">
      <c r="A578" s="29" t="str">
        <f>IF(B578&gt;0,VLOOKUP(B578,КВСР!A391:B1556,2),IF(C578&gt;0,VLOOKUP(C578,КФСР!A391:B1903,2),IF(D578&gt;0,VLOOKUP(D578,КЦСР!A391:B4351,2),IF(E578&gt;0,VLOOKUP(E578,КВР!A391:B2319,2)))))</f>
        <v>Фонд оплаты труда и страховые взносы</v>
      </c>
      <c r="B578" s="74"/>
      <c r="C578" s="64"/>
      <c r="D578" s="65"/>
      <c r="E578" s="66">
        <v>121</v>
      </c>
      <c r="F578" s="88">
        <v>4708660</v>
      </c>
      <c r="G578" s="91"/>
      <c r="H578" s="30">
        <f t="shared" ref="H578:H583" si="154">SUM(F578:G578)</f>
        <v>4708660</v>
      </c>
    </row>
    <row r="579" spans="1:8" ht="31.5">
      <c r="A579" s="29" t="str">
        <f>IF(B579&gt;0,VLOOKUP(B579,КВСР!A392:B1557,2),IF(C579&gt;0,VLOOKUP(C579,КФСР!A392:B1904,2),IF(D579&gt;0,VLOOKUP(D579,КЦСР!A392:B4352,2),IF(E579&gt;0,VLOOKUP(E579,КВР!A392:B2320,2)))))</f>
        <v>Иные выплаты персоналу, за исключением фонда оплаты труда</v>
      </c>
      <c r="B579" s="74"/>
      <c r="C579" s="64"/>
      <c r="D579" s="65"/>
      <c r="E579" s="66">
        <v>122</v>
      </c>
      <c r="F579" s="88">
        <v>1206</v>
      </c>
      <c r="G579" s="91"/>
      <c r="H579" s="30">
        <f t="shared" si="154"/>
        <v>1206</v>
      </c>
    </row>
    <row r="580" spans="1:8" ht="47.25">
      <c r="A580" s="29" t="str">
        <f>IF(B580&gt;0,VLOOKUP(B580,КВСР!A393:B1558,2),IF(C580&gt;0,VLOOKUP(C580,КФСР!A393:B1905,2),IF(D580&gt;0,VLOOKUP(D580,КЦСР!A393:B4353,2),IF(E580&gt;0,VLOOKUP(E580,КВР!A393:B2321,2)))))</f>
        <v>Закупка товаров, работ, услуг в сфере информационно-коммуникационных технологий</v>
      </c>
      <c r="B580" s="74"/>
      <c r="C580" s="64"/>
      <c r="D580" s="65"/>
      <c r="E580" s="66">
        <v>242</v>
      </c>
      <c r="F580" s="88">
        <v>213554</v>
      </c>
      <c r="G580" s="91"/>
      <c r="H580" s="30">
        <f t="shared" si="154"/>
        <v>213554</v>
      </c>
    </row>
    <row r="581" spans="1:8" ht="31.5">
      <c r="A581" s="29" t="str">
        <f>IF(B581&gt;0,VLOOKUP(B581,КВСР!A394:B1559,2),IF(C581&gt;0,VLOOKUP(C581,КФСР!A394:B1906,2),IF(D581&gt;0,VLOOKUP(D581,КЦСР!A394:B4354,2),IF(E581&gt;0,VLOOKUP(E581,КВР!A394:B2322,2)))))</f>
        <v>Прочая закупка товаров, работ и услуг для государственных нужд</v>
      </c>
      <c r="B581" s="74"/>
      <c r="C581" s="64"/>
      <c r="D581" s="65"/>
      <c r="E581" s="66">
        <v>244</v>
      </c>
      <c r="F581" s="88">
        <v>1026324</v>
      </c>
      <c r="G581" s="91"/>
      <c r="H581" s="30">
        <f t="shared" si="154"/>
        <v>1026324</v>
      </c>
    </row>
    <row r="582" spans="1:8" ht="31.5">
      <c r="A582" s="29" t="str">
        <f>IF(B582&gt;0,VLOOKUP(B582,КВСР!A395:B1560,2),IF(C582&gt;0,VLOOKUP(C582,КФСР!A395:B1907,2),IF(D582&gt;0,VLOOKUP(D582,КЦСР!A395:B4355,2),IF(E582&gt;0,VLOOKUP(E582,КВР!A395:B2323,2)))))</f>
        <v>Уплата налога на имущество организаций и земельного налога</v>
      </c>
      <c r="B582" s="74"/>
      <c r="C582" s="64"/>
      <c r="D582" s="65"/>
      <c r="E582" s="66">
        <v>851</v>
      </c>
      <c r="F582" s="88">
        <v>996</v>
      </c>
      <c r="G582" s="91"/>
      <c r="H582" s="30">
        <f t="shared" si="154"/>
        <v>996</v>
      </c>
    </row>
    <row r="583" spans="1:8" ht="31.5">
      <c r="A583" s="29" t="str">
        <f>IF(B583&gt;0,VLOOKUP(B583,КВСР!A396:B1561,2),IF(C583&gt;0,VLOOKUP(C583,КФСР!A396:B1908,2),IF(D583&gt;0,VLOOKUP(D583,КЦСР!A396:B4356,2),IF(E583&gt;0,VLOOKUP(E583,КВР!A396:B2324,2)))))</f>
        <v>Уплата прочих налогов, сборов и иных обязательных платежей</v>
      </c>
      <c r="B583" s="74"/>
      <c r="C583" s="64"/>
      <c r="D583" s="65"/>
      <c r="E583" s="66">
        <v>852</v>
      </c>
      <c r="F583" s="88">
        <v>6415</v>
      </c>
      <c r="G583" s="91"/>
      <c r="H583" s="30">
        <f t="shared" si="154"/>
        <v>6415</v>
      </c>
    </row>
    <row r="584" spans="1:8" ht="48.75" customHeight="1">
      <c r="A584" s="29" t="str">
        <f>IF(B584&gt;0,VLOOKUP(B584,КВСР!A397:B1562,2),IF(C584&gt;0,VLOOKUP(C584,КФСР!A397:B1909,2),IF(D584&gt;0,VLOOKUP(D584,КЦСР!A397:B4357,2),IF(E584&gt;0,VLOOKUP(E584,КВР!A397:B2325,2)))))</f>
        <v>Реализация государственных функций, связанных с общегосударственным управлением</v>
      </c>
      <c r="B584" s="74"/>
      <c r="C584" s="64"/>
      <c r="D584" s="65">
        <v>920000</v>
      </c>
      <c r="E584" s="66"/>
      <c r="F584" s="88">
        <v>99909</v>
      </c>
      <c r="G584" s="88">
        <f t="shared" ref="G584:H584" si="155">G585</f>
        <v>0</v>
      </c>
      <c r="H584" s="88">
        <f t="shared" si="155"/>
        <v>99909</v>
      </c>
    </row>
    <row r="585" spans="1:8" ht="52.5" customHeight="1">
      <c r="A585" s="29" t="str">
        <f>IF(B585&gt;0,VLOOKUP(B585,КВСР!A398:B1563,2),IF(C585&gt;0,VLOOKUP(C585,КФСР!A398:B1910,2),IF(D585&gt;0,VLOOKUP(D585,КЦСР!A398:B4358,2),IF(E585&gt;0,VLOOKUP(E585,КВР!A398:B2326,2)))))</f>
        <v>Программа энергосбережения и повышения энергетической эффективности на период до 2020 года</v>
      </c>
      <c r="B585" s="74"/>
      <c r="C585" s="64"/>
      <c r="D585" s="65">
        <v>923400</v>
      </c>
      <c r="E585" s="66"/>
      <c r="F585" s="88">
        <v>99909</v>
      </c>
      <c r="G585" s="88">
        <f t="shared" ref="G585:H585" si="156">G586</f>
        <v>0</v>
      </c>
      <c r="H585" s="88">
        <f t="shared" si="156"/>
        <v>99909</v>
      </c>
    </row>
    <row r="586" spans="1:8" ht="126" customHeight="1">
      <c r="A586" s="29" t="str">
        <f>IF(B586&gt;0,VLOOKUP(B586,КВСР!A399:B1564,2),IF(C586&gt;0,VLOOKUP(C586,КФСР!A399:B1911,2),IF(D586&gt;0,VLOOKUP(D586,КЦСР!A399:B4359,2),IF(E586&gt;0,VLOOKUP(E586,КВР!A399:B2327,2)))))</f>
        <v>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v>
      </c>
      <c r="B586" s="74"/>
      <c r="C586" s="64"/>
      <c r="D586" s="65">
        <v>923403</v>
      </c>
      <c r="E586" s="66"/>
      <c r="F586" s="88">
        <v>99909</v>
      </c>
      <c r="G586" s="88">
        <f t="shared" ref="G586:H586" si="157">G587</f>
        <v>0</v>
      </c>
      <c r="H586" s="88">
        <f t="shared" si="157"/>
        <v>99909</v>
      </c>
    </row>
    <row r="587" spans="1:8" ht="37.5" customHeight="1">
      <c r="A587" s="29" t="str">
        <f>IF(B587&gt;0,VLOOKUP(B587,КВСР!A400:B1565,2),IF(C587&gt;0,VLOOKUP(C587,КФСР!A400:B1912,2),IF(D587&gt;0,VLOOKUP(D587,КЦСР!A400:B4360,2),IF(E587&gt;0,VLOOKUP(E587,КВР!A400:B2328,2)))))</f>
        <v>Прочая закупка товаров, работ и услуг для государственных нужд</v>
      </c>
      <c r="B587" s="74"/>
      <c r="C587" s="64"/>
      <c r="D587" s="65"/>
      <c r="E587" s="66">
        <v>244</v>
      </c>
      <c r="F587" s="88">
        <v>99909</v>
      </c>
      <c r="G587" s="91"/>
      <c r="H587" s="30">
        <f>SUM(F587:G587)</f>
        <v>99909</v>
      </c>
    </row>
    <row r="588" spans="1:8" ht="31.5">
      <c r="A588" s="29" t="str">
        <f>IF(B588&gt;0,VLOOKUP(B588,КВСР!A397:B1562,2),IF(C588&gt;0,VLOOKUP(C588,КФСР!A397:B1909,2),IF(D588&gt;0,VLOOKUP(D588,КЦСР!A397:B4357,2),IF(E588&gt;0,VLOOKUP(E588,КВР!A397:B2325,2)))))</f>
        <v>Прикладные научные исследования в области охраны окружающей среды</v>
      </c>
      <c r="B588" s="74"/>
      <c r="C588" s="64">
        <v>604</v>
      </c>
      <c r="D588" s="65"/>
      <c r="E588" s="66"/>
      <c r="F588" s="88">
        <v>50000</v>
      </c>
      <c r="G588" s="88">
        <f t="shared" ref="G588:H588" si="158">G589</f>
        <v>0</v>
      </c>
      <c r="H588" s="88">
        <f t="shared" si="158"/>
        <v>50000</v>
      </c>
    </row>
    <row r="589" spans="1:8" ht="47.25">
      <c r="A589" s="29" t="str">
        <f>IF(B589&gt;0,VLOOKUP(B589,КВСР!A398:B1563,2),IF(C589&gt;0,VLOOKUP(C589,КФСР!A398:B1910,2),IF(D589&gt;0,VLOOKUP(D589,КЦСР!A398:B4358,2),IF(E589&gt;0,VLOOKUP(E589,КВР!A398:B2326,2)))))</f>
        <v>Бюджетные инвестиции в объекты капитального строительства, не включенные в целевые программы</v>
      </c>
      <c r="B589" s="74"/>
      <c r="C589" s="64"/>
      <c r="D589" s="65">
        <v>1020000</v>
      </c>
      <c r="E589" s="66"/>
      <c r="F589" s="88">
        <v>50000</v>
      </c>
      <c r="G589" s="88">
        <f t="shared" ref="G589:H589" si="159">G590</f>
        <v>0</v>
      </c>
      <c r="H589" s="88">
        <f t="shared" si="159"/>
        <v>50000</v>
      </c>
    </row>
    <row r="590" spans="1:8" ht="110.25">
      <c r="A590" s="29" t="str">
        <f>IF(B590&gt;0,VLOOKUP(B590,КВСР!A399:B1564,2),IF(C590&gt;0,VLOOKUP(C590,КФСР!A399:B1911,2),IF(D590&gt;0,VLOOKUP(D590,КЦСР!A399:B4359,2),IF(E590&gt;0,VLOOKUP(E590,КВР!A399:B2327,2)))))</f>
        <v>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v>
      </c>
      <c r="B590" s="74"/>
      <c r="C590" s="64"/>
      <c r="D590" s="65">
        <v>1020100</v>
      </c>
      <c r="E590" s="66"/>
      <c r="F590" s="88">
        <v>50000</v>
      </c>
      <c r="G590" s="88">
        <f t="shared" ref="G590:H590" si="160">G591</f>
        <v>0</v>
      </c>
      <c r="H590" s="88">
        <f t="shared" si="160"/>
        <v>50000</v>
      </c>
    </row>
    <row r="591" spans="1:8" ht="63">
      <c r="A591" s="29" t="str">
        <f>IF(B591&gt;0,VLOOKUP(B591,КВСР!A400:B1565,2),IF(C591&gt;0,VLOOKUP(C591,КФСР!A400:B1912,2),IF(D591&gt;0,VLOOKUP(D591,КЦСР!A400:B4360,2),IF(E591&gt;0,VLOOKUP(E591,КВР!A400:B2328,2)))))</f>
        <v>Бюджетные инвестиции в объекты капитального строительства собственности муниципальных образований</v>
      </c>
      <c r="B591" s="74"/>
      <c r="C591" s="64"/>
      <c r="D591" s="65">
        <v>1020102</v>
      </c>
      <c r="E591" s="66"/>
      <c r="F591" s="88">
        <v>50000</v>
      </c>
      <c r="G591" s="88">
        <f t="shared" ref="G591:H591" si="161">G592</f>
        <v>0</v>
      </c>
      <c r="H591" s="88">
        <f t="shared" si="161"/>
        <v>50000</v>
      </c>
    </row>
    <row r="592" spans="1:8" ht="63">
      <c r="A592" s="29" t="str">
        <f>IF(B592&gt;0,VLOOKUP(B592,КВСР!A401:B1566,2),IF(C592&gt;0,VLOOKUP(C592,КФСР!A401:B1913,2),IF(D592&gt;0,VLOOKUP(D592,КЦСР!A401:B4361,2),IF(E592&gt;0,VLOOKUP(E592,КВР!A401:B2329,2)))))</f>
        <v>Бюджетные инвестиции в объекты государственной собственности бюджетным учреждениям вне рамок государственного оборонного заказа</v>
      </c>
      <c r="B592" s="74"/>
      <c r="C592" s="64"/>
      <c r="D592" s="65"/>
      <c r="E592" s="66">
        <v>413</v>
      </c>
      <c r="F592" s="88">
        <v>50000</v>
      </c>
      <c r="G592" s="91"/>
      <c r="H592" s="30">
        <f>F592+G592</f>
        <v>50000</v>
      </c>
    </row>
    <row r="593" spans="1:8">
      <c r="A593" s="29" t="str">
        <f>IF(B593&gt;0,VLOOKUP(B593,КВСР!A397:B1562,2),IF(C593&gt;0,VLOOKUP(C593,КФСР!A397:B1909,2),IF(D593&gt;0,VLOOKUP(D593,КЦСР!A397:B4357,2),IF(E593&gt;0,VLOOKUP(E593,КВР!A397:B2325,2)))))</f>
        <v>Дошкольное образование</v>
      </c>
      <c r="B593" s="74"/>
      <c r="C593" s="64">
        <v>701</v>
      </c>
      <c r="D593" s="65"/>
      <c r="E593" s="66"/>
      <c r="F593" s="88">
        <v>21100000</v>
      </c>
      <c r="G593" s="88">
        <f t="shared" ref="G593:H596" si="162">G594</f>
        <v>0</v>
      </c>
      <c r="H593" s="88">
        <f t="shared" si="162"/>
        <v>21100000</v>
      </c>
    </row>
    <row r="594" spans="1:8" ht="24.75" customHeight="1">
      <c r="A594" s="29" t="str">
        <f>IF(B594&gt;0,VLOOKUP(B594,КВСР!A398:B1563,2),IF(C594&gt;0,VLOOKUP(C594,КФСР!A398:B1910,2),IF(D594&gt;0,VLOOKUP(D594,КЦСР!A398:B4358,2),IF(E594&gt;0,VLOOKUP(E594,КВР!A398:B2326,2)))))</f>
        <v>Региональные целевые программы</v>
      </c>
      <c r="B594" s="74"/>
      <c r="C594" s="64"/>
      <c r="D594" s="65">
        <v>5220000</v>
      </c>
      <c r="E594" s="66"/>
      <c r="F594" s="88">
        <v>21100000</v>
      </c>
      <c r="G594" s="88">
        <f t="shared" si="162"/>
        <v>0</v>
      </c>
      <c r="H594" s="88">
        <f t="shared" si="162"/>
        <v>21100000</v>
      </c>
    </row>
    <row r="595" spans="1:8" ht="31.5">
      <c r="A595" s="29" t="str">
        <f>IF(B595&gt;0,VLOOKUP(B595,КВСР!A399:B1564,2),IF(C595&gt;0,VLOOKUP(C595,КФСР!A399:B1911,2),IF(D595&gt;0,VLOOKUP(D595,КЦСР!A399:B4359,2),IF(E595&gt;0,VLOOKUP(E595,КВР!A399:B2327,2)))))</f>
        <v>Программа "Обеспечение доступного дошкольного образования"</v>
      </c>
      <c r="B595" s="74"/>
      <c r="C595" s="64"/>
      <c r="D595" s="65">
        <v>5221200</v>
      </c>
      <c r="E595" s="66"/>
      <c r="F595" s="88">
        <v>21100000</v>
      </c>
      <c r="G595" s="88">
        <f t="shared" si="162"/>
        <v>0</v>
      </c>
      <c r="H595" s="88">
        <f t="shared" si="162"/>
        <v>21100000</v>
      </c>
    </row>
    <row r="596" spans="1:8" ht="87.75" customHeight="1">
      <c r="A596" s="29" t="str">
        <f>IF(B596&gt;0,VLOOKUP(B596,КВСР!A400:B1565,2),IF(C596&gt;0,VLOOKUP(C596,КФСР!A400:B1912,2),IF(D596&gt;0,VLOOKUP(D596,КЦСР!A400:B4360,2),IF(E596&gt;0,VLOOKUP(E596,КВР!A400:B2328,2)))))</f>
        <v>Программа "Обеспечение доступного дошкольного образования" в части мероприятий по строительству дошкольных образовательных учреждений</v>
      </c>
      <c r="B596" s="74"/>
      <c r="C596" s="64"/>
      <c r="D596" s="65">
        <v>5221202</v>
      </c>
      <c r="E596" s="66"/>
      <c r="F596" s="88">
        <v>21100000</v>
      </c>
      <c r="G596" s="88">
        <f t="shared" si="162"/>
        <v>0</v>
      </c>
      <c r="H596" s="88">
        <f t="shared" si="162"/>
        <v>21100000</v>
      </c>
    </row>
    <row r="597" spans="1:8" ht="63">
      <c r="A597" s="29" t="str">
        <f>IF(B597&gt;0,VLOOKUP(B597,КВСР!A401:B1566,2),IF(C597&gt;0,VLOOKUP(C597,КФСР!A401:B1913,2),IF(D597&gt;0,VLOOKUP(D597,КЦСР!A401:B4361,2),IF(E597&gt;0,VLOOKUP(E597,КВР!A401:B2329,2)))))</f>
        <v>Бюджетные инвестиции в объекты государственной собственности бюджетным учреждениям вне рамок государственного оборонного заказа</v>
      </c>
      <c r="B597" s="74"/>
      <c r="C597" s="64"/>
      <c r="D597" s="65"/>
      <c r="E597" s="66">
        <v>413</v>
      </c>
      <c r="F597" s="88">
        <v>21100000</v>
      </c>
      <c r="G597" s="91"/>
      <c r="H597" s="30">
        <f>F597+G597</f>
        <v>21100000</v>
      </c>
    </row>
    <row r="598" spans="1:8" hidden="1">
      <c r="A598" s="29" t="str">
        <f>IF(B598&gt;0,VLOOKUP(B598,КВСР!A402:B1567,2),IF(C598&gt;0,VLOOKUP(C598,КФСР!A402:B1914,2),IF(D598&gt;0,VLOOKUP(D598,КЦСР!A402:B4362,2),IF(E598&gt;0,VLOOKUP(E598,КВР!A402:B2330,2)))))</f>
        <v>Общее образование</v>
      </c>
      <c r="B598" s="74"/>
      <c r="C598" s="64">
        <v>702</v>
      </c>
      <c r="D598" s="65"/>
      <c r="E598" s="66"/>
      <c r="F598" s="88">
        <v>0</v>
      </c>
      <c r="G598" s="88">
        <f t="shared" ref="G598:H600" si="163">G599</f>
        <v>0</v>
      </c>
      <c r="H598" s="88">
        <f t="shared" si="163"/>
        <v>0</v>
      </c>
    </row>
    <row r="599" spans="1:8" ht="47.25" hidden="1">
      <c r="A599" s="29" t="str">
        <f>IF(B599&gt;0,VLOOKUP(B599,КВСР!A403:B1568,2),IF(C599&gt;0,VLOOKUP(C599,КФСР!A403:B1915,2),IF(D599&gt;0,VLOOKUP(D599,КЦСР!A403:B4363,2),IF(E599&gt;0,VLOOKUP(E599,КВР!A403:B2331,2)))))</f>
        <v>Школы - детские сады, школы начальные, неполные средние и средние</v>
      </c>
      <c r="B599" s="74"/>
      <c r="C599" s="64"/>
      <c r="D599" s="65">
        <v>4210000</v>
      </c>
      <c r="E599" s="66"/>
      <c r="F599" s="88">
        <v>0</v>
      </c>
      <c r="G599" s="88">
        <f t="shared" si="163"/>
        <v>0</v>
      </c>
      <c r="H599" s="88">
        <f t="shared" si="163"/>
        <v>0</v>
      </c>
    </row>
    <row r="600" spans="1:8" ht="31.5" hidden="1">
      <c r="A600" s="29" t="str">
        <f>IF(B600&gt;0,VLOOKUP(B600,КВСР!A404:B1569,2),IF(C600&gt;0,VLOOKUP(C600,КФСР!A404:B1916,2),IF(D600&gt;0,VLOOKUP(D600,КЦСР!A404:B4364,2),IF(E600&gt;0,VLOOKUP(E600,КВР!A404:B2332,2)))))</f>
        <v>Обеспечение деятельности подведомственных учреждений</v>
      </c>
      <c r="B600" s="74"/>
      <c r="C600" s="64"/>
      <c r="D600" s="65">
        <v>4219900</v>
      </c>
      <c r="E600" s="66"/>
      <c r="F600" s="88">
        <v>0</v>
      </c>
      <c r="G600" s="88">
        <f t="shared" si="163"/>
        <v>0</v>
      </c>
      <c r="H600" s="88">
        <f t="shared" si="163"/>
        <v>0</v>
      </c>
    </row>
    <row r="601" spans="1:8" ht="63" hidden="1">
      <c r="A601" s="29" t="str">
        <f>IF(B601&gt;0,VLOOKUP(B601,КВСР!A405:B1570,2),IF(C601&gt;0,VLOOKUP(C601,КФСР!A405:B1917,2),IF(D601&gt;0,VLOOKUP(D601,КЦСР!A405:B4365,2),IF(E601&gt;0,VLOOKUP(E601,КВР!A405:B2333,2)))))</f>
        <v>Бюджетные инвестиции в объекты государственной собственности бюджетным учреждениям вне рамок государственного оборонного заказа</v>
      </c>
      <c r="B601" s="74"/>
      <c r="C601" s="64"/>
      <c r="D601" s="65"/>
      <c r="E601" s="66">
        <v>413</v>
      </c>
      <c r="F601" s="88">
        <v>0</v>
      </c>
      <c r="G601" s="91"/>
      <c r="H601" s="30">
        <f>SUM(F601:G601)</f>
        <v>0</v>
      </c>
    </row>
    <row r="602" spans="1:8" ht="29.25" customHeight="1">
      <c r="A602" s="29" t="str">
        <f>IF(B602&gt;0,VLOOKUP(B602,КВСР!A406:B1571,2),IF(C602&gt;0,VLOOKUP(C602,КФСР!A406:B1918,2),IF(D602&gt;0,VLOOKUP(D602,КЦСР!A406:B4366,2),IF(E602&gt;0,VLOOKUP(E602,КВР!A406:B2334,2)))))</f>
        <v>Общее образование</v>
      </c>
      <c r="B602" s="74"/>
      <c r="C602" s="64">
        <v>702</v>
      </c>
      <c r="D602" s="65"/>
      <c r="E602" s="66"/>
      <c r="F602" s="88">
        <v>250000</v>
      </c>
      <c r="G602" s="88">
        <f t="shared" ref="G602:H602" si="164">G603</f>
        <v>0</v>
      </c>
      <c r="H602" s="88">
        <f t="shared" si="164"/>
        <v>250000</v>
      </c>
    </row>
    <row r="603" spans="1:8" ht="29.25" customHeight="1">
      <c r="A603" s="29" t="str">
        <f>IF(B603&gt;0,VLOOKUP(B603,КВСР!A407:B1572,2),IF(C603&gt;0,VLOOKUP(C603,КФСР!A407:B1919,2),IF(D603&gt;0,VLOOKUP(D603,КЦСР!A407:B4367,2),IF(E603&gt;0,VLOOKUP(E603,КВР!A407:B2335,2)))))</f>
        <v>Обеспечение деятельности подведомственных учреждений</v>
      </c>
      <c r="B603" s="74"/>
      <c r="C603" s="64"/>
      <c r="D603" s="65">
        <v>4219900</v>
      </c>
      <c r="E603" s="66"/>
      <c r="F603" s="88">
        <v>250000</v>
      </c>
      <c r="G603" s="232">
        <f t="shared" ref="G603:H603" si="165">G604</f>
        <v>0</v>
      </c>
      <c r="H603" s="88">
        <f t="shared" si="165"/>
        <v>250000</v>
      </c>
    </row>
    <row r="604" spans="1:8" ht="30" customHeight="1">
      <c r="A604" s="29" t="str">
        <f>IF(B604&gt;0,VLOOKUP(B604,КВСР!A408:B1573,2),IF(C604&gt;0,VLOOKUP(C604,КФСР!A408:B1920,2),IF(D604&gt;0,VLOOKUP(D604,КЦСР!A408:B4368,2),IF(E604&gt;0,VLOOKUP(E604,КВР!A408:B2336,2)))))</f>
        <v>Субсидии бюджетным учреждениям на иные цели</v>
      </c>
      <c r="B604" s="74"/>
      <c r="C604" s="64"/>
      <c r="D604" s="65"/>
      <c r="E604" s="66">
        <v>612</v>
      </c>
      <c r="F604" s="88">
        <v>250000</v>
      </c>
      <c r="G604" s="91"/>
      <c r="H604" s="30">
        <f>SUM(F604:G604)</f>
        <v>250000</v>
      </c>
    </row>
    <row r="605" spans="1:8" hidden="1">
      <c r="A605" s="29" t="str">
        <f>IF(B605&gt;0,VLOOKUP(B605,КВСР!A411:B1576,2),IF(C605&gt;0,VLOOKUP(C605,КФСР!A411:B1923,2),IF(D605&gt;0,VLOOKUP(D605,КЦСР!A411:B4371,2),IF(E605&gt;0,VLOOKUP(E605,КВР!A411:B2339,2)))))</f>
        <v>Культура</v>
      </c>
      <c r="B605" s="74"/>
      <c r="C605" s="64">
        <v>801</v>
      </c>
      <c r="D605" s="65"/>
      <c r="E605" s="66"/>
      <c r="F605" s="88">
        <v>0</v>
      </c>
      <c r="G605" s="88"/>
      <c r="H605" s="88">
        <f>H606</f>
        <v>0</v>
      </c>
    </row>
    <row r="606" spans="1:8" ht="24.75" hidden="1" customHeight="1">
      <c r="A606" s="29" t="str">
        <f>IF(B606&gt;0,VLOOKUP(B606,КВСР!A412:B1577,2),IF(C606&gt;0,VLOOKUP(C606,КФСР!A412:B1924,2),IF(D606&gt;0,VLOOKUP(D606,КЦСР!A412:B4372,2),IF(E606&gt;0,VLOOKUP(E606,КВР!A412:B2340,2)))))</f>
        <v>Федеральные целевые программы</v>
      </c>
      <c r="B606" s="74"/>
      <c r="C606" s="64"/>
      <c r="D606" s="65">
        <v>1000000</v>
      </c>
      <c r="E606" s="66"/>
      <c r="F606" s="30">
        <v>0</v>
      </c>
      <c r="G606" s="30"/>
      <c r="H606" s="30">
        <f t="shared" ref="H606:H608" si="166">H607</f>
        <v>0</v>
      </c>
    </row>
    <row r="607" spans="1:8" ht="31.5" hidden="1">
      <c r="A607" s="29" t="str">
        <f>IF(B607&gt;0,VLOOKUP(B607,КВСР!A413:B1578,2),IF(C607&gt;0,VLOOKUP(C607,КФСР!A413:B1925,2),IF(D607&gt;0,VLOOKUP(D607,КЦСР!A413:B4373,2),IF(E607&gt;0,VLOOKUP(E607,КВР!A413:B2341,2)))))</f>
        <v>Федеральная целевая программа "Культура России (2006 - 2011 годы)"</v>
      </c>
      <c r="B607" s="74"/>
      <c r="C607" s="64"/>
      <c r="D607" s="65">
        <v>1000200</v>
      </c>
      <c r="E607" s="66"/>
      <c r="F607" s="30">
        <v>0</v>
      </c>
      <c r="G607" s="30"/>
      <c r="H607" s="30">
        <f t="shared" si="166"/>
        <v>0</v>
      </c>
    </row>
    <row r="608" spans="1:8" ht="110.25" hidden="1">
      <c r="A608" s="29" t="str">
        <f>IF(B608&gt;0,VLOOKUP(B608,КВСР!A414:B1579,2),IF(C608&gt;0,VLOOKUP(C608,КФСР!A414:B1926,2),IF(D608&gt;0,VLOOKUP(D608,КЦСР!A414:B4374,2),IF(E608&gt;0,VLOOKUP(E608,КВР!A414:B2342,2)))))</f>
        <v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v>
      </c>
      <c r="B608" s="74"/>
      <c r="C608" s="64"/>
      <c r="D608" s="65">
        <v>1000203</v>
      </c>
      <c r="E608" s="66"/>
      <c r="F608" s="30">
        <v>0</v>
      </c>
      <c r="G608" s="30"/>
      <c r="H608" s="30">
        <f t="shared" si="166"/>
        <v>0</v>
      </c>
    </row>
    <row r="609" spans="1:8" ht="63" hidden="1">
      <c r="A609" s="29" t="str">
        <f>IF(B609&gt;0,VLOOKUP(B609,КВСР!A415:B1580,2),IF(C609&gt;0,VLOOKUP(C609,КФСР!A415:B1927,2),IF(D609&gt;0,VLOOKUP(D609,КЦСР!A415:B4375,2),IF(E609&gt;0,VLOOKUP(E609,КВР!A415:B2343,2)))))</f>
        <v>Бюджетные инвестиции в объекты государственной собственности бюджетным учреждениям вне рамок государственного оборонного заказа</v>
      </c>
      <c r="B609" s="74"/>
      <c r="C609" s="64"/>
      <c r="D609" s="65"/>
      <c r="E609" s="66">
        <v>413</v>
      </c>
      <c r="F609" s="88">
        <v>0</v>
      </c>
      <c r="G609" s="91"/>
      <c r="H609" s="30">
        <f>F609+G609</f>
        <v>0</v>
      </c>
    </row>
    <row r="610" spans="1:8" ht="18" hidden="1" customHeight="1">
      <c r="A610" s="29" t="str">
        <f>IF(B610&gt;0,VLOOKUP(B610,КВСР!A416:B1581,2),IF(C610&gt;0,VLOOKUP(C610,КФСР!A416:B1928,2),IF(D610&gt;0,VLOOKUP(D610,КЦСР!A416:B4376,2),IF(E610&gt;0,VLOOKUP(E610,КВР!A416:B2344,2)))))</f>
        <v>Другие вопросы в области социальной политики</v>
      </c>
      <c r="B610" s="74"/>
      <c r="C610" s="64">
        <v>1006</v>
      </c>
      <c r="D610" s="65"/>
      <c r="E610" s="66"/>
      <c r="F610" s="88">
        <v>0</v>
      </c>
      <c r="G610" s="88"/>
      <c r="H610" s="88">
        <f t="shared" ref="H610" si="167">H611</f>
        <v>0</v>
      </c>
    </row>
    <row r="611" spans="1:8" ht="47.25" hidden="1">
      <c r="A611" s="29" t="str">
        <f>IF(B611&gt;0,VLOOKUP(B611,КВСР!A417:B1582,2),IF(C611&gt;0,VLOOKUP(C611,КФСР!A417:B1929,2),IF(D611&gt;0,VLOOKUP(D611,КЦСР!A417:B4377,2),IF(E611&gt;0,VLOOKUP(E611,КВР!A417:B2345,2)))))</f>
        <v>Бюджетные инвестиции в объекты капитального строительства, не включенные в целевые программы</v>
      </c>
      <c r="B611" s="74"/>
      <c r="C611" s="64"/>
      <c r="D611" s="65">
        <v>1020000</v>
      </c>
      <c r="E611" s="66"/>
      <c r="F611" s="88">
        <v>0</v>
      </c>
      <c r="G611" s="88"/>
      <c r="H611" s="88">
        <f t="shared" ref="H611" si="168">H612</f>
        <v>0</v>
      </c>
    </row>
    <row r="612" spans="1:8" ht="63" hidden="1">
      <c r="A612" s="29" t="str">
        <f>IF(B612&gt;0,VLOOKUP(B612,КВСР!A418:B1583,2),IF(C612&gt;0,VLOOKUP(C612,КФСР!A418:B1930,2),IF(D612&gt;0,VLOOKUP(D612,КЦСР!A418:B4378,2),IF(E612&gt;0,VLOOKUP(E612,КВР!A418:B2346,2)))))</f>
        <v>Бюджетные инвестиции в объекты капитального строительства собственности муниципальных образований</v>
      </c>
      <c r="B612" s="74"/>
      <c r="C612" s="64"/>
      <c r="D612" s="65">
        <v>1020102</v>
      </c>
      <c r="E612" s="66"/>
      <c r="F612" s="88">
        <v>0</v>
      </c>
      <c r="G612" s="88"/>
      <c r="H612" s="88">
        <f t="shared" ref="H612" si="169">H613</f>
        <v>0</v>
      </c>
    </row>
    <row r="613" spans="1:8" ht="63" hidden="1">
      <c r="A613" s="29" t="str">
        <f>IF(B613&gt;0,VLOOKUP(B613,КВСР!A419:B1584,2),IF(C613&gt;0,VLOOKUP(C613,КФСР!A419:B1931,2),IF(D613&gt;0,VLOOKUP(D613,КЦСР!A419:B4379,2),IF(E613&gt;0,VLOOKUP(E613,КВР!A419:B2347,2)))))</f>
        <v>Бюджетные инвестиции в объекты государственной собственности бюджетным учреждениям вне рамок государственного оборонного заказа</v>
      </c>
      <c r="B613" s="74"/>
      <c r="C613" s="64"/>
      <c r="D613" s="65"/>
      <c r="E613" s="66">
        <v>413</v>
      </c>
      <c r="F613" s="88">
        <v>0</v>
      </c>
      <c r="G613" s="91"/>
      <c r="H613" s="30">
        <f>F613+G613</f>
        <v>0</v>
      </c>
    </row>
    <row r="614" spans="1:8" ht="21.75" customHeight="1">
      <c r="A614" s="29" t="str">
        <f>IF(B614&gt;0,VLOOKUP(B614,КВСР!A411:B1576,2),IF(C614&gt;0,VLOOKUP(C614,КФСР!A411:B1923,2),IF(D614&gt;0,VLOOKUP(D614,КЦСР!A411:B4371,2),IF(E614&gt;0,VLOOKUP(E614,КВР!A411:B2339,2)))))</f>
        <v>Социальное обеспечение населения</v>
      </c>
      <c r="B614" s="74"/>
      <c r="C614" s="64">
        <v>1003</v>
      </c>
      <c r="D614" s="65"/>
      <c r="E614" s="66"/>
      <c r="F614" s="88">
        <v>7347028</v>
      </c>
      <c r="G614" s="88">
        <f>G615+G623</f>
        <v>0</v>
      </c>
      <c r="H614" s="88">
        <f>H615+H623</f>
        <v>7347028</v>
      </c>
    </row>
    <row r="615" spans="1:8" ht="23.25" customHeight="1">
      <c r="A615" s="29" t="str">
        <f>IF(B615&gt;0,VLOOKUP(B615,КВСР!A412:B1577,2),IF(C615&gt;0,VLOOKUP(C615,КФСР!A412:B1924,2),IF(D615&gt;0,VLOOKUP(D615,КЦСР!A412:B4372,2),IF(E615&gt;0,VLOOKUP(E615,КВР!A412:B2340,2)))))</f>
        <v>Федеральные целевые программы</v>
      </c>
      <c r="B615" s="74"/>
      <c r="C615" s="64"/>
      <c r="D615" s="65">
        <v>1000000</v>
      </c>
      <c r="E615" s="66"/>
      <c r="F615" s="88">
        <v>1672964</v>
      </c>
      <c r="G615" s="88">
        <f t="shared" ref="G615:H615" si="170">G616</f>
        <v>0</v>
      </c>
      <c r="H615" s="88">
        <f t="shared" si="170"/>
        <v>1672964</v>
      </c>
    </row>
    <row r="616" spans="1:8" ht="31.5">
      <c r="A616" s="29" t="str">
        <f>IF(B616&gt;0,VLOOKUP(B616,КВСР!A413:B1578,2),IF(C616&gt;0,VLOOKUP(C616,КФСР!A413:B1925,2),IF(D616&gt;0,VLOOKUP(D616,КЦСР!A413:B4373,2),IF(E616&gt;0,VLOOKUP(E616,КВР!A413:B2341,2)))))</f>
        <v>Федеральная целевая программа "Жилище" на 2011 - 2015 годы</v>
      </c>
      <c r="B616" s="74"/>
      <c r="C616" s="64"/>
      <c r="D616" s="65">
        <v>1008800</v>
      </c>
      <c r="E616" s="66"/>
      <c r="F616" s="88">
        <v>1672964</v>
      </c>
      <c r="G616" s="88">
        <f t="shared" ref="G616:H616" si="171">G620+G617</f>
        <v>0</v>
      </c>
      <c r="H616" s="88">
        <f t="shared" si="171"/>
        <v>1672964</v>
      </c>
    </row>
    <row r="617" spans="1:8" ht="50.25" customHeight="1">
      <c r="A617" s="29" t="str">
        <f>IF(B617&gt;0,VLOOKUP(B617,КВСР!A414:B1579,2),IF(C617&gt;0,VLOOKUP(C617,КФСР!A414:B1926,2),IF(D617&gt;0,VLOOKUP(D617,КЦСР!A414:B4374,2),IF(E617&gt;0,VLOOKUP(E617,КВР!A414:B2342,2)))))</f>
        <v>Субсидия на реализацию Подпрограммы "Обеспечение жильем молодых семей" ФЦП "Жилище"</v>
      </c>
      <c r="B617" s="74"/>
      <c r="C617" s="64"/>
      <c r="D617" s="65">
        <v>1008821</v>
      </c>
      <c r="E617" s="66"/>
      <c r="F617" s="88">
        <v>483621</v>
      </c>
      <c r="G617" s="88">
        <f t="shared" ref="G617:H617" si="172">G619+G618</f>
        <v>0</v>
      </c>
      <c r="H617" s="88">
        <f t="shared" si="172"/>
        <v>483621</v>
      </c>
    </row>
    <row r="618" spans="1:8" ht="50.25" customHeight="1">
      <c r="A618" s="29" t="str">
        <f>IF(B618&gt;0,VLOOKUP(B618,КВСР!A415:B1580,2),IF(C618&gt;0,VLOOKUP(C618,КФСР!A415:B1927,2),IF(D618&gt;0,VLOOKUP(D618,КЦСР!A415:B4375,2),IF(E618&gt;0,VLOOKUP(E618,КВР!A415:B2343,2)))))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618" s="74"/>
      <c r="C618" s="64"/>
      <c r="D618" s="65"/>
      <c r="E618" s="66">
        <v>521</v>
      </c>
      <c r="F618" s="88">
        <v>483621</v>
      </c>
      <c r="G618" s="263"/>
      <c r="H618" s="88">
        <f>SUM(F618:G618)</f>
        <v>483621</v>
      </c>
    </row>
    <row r="619" spans="1:8" ht="31.5" hidden="1">
      <c r="A619" s="29" t="str">
        <f>IF(B619&gt;0,VLOOKUP(B619,КВСР!A415:B1580,2),IF(C619&gt;0,VLOOKUP(C619,КФСР!A415:B1927,2),IF(D619&gt;0,VLOOKUP(D619,КЦСР!A415:B4375,2),IF(E619&gt;0,VLOOKUP(E619,КВР!A415:B2343,2)))))</f>
        <v>Субсидии бюджетным учреждениям на иные цели</v>
      </c>
      <c r="B619" s="74"/>
      <c r="C619" s="64"/>
      <c r="D619" s="65"/>
      <c r="E619" s="66">
        <v>612</v>
      </c>
      <c r="F619" s="88">
        <v>0</v>
      </c>
      <c r="G619" s="215">
        <v>0</v>
      </c>
      <c r="H619" s="88">
        <f>SUM(F619:G619)</f>
        <v>0</v>
      </c>
    </row>
    <row r="620" spans="1:8" ht="31.5">
      <c r="A620" s="29" t="str">
        <f>IF(B620&gt;0,VLOOKUP(B620,КВСР!A414:B1579,2),IF(C620&gt;0,VLOOKUP(C620,КФСР!A414:B1926,2),IF(D620&gt;0,VLOOKUP(D620,КЦСР!A414:B4374,2),IF(E620&gt;0,VLOOKUP(E620,КВР!A414:B2342,2)))))</f>
        <v>Подпрограмма "Обеспечение жильем молодых семей"</v>
      </c>
      <c r="B620" s="74"/>
      <c r="C620" s="64"/>
      <c r="D620" s="65">
        <v>1008822</v>
      </c>
      <c r="E620" s="66"/>
      <c r="F620" s="88">
        <v>1189343</v>
      </c>
      <c r="G620" s="88">
        <f t="shared" ref="G620:H620" si="173">G622+G621</f>
        <v>0</v>
      </c>
      <c r="H620" s="88">
        <f t="shared" si="173"/>
        <v>1189343</v>
      </c>
    </row>
    <row r="621" spans="1:8" ht="78.75">
      <c r="A621" s="29" t="str">
        <f>IF(B621&gt;0,VLOOKUP(B621,КВСР!A415:B1580,2),IF(C621&gt;0,VLOOKUP(C621,КФСР!A415:B1927,2),IF(D621&gt;0,VLOOKUP(D621,КЦСР!A415:B4375,2),IF(E621&gt;0,VLOOKUP(E621,КВР!A415:B2343,2)))))</f>
        <v>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v>
      </c>
      <c r="B621" s="74"/>
      <c r="C621" s="64"/>
      <c r="D621" s="65"/>
      <c r="E621" s="66">
        <v>521</v>
      </c>
      <c r="F621" s="88">
        <v>1189343</v>
      </c>
      <c r="G621" s="263"/>
      <c r="H621" s="88">
        <f>SUM(F621:G621)</f>
        <v>1189343</v>
      </c>
    </row>
    <row r="622" spans="1:8" ht="31.5" hidden="1">
      <c r="A622" s="29" t="str">
        <f>IF(B622&gt;0,VLOOKUP(B622,КВСР!A416:B1581,2),IF(C622&gt;0,VLOOKUP(C622,КФСР!A416:B1928,2),IF(D622&gt;0,VLOOKUP(D622,КЦСР!A416:B4376,2),IF(E622&gt;0,VLOOKUP(E622,КВР!A416:B2344,2)))))</f>
        <v>Субсидии бюджетным учреждениям на иные цели</v>
      </c>
      <c r="B622" s="74"/>
      <c r="C622" s="64"/>
      <c r="D622" s="65"/>
      <c r="E622" s="66">
        <v>612</v>
      </c>
      <c r="F622" s="88">
        <v>0</v>
      </c>
      <c r="G622" s="91"/>
      <c r="H622" s="88">
        <f>F622+G622</f>
        <v>0</v>
      </c>
    </row>
    <row r="623" spans="1:8" ht="24" customHeight="1">
      <c r="A623" s="29" t="str">
        <f>IF(B623&gt;0,VLOOKUP(B623,КВСР!A416:B1581,2),IF(C623&gt;0,VLOOKUP(C623,КФСР!A416:B1928,2),IF(D623&gt;0,VLOOKUP(D623,КЦСР!A416:B4376,2),IF(E623&gt;0,VLOOKUP(E623,КВР!A416:B2344,2)))))</f>
        <v>Региональные целевые программы</v>
      </c>
      <c r="B623" s="74"/>
      <c r="C623" s="64"/>
      <c r="D623" s="65">
        <v>5220000</v>
      </c>
      <c r="E623" s="66"/>
      <c r="F623" s="88">
        <v>5674064</v>
      </c>
      <c r="G623" s="88">
        <f>G624</f>
        <v>0</v>
      </c>
      <c r="H623" s="88">
        <f t="shared" ref="G623:H625" si="174">H624</f>
        <v>5674064</v>
      </c>
    </row>
    <row r="624" spans="1:8" ht="126">
      <c r="A624" s="29" t="str">
        <f>IF(B624&gt;0,VLOOKUP(B624,КВСР!A417:B1582,2),IF(C624&gt;0,VLOOKUP(C624,КФСР!A417:B1929,2),IF(D624&gt;0,VLOOKUP(D624,КЦСР!A417:B4377,2),IF(E624&gt;0,VLOOKUP(E624,КВР!A417:B2345,2)))))</f>
        <v>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v>
      </c>
      <c r="B624" s="74"/>
      <c r="C624" s="64"/>
      <c r="D624" s="65">
        <v>5225900</v>
      </c>
      <c r="E624" s="66"/>
      <c r="F624" s="88">
        <v>5674064</v>
      </c>
      <c r="G624" s="88">
        <f t="shared" si="174"/>
        <v>0</v>
      </c>
      <c r="H624" s="88">
        <f t="shared" si="174"/>
        <v>5674064</v>
      </c>
    </row>
    <row r="625" spans="1:8" ht="110.25">
      <c r="A625" s="29" t="str">
        <f>IF(B625&gt;0,VLOOKUP(B625,КВСР!A418:B1583,2),IF(C625&gt;0,VLOOKUP(C625,КФСР!A418:B1930,2),IF(D625&gt;0,VLOOKUP(D625,КЦСР!A418:B4378,2),IF(E625&gt;0,VLOOKUP(E625,КВР!A418:B2346,2)))))</f>
        <v>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v>
      </c>
      <c r="B625" s="74"/>
      <c r="C625" s="64"/>
      <c r="D625" s="65">
        <v>5225901</v>
      </c>
      <c r="E625" s="66"/>
      <c r="F625" s="88">
        <v>5674064</v>
      </c>
      <c r="G625" s="88">
        <f t="shared" si="174"/>
        <v>0</v>
      </c>
      <c r="H625" s="88">
        <f t="shared" si="174"/>
        <v>5674064</v>
      </c>
    </row>
    <row r="626" spans="1:8" ht="31.5">
      <c r="A626" s="29" t="str">
        <f>IF(B626&gt;0,VLOOKUP(B626,КВСР!A419:B1584,2),IF(C626&gt;0,VLOOKUP(C626,КФСР!A419:B1931,2),IF(D626&gt;0,VLOOKUP(D626,КЦСР!A419:B4379,2),IF(E626&gt;0,VLOOKUP(E626,КВР!A419:B2347,2)))))</f>
        <v>Приобретение товаров, работ, услуг в пользу граждан</v>
      </c>
      <c r="B626" s="74"/>
      <c r="C626" s="64"/>
      <c r="D626" s="65"/>
      <c r="E626" s="66">
        <v>323</v>
      </c>
      <c r="F626" s="88">
        <v>5674064</v>
      </c>
      <c r="G626" s="91"/>
      <c r="H626" s="30">
        <f>F626+G626</f>
        <v>5674064</v>
      </c>
    </row>
    <row r="627" spans="1:8" ht="31.5">
      <c r="A627" s="29" t="str">
        <f>IF(B627&gt;0,VLOOKUP(B627,КВСР!A420:B1585,2),IF(C627&gt;0,VLOOKUP(C627,КФСР!A420:B1932,2),IF(D627&gt;0,VLOOKUP(D627,КЦСР!A420:B4380,2),IF(E627&gt;0,VLOOKUP(E627,КВР!A420:B2348,2)))))</f>
        <v>Другие вопросы в области социальной политики</v>
      </c>
      <c r="B627" s="74"/>
      <c r="C627" s="64">
        <v>1006</v>
      </c>
      <c r="D627" s="65"/>
      <c r="E627" s="66"/>
      <c r="F627" s="88">
        <v>200000</v>
      </c>
      <c r="G627" s="88">
        <f t="shared" ref="G627:H627" si="175">G628</f>
        <v>0</v>
      </c>
      <c r="H627" s="88">
        <f t="shared" si="175"/>
        <v>200000</v>
      </c>
    </row>
    <row r="628" spans="1:8" ht="47.25">
      <c r="A628" s="29" t="str">
        <f>IF(B628&gt;0,VLOOKUP(B628,КВСР!A421:B1586,2),IF(C628&gt;0,VLOOKUP(C628,КФСР!A421:B1933,2),IF(D628&gt;0,VLOOKUP(D628,КЦСР!A421:B4381,2),IF(E628&gt;0,VLOOKUP(E628,КВР!A421:B2349,2)))))</f>
        <v>Бюджетные инвестиции в объекты капитального строительства, не включенные в целевые программы</v>
      </c>
      <c r="B628" s="74"/>
      <c r="C628" s="64"/>
      <c r="D628" s="65">
        <v>1020000</v>
      </c>
      <c r="E628" s="66"/>
      <c r="F628" s="88">
        <v>200000</v>
      </c>
      <c r="G628" s="88">
        <f t="shared" ref="G628:H628" si="176">G629</f>
        <v>0</v>
      </c>
      <c r="H628" s="88">
        <f t="shared" si="176"/>
        <v>200000</v>
      </c>
    </row>
    <row r="629" spans="1:8" ht="63">
      <c r="A629" s="29" t="str">
        <f>IF(B629&gt;0,VLOOKUP(B629,КВСР!A422:B1587,2),IF(C629&gt;0,VLOOKUP(C629,КФСР!A422:B1934,2),IF(D629&gt;0,VLOOKUP(D629,КЦСР!A422:B4382,2),IF(E629&gt;0,VLOOKUP(E629,КВР!A422:B2350,2)))))</f>
        <v>Бюджетные инвестиции в объекты капитального строительства собственности муниципальных образований</v>
      </c>
      <c r="B629" s="74"/>
      <c r="C629" s="64"/>
      <c r="D629" s="65">
        <v>1020102</v>
      </c>
      <c r="E629" s="66"/>
      <c r="F629" s="88">
        <v>200000</v>
      </c>
      <c r="G629" s="88">
        <f t="shared" ref="G629:H629" si="177">G630</f>
        <v>0</v>
      </c>
      <c r="H629" s="88">
        <f t="shared" si="177"/>
        <v>200000</v>
      </c>
    </row>
    <row r="630" spans="1:8" ht="63">
      <c r="A630" s="29" t="str">
        <f>IF(B630&gt;0,VLOOKUP(B630,КВСР!A423:B1588,2),IF(C630&gt;0,VLOOKUP(C630,КФСР!A423:B1935,2),IF(D630&gt;0,VLOOKUP(D630,КЦСР!A423:B4383,2),IF(E630&gt;0,VLOOKUP(E630,КВР!A423:B2351,2)))))</f>
        <v>Бюджетные инвестиции в объекты государственной собственности бюджетным учреждениям вне рамок государственного оборонного заказа</v>
      </c>
      <c r="B630" s="74"/>
      <c r="C630" s="64"/>
      <c r="D630" s="65"/>
      <c r="E630" s="66">
        <v>413</v>
      </c>
      <c r="F630" s="88">
        <v>200000</v>
      </c>
      <c r="G630" s="91"/>
      <c r="H630" s="30">
        <f>F630+G630</f>
        <v>200000</v>
      </c>
    </row>
    <row r="631" spans="1:8" ht="24" customHeight="1">
      <c r="A631" s="29" t="str">
        <f>IF(B631&gt;0,VLOOKUP(B631,КВСР!A420:B1585,2),IF(C631&gt;0,VLOOKUP(C631,КФСР!A420:B1932,2),IF(D631&gt;0,VLOOKUP(D631,КЦСР!A420:B4380,2),IF(E631&gt;0,VLOOKUP(E631,КВР!A420:B2348,2)))))</f>
        <v>Массовый спорт</v>
      </c>
      <c r="B631" s="74"/>
      <c r="C631" s="64">
        <v>1102</v>
      </c>
      <c r="D631" s="65"/>
      <c r="E631" s="66"/>
      <c r="F631" s="88">
        <v>3707611</v>
      </c>
      <c r="G631" s="88">
        <f t="shared" ref="G631:H631" si="178">G632+G635</f>
        <v>0</v>
      </c>
      <c r="H631" s="88">
        <f t="shared" si="178"/>
        <v>3707611</v>
      </c>
    </row>
    <row r="632" spans="1:8" ht="47.25">
      <c r="A632" s="29" t="str">
        <f>IF(B632&gt;0,VLOOKUP(B632,КВСР!A421:B1586,2),IF(C632&gt;0,VLOOKUP(C632,КФСР!A421:B1933,2),IF(D632&gt;0,VLOOKUP(D632,КЦСР!A421:B4381,2),IF(E632&gt;0,VLOOKUP(E632,КВР!A421:B2349,2)))))</f>
        <v>Бюджетные инвестиции в объекты капитального строительства, не включенные в целевые программы</v>
      </c>
      <c r="B632" s="74"/>
      <c r="C632" s="64"/>
      <c r="D632" s="65">
        <v>1020000</v>
      </c>
      <c r="E632" s="66"/>
      <c r="F632" s="88">
        <v>1548381</v>
      </c>
      <c r="G632" s="88">
        <f t="shared" ref="G632:H633" si="179">G633</f>
        <v>0</v>
      </c>
      <c r="H632" s="88">
        <f t="shared" si="179"/>
        <v>1548381</v>
      </c>
    </row>
    <row r="633" spans="1:8" ht="63">
      <c r="A633" s="29" t="str">
        <f>IF(B633&gt;0,VLOOKUP(B633,КВСР!A422:B1587,2),IF(C633&gt;0,VLOOKUP(C633,КФСР!A422:B1934,2),IF(D633&gt;0,VLOOKUP(D633,КЦСР!A422:B4382,2),IF(E633&gt;0,VLOOKUP(E633,КВР!A422:B2350,2)))))</f>
        <v>Бюджетные инвестиции в объекты капитального строительства собственности муниципальных образований</v>
      </c>
      <c r="B633" s="74"/>
      <c r="C633" s="64"/>
      <c r="D633" s="65">
        <v>1020102</v>
      </c>
      <c r="E633" s="66"/>
      <c r="F633" s="88">
        <v>1548381</v>
      </c>
      <c r="G633" s="88">
        <f t="shared" si="179"/>
        <v>0</v>
      </c>
      <c r="H633" s="88">
        <f t="shared" si="179"/>
        <v>1548381</v>
      </c>
    </row>
    <row r="634" spans="1:8" ht="63">
      <c r="A634" s="29" t="str">
        <f>IF(B634&gt;0,VLOOKUP(B634,КВСР!A423:B1588,2),IF(C634&gt;0,VLOOKUP(C634,КФСР!A423:B1935,2),IF(D634&gt;0,VLOOKUP(D634,КЦСР!A423:B4383,2),IF(E634&gt;0,VLOOKUP(E634,КВР!A423:B2351,2)))))</f>
        <v>Бюджетные инвестиции в объекты государственной собственности бюджетным учреждениям вне рамок государственного оборонного заказа</v>
      </c>
      <c r="B634" s="74"/>
      <c r="C634" s="64"/>
      <c r="D634" s="65"/>
      <c r="E634" s="66">
        <v>413</v>
      </c>
      <c r="F634" s="88">
        <v>1548381</v>
      </c>
      <c r="G634" s="91"/>
      <c r="H634" s="30">
        <f>F634+G634</f>
        <v>1548381</v>
      </c>
    </row>
    <row r="635" spans="1:8" ht="21" customHeight="1">
      <c r="A635" s="29" t="str">
        <f>IF(B635&gt;0,VLOOKUP(B635,КВСР!A424:B1589,2),IF(C635&gt;0,VLOOKUP(C635,КФСР!A424:B1936,2),IF(D635&gt;0,VLOOKUP(D635,КЦСР!A424:B4384,2),IF(E635&gt;0,VLOOKUP(E635,КВР!A424:B2352,2)))))</f>
        <v>Региональные целевые программы</v>
      </c>
      <c r="B635" s="74"/>
      <c r="C635" s="64"/>
      <c r="D635" s="65">
        <v>5220000</v>
      </c>
      <c r="E635" s="66"/>
      <c r="F635" s="88">
        <v>2159230</v>
      </c>
      <c r="G635" s="88">
        <f t="shared" ref="G635:H635" si="180">G636</f>
        <v>0</v>
      </c>
      <c r="H635" s="88">
        <f t="shared" si="180"/>
        <v>2159230</v>
      </c>
    </row>
    <row r="636" spans="1:8" ht="68.25" customHeight="1">
      <c r="A636" s="29" t="str">
        <f>IF(B636&gt;0,VLOOKUP(B636,КВСР!A425:B1590,2),IF(C636&gt;0,VLOOKUP(C636,КФСР!A425:B1937,2),IF(D636&gt;0,VLOOKUP(D636,КЦСР!A425:B4385,2),IF(E636&gt;0,VLOOKUP(E636,КВР!A425:B2353,2)))))</f>
        <v xml:space="preserve">Областная целевая программа "Развитие материально-технической базы физической культуры и спорта Ярославской области" </v>
      </c>
      <c r="B636" s="74"/>
      <c r="C636" s="64"/>
      <c r="D636" s="65">
        <v>5224600</v>
      </c>
      <c r="E636" s="66"/>
      <c r="F636" s="88">
        <v>2159230</v>
      </c>
      <c r="G636" s="88">
        <f t="shared" ref="G636:H636" si="181">G637</f>
        <v>0</v>
      </c>
      <c r="H636" s="88">
        <f t="shared" si="181"/>
        <v>2159230</v>
      </c>
    </row>
    <row r="637" spans="1:8" ht="129.75" customHeight="1">
      <c r="A637" s="29" t="str">
        <f>IF(B637&gt;0,VLOOKUP(B637,КВСР!A426:B1591,2),IF(C637&gt;0,VLOOKUP(C637,КФСР!A426:B1938,2),IF(D637&gt;0,VLOOKUP(D637,КЦСР!A426:B4386,2),IF(E637&gt;0,VLOOKUP(E637,КВР!A426:B2354,2)))))</f>
        <v>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v>
      </c>
      <c r="B637" s="74"/>
      <c r="C637" s="64"/>
      <c r="D637" s="65">
        <v>5224603</v>
      </c>
      <c r="E637" s="66"/>
      <c r="F637" s="88">
        <v>2159230</v>
      </c>
      <c r="G637" s="88">
        <f t="shared" ref="G637:H637" si="182">G638</f>
        <v>0</v>
      </c>
      <c r="H637" s="88">
        <f t="shared" si="182"/>
        <v>2159230</v>
      </c>
    </row>
    <row r="638" spans="1:8" ht="31.5">
      <c r="A638" s="29" t="str">
        <f>IF(B638&gt;0,VLOOKUP(B638,КВСР!A427:B1592,2),IF(C638&gt;0,VLOOKUP(C638,КФСР!A427:B1939,2),IF(D638&gt;0,VLOOKUP(D638,КЦСР!A427:B4387,2),IF(E638&gt;0,VLOOKUP(E638,КВР!A427:B2355,2)))))</f>
        <v>Субсидии бюджетным учреждениям на иные цели</v>
      </c>
      <c r="B638" s="74"/>
      <c r="C638" s="64"/>
      <c r="D638" s="65"/>
      <c r="E638" s="66">
        <v>612</v>
      </c>
      <c r="F638" s="88">
        <v>2159230</v>
      </c>
      <c r="G638" s="91"/>
      <c r="H638" s="30">
        <f>F638+G638</f>
        <v>2159230</v>
      </c>
    </row>
    <row r="639" spans="1:8" s="310" customFormat="1" ht="31.5">
      <c r="A639" s="304" t="str">
        <f>IF(B639&gt;0,VLOOKUP(B639,КВСР!A428:B1593,2),IF(C639&gt;0,VLOOKUP(C639,КФСР!A428:B1940,2),IF(D639&gt;0,VLOOKUP(D639,КЦСР!A428:B4388,2),IF(E639&gt;0,VLOOKUP(E639,КВР!A428:B2356,2)))))</f>
        <v>Администрация Фоминской сельской территории</v>
      </c>
      <c r="B639" s="305">
        <v>962</v>
      </c>
      <c r="C639" s="306"/>
      <c r="D639" s="307"/>
      <c r="E639" s="308"/>
      <c r="F639" s="309">
        <v>50000</v>
      </c>
      <c r="G639" s="309">
        <f t="shared" ref="G639:H641" si="183">G640</f>
        <v>0</v>
      </c>
      <c r="H639" s="309">
        <f t="shared" si="183"/>
        <v>50000</v>
      </c>
    </row>
    <row r="640" spans="1:8" ht="94.5">
      <c r="A640" s="29" t="str">
        <f>IF(B640&gt;0,VLOOKUP(B640,КВСР!A429:B1594,2),IF(C640&gt;0,VLOOKUP(C640,КФСР!A429:B1941,2),IF(D640&gt;0,VLOOKUP(D640,КЦСР!A429:B4389,2),IF(E640&gt;0,VLOOKUP(E640,КВР!A429:B2357,2)))))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640" s="74"/>
      <c r="C640" s="64">
        <v>104</v>
      </c>
      <c r="D640" s="65"/>
      <c r="E640" s="66"/>
      <c r="F640" s="88">
        <v>50000</v>
      </c>
      <c r="G640" s="88">
        <f t="shared" si="183"/>
        <v>0</v>
      </c>
      <c r="H640" s="88">
        <f t="shared" si="183"/>
        <v>50000</v>
      </c>
    </row>
    <row r="641" spans="1:9" ht="78.75">
      <c r="A641" s="29" t="str">
        <f>IF(B641&gt;0,VLOOKUP(B641,КВСР!A430:B1595,2),IF(C641&gt;0,VLOOKUP(C641,КФСР!A430:B1942,2),IF(D641&gt;0,VLOOKUP(D641,КЦСР!A430:B4390,2),IF(E641&gt;0,VLOOKUP(E641,КВР!A430:B2358,2)))))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641" s="74"/>
      <c r="C641" s="64"/>
      <c r="D641" s="65">
        <v>20000</v>
      </c>
      <c r="E641" s="66"/>
      <c r="F641" s="88">
        <v>50000</v>
      </c>
      <c r="G641" s="88">
        <f t="shared" si="183"/>
        <v>0</v>
      </c>
      <c r="H641" s="88">
        <f t="shared" si="183"/>
        <v>50000</v>
      </c>
    </row>
    <row r="642" spans="1:9" ht="20.25" customHeight="1">
      <c r="A642" s="29" t="str">
        <f>IF(B642&gt;0,VLOOKUP(B642,КВСР!A431:B1596,2),IF(C642&gt;0,VLOOKUP(C642,КФСР!A431:B1943,2),IF(D642&gt;0,VLOOKUP(D642,КЦСР!A431:B4391,2),IF(E642&gt;0,VLOOKUP(E642,КВР!A431:B2359,2)))))</f>
        <v>Центральный аппарат</v>
      </c>
      <c r="B642" s="74"/>
      <c r="C642" s="64"/>
      <c r="D642" s="65">
        <v>20400</v>
      </c>
      <c r="E642" s="66"/>
      <c r="F642" s="88">
        <v>50000</v>
      </c>
      <c r="G642" s="88">
        <f t="shared" ref="G642:H642" si="184">G643+G644+G645</f>
        <v>0</v>
      </c>
      <c r="H642" s="88">
        <f t="shared" si="184"/>
        <v>50000</v>
      </c>
    </row>
    <row r="643" spans="1:9" ht="31.5">
      <c r="A643" s="29" t="str">
        <f>IF(B643&gt;0,VLOOKUP(B643,КВСР!A431:B1596,2),IF(C643&gt;0,VLOOKUP(C643,КФСР!A431:B1943,2),IF(D643&gt;0,VLOOKUP(D643,КЦСР!A431:B4391,2),IF(E643&gt;0,VLOOKUP(E643,КВР!A431:B2359,2)))))</f>
        <v>Фонд оплаты труда и страховые взносы</v>
      </c>
      <c r="B643" s="74"/>
      <c r="C643" s="64"/>
      <c r="D643" s="65"/>
      <c r="E643" s="66">
        <v>121</v>
      </c>
      <c r="F643" s="88">
        <v>10876</v>
      </c>
      <c r="G643" s="91"/>
      <c r="H643" s="30">
        <f>F643+G643</f>
        <v>10876</v>
      </c>
    </row>
    <row r="644" spans="1:9" ht="31.5">
      <c r="A644" s="29" t="str">
        <f>IF(B644&gt;0,VLOOKUP(B644,КВСР!A432:B1597,2),IF(C644&gt;0,VLOOKUP(C644,КФСР!A432:B1944,2),IF(D644&gt;0,VLOOKUP(D644,КЦСР!A432:B4392,2),IF(E644&gt;0,VLOOKUP(E644,КВР!A432:B2360,2)))))</f>
        <v>Уплата налога на имущество организаций и земельного налога</v>
      </c>
      <c r="B644" s="74"/>
      <c r="C644" s="64"/>
      <c r="D644" s="65"/>
      <c r="E644" s="66">
        <v>851</v>
      </c>
      <c r="F644" s="88">
        <v>11905</v>
      </c>
      <c r="G644" s="91"/>
      <c r="H644" s="30">
        <f>F644+G644</f>
        <v>11905</v>
      </c>
    </row>
    <row r="645" spans="1:9" ht="31.5">
      <c r="A645" s="29" t="str">
        <f>IF(B645&gt;0,VLOOKUP(B645,КВСР!A433:B1598,2),IF(C645&gt;0,VLOOKUP(C645,КФСР!A433:B1945,2),IF(D645&gt;0,VLOOKUP(D645,КЦСР!A433:B4393,2),IF(E645&gt;0,VLOOKUP(E645,КВР!A433:B2361,2)))))</f>
        <v>Уплата прочих налогов, сборов и иных обязательных платежей</v>
      </c>
      <c r="B645" s="74"/>
      <c r="C645" s="64"/>
      <c r="D645" s="65"/>
      <c r="E645" s="66">
        <v>852</v>
      </c>
      <c r="F645" s="88">
        <v>27219</v>
      </c>
      <c r="G645" s="91"/>
      <c r="H645" s="30">
        <f>F645+G645</f>
        <v>27219</v>
      </c>
    </row>
    <row r="646" spans="1:9">
      <c r="A646" s="34" t="str">
        <f>IF(B646&gt;0,VLOOKUP(B646,КВСР!A420:B1585,2),IF(C646&gt;0,VLOOKUP(C646,КФСР!A420:B1932,2),IF(D646&gt;0,VLOOKUP(D646,КЦСР!A420:B4380,2),IF(E646&gt;0,VLOOKUP(E646,КВР!A420:B2348,2)))))</f>
        <v>МУ Контрольно-счетная палата ТМР</v>
      </c>
      <c r="B646" s="69">
        <v>982</v>
      </c>
      <c r="C646" s="80"/>
      <c r="D646" s="81"/>
      <c r="E646" s="86"/>
      <c r="F646" s="36">
        <v>1608421</v>
      </c>
      <c r="G646" s="36">
        <f>G647</f>
        <v>0</v>
      </c>
      <c r="H646" s="36">
        <f t="shared" ref="G646:H647" si="185">H647</f>
        <v>1608421</v>
      </c>
      <c r="I646" s="124"/>
    </row>
    <row r="647" spans="1:9" ht="78.75">
      <c r="A647" s="29" t="str">
        <f>IF(B647&gt;0,VLOOKUP(B647,КВСР!A421:B1586,2),IF(C647&gt;0,VLOOKUP(C647,КФСР!A421:B1933,2),IF(D647&gt;0,VLOOKUP(D647,КЦСР!A421:B4381,2),IF(E647&gt;0,VLOOKUP(E647,КВР!A421:B2349,2)))))</f>
        <v>Обеспечение деятельности финансовых, налоговых и таможенных органов и органов финансового (финансово-бюджетного) надзора</v>
      </c>
      <c r="B647" s="82"/>
      <c r="C647" s="64">
        <v>106</v>
      </c>
      <c r="D647" s="84"/>
      <c r="E647" s="85"/>
      <c r="F647" s="30">
        <v>1608421</v>
      </c>
      <c r="G647" s="30">
        <f t="shared" si="185"/>
        <v>0</v>
      </c>
      <c r="H647" s="30">
        <f t="shared" si="185"/>
        <v>1608421</v>
      </c>
    </row>
    <row r="648" spans="1:9" ht="78.75">
      <c r="A648" s="29" t="str">
        <f>IF(B648&gt;0,VLOOKUP(B648,КВСР!A422:B1587,2),IF(C648&gt;0,VLOOKUP(C648,КФСР!A422:B1934,2),IF(D648&gt;0,VLOOKUP(D648,КЦСР!A422:B4382,2),IF(E648&gt;0,VLOOKUP(E648,КВР!A422:B2350,2)))))</f>
        <v>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v>
      </c>
      <c r="B648" s="82"/>
      <c r="C648" s="64"/>
      <c r="D648" s="84">
        <v>20000</v>
      </c>
      <c r="E648" s="85"/>
      <c r="F648" s="30">
        <v>1608421</v>
      </c>
      <c r="G648" s="30">
        <f>G649+G655</f>
        <v>0</v>
      </c>
      <c r="H648" s="30">
        <f>H649+H655</f>
        <v>1608421</v>
      </c>
    </row>
    <row r="649" spans="1:9" ht="22.5" customHeight="1">
      <c r="A649" s="29" t="str">
        <f>IF(B649&gt;0,VLOOKUP(B649,КВСР!A423:B1588,2),IF(C649&gt;0,VLOOKUP(C649,КФСР!A423:B1935,2),IF(D649&gt;0,VLOOKUP(D649,КЦСР!A423:B4383,2),IF(E649&gt;0,VLOOKUP(E649,КВР!A423:B2351,2)))))</f>
        <v>Центральный аппарат</v>
      </c>
      <c r="B649" s="82"/>
      <c r="C649" s="83"/>
      <c r="D649" s="71">
        <v>20400</v>
      </c>
      <c r="E649" s="85"/>
      <c r="F649" s="30">
        <v>1059884</v>
      </c>
      <c r="G649" s="30">
        <f>G650+G651+G652+G653+G654</f>
        <v>0</v>
      </c>
      <c r="H649" s="30">
        <f>H650+H651+H652+H653+H654</f>
        <v>1059884</v>
      </c>
    </row>
    <row r="650" spans="1:9" ht="31.5">
      <c r="A650" s="29" t="str">
        <f>IF(B650&gt;0,VLOOKUP(B650,КВСР!A424:B1589,2),IF(C650&gt;0,VLOOKUP(C650,КФСР!A424:B1936,2),IF(D650&gt;0,VLOOKUP(D650,КЦСР!A424:B4384,2),IF(E650&gt;0,VLOOKUP(E650,КВР!A424:B2352,2)))))</f>
        <v>Фонд оплаты труда и страховые взносы</v>
      </c>
      <c r="B650" s="82"/>
      <c r="C650" s="83"/>
      <c r="D650" s="84"/>
      <c r="E650" s="85">
        <v>121</v>
      </c>
      <c r="F650" s="88">
        <v>725260</v>
      </c>
      <c r="G650" s="91"/>
      <c r="H650" s="30">
        <f>F650+G650</f>
        <v>725260</v>
      </c>
    </row>
    <row r="651" spans="1:9" ht="31.5">
      <c r="A651" s="29" t="str">
        <f>IF(B651&gt;0,VLOOKUP(B651,КВСР!A425:B1590,2),IF(C651&gt;0,VLOOKUP(C651,КФСР!A425:B1937,2),IF(D651&gt;0,VLOOKUP(D651,КЦСР!A425:B4385,2),IF(E651&gt;0,VLOOKUP(E651,КВР!A425:B2353,2)))))</f>
        <v>Иные выплаты персоналу, за исключением фонда оплаты труда</v>
      </c>
      <c r="B651" s="82"/>
      <c r="C651" s="83"/>
      <c r="D651" s="84"/>
      <c r="E651" s="85">
        <v>122</v>
      </c>
      <c r="F651" s="88">
        <v>1400</v>
      </c>
      <c r="G651" s="91"/>
      <c r="H651" s="30">
        <f>F651+G651</f>
        <v>1400</v>
      </c>
    </row>
    <row r="652" spans="1:9" ht="47.25">
      <c r="A652" s="29" t="str">
        <f>IF(B652&gt;0,VLOOKUP(B652,КВСР!A426:B1591,2),IF(C652&gt;0,VLOOKUP(C652,КФСР!A426:B1938,2),IF(D652&gt;0,VLOOKUP(D652,КЦСР!A426:B4386,2),IF(E652&gt;0,VLOOKUP(E652,КВР!A426:B2354,2)))))</f>
        <v>Закупка товаров, работ, услуг в сфере информационно-коммуникационных технологий</v>
      </c>
      <c r="B652" s="82"/>
      <c r="C652" s="83"/>
      <c r="D652" s="84"/>
      <c r="E652" s="85">
        <v>242</v>
      </c>
      <c r="F652" s="88">
        <v>142880</v>
      </c>
      <c r="G652" s="91"/>
      <c r="H652" s="30">
        <f>F652+G652</f>
        <v>142880</v>
      </c>
    </row>
    <row r="653" spans="1:9" ht="31.5">
      <c r="A653" s="29" t="str">
        <f>IF(B653&gt;0,VLOOKUP(B653,КВСР!A427:B1592,2),IF(C653&gt;0,VLOOKUP(C653,КФСР!A427:B1939,2),IF(D653&gt;0,VLOOKUP(D653,КЦСР!A427:B4387,2),IF(E653&gt;0,VLOOKUP(E653,КВР!A427:B2355,2)))))</f>
        <v>Прочая закупка товаров, работ и услуг для государственных нужд</v>
      </c>
      <c r="B653" s="82"/>
      <c r="C653" s="83"/>
      <c r="D653" s="84"/>
      <c r="E653" s="85">
        <v>244</v>
      </c>
      <c r="F653" s="88">
        <v>187944</v>
      </c>
      <c r="G653" s="91"/>
      <c r="H653" s="30">
        <f>F653+G653</f>
        <v>187944</v>
      </c>
    </row>
    <row r="654" spans="1:9" ht="31.5">
      <c r="A654" s="29" t="str">
        <f>IF(B654&gt;0,VLOOKUP(B654,КВСР!A428:B1593,2),IF(C654&gt;0,VLOOKUP(C654,КФСР!A428:B1940,2),IF(D654&gt;0,VLOOKUP(D654,КЦСР!A428:B4388,2),IF(E654&gt;0,VLOOKUP(E654,КВР!A428:B2356,2)))))</f>
        <v>Уплата прочих налогов, сборов и иных обязательных платежей</v>
      </c>
      <c r="B654" s="82"/>
      <c r="C654" s="83"/>
      <c r="D654" s="84"/>
      <c r="E654" s="85">
        <v>852</v>
      </c>
      <c r="F654" s="88">
        <v>2400</v>
      </c>
      <c r="G654" s="91"/>
      <c r="H654" s="30">
        <f>F654+G654</f>
        <v>2400</v>
      </c>
    </row>
    <row r="655" spans="1:9" ht="47.25">
      <c r="A655" s="29" t="str">
        <f>IF(B655&gt;0,VLOOKUP(B655,КВСР!A429:B1594,2),IF(C655&gt;0,VLOOKUP(C655,КФСР!A429:B1941,2),IF(D655&gt;0,VLOOKUP(D655,КЦСР!A429:B4389,2),IF(E655&gt;0,VLOOKUP(E655,КВР!A429:B2357,2)))))</f>
        <v>Руководитель контрольно-счетной палаты муниципального образования и его заместители</v>
      </c>
      <c r="B655" s="82"/>
      <c r="C655" s="83"/>
      <c r="D655" s="84">
        <v>22500</v>
      </c>
      <c r="E655" s="85"/>
      <c r="F655" s="30">
        <v>548537</v>
      </c>
      <c r="G655" s="30">
        <f>G656+G657</f>
        <v>0</v>
      </c>
      <c r="H655" s="30">
        <f>H656+H657</f>
        <v>548537</v>
      </c>
    </row>
    <row r="656" spans="1:9" ht="31.5">
      <c r="A656" s="29" t="str">
        <f>IF(B656&gt;0,VLOOKUP(B656,КВСР!A430:B1595,2),IF(C656&gt;0,VLOOKUP(C656,КФСР!A430:B1942,2),IF(D656&gt;0,VLOOKUP(D656,КЦСР!A430:B4390,2),IF(E656&gt;0,VLOOKUP(E656,КВР!A430:B2358,2)))))</f>
        <v>Фонд оплаты труда и страховые взносы</v>
      </c>
      <c r="B656" s="74"/>
      <c r="C656" s="64"/>
      <c r="D656" s="65"/>
      <c r="E656" s="66">
        <v>121</v>
      </c>
      <c r="F656" s="88">
        <v>548537</v>
      </c>
      <c r="G656" s="91"/>
      <c r="H656" s="30">
        <f>F656+G656</f>
        <v>548537</v>
      </c>
    </row>
    <row r="657" spans="1:9" ht="31.5" hidden="1">
      <c r="A657" s="29" t="str">
        <f>IF(B657&gt;0,VLOOKUP(B657,КВСР!A431:B1596,2),IF(C657&gt;0,VLOOKUP(C657,КФСР!A431:B1943,2),IF(D657&gt;0,VLOOKUP(D657,КЦСР!A431:B4391,2),IF(E657&gt;0,VLOOKUP(E657,КВР!A431:B2359,2)))))</f>
        <v>Иные выплаты персоналу, за исключением фонда оплаты труда</v>
      </c>
      <c r="B657" s="74"/>
      <c r="C657" s="64"/>
      <c r="D657" s="65"/>
      <c r="E657" s="66">
        <v>122</v>
      </c>
      <c r="F657" s="88">
        <v>0</v>
      </c>
      <c r="G657" s="91"/>
      <c r="H657" s="30">
        <f>F657+G657</f>
        <v>0</v>
      </c>
    </row>
    <row r="658" spans="1:9">
      <c r="A658" s="37" t="s">
        <v>1007</v>
      </c>
      <c r="B658" s="57"/>
      <c r="C658" s="57"/>
      <c r="D658" s="57"/>
      <c r="E658" s="57"/>
      <c r="F658" s="35">
        <v>1544260370</v>
      </c>
      <c r="G658" s="35">
        <f>SUM(G9+G86+G118+G256+G328+G368+G459+G485+G646+G639)</f>
        <v>-3080197</v>
      </c>
      <c r="H658" s="35">
        <f t="shared" ref="H658" si="186">SUM(H9+H86+H118+H256+H328+H368+H459+H485+H646+H639)</f>
        <v>1541180173</v>
      </c>
      <c r="I658" s="124"/>
    </row>
  </sheetData>
  <protectedRanges>
    <protectedRange password="EE71" sqref="H704 H659 E659:F659 B659:D700 E660:H700" name="Диапазон1_1" securityDescriptor="O:WDG:WDD:(A;;CC;;;S-1-5-21-796845957-1547161642-725345543-1004)"/>
    <protectedRange sqref="G172:G173 G242:G243 F294:G295 F278:G278 F151:G152 G393:H398 G113:H116 G252:H254 F90:G96 F197:G197 F300:G300 G301:H304 G33 F578:G578 F200:G200 G261:H263 F275:G275 G353 F320:G323 F17:G19 G431:G436 F443:G446 F224:G224 G399 F332:G337 G313 G28:H30 G260 G354:H354 F282:G282 G264:G265 F147:G148 F567:H568 F170:F177 F484:G484 F272:G272 G117 F229:G229 F290:G290 G391:G392 F99:G99 F102:G102 G305 F565:G566 F415:G416 F419:G420 F195:G195 G387 F463:G468 F13:G13 F207:G210 F217:G217 F285:G285 F159:G159 F239:G239 F650:G654 F280:G280 G427 G424 F139:G140 G425:H426 G41:G44 F656:G657 G37 F288:G288 G455:H457 G171:H171 G20:G23 F473:G473 G291:H291 G388:H388 G389 G27 G626 G32:H32 F381:G382 G458 G454 F155:G155 G312:H312 G292 G598:H600 G247:G249 F85:G85 G24:H26 G31 G255 G169:G170 F579:F604 G203:G206 G601 G597 G579:G583 G593:H596 F106:G106 F75:G76 G308 G306:H307 G390:H390 F353:F354 F478:H478 F20:F33 F37:F50 F103:H105 F113:F128 F164:G165 F245:F255 F260:F265 F291:F292 F301:F308 F312:F313 F387:F404 F424:F440 F442:H442 F454:F459 F111:G112 F569:G569 G622:H625 F55:G59 H75 F232:H235 F449:G449 F220:G220 F218:H219 F181:G185 F358:G358 F367:G367 G609 F605:H605 F341:G341 F517:G520 F361:G361 F359:H360 F349:G349 F346:H348 F343:G345 F342:H342 F377:G377 F328:H328 G251 G250:H250 G245:H246 G634 F525:G527 G214 G81 F609:F619 G638 G635:H637 G631:H633 G177 G176:H176 F574:G574 F570:H573 G175 G174:H174 G604 G602:H603 F533:G535 F539:G542 F536:H538 F529:G531 F528:H528 G592 G588:H591 F362:H366 F620:H621 G47 G38:H40 G613 G610:H612 G614:H619 G440 G437:H439 G428:H430 F192:G192 F189:H191 F60:H74 F188:G188 F186:H187 G627:H629 G630 F622:F645 G643:G645 G639:H642 F107:H110 F447:H448 G118:H128 F477:G477 F474:H476 G459:H459 G50 G48:H49 G45:H46 F327:G327 F324:H326 G587 G584:H586 G404 G400:H403 F368:H376" name="Диапазон1_14_1"/>
  </protectedRanges>
  <dataConsolidate/>
  <customSheetViews>
    <customSheetView guid="{91923F83-3A6B-4204-9891-178562AB34F1}" scale="90" showPageBreaks="1" printArea="1" showAutoFilter="1" view="pageBreakPreview" showRuler="0" topLeftCell="A677">
      <selection activeCell="G685" sqref="G685"/>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1"/>
      <headerFooter alignWithMargins="0">
        <oddFooter>&amp;C&amp;P</oddFooter>
      </headerFooter>
      <autoFilter ref="B1:J1"/>
    </customSheetView>
    <customSheetView guid="{66DBF0AC-E9A0-482F-9E41-1928B6CA83DC}" scale="90" showPageBreaks="1" showAutoFilter="1" view="pageBreakPreview" showRuler="0" topLeftCell="B748">
      <selection activeCell="F760" sqref="F760"/>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2"/>
      <headerFooter alignWithMargins="0">
        <oddFooter>&amp;C&amp;P</oddFooter>
      </headerFooter>
      <autoFilter ref="B1:J1"/>
    </customSheetView>
    <customSheetView guid="{A5E41FC9-89B1-40D2-B587-57BC4C5E4715}" scale="90" showPageBreaks="1" printArea="1" showAutoFilter="1" view="pageBreakPreview" showRuler="0" topLeftCell="B256">
      <selection activeCell="G263" sqref="G263"/>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3"/>
      <headerFooter alignWithMargins="0">
        <oddFooter>&amp;C&amp;P</oddFooter>
      </headerFooter>
      <autoFilter ref="B1:J1"/>
    </customSheetView>
    <customSheetView guid="{F3607253-7816-4CF7-9CFD-2ADFFAD916F8}" scale="90" showPageBreaks="1" printArea="1" showAutoFilter="1" view="pageBreakPreview" showRuler="0">
      <selection activeCell="G48" sqref="G48"/>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4"/>
      <headerFooter alignWithMargins="0">
        <oddFooter>&amp;C&amp;P</oddFooter>
      </headerFooter>
      <autoFilter ref="B1:J1"/>
    </customSheetView>
    <customSheetView guid="{B3311466-F005-49F1-A579-3E6CECE305A8}" scale="90" showPageBreaks="1" printArea="1" showAutoFilter="1" view="pageBreakPreview" showRuler="0" topLeftCell="A625">
      <selection activeCell="E644" sqref="E644"/>
      <rowBreaks count="31" manualBreakCount="31">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50" max="6" man="1"/>
        <brk id="652" max="6" man="1"/>
        <brk id="676" max="6" man="1"/>
        <brk id="699" max="6" man="1"/>
        <brk id="725" max="6" man="1"/>
        <brk id="749" max="6" man="1"/>
      </rowBreaks>
      <pageMargins left="0.78740157480314965" right="0.19685039370078741" top="0.39370078740157483" bottom="0.59055118110236227" header="0.31496062992125984" footer="0.31496062992125984"/>
      <pageSetup paperSize="9" scale="90" orientation="portrait" r:id="rId5"/>
      <headerFooter alignWithMargins="0">
        <oddFooter>&amp;C&amp;P</oddFooter>
      </headerFooter>
      <autoFilter ref="B1:J1"/>
    </customSheetView>
    <customSheetView guid="{E5662E33-D4B0-43EA-9B06-C8DA9DFDBEF6}" scale="90" showPageBreaks="1" printArea="1" showAutoFilter="1" view="pageBreakPreview" showRuler="0" topLeftCell="A641">
      <selection activeCell="G644" sqref="G644"/>
      <rowBreaks count="33" manualBreakCount="33">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5" max="6" man="1"/>
        <brk id="696" max="6" man="1"/>
        <brk id="721" max="6" man="1"/>
        <brk id="722" max="6" man="1"/>
        <brk id="745" max="6" man="1"/>
        <brk id="746" max="6" man="1"/>
      </rowBreaks>
      <pageMargins left="0.78740157480314965" right="0.19685039370078741" top="0.39370078740157483" bottom="0.59055118110236227" header="0.31496062992125984" footer="0.31496062992125984"/>
      <pageSetup paperSize="9" scale="90" orientation="portrait" r:id="rId6"/>
      <headerFooter alignWithMargins="0">
        <oddFooter>&amp;C&amp;P</oddFooter>
      </headerFooter>
      <autoFilter ref="B1:J1"/>
    </customSheetView>
  </customSheetViews>
  <mergeCells count="5">
    <mergeCell ref="A4:H4"/>
    <mergeCell ref="A6:H6"/>
    <mergeCell ref="A1:H1"/>
    <mergeCell ref="A2:H2"/>
    <mergeCell ref="A3:H3"/>
  </mergeCells>
  <phoneticPr fontId="0" type="noConversion"/>
  <pageMargins left="0.78740157480314965" right="0.39370078740157483" top="0.39370078740157483" bottom="0.39370078740157483" header="0.19685039370078741" footer="0.19685039370078741"/>
  <pageSetup paperSize="9" scale="97" fitToHeight="0" orientation="portrait" r:id="rId7"/>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B1167"/>
  <sheetViews>
    <sheetView view="pageBreakPreview" topLeftCell="A1145" workbookViewId="0">
      <selection activeCell="B1161" sqref="B1161"/>
    </sheetView>
  </sheetViews>
  <sheetFormatPr defaultRowHeight="12.75"/>
  <cols>
    <col min="1" max="1" width="6.5703125" style="26" customWidth="1"/>
    <col min="2" max="2" width="85.7109375" style="23" customWidth="1"/>
  </cols>
  <sheetData>
    <row r="1" spans="1:2" hidden="1">
      <c r="A1" s="26" t="s">
        <v>1004</v>
      </c>
      <c r="B1" s="23" t="s">
        <v>1005</v>
      </c>
    </row>
    <row r="2" spans="1:2" hidden="1">
      <c r="A2" s="27" t="s">
        <v>702</v>
      </c>
      <c r="B2" s="25" t="s">
        <v>830</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row r="170" spans="2:2" hidden="1">
      <c r="B170"/>
    </row>
    <row r="171" spans="2:2" hidden="1"/>
    <row r="172" spans="2:2" hidden="1"/>
    <row r="173" spans="2:2" hidden="1"/>
    <row r="174" spans="2:2" hidden="1"/>
    <row r="175" spans="2:2" hidden="1"/>
    <row r="176" spans="2:2"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28">
        <v>0</v>
      </c>
      <c r="B1000" s="24" t="s">
        <v>804</v>
      </c>
    </row>
    <row r="1001" spans="1:2">
      <c r="A1001" s="28">
        <v>4</v>
      </c>
      <c r="B1001" s="24" t="s">
        <v>1001</v>
      </c>
    </row>
    <row r="1002" spans="1:2">
      <c r="A1002" s="28">
        <v>20</v>
      </c>
      <c r="B1002" s="24" t="s">
        <v>885</v>
      </c>
    </row>
    <row r="1003" spans="1:2">
      <c r="A1003" s="28">
        <v>22</v>
      </c>
      <c r="B1003" s="24" t="s">
        <v>886</v>
      </c>
    </row>
    <row r="1004" spans="1:2">
      <c r="A1004" s="28">
        <v>29</v>
      </c>
      <c r="B1004" s="24" t="s">
        <v>887</v>
      </c>
    </row>
    <row r="1005" spans="1:2">
      <c r="A1005" s="28">
        <v>48</v>
      </c>
      <c r="B1005" s="24" t="s">
        <v>1002</v>
      </c>
    </row>
    <row r="1006" spans="1:2">
      <c r="A1006" s="28">
        <v>50</v>
      </c>
      <c r="B1006" s="24" t="s">
        <v>1161</v>
      </c>
    </row>
    <row r="1007" spans="1:2">
      <c r="A1007" s="28">
        <v>53</v>
      </c>
      <c r="B1007" s="24" t="s">
        <v>1003</v>
      </c>
    </row>
    <row r="1008" spans="1:2">
      <c r="A1008" s="28">
        <v>54</v>
      </c>
      <c r="B1008" s="24" t="s">
        <v>1162</v>
      </c>
    </row>
    <row r="1009" spans="1:2">
      <c r="A1009" s="28">
        <v>56</v>
      </c>
      <c r="B1009" s="24" t="s">
        <v>1163</v>
      </c>
    </row>
    <row r="1010" spans="1:2">
      <c r="A1010" s="28">
        <v>58</v>
      </c>
      <c r="B1010" s="24" t="s">
        <v>893</v>
      </c>
    </row>
    <row r="1011" spans="1:2">
      <c r="A1011" s="28">
        <v>70</v>
      </c>
      <c r="B1011" s="24" t="s">
        <v>894</v>
      </c>
    </row>
    <row r="1012" spans="1:2">
      <c r="A1012" s="28">
        <v>71</v>
      </c>
      <c r="B1012" s="24" t="s">
        <v>958</v>
      </c>
    </row>
    <row r="1013" spans="1:2">
      <c r="A1013" s="28">
        <v>72</v>
      </c>
      <c r="B1013" s="24" t="s">
        <v>1989</v>
      </c>
    </row>
    <row r="1014" spans="1:2">
      <c r="A1014" s="28">
        <v>75</v>
      </c>
      <c r="B1014" s="24" t="s">
        <v>165</v>
      </c>
    </row>
    <row r="1015" spans="1:2">
      <c r="A1015" s="28">
        <v>76</v>
      </c>
      <c r="B1015" s="24" t="s">
        <v>1554</v>
      </c>
    </row>
    <row r="1016" spans="1:2">
      <c r="A1016" s="28">
        <v>78</v>
      </c>
      <c r="B1016" s="24" t="s">
        <v>1555</v>
      </c>
    </row>
    <row r="1017" spans="1:2">
      <c r="A1017" s="28">
        <v>81</v>
      </c>
      <c r="B1017" s="24" t="s">
        <v>1990</v>
      </c>
    </row>
    <row r="1018" spans="1:2">
      <c r="A1018" s="28">
        <v>82</v>
      </c>
      <c r="B1018" s="24" t="s">
        <v>803</v>
      </c>
    </row>
    <row r="1019" spans="1:2">
      <c r="A1019" s="28">
        <v>83</v>
      </c>
      <c r="B1019" s="24" t="s">
        <v>742</v>
      </c>
    </row>
    <row r="1020" spans="1:2">
      <c r="A1020" s="28">
        <v>85</v>
      </c>
      <c r="B1020" s="24" t="s">
        <v>17</v>
      </c>
    </row>
    <row r="1021" spans="1:2">
      <c r="A1021" s="28">
        <v>89</v>
      </c>
      <c r="B1021" s="24" t="s">
        <v>434</v>
      </c>
    </row>
    <row r="1022" spans="1:2">
      <c r="A1022" s="28">
        <v>92</v>
      </c>
      <c r="B1022" s="24" t="s">
        <v>166</v>
      </c>
    </row>
    <row r="1023" spans="1:2">
      <c r="A1023" s="28">
        <v>99</v>
      </c>
      <c r="B1023" s="24" t="s">
        <v>588</v>
      </c>
    </row>
    <row r="1024" spans="1:2">
      <c r="A1024" s="28">
        <v>104</v>
      </c>
      <c r="B1024" s="24" t="s">
        <v>357</v>
      </c>
    </row>
    <row r="1025" spans="1:2">
      <c r="A1025" s="28">
        <v>125</v>
      </c>
      <c r="B1025" s="24" t="s">
        <v>198</v>
      </c>
    </row>
    <row r="1026" spans="1:2">
      <c r="A1026" s="28">
        <v>126</v>
      </c>
      <c r="B1026" s="24" t="s">
        <v>699</v>
      </c>
    </row>
    <row r="1027" spans="1:2">
      <c r="A1027" s="28">
        <v>128</v>
      </c>
      <c r="B1027" s="24" t="s">
        <v>700</v>
      </c>
    </row>
    <row r="1028" spans="1:2">
      <c r="A1028" s="28">
        <v>129</v>
      </c>
      <c r="B1028" s="24" t="s">
        <v>474</v>
      </c>
    </row>
    <row r="1029" spans="1:2" ht="25.5">
      <c r="A1029" s="28">
        <v>133</v>
      </c>
      <c r="B1029" s="24" t="s">
        <v>252</v>
      </c>
    </row>
    <row r="1030" spans="1:2" ht="25.5">
      <c r="A1030" s="28">
        <v>134</v>
      </c>
      <c r="B1030" s="24" t="s">
        <v>1932</v>
      </c>
    </row>
    <row r="1031" spans="1:2">
      <c r="A1031" s="28">
        <v>136</v>
      </c>
      <c r="B1031" s="24" t="s">
        <v>18</v>
      </c>
    </row>
    <row r="1032" spans="1:2">
      <c r="A1032" s="28">
        <v>139</v>
      </c>
      <c r="B1032" s="24" t="s">
        <v>19</v>
      </c>
    </row>
    <row r="1033" spans="1:2">
      <c r="A1033" s="28">
        <v>140</v>
      </c>
      <c r="B1033" s="24" t="s">
        <v>444</v>
      </c>
    </row>
    <row r="1034" spans="1:2">
      <c r="A1034" s="28">
        <v>141</v>
      </c>
      <c r="B1034" s="24" t="s">
        <v>445</v>
      </c>
    </row>
    <row r="1035" spans="1:2">
      <c r="A1035" s="28">
        <v>142</v>
      </c>
      <c r="B1035" s="24" t="s">
        <v>1356</v>
      </c>
    </row>
    <row r="1036" spans="1:2">
      <c r="A1036" s="28">
        <v>148</v>
      </c>
      <c r="B1036" s="24" t="s">
        <v>336</v>
      </c>
    </row>
    <row r="1037" spans="1:2">
      <c r="A1037" s="28">
        <v>149</v>
      </c>
      <c r="B1037" s="24" t="s">
        <v>337</v>
      </c>
    </row>
    <row r="1038" spans="1:2">
      <c r="A1038" s="28">
        <v>152</v>
      </c>
      <c r="B1038" s="24" t="s">
        <v>1174</v>
      </c>
    </row>
    <row r="1039" spans="1:2">
      <c r="A1039" s="28">
        <v>153</v>
      </c>
      <c r="B1039" s="24" t="s">
        <v>970</v>
      </c>
    </row>
    <row r="1040" spans="1:2">
      <c r="A1040" s="28">
        <v>154</v>
      </c>
      <c r="B1040" s="24" t="s">
        <v>904</v>
      </c>
    </row>
    <row r="1041" spans="1:2">
      <c r="A1041" s="28">
        <v>156</v>
      </c>
      <c r="B1041" s="24" t="s">
        <v>1566</v>
      </c>
    </row>
    <row r="1042" spans="1:2">
      <c r="A1042" s="28">
        <v>157</v>
      </c>
      <c r="B1042" s="24" t="s">
        <v>1027</v>
      </c>
    </row>
    <row r="1043" spans="1:2">
      <c r="A1043" s="28">
        <v>158</v>
      </c>
      <c r="B1043" s="24" t="s">
        <v>745</v>
      </c>
    </row>
    <row r="1044" spans="1:2">
      <c r="A1044" s="28">
        <v>159</v>
      </c>
      <c r="B1044" s="24" t="s">
        <v>368</v>
      </c>
    </row>
    <row r="1045" spans="1:2">
      <c r="A1045" s="28">
        <v>160</v>
      </c>
      <c r="B1045" s="24" t="s">
        <v>1705</v>
      </c>
    </row>
    <row r="1046" spans="1:2">
      <c r="A1046" s="28">
        <v>162</v>
      </c>
      <c r="B1046" s="24" t="s">
        <v>1707</v>
      </c>
    </row>
    <row r="1047" spans="1:2">
      <c r="A1047" s="28">
        <v>163</v>
      </c>
      <c r="B1047" s="24" t="s">
        <v>1534</v>
      </c>
    </row>
    <row r="1048" spans="1:2">
      <c r="A1048" s="28">
        <v>164</v>
      </c>
      <c r="B1048" s="24" t="s">
        <v>1941</v>
      </c>
    </row>
    <row r="1049" spans="1:2">
      <c r="A1049" s="28">
        <v>165</v>
      </c>
      <c r="B1049" s="24" t="s">
        <v>1142</v>
      </c>
    </row>
    <row r="1050" spans="1:2" ht="25.5">
      <c r="A1050" s="28">
        <v>166</v>
      </c>
      <c r="B1050" s="24" t="s">
        <v>677</v>
      </c>
    </row>
    <row r="1051" spans="1:2" ht="25.5">
      <c r="A1051" s="28">
        <v>177</v>
      </c>
      <c r="B1051" s="24" t="s">
        <v>537</v>
      </c>
    </row>
    <row r="1052" spans="1:2">
      <c r="A1052" s="28">
        <v>181</v>
      </c>
      <c r="B1052" s="24" t="s">
        <v>538</v>
      </c>
    </row>
    <row r="1053" spans="1:2">
      <c r="A1053" s="28">
        <v>182</v>
      </c>
      <c r="B1053" s="24" t="s">
        <v>3</v>
      </c>
    </row>
    <row r="1054" spans="1:2">
      <c r="A1054" s="28">
        <v>184</v>
      </c>
      <c r="B1054" s="24" t="s">
        <v>1692</v>
      </c>
    </row>
    <row r="1055" spans="1:2">
      <c r="A1055" s="28">
        <v>186</v>
      </c>
      <c r="B1055" s="24" t="s">
        <v>1565</v>
      </c>
    </row>
    <row r="1056" spans="1:2">
      <c r="A1056" s="28">
        <v>187</v>
      </c>
      <c r="B1056" s="24" t="s">
        <v>1395</v>
      </c>
    </row>
    <row r="1057" spans="1:2">
      <c r="A1057" s="28">
        <v>188</v>
      </c>
      <c r="B1057" s="24" t="s">
        <v>965</v>
      </c>
    </row>
    <row r="1058" spans="1:2">
      <c r="A1058" s="28">
        <v>189</v>
      </c>
      <c r="B1058" s="24" t="s">
        <v>966</v>
      </c>
    </row>
    <row r="1059" spans="1:2">
      <c r="A1059" s="28">
        <v>190</v>
      </c>
      <c r="B1059" s="24" t="s">
        <v>681</v>
      </c>
    </row>
    <row r="1060" spans="1:2">
      <c r="A1060" s="28">
        <v>192</v>
      </c>
      <c r="B1060" s="24" t="s">
        <v>682</v>
      </c>
    </row>
    <row r="1061" spans="1:2">
      <c r="A1061" s="28">
        <v>197</v>
      </c>
      <c r="B1061" s="24" t="s">
        <v>895</v>
      </c>
    </row>
    <row r="1062" spans="1:2">
      <c r="A1062" s="28">
        <v>202</v>
      </c>
      <c r="B1062" s="24" t="s">
        <v>896</v>
      </c>
    </row>
    <row r="1063" spans="1:2" ht="25.5">
      <c r="A1063" s="28">
        <v>206</v>
      </c>
      <c r="B1063" s="24" t="s">
        <v>897</v>
      </c>
    </row>
    <row r="1064" spans="1:2">
      <c r="A1064" s="28">
        <v>207</v>
      </c>
      <c r="B1064" s="24" t="s">
        <v>1679</v>
      </c>
    </row>
    <row r="1065" spans="1:2">
      <c r="A1065" s="28">
        <v>226</v>
      </c>
      <c r="B1065" s="24" t="s">
        <v>551</v>
      </c>
    </row>
    <row r="1066" spans="1:2">
      <c r="A1066" s="28">
        <v>258</v>
      </c>
      <c r="B1066" s="24" t="s">
        <v>807</v>
      </c>
    </row>
    <row r="1067" spans="1:2">
      <c r="A1067" s="28">
        <v>262</v>
      </c>
      <c r="B1067" s="24" t="s">
        <v>114</v>
      </c>
    </row>
    <row r="1068" spans="1:2">
      <c r="A1068" s="28">
        <v>263</v>
      </c>
      <c r="B1068" s="24" t="s">
        <v>338</v>
      </c>
    </row>
    <row r="1069" spans="1:2">
      <c r="A1069" s="28">
        <v>279</v>
      </c>
      <c r="B1069" s="24" t="s">
        <v>1054</v>
      </c>
    </row>
    <row r="1070" spans="1:2">
      <c r="A1070" s="28">
        <v>302</v>
      </c>
      <c r="B1070" s="24" t="s">
        <v>1055</v>
      </c>
    </row>
    <row r="1071" spans="1:2">
      <c r="A1071" s="28">
        <v>303</v>
      </c>
      <c r="B1071" s="24" t="s">
        <v>243</v>
      </c>
    </row>
    <row r="1072" spans="1:2">
      <c r="A1072" s="28">
        <v>304</v>
      </c>
      <c r="B1072" s="24" t="s">
        <v>1682</v>
      </c>
    </row>
    <row r="1073" spans="1:2">
      <c r="A1073" s="28">
        <v>305</v>
      </c>
      <c r="B1073" s="24" t="s">
        <v>708</v>
      </c>
    </row>
    <row r="1074" spans="1:2">
      <c r="A1074" s="28">
        <v>306</v>
      </c>
      <c r="B1074" s="24" t="s">
        <v>1391</v>
      </c>
    </row>
    <row r="1075" spans="1:2">
      <c r="A1075" s="28">
        <v>308</v>
      </c>
      <c r="B1075" s="24" t="s">
        <v>1392</v>
      </c>
    </row>
    <row r="1076" spans="1:2">
      <c r="A1076" s="28">
        <v>310</v>
      </c>
      <c r="B1076" s="24" t="s">
        <v>1084</v>
      </c>
    </row>
    <row r="1077" spans="1:2">
      <c r="A1077" s="28">
        <v>316</v>
      </c>
      <c r="B1077" s="24" t="s">
        <v>1562</v>
      </c>
    </row>
    <row r="1078" spans="1:2">
      <c r="A1078" s="28">
        <v>318</v>
      </c>
      <c r="B1078" s="24" t="s">
        <v>482</v>
      </c>
    </row>
    <row r="1079" spans="1:2">
      <c r="A1079" s="28">
        <v>319</v>
      </c>
      <c r="B1079" s="24" t="s">
        <v>739</v>
      </c>
    </row>
    <row r="1080" spans="1:2">
      <c r="A1080" s="28">
        <v>320</v>
      </c>
      <c r="B1080" s="24" t="s">
        <v>740</v>
      </c>
    </row>
    <row r="1081" spans="1:2">
      <c r="A1081" s="28">
        <v>321</v>
      </c>
      <c r="B1081" s="24" t="s">
        <v>978</v>
      </c>
    </row>
    <row r="1082" spans="1:2">
      <c r="A1082" s="28">
        <v>322</v>
      </c>
      <c r="B1082" s="24" t="s">
        <v>901</v>
      </c>
    </row>
    <row r="1083" spans="1:2">
      <c r="A1083" s="28">
        <v>330</v>
      </c>
      <c r="B1083" s="24" t="s">
        <v>11</v>
      </c>
    </row>
    <row r="1084" spans="1:2">
      <c r="A1084" s="28">
        <v>333</v>
      </c>
      <c r="B1084" s="24" t="s">
        <v>230</v>
      </c>
    </row>
    <row r="1085" spans="1:2">
      <c r="A1085" s="28">
        <v>352</v>
      </c>
      <c r="B1085" s="24" t="s">
        <v>231</v>
      </c>
    </row>
    <row r="1086" spans="1:2">
      <c r="A1086" s="28">
        <v>386</v>
      </c>
      <c r="B1086" s="24" t="s">
        <v>232</v>
      </c>
    </row>
    <row r="1087" spans="1:2" ht="25.5">
      <c r="A1087" s="28">
        <v>387</v>
      </c>
      <c r="B1087" s="24" t="s">
        <v>1109</v>
      </c>
    </row>
    <row r="1088" spans="1:2">
      <c r="A1088" s="28">
        <v>392</v>
      </c>
      <c r="B1088" s="24" t="s">
        <v>1110</v>
      </c>
    </row>
    <row r="1089" spans="1:2">
      <c r="A1089" s="28">
        <v>393</v>
      </c>
      <c r="B1089" s="24" t="s">
        <v>1711</v>
      </c>
    </row>
    <row r="1090" spans="1:2">
      <c r="A1090" s="28">
        <v>397</v>
      </c>
      <c r="B1090" s="24" t="s">
        <v>982</v>
      </c>
    </row>
    <row r="1091" spans="1:2">
      <c r="A1091" s="28">
        <v>401</v>
      </c>
      <c r="B1091" s="24" t="s">
        <v>984</v>
      </c>
    </row>
    <row r="1092" spans="1:2">
      <c r="A1092" s="28">
        <v>409</v>
      </c>
      <c r="B1092" s="24" t="s">
        <v>365</v>
      </c>
    </row>
    <row r="1093" spans="1:2">
      <c r="A1093" s="28">
        <v>415</v>
      </c>
      <c r="B1093" s="24" t="s">
        <v>366</v>
      </c>
    </row>
    <row r="1094" spans="1:2">
      <c r="A1094" s="28">
        <v>423</v>
      </c>
      <c r="B1094" s="24" t="s">
        <v>1058</v>
      </c>
    </row>
    <row r="1095" spans="1:2">
      <c r="A1095" s="28">
        <v>424</v>
      </c>
      <c r="B1095" s="24" t="s">
        <v>1073</v>
      </c>
    </row>
    <row r="1096" spans="1:2">
      <c r="A1096" s="28">
        <v>425</v>
      </c>
      <c r="B1096" s="24" t="s">
        <v>1463</v>
      </c>
    </row>
    <row r="1097" spans="1:2">
      <c r="A1097" s="28">
        <v>434</v>
      </c>
      <c r="B1097" s="24" t="s">
        <v>972</v>
      </c>
    </row>
    <row r="1098" spans="1:2">
      <c r="A1098" s="28">
        <v>436</v>
      </c>
      <c r="B1098" s="24" t="s">
        <v>973</v>
      </c>
    </row>
    <row r="1099" spans="1:2">
      <c r="A1099" s="28">
        <v>437</v>
      </c>
      <c r="B1099" s="24" t="s">
        <v>905</v>
      </c>
    </row>
    <row r="1100" spans="1:2">
      <c r="A1100" s="28">
        <v>438</v>
      </c>
      <c r="B1100" s="24" t="s">
        <v>1155</v>
      </c>
    </row>
    <row r="1101" spans="1:2">
      <c r="A1101" s="28">
        <v>464</v>
      </c>
      <c r="B1101" s="24" t="s">
        <v>1213</v>
      </c>
    </row>
    <row r="1102" spans="1:2">
      <c r="A1102" s="28">
        <v>486</v>
      </c>
      <c r="B1102" s="24" t="s">
        <v>906</v>
      </c>
    </row>
    <row r="1103" spans="1:2">
      <c r="A1103" s="28">
        <v>494</v>
      </c>
      <c r="B1103" s="24" t="s">
        <v>1357</v>
      </c>
    </row>
    <row r="1104" spans="1:2">
      <c r="A1104" s="28">
        <v>497</v>
      </c>
      <c r="B1104" s="24" t="s">
        <v>1674</v>
      </c>
    </row>
    <row r="1105" spans="1:2">
      <c r="A1105" s="28">
        <v>498</v>
      </c>
      <c r="B1105" s="24" t="s">
        <v>1675</v>
      </c>
    </row>
    <row r="1106" spans="1:2">
      <c r="A1106" s="28">
        <v>520</v>
      </c>
      <c r="B1106" s="24" t="s">
        <v>1157</v>
      </c>
    </row>
    <row r="1107" spans="1:2">
      <c r="A1107" s="28">
        <v>573</v>
      </c>
      <c r="B1107" s="24" t="s">
        <v>1670</v>
      </c>
    </row>
    <row r="1108" spans="1:2">
      <c r="A1108" s="28">
        <v>588</v>
      </c>
      <c r="B1108" s="24" t="s">
        <v>583</v>
      </c>
    </row>
    <row r="1109" spans="1:2">
      <c r="A1109" s="28">
        <v>589</v>
      </c>
      <c r="B1109" s="24" t="s">
        <v>877</v>
      </c>
    </row>
    <row r="1110" spans="1:2">
      <c r="A1110" s="28">
        <v>591</v>
      </c>
      <c r="B1110" s="24" t="s">
        <v>878</v>
      </c>
    </row>
    <row r="1111" spans="1:2">
      <c r="A1111" s="28">
        <v>597</v>
      </c>
      <c r="B1111" s="24" t="s">
        <v>652</v>
      </c>
    </row>
    <row r="1112" spans="1:2">
      <c r="A1112" s="28">
        <v>653</v>
      </c>
      <c r="B1112" s="24" t="s">
        <v>653</v>
      </c>
    </row>
    <row r="1113" spans="1:2">
      <c r="A1113" s="28">
        <v>665</v>
      </c>
      <c r="B1113" s="24" t="s">
        <v>654</v>
      </c>
    </row>
    <row r="1114" spans="1:2">
      <c r="A1114" s="28">
        <v>677</v>
      </c>
      <c r="B1114" s="24" t="s">
        <v>1132</v>
      </c>
    </row>
    <row r="1115" spans="1:2">
      <c r="A1115" s="28">
        <v>693</v>
      </c>
      <c r="B1115" s="24" t="s">
        <v>1668</v>
      </c>
    </row>
    <row r="1116" spans="1:2">
      <c r="A1116" s="28">
        <v>720</v>
      </c>
      <c r="B1116" s="24" t="s">
        <v>495</v>
      </c>
    </row>
    <row r="1117" spans="1:2">
      <c r="A1117" s="28">
        <v>721</v>
      </c>
      <c r="B1117" s="24" t="s">
        <v>1460</v>
      </c>
    </row>
    <row r="1118" spans="1:2" ht="25.5">
      <c r="A1118" s="28">
        <v>722</v>
      </c>
      <c r="B1118" s="24" t="s">
        <v>1461</v>
      </c>
    </row>
    <row r="1119" spans="1:2">
      <c r="A1119" s="28">
        <v>801</v>
      </c>
      <c r="B1119" s="24" t="s">
        <v>602</v>
      </c>
    </row>
    <row r="1120" spans="1:2">
      <c r="A1120" s="28">
        <v>804</v>
      </c>
      <c r="B1120" s="24" t="s">
        <v>603</v>
      </c>
    </row>
    <row r="1121" spans="1:2" ht="25.5">
      <c r="A1121" s="28">
        <v>807</v>
      </c>
      <c r="B1121" s="24" t="s">
        <v>125</v>
      </c>
    </row>
    <row r="1122" spans="1:2">
      <c r="A1122" s="28">
        <v>812</v>
      </c>
      <c r="B1122" s="24" t="s">
        <v>113</v>
      </c>
    </row>
    <row r="1123" spans="1:2">
      <c r="A1123" s="28">
        <v>905</v>
      </c>
      <c r="B1123" s="24" t="s">
        <v>211</v>
      </c>
    </row>
    <row r="1124" spans="1:2">
      <c r="A1124" s="28">
        <v>906</v>
      </c>
      <c r="B1124" s="24" t="s">
        <v>1066</v>
      </c>
    </row>
    <row r="1125" spans="1:2">
      <c r="A1125" s="28">
        <v>914</v>
      </c>
      <c r="B1125" s="24" t="s">
        <v>1067</v>
      </c>
    </row>
    <row r="1126" spans="1:2">
      <c r="A1126" s="28">
        <v>932</v>
      </c>
      <c r="B1126" s="24" t="s">
        <v>1068</v>
      </c>
    </row>
    <row r="1127" spans="1:2">
      <c r="A1127" s="28">
        <v>950</v>
      </c>
      <c r="B1127" s="24" t="s">
        <v>751</v>
      </c>
    </row>
    <row r="1128" spans="1:2">
      <c r="A1128" s="28">
        <v>951</v>
      </c>
      <c r="B1128" s="24" t="s">
        <v>197</v>
      </c>
    </row>
    <row r="1129" spans="1:2">
      <c r="A1129" s="28">
        <v>952</v>
      </c>
      <c r="B1129" s="24" t="s">
        <v>316</v>
      </c>
    </row>
    <row r="1130" spans="1:2">
      <c r="A1130" s="28">
        <v>953</v>
      </c>
      <c r="B1130" s="24" t="s">
        <v>317</v>
      </c>
    </row>
    <row r="1131" spans="1:2">
      <c r="A1131" s="28">
        <v>954</v>
      </c>
      <c r="B1131" s="24" t="s">
        <v>756</v>
      </c>
    </row>
    <row r="1132" spans="1:2">
      <c r="A1132" s="28">
        <v>955</v>
      </c>
      <c r="B1132" s="24" t="s">
        <v>1582</v>
      </c>
    </row>
    <row r="1133" spans="1:2">
      <c r="A1133" s="28">
        <v>956</v>
      </c>
      <c r="B1133" s="24" t="s">
        <v>757</v>
      </c>
    </row>
    <row r="1134" spans="1:2">
      <c r="A1134" s="28">
        <v>957</v>
      </c>
      <c r="B1134" s="24" t="s">
        <v>758</v>
      </c>
    </row>
    <row r="1135" spans="1:2">
      <c r="A1135" s="28">
        <v>958</v>
      </c>
      <c r="B1135" s="24" t="s">
        <v>1311</v>
      </c>
    </row>
    <row r="1136" spans="1:2">
      <c r="A1136" s="28">
        <v>959</v>
      </c>
      <c r="B1136" s="24" t="s">
        <v>1304</v>
      </c>
    </row>
    <row r="1137" spans="1:2">
      <c r="A1137" s="28">
        <v>960</v>
      </c>
      <c r="B1137" s="24" t="s">
        <v>971</v>
      </c>
    </row>
    <row r="1138" spans="1:2">
      <c r="A1138" s="28">
        <v>961</v>
      </c>
      <c r="B1138" s="24" t="s">
        <v>1686</v>
      </c>
    </row>
    <row r="1139" spans="1:2">
      <c r="A1139" s="28">
        <v>962</v>
      </c>
      <c r="B1139" s="24" t="s">
        <v>1454</v>
      </c>
    </row>
    <row r="1140" spans="1:2">
      <c r="A1140" s="28">
        <v>963</v>
      </c>
      <c r="B1140" s="24" t="s">
        <v>115</v>
      </c>
    </row>
    <row r="1141" spans="1:2">
      <c r="A1141" s="28">
        <v>964</v>
      </c>
      <c r="B1141" s="24" t="s">
        <v>1564</v>
      </c>
    </row>
    <row r="1142" spans="1:2">
      <c r="A1142" s="28">
        <v>965</v>
      </c>
      <c r="B1142" s="24" t="s">
        <v>320</v>
      </c>
    </row>
    <row r="1143" spans="1:2">
      <c r="A1143" s="28">
        <v>966</v>
      </c>
      <c r="B1143" s="24" t="s">
        <v>744</v>
      </c>
    </row>
    <row r="1144" spans="1:2">
      <c r="A1144" s="28">
        <v>967</v>
      </c>
      <c r="B1144" s="24" t="s">
        <v>1139</v>
      </c>
    </row>
    <row r="1145" spans="1:2">
      <c r="A1145" s="28">
        <v>968</v>
      </c>
      <c r="B1145" s="24" t="s">
        <v>1079</v>
      </c>
    </row>
    <row r="1146" spans="1:2">
      <c r="A1146" s="28">
        <v>969</v>
      </c>
      <c r="B1146" s="24" t="s">
        <v>51</v>
      </c>
    </row>
    <row r="1147" spans="1:2">
      <c r="A1147" s="28">
        <v>970</v>
      </c>
      <c r="B1147" s="24" t="s">
        <v>1094</v>
      </c>
    </row>
    <row r="1148" spans="1:2">
      <c r="A1148" s="28">
        <v>971</v>
      </c>
      <c r="B1148" s="24" t="s">
        <v>1202</v>
      </c>
    </row>
    <row r="1149" spans="1:2">
      <c r="A1149" s="28">
        <v>972</v>
      </c>
      <c r="B1149" s="24" t="s">
        <v>831</v>
      </c>
    </row>
    <row r="1150" spans="1:2">
      <c r="A1150" s="28">
        <v>973</v>
      </c>
      <c r="B1150" s="24" t="s">
        <v>995</v>
      </c>
    </row>
    <row r="1151" spans="1:2">
      <c r="A1151" s="28">
        <v>974</v>
      </c>
      <c r="B1151" s="24" t="s">
        <v>876</v>
      </c>
    </row>
    <row r="1152" spans="1:2">
      <c r="A1152" s="28">
        <v>975</v>
      </c>
      <c r="B1152" s="24" t="s">
        <v>139</v>
      </c>
    </row>
    <row r="1153" spans="1:2">
      <c r="A1153" s="28">
        <v>976</v>
      </c>
      <c r="B1153" s="24" t="s">
        <v>1669</v>
      </c>
    </row>
    <row r="1154" spans="1:2">
      <c r="A1154" s="28">
        <v>977</v>
      </c>
      <c r="B1154" s="24" t="s">
        <v>856</v>
      </c>
    </row>
    <row r="1155" spans="1:2">
      <c r="A1155" s="28">
        <v>978</v>
      </c>
      <c r="B1155" s="24" t="s">
        <v>1527</v>
      </c>
    </row>
    <row r="1156" spans="1:2">
      <c r="A1156" s="28">
        <v>979</v>
      </c>
      <c r="B1156" s="24" t="s">
        <v>996</v>
      </c>
    </row>
    <row r="1157" spans="1:2">
      <c r="A1157" s="28">
        <v>980</v>
      </c>
      <c r="B1157" s="24" t="s">
        <v>1171</v>
      </c>
    </row>
    <row r="1158" spans="1:2">
      <c r="A1158" s="28">
        <v>981</v>
      </c>
      <c r="B1158" s="24" t="s">
        <v>997</v>
      </c>
    </row>
    <row r="1159" spans="1:2">
      <c r="A1159" s="28">
        <v>982</v>
      </c>
      <c r="B1159" s="24" t="s">
        <v>1528</v>
      </c>
    </row>
    <row r="1160" spans="1:2">
      <c r="A1160" s="28">
        <v>983</v>
      </c>
      <c r="B1160" s="24" t="s">
        <v>1141</v>
      </c>
    </row>
    <row r="1161" spans="1:2">
      <c r="A1161" s="28">
        <v>984</v>
      </c>
      <c r="B1161" s="24" t="s">
        <v>977</v>
      </c>
    </row>
    <row r="1162" spans="1:2">
      <c r="A1162" s="28">
        <v>985</v>
      </c>
      <c r="B1162" s="24" t="s">
        <v>142</v>
      </c>
    </row>
    <row r="1163" spans="1:2">
      <c r="A1163" s="28">
        <v>986</v>
      </c>
      <c r="B1163" s="24" t="s">
        <v>1140</v>
      </c>
    </row>
    <row r="1164" spans="1:2">
      <c r="A1164" s="28">
        <v>987</v>
      </c>
      <c r="B1164" s="24" t="s">
        <v>888</v>
      </c>
    </row>
    <row r="1165" spans="1:2">
      <c r="A1165" s="28">
        <v>988</v>
      </c>
      <c r="B1165" s="24" t="s">
        <v>1571</v>
      </c>
    </row>
    <row r="1166" spans="1:2">
      <c r="A1166" s="28">
        <v>989</v>
      </c>
      <c r="B1166" s="24" t="s">
        <v>1204</v>
      </c>
    </row>
    <row r="1167" spans="1:2">
      <c r="A1167" s="26">
        <v>995</v>
      </c>
      <c r="B1167" s="23" t="s">
        <v>1140</v>
      </c>
    </row>
  </sheetData>
  <sheetProtection selectLockedCells="1" selectUnlockedCells="1"/>
  <phoneticPr fontId="0" type="noConversion"/>
  <pageMargins left="0.75" right="0.75" top="1" bottom="1" header="0.5" footer="0.5"/>
  <pageSetup paperSize="9" scale="94" orientation="portrait"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sheetPr>
    <pageSetUpPr fitToPage="1"/>
  </sheetPr>
  <dimension ref="A1:C1513"/>
  <sheetViews>
    <sheetView showGridLines="0" topLeftCell="A1472" zoomScaleSheetLayoutView="100" workbookViewId="0">
      <selection activeCell="B1493" sqref="B1493"/>
    </sheetView>
  </sheetViews>
  <sheetFormatPr defaultColWidth="31.85546875" defaultRowHeight="12.75"/>
  <cols>
    <col min="1" max="1" width="7" style="40" bestFit="1" customWidth="1"/>
    <col min="2" max="2" width="106.140625" style="39" customWidth="1"/>
    <col min="3" max="16384" width="31.85546875" style="38"/>
  </cols>
  <sheetData>
    <row r="1" spans="1:2" s="42" customFormat="1" hidden="1">
      <c r="A1" s="40"/>
      <c r="B1" s="41"/>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38"/>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43">
        <v>100</v>
      </c>
      <c r="B1400" s="44" t="s">
        <v>332</v>
      </c>
      <c r="C1400" s="39"/>
    </row>
    <row r="1401" spans="1:3">
      <c r="A1401" s="45">
        <v>101</v>
      </c>
      <c r="B1401" s="46" t="s">
        <v>389</v>
      </c>
      <c r="C1401" s="39"/>
    </row>
    <row r="1402" spans="1:3">
      <c r="A1402" s="45">
        <v>102</v>
      </c>
      <c r="B1402" s="47" t="s">
        <v>609</v>
      </c>
      <c r="C1402" s="39"/>
    </row>
    <row r="1403" spans="1:3" ht="25.5">
      <c r="A1403" s="45">
        <v>103</v>
      </c>
      <c r="B1403" s="47" t="s">
        <v>26</v>
      </c>
      <c r="C1403" s="39"/>
    </row>
    <row r="1404" spans="1:3" ht="25.5">
      <c r="A1404" s="45">
        <v>104</v>
      </c>
      <c r="B1404" s="47" t="s">
        <v>76</v>
      </c>
      <c r="C1404" s="39"/>
    </row>
    <row r="1405" spans="1:3">
      <c r="A1405" s="45">
        <v>105</v>
      </c>
      <c r="B1405" s="47" t="s">
        <v>1704</v>
      </c>
      <c r="C1405" s="39"/>
    </row>
    <row r="1406" spans="1:3" ht="25.5">
      <c r="A1406" s="45">
        <v>106</v>
      </c>
      <c r="B1406" s="47" t="s">
        <v>281</v>
      </c>
      <c r="C1406" s="39"/>
    </row>
    <row r="1407" spans="1:3">
      <c r="A1407" s="45">
        <v>107</v>
      </c>
      <c r="B1407" s="47" t="s">
        <v>172</v>
      </c>
      <c r="C1407" s="39"/>
    </row>
    <row r="1408" spans="1:3">
      <c r="A1408" s="45">
        <v>108</v>
      </c>
      <c r="B1408" s="47" t="s">
        <v>1535</v>
      </c>
      <c r="C1408" s="39"/>
    </row>
    <row r="1409" spans="1:3">
      <c r="A1409" s="45">
        <v>109</v>
      </c>
      <c r="B1409" s="47" t="s">
        <v>1401</v>
      </c>
      <c r="C1409" s="39"/>
    </row>
    <row r="1410" spans="1:3">
      <c r="A1410" s="45">
        <v>110</v>
      </c>
      <c r="B1410" s="47" t="s">
        <v>1402</v>
      </c>
      <c r="C1410" s="39"/>
    </row>
    <row r="1411" spans="1:3">
      <c r="A1411" s="45">
        <v>111</v>
      </c>
      <c r="B1411" s="47" t="s">
        <v>1397</v>
      </c>
      <c r="C1411" s="39"/>
    </row>
    <row r="1412" spans="1:3">
      <c r="A1412" s="45">
        <v>112</v>
      </c>
      <c r="B1412" s="47" t="s">
        <v>1214</v>
      </c>
      <c r="C1412" s="39"/>
    </row>
    <row r="1413" spans="1:3">
      <c r="A1413" s="45">
        <v>113</v>
      </c>
      <c r="B1413" s="47" t="s">
        <v>1398</v>
      </c>
      <c r="C1413" s="39"/>
    </row>
    <row r="1414" spans="1:3">
      <c r="A1414" s="43">
        <v>200</v>
      </c>
      <c r="B1414" s="48" t="s">
        <v>282</v>
      </c>
      <c r="C1414" s="39"/>
    </row>
    <row r="1415" spans="1:3">
      <c r="A1415" s="45">
        <v>201</v>
      </c>
      <c r="B1415" s="47" t="s">
        <v>1062</v>
      </c>
      <c r="C1415" s="39"/>
    </row>
    <row r="1416" spans="1:3">
      <c r="A1416" s="45">
        <v>202</v>
      </c>
      <c r="B1416" s="47" t="s">
        <v>163</v>
      </c>
      <c r="C1416" s="39"/>
    </row>
    <row r="1417" spans="1:3">
      <c r="A1417" s="45">
        <v>203</v>
      </c>
      <c r="B1417" s="47" t="s">
        <v>363</v>
      </c>
      <c r="C1417" s="39"/>
    </row>
    <row r="1418" spans="1:3">
      <c r="A1418" s="45">
        <v>204</v>
      </c>
      <c r="B1418" s="47" t="s">
        <v>834</v>
      </c>
      <c r="C1418" s="39"/>
    </row>
    <row r="1419" spans="1:3">
      <c r="A1419" s="45">
        <v>205</v>
      </c>
      <c r="B1419" s="47" t="s">
        <v>1947</v>
      </c>
      <c r="C1419" s="39"/>
    </row>
    <row r="1420" spans="1:3">
      <c r="A1420" s="45">
        <v>206</v>
      </c>
      <c r="B1420" s="47" t="s">
        <v>1462</v>
      </c>
      <c r="C1420" s="39"/>
    </row>
    <row r="1421" spans="1:3">
      <c r="A1421" s="45">
        <v>207</v>
      </c>
      <c r="B1421" s="47" t="s">
        <v>466</v>
      </c>
      <c r="C1421" s="39"/>
    </row>
    <row r="1422" spans="1:3">
      <c r="A1422" s="45">
        <v>208</v>
      </c>
      <c r="B1422" s="47" t="s">
        <v>1103</v>
      </c>
      <c r="C1422" s="39"/>
    </row>
    <row r="1423" spans="1:3">
      <c r="A1423" s="45">
        <v>209</v>
      </c>
      <c r="B1423" s="47" t="s">
        <v>1104</v>
      </c>
      <c r="C1423" s="39"/>
    </row>
    <row r="1424" spans="1:3">
      <c r="A1424" s="43">
        <v>300</v>
      </c>
      <c r="B1424" s="48" t="s">
        <v>120</v>
      </c>
      <c r="C1424" s="39"/>
    </row>
    <row r="1425" spans="1:3">
      <c r="A1425" s="45">
        <v>301</v>
      </c>
      <c r="B1425" s="47" t="s">
        <v>1105</v>
      </c>
      <c r="C1425" s="39"/>
    </row>
    <row r="1426" spans="1:3">
      <c r="A1426" s="45">
        <v>302</v>
      </c>
      <c r="B1426" s="47" t="s">
        <v>1006</v>
      </c>
      <c r="C1426" s="39"/>
    </row>
    <row r="1427" spans="1:3">
      <c r="A1427" s="45">
        <v>303</v>
      </c>
      <c r="B1427" s="47" t="s">
        <v>1106</v>
      </c>
      <c r="C1427" s="39"/>
    </row>
    <row r="1428" spans="1:3">
      <c r="A1428" s="45">
        <v>304</v>
      </c>
      <c r="B1428" s="47" t="s">
        <v>367</v>
      </c>
      <c r="C1428" s="39"/>
    </row>
    <row r="1429" spans="1:3">
      <c r="A1429" s="45">
        <v>305</v>
      </c>
      <c r="B1429" s="47" t="s">
        <v>854</v>
      </c>
      <c r="C1429" s="39"/>
    </row>
    <row r="1430" spans="1:3">
      <c r="A1430" s="45">
        <v>306</v>
      </c>
      <c r="B1430" s="47" t="s">
        <v>907</v>
      </c>
      <c r="C1430" s="39"/>
    </row>
    <row r="1431" spans="1:3">
      <c r="A1431" s="45">
        <v>307</v>
      </c>
      <c r="B1431" s="47" t="s">
        <v>908</v>
      </c>
      <c r="C1431" s="39"/>
    </row>
    <row r="1432" spans="1:3">
      <c r="A1432" s="45">
        <v>308</v>
      </c>
      <c r="B1432" s="47" t="s">
        <v>1212</v>
      </c>
      <c r="C1432" s="39"/>
    </row>
    <row r="1433" spans="1:3" ht="25.5">
      <c r="A1433" s="45">
        <v>309</v>
      </c>
      <c r="B1433" s="47" t="s">
        <v>256</v>
      </c>
      <c r="C1433" s="39"/>
    </row>
    <row r="1434" spans="1:3">
      <c r="A1434" s="45">
        <v>310</v>
      </c>
      <c r="B1434" s="47" t="s">
        <v>257</v>
      </c>
      <c r="C1434" s="39"/>
    </row>
    <row r="1435" spans="1:3">
      <c r="A1435" s="45">
        <v>311</v>
      </c>
      <c r="B1435" s="47" t="s">
        <v>1942</v>
      </c>
      <c r="C1435" s="39"/>
    </row>
    <row r="1436" spans="1:3">
      <c r="A1436" s="45">
        <v>312</v>
      </c>
      <c r="B1436" s="47" t="s">
        <v>258</v>
      </c>
      <c r="C1436" s="39"/>
    </row>
    <row r="1437" spans="1:3">
      <c r="A1437" s="45">
        <v>313</v>
      </c>
      <c r="B1437" s="47" t="s">
        <v>1943</v>
      </c>
      <c r="C1437" s="39"/>
    </row>
    <row r="1438" spans="1:3">
      <c r="A1438" s="45">
        <v>314</v>
      </c>
      <c r="B1438" s="47" t="s">
        <v>1430</v>
      </c>
      <c r="C1438" s="39"/>
    </row>
    <row r="1439" spans="1:3">
      <c r="A1439" s="43">
        <v>400</v>
      </c>
      <c r="B1439" s="48" t="s">
        <v>259</v>
      </c>
      <c r="C1439" s="39"/>
    </row>
    <row r="1440" spans="1:3">
      <c r="A1440" s="45">
        <v>401</v>
      </c>
      <c r="B1440" s="49" t="s">
        <v>1563</v>
      </c>
      <c r="C1440" s="39"/>
    </row>
    <row r="1441" spans="1:3">
      <c r="A1441" s="45">
        <v>402</v>
      </c>
      <c r="B1441" s="46" t="s">
        <v>448</v>
      </c>
      <c r="C1441" s="39"/>
    </row>
    <row r="1442" spans="1:3">
      <c r="A1442" s="45">
        <v>403</v>
      </c>
      <c r="B1442" s="47" t="s">
        <v>1455</v>
      </c>
      <c r="C1442" s="39"/>
    </row>
    <row r="1443" spans="1:3">
      <c r="A1443" s="45">
        <v>404</v>
      </c>
      <c r="B1443" s="47" t="s">
        <v>1456</v>
      </c>
      <c r="C1443" s="39"/>
    </row>
    <row r="1444" spans="1:3">
      <c r="A1444" s="45">
        <v>405</v>
      </c>
      <c r="B1444" s="47" t="s">
        <v>1985</v>
      </c>
      <c r="C1444" s="39"/>
    </row>
    <row r="1445" spans="1:3">
      <c r="A1445" s="45">
        <v>406</v>
      </c>
      <c r="B1445" s="47" t="s">
        <v>1457</v>
      </c>
      <c r="C1445" s="39"/>
    </row>
    <row r="1446" spans="1:3">
      <c r="A1446" s="45">
        <v>407</v>
      </c>
      <c r="B1446" s="47" t="s">
        <v>1458</v>
      </c>
      <c r="C1446" s="39"/>
    </row>
    <row r="1447" spans="1:3">
      <c r="A1447" s="45">
        <v>408</v>
      </c>
      <c r="B1447" s="47" t="s">
        <v>1986</v>
      </c>
      <c r="C1447" s="39"/>
    </row>
    <row r="1448" spans="1:3">
      <c r="A1448" s="45">
        <v>409</v>
      </c>
      <c r="B1448" s="47" t="s">
        <v>248</v>
      </c>
      <c r="C1448" s="39"/>
    </row>
    <row r="1449" spans="1:3">
      <c r="A1449" s="45">
        <v>410</v>
      </c>
      <c r="B1449" s="47" t="s">
        <v>975</v>
      </c>
      <c r="C1449" s="39"/>
    </row>
    <row r="1450" spans="1:3">
      <c r="A1450" s="45">
        <v>411</v>
      </c>
      <c r="B1450" s="47" t="s">
        <v>1459</v>
      </c>
      <c r="C1450" s="39"/>
    </row>
    <row r="1451" spans="1:3">
      <c r="A1451" s="45">
        <v>412</v>
      </c>
      <c r="B1451" s="47" t="s">
        <v>1432</v>
      </c>
      <c r="C1451" s="39"/>
    </row>
    <row r="1452" spans="1:3">
      <c r="A1452" s="43">
        <v>500</v>
      </c>
      <c r="B1452" s="48" t="s">
        <v>1355</v>
      </c>
      <c r="C1452" s="39"/>
    </row>
    <row r="1453" spans="1:3">
      <c r="A1453" s="45">
        <v>501</v>
      </c>
      <c r="B1453" s="47" t="s">
        <v>1672</v>
      </c>
      <c r="C1453" s="39"/>
    </row>
    <row r="1454" spans="1:3">
      <c r="A1454" s="45">
        <v>502</v>
      </c>
      <c r="B1454" s="47" t="s">
        <v>1673</v>
      </c>
      <c r="C1454" s="39"/>
    </row>
    <row r="1455" spans="1:3">
      <c r="A1455" s="45">
        <v>503</v>
      </c>
      <c r="B1455" s="46" t="s">
        <v>1107</v>
      </c>
      <c r="C1455" s="39"/>
    </row>
    <row r="1456" spans="1:3">
      <c r="A1456" s="45">
        <v>504</v>
      </c>
      <c r="B1456" s="47" t="s">
        <v>645</v>
      </c>
      <c r="C1456" s="39"/>
    </row>
    <row r="1457" spans="1:3">
      <c r="A1457" s="45">
        <v>505</v>
      </c>
      <c r="B1457" s="47" t="s">
        <v>391</v>
      </c>
      <c r="C1457" s="39"/>
    </row>
    <row r="1458" spans="1:3">
      <c r="A1458" s="43">
        <v>600</v>
      </c>
      <c r="B1458" s="50" t="s">
        <v>1680</v>
      </c>
      <c r="C1458" s="39"/>
    </row>
    <row r="1459" spans="1:3">
      <c r="A1459" s="45">
        <v>601</v>
      </c>
      <c r="B1459" s="46" t="s">
        <v>1681</v>
      </c>
      <c r="C1459" s="39"/>
    </row>
    <row r="1460" spans="1:3">
      <c r="A1460" s="45">
        <v>602</v>
      </c>
      <c r="B1460" s="47" t="s">
        <v>1579</v>
      </c>
      <c r="C1460" s="39"/>
    </row>
    <row r="1461" spans="1:3">
      <c r="A1461" s="45">
        <v>603</v>
      </c>
      <c r="B1461" s="47" t="s">
        <v>1580</v>
      </c>
      <c r="C1461" s="39"/>
    </row>
    <row r="1462" spans="1:3">
      <c r="A1462" s="45">
        <v>604</v>
      </c>
      <c r="B1462" s="47" t="s">
        <v>1991</v>
      </c>
      <c r="C1462" s="39"/>
    </row>
    <row r="1463" spans="1:3">
      <c r="A1463" s="45">
        <v>605</v>
      </c>
      <c r="B1463" s="47" t="s">
        <v>1082</v>
      </c>
      <c r="C1463" s="39"/>
    </row>
    <row r="1464" spans="1:3">
      <c r="A1464" s="43">
        <v>700</v>
      </c>
      <c r="B1464" s="50" t="s">
        <v>1581</v>
      </c>
      <c r="C1464" s="39"/>
    </row>
    <row r="1465" spans="1:3">
      <c r="A1465" s="45">
        <v>701</v>
      </c>
      <c r="B1465" s="47" t="s">
        <v>277</v>
      </c>
      <c r="C1465" s="39"/>
    </row>
    <row r="1466" spans="1:3">
      <c r="A1466" s="45">
        <v>702</v>
      </c>
      <c r="B1466" s="47" t="s">
        <v>675</v>
      </c>
      <c r="C1466" s="39"/>
    </row>
    <row r="1467" spans="1:3">
      <c r="A1467" s="45">
        <v>703</v>
      </c>
      <c r="B1467" s="47" t="s">
        <v>1992</v>
      </c>
      <c r="C1467" s="39"/>
    </row>
    <row r="1468" spans="1:3">
      <c r="A1468" s="45">
        <v>704</v>
      </c>
      <c r="B1468" s="47" t="s">
        <v>255</v>
      </c>
      <c r="C1468" s="39"/>
    </row>
    <row r="1469" spans="1:3">
      <c r="A1469" s="45">
        <v>705</v>
      </c>
      <c r="B1469" s="47" t="s">
        <v>910</v>
      </c>
      <c r="C1469" s="39"/>
    </row>
    <row r="1470" spans="1:3">
      <c r="A1470" s="51">
        <v>706</v>
      </c>
      <c r="B1470" s="52" t="s">
        <v>911</v>
      </c>
      <c r="C1470" s="39"/>
    </row>
    <row r="1471" spans="1:3">
      <c r="A1471" s="45">
        <v>707</v>
      </c>
      <c r="B1471" s="47" t="s">
        <v>707</v>
      </c>
      <c r="C1471" s="39"/>
    </row>
    <row r="1472" spans="1:3">
      <c r="A1472" s="45">
        <v>708</v>
      </c>
      <c r="B1472" s="47" t="s">
        <v>1685</v>
      </c>
      <c r="C1472" s="39"/>
    </row>
    <row r="1473" spans="1:3">
      <c r="A1473" s="45">
        <v>709</v>
      </c>
      <c r="B1473" s="47" t="s">
        <v>175</v>
      </c>
      <c r="C1473" s="39"/>
    </row>
    <row r="1474" spans="1:3">
      <c r="A1474" s="43">
        <v>800</v>
      </c>
      <c r="B1474" s="50" t="s">
        <v>578</v>
      </c>
      <c r="C1474" s="39"/>
    </row>
    <row r="1475" spans="1:3">
      <c r="A1475" s="45">
        <v>801</v>
      </c>
      <c r="B1475" s="47" t="s">
        <v>543</v>
      </c>
      <c r="C1475" s="39"/>
    </row>
    <row r="1476" spans="1:3">
      <c r="A1476" s="45">
        <v>802</v>
      </c>
      <c r="B1476" s="47" t="s">
        <v>77</v>
      </c>
      <c r="C1476" s="39"/>
    </row>
    <row r="1477" spans="1:3">
      <c r="A1477" s="45">
        <v>803</v>
      </c>
      <c r="B1477" s="47" t="s">
        <v>579</v>
      </c>
      <c r="C1477" s="39"/>
    </row>
    <row r="1478" spans="1:3">
      <c r="A1478" s="45">
        <v>804</v>
      </c>
      <c r="B1478" s="47" t="s">
        <v>595</v>
      </c>
      <c r="C1478" s="39"/>
    </row>
    <row r="1479" spans="1:3">
      <c r="A1479" s="43">
        <v>900</v>
      </c>
      <c r="B1479" s="50" t="s">
        <v>596</v>
      </c>
      <c r="C1479" s="39"/>
    </row>
    <row r="1480" spans="1:3">
      <c r="A1480" s="45">
        <v>901</v>
      </c>
      <c r="B1480" s="47" t="s">
        <v>842</v>
      </c>
      <c r="C1480" s="39"/>
    </row>
    <row r="1481" spans="1:3">
      <c r="A1481" s="45">
        <v>902</v>
      </c>
      <c r="B1481" s="47" t="s">
        <v>843</v>
      </c>
      <c r="C1481" s="39"/>
    </row>
    <row r="1482" spans="1:3">
      <c r="A1482" s="45">
        <v>903</v>
      </c>
      <c r="B1482" s="47" t="s">
        <v>1069</v>
      </c>
      <c r="C1482" s="39"/>
    </row>
    <row r="1483" spans="1:3">
      <c r="A1483" s="45">
        <v>904</v>
      </c>
      <c r="B1483" s="47" t="s">
        <v>835</v>
      </c>
      <c r="C1483" s="39"/>
    </row>
    <row r="1484" spans="1:3">
      <c r="A1484" s="45">
        <v>905</v>
      </c>
      <c r="B1484" s="53" t="s">
        <v>179</v>
      </c>
      <c r="C1484" s="39"/>
    </row>
    <row r="1485" spans="1:3">
      <c r="A1485" s="45">
        <v>906</v>
      </c>
      <c r="B1485" s="53" t="s">
        <v>468</v>
      </c>
      <c r="C1485" s="39"/>
    </row>
    <row r="1486" spans="1:3">
      <c r="A1486" s="45">
        <v>907</v>
      </c>
      <c r="B1486" s="47" t="s">
        <v>469</v>
      </c>
      <c r="C1486" s="39"/>
    </row>
    <row r="1487" spans="1:3">
      <c r="A1487" s="45">
        <v>908</v>
      </c>
      <c r="B1487" s="46" t="s">
        <v>597</v>
      </c>
      <c r="C1487" s="39"/>
    </row>
    <row r="1488" spans="1:3">
      <c r="A1488" s="45">
        <v>909</v>
      </c>
      <c r="B1488" s="47" t="s">
        <v>598</v>
      </c>
      <c r="C1488" s="39"/>
    </row>
    <row r="1489" spans="1:3">
      <c r="A1489" s="43">
        <v>1000</v>
      </c>
      <c r="B1489" s="50" t="s">
        <v>956</v>
      </c>
      <c r="C1489" s="39"/>
    </row>
    <row r="1490" spans="1:3">
      <c r="A1490" s="45">
        <v>1001</v>
      </c>
      <c r="B1490" s="47" t="s">
        <v>330</v>
      </c>
      <c r="C1490" s="39"/>
    </row>
    <row r="1491" spans="1:3">
      <c r="A1491" s="45">
        <v>1002</v>
      </c>
      <c r="B1491" s="47" t="s">
        <v>672</v>
      </c>
      <c r="C1491" s="39"/>
    </row>
    <row r="1492" spans="1:3">
      <c r="A1492" s="45">
        <v>1003</v>
      </c>
      <c r="B1492" s="47" t="s">
        <v>510</v>
      </c>
      <c r="C1492" s="39"/>
    </row>
    <row r="1493" spans="1:3">
      <c r="A1493" s="45">
        <v>1004</v>
      </c>
      <c r="B1493" s="46" t="s">
        <v>957</v>
      </c>
      <c r="C1493" s="39"/>
    </row>
    <row r="1494" spans="1:3">
      <c r="A1494" s="45">
        <v>1005</v>
      </c>
      <c r="B1494" s="47" t="s">
        <v>959</v>
      </c>
      <c r="C1494" s="39"/>
    </row>
    <row r="1495" spans="1:3">
      <c r="A1495" s="45">
        <v>1006</v>
      </c>
      <c r="B1495" s="47" t="s">
        <v>673</v>
      </c>
      <c r="C1495" s="39"/>
    </row>
    <row r="1496" spans="1:3">
      <c r="A1496" s="43">
        <v>1100</v>
      </c>
      <c r="B1496" s="50" t="s">
        <v>599</v>
      </c>
      <c r="C1496" s="39"/>
    </row>
    <row r="1497" spans="1:3">
      <c r="A1497" s="45">
        <v>1101</v>
      </c>
      <c r="B1497" s="47" t="s">
        <v>600</v>
      </c>
      <c r="C1497" s="39"/>
    </row>
    <row r="1498" spans="1:3">
      <c r="A1498" s="45">
        <v>1102</v>
      </c>
      <c r="B1498" s="53" t="s">
        <v>601</v>
      </c>
      <c r="C1498" s="39"/>
    </row>
    <row r="1499" spans="1:3">
      <c r="A1499" s="45">
        <v>1103</v>
      </c>
      <c r="B1499" s="47" t="s">
        <v>1971</v>
      </c>
      <c r="C1499" s="39"/>
    </row>
    <row r="1500" spans="1:3">
      <c r="A1500" s="45">
        <v>1104</v>
      </c>
      <c r="B1500" s="47" t="s">
        <v>1972</v>
      </c>
      <c r="C1500" s="39"/>
    </row>
    <row r="1501" spans="1:3">
      <c r="A1501" s="45">
        <v>1105</v>
      </c>
      <c r="B1501" s="47" t="s">
        <v>1973</v>
      </c>
      <c r="C1501" s="39"/>
    </row>
    <row r="1502" spans="1:3">
      <c r="A1502" s="43">
        <v>1200</v>
      </c>
      <c r="B1502" s="50" t="s">
        <v>1974</v>
      </c>
    </row>
    <row r="1503" spans="1:3">
      <c r="A1503" s="45">
        <v>1201</v>
      </c>
      <c r="B1503" s="47" t="s">
        <v>78</v>
      </c>
    </row>
    <row r="1504" spans="1:3">
      <c r="A1504" s="45">
        <v>1202</v>
      </c>
      <c r="B1504" s="47" t="s">
        <v>213</v>
      </c>
    </row>
    <row r="1505" spans="1:2">
      <c r="A1505" s="45">
        <v>1203</v>
      </c>
      <c r="B1505" s="47" t="s">
        <v>1975</v>
      </c>
    </row>
    <row r="1506" spans="1:2">
      <c r="A1506" s="45">
        <v>1204</v>
      </c>
      <c r="B1506" s="47" t="s">
        <v>1976</v>
      </c>
    </row>
    <row r="1507" spans="1:2">
      <c r="A1507" s="43">
        <v>1300</v>
      </c>
      <c r="B1507" s="50" t="s">
        <v>1977</v>
      </c>
    </row>
    <row r="1508" spans="1:2">
      <c r="A1508" s="45">
        <v>1301</v>
      </c>
      <c r="B1508" s="47" t="s">
        <v>1083</v>
      </c>
    </row>
    <row r="1509" spans="1:2">
      <c r="A1509" s="45">
        <v>1302</v>
      </c>
      <c r="B1509" s="47" t="s">
        <v>1431</v>
      </c>
    </row>
    <row r="1510" spans="1:2" ht="25.5">
      <c r="A1510" s="43">
        <v>1400</v>
      </c>
      <c r="B1510" s="50" t="s">
        <v>1417</v>
      </c>
    </row>
    <row r="1511" spans="1:2">
      <c r="A1511" s="45">
        <v>1401</v>
      </c>
      <c r="B1511" s="47" t="s">
        <v>1418</v>
      </c>
    </row>
    <row r="1512" spans="1:2">
      <c r="A1512" s="45">
        <v>1402</v>
      </c>
      <c r="B1512" s="47" t="s">
        <v>1419</v>
      </c>
    </row>
    <row r="1513" spans="1:2" ht="25.5">
      <c r="A1513" s="45">
        <v>1403</v>
      </c>
      <c r="B1513" s="47" t="s">
        <v>1420</v>
      </c>
    </row>
  </sheetData>
  <sheetProtection selectLockedCells="1" selectUnlockedCells="1"/>
  <phoneticPr fontId="0" type="noConversion"/>
  <pageMargins left="0.75" right="0.75" top="1" bottom="1" header="0.5" footer="0.5"/>
  <pageSetup paperSize="9" scale="77" fitToHeight="3" orientation="portrait" r:id="rId1"/>
  <headerFooter alignWithMargins="0"/>
</worksheet>
</file>

<file path=xl/worksheets/sheet7.xml><?xml version="1.0" encoding="utf-8"?>
<worksheet xmlns="http://schemas.openxmlformats.org/spreadsheetml/2006/main" xmlns:r="http://schemas.openxmlformats.org/officeDocument/2006/relationships">
  <dimension ref="A1:B1929"/>
  <sheetViews>
    <sheetView showGridLines="0" topLeftCell="A1874" zoomScaleSheetLayoutView="120" workbookViewId="0">
      <selection activeCell="B1898" sqref="B1898"/>
    </sheetView>
  </sheetViews>
  <sheetFormatPr defaultRowHeight="12.75"/>
  <cols>
    <col min="1" max="1" width="7.140625" style="54" customWidth="1"/>
    <col min="2" max="2" width="128" style="116" customWidth="1"/>
    <col min="3" max="16384" width="9.140625" style="38"/>
  </cols>
  <sheetData>
    <row r="1" spans="2:2" hidden="1">
      <c r="B1" s="115"/>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114">
        <v>100</v>
      </c>
      <c r="B1820" s="117" t="s">
        <v>1045</v>
      </c>
    </row>
    <row r="1821" spans="1:2">
      <c r="A1821" s="114">
        <v>110</v>
      </c>
      <c r="B1821" s="117" t="s">
        <v>1046</v>
      </c>
    </row>
    <row r="1822" spans="1:2">
      <c r="A1822" s="114">
        <v>111</v>
      </c>
      <c r="B1822" s="117" t="s">
        <v>1047</v>
      </c>
    </row>
    <row r="1823" spans="1:2">
      <c r="A1823" s="114">
        <v>112</v>
      </c>
      <c r="B1823" s="117" t="s">
        <v>1048</v>
      </c>
    </row>
    <row r="1824" spans="1:2">
      <c r="A1824" s="114">
        <v>120</v>
      </c>
      <c r="B1824" s="117" t="s">
        <v>1049</v>
      </c>
    </row>
    <row r="1825" spans="1:2">
      <c r="A1825" s="114">
        <v>121</v>
      </c>
      <c r="B1825" s="117" t="s">
        <v>1047</v>
      </c>
    </row>
    <row r="1826" spans="1:2">
      <c r="A1826" s="114">
        <v>122</v>
      </c>
      <c r="B1826" s="117" t="s">
        <v>1048</v>
      </c>
    </row>
    <row r="1827" spans="1:2">
      <c r="A1827" s="114">
        <v>130</v>
      </c>
      <c r="B1827" s="117" t="s">
        <v>421</v>
      </c>
    </row>
    <row r="1828" spans="1:2">
      <c r="A1828" s="114">
        <v>131</v>
      </c>
      <c r="B1828" s="117" t="s">
        <v>422</v>
      </c>
    </row>
    <row r="1829" spans="1:2">
      <c r="A1829" s="114">
        <v>132</v>
      </c>
      <c r="B1829" s="117" t="s">
        <v>423</v>
      </c>
    </row>
    <row r="1830" spans="1:2">
      <c r="A1830" s="114">
        <v>133</v>
      </c>
      <c r="B1830" s="117" t="s">
        <v>424</v>
      </c>
    </row>
    <row r="1831" spans="1:2">
      <c r="A1831" s="114">
        <v>134</v>
      </c>
      <c r="B1831" s="117" t="s">
        <v>425</v>
      </c>
    </row>
    <row r="1832" spans="1:2">
      <c r="A1832" s="114">
        <v>140</v>
      </c>
      <c r="B1832" s="117" t="s">
        <v>426</v>
      </c>
    </row>
    <row r="1833" spans="1:2">
      <c r="A1833" s="114">
        <v>141</v>
      </c>
      <c r="B1833" s="117" t="s">
        <v>1047</v>
      </c>
    </row>
    <row r="1834" spans="1:2" ht="25.5">
      <c r="A1834" s="114">
        <v>142</v>
      </c>
      <c r="B1834" s="117" t="s">
        <v>427</v>
      </c>
    </row>
    <row r="1835" spans="1:2">
      <c r="A1835" s="114">
        <v>200</v>
      </c>
      <c r="B1835" s="117" t="s">
        <v>428</v>
      </c>
    </row>
    <row r="1836" spans="1:2">
      <c r="A1836" s="114">
        <v>210</v>
      </c>
      <c r="B1836" s="117" t="s">
        <v>429</v>
      </c>
    </row>
    <row r="1837" spans="1:2" ht="25.5">
      <c r="A1837" s="114">
        <v>211</v>
      </c>
      <c r="B1837" s="117" t="s">
        <v>430</v>
      </c>
    </row>
    <row r="1838" spans="1:2" ht="25.5">
      <c r="A1838" s="114">
        <v>212</v>
      </c>
      <c r="B1838" s="117" t="s">
        <v>431</v>
      </c>
    </row>
    <row r="1839" spans="1:2" ht="25.5">
      <c r="A1839" s="114">
        <v>213</v>
      </c>
      <c r="B1839" s="117" t="s">
        <v>432</v>
      </c>
    </row>
    <row r="1840" spans="1:2" ht="25.5">
      <c r="A1840" s="114">
        <v>214</v>
      </c>
      <c r="B1840" s="117" t="s">
        <v>1348</v>
      </c>
    </row>
    <row r="1841" spans="1:2" ht="25.5">
      <c r="A1841" s="114">
        <v>215</v>
      </c>
      <c r="B1841" s="117" t="s">
        <v>1349</v>
      </c>
    </row>
    <row r="1842" spans="1:2" ht="25.5">
      <c r="A1842" s="114">
        <v>216</v>
      </c>
      <c r="B1842" s="117" t="s">
        <v>1649</v>
      </c>
    </row>
    <row r="1843" spans="1:2" ht="25.5">
      <c r="A1843" s="114">
        <v>217</v>
      </c>
      <c r="B1843" s="117" t="s">
        <v>1650</v>
      </c>
    </row>
    <row r="1844" spans="1:2" ht="25.5">
      <c r="A1844" s="114">
        <v>218</v>
      </c>
      <c r="B1844" s="117" t="s">
        <v>1091</v>
      </c>
    </row>
    <row r="1845" spans="1:2">
      <c r="A1845" s="114">
        <v>219</v>
      </c>
      <c r="B1845" s="117" t="s">
        <v>1716</v>
      </c>
    </row>
    <row r="1846" spans="1:2" ht="25.5">
      <c r="A1846" s="114">
        <v>220</v>
      </c>
      <c r="B1846" s="117" t="s">
        <v>1717</v>
      </c>
    </row>
    <row r="1847" spans="1:2">
      <c r="A1847" s="114">
        <v>221</v>
      </c>
      <c r="B1847" s="117" t="s">
        <v>1718</v>
      </c>
    </row>
    <row r="1848" spans="1:2">
      <c r="A1848" s="114">
        <v>222</v>
      </c>
      <c r="B1848" s="117" t="s">
        <v>1719</v>
      </c>
    </row>
    <row r="1849" spans="1:2">
      <c r="A1849" s="114">
        <v>223</v>
      </c>
      <c r="B1849" s="117" t="s">
        <v>1096</v>
      </c>
    </row>
    <row r="1850" spans="1:2">
      <c r="A1850" s="114">
        <v>224</v>
      </c>
      <c r="B1850" s="117" t="s">
        <v>1385</v>
      </c>
    </row>
    <row r="1851" spans="1:2">
      <c r="A1851" s="114">
        <v>225</v>
      </c>
      <c r="B1851" s="117" t="s">
        <v>12</v>
      </c>
    </row>
    <row r="1852" spans="1:2">
      <c r="A1852" s="114">
        <v>226</v>
      </c>
      <c r="B1852" s="117" t="s">
        <v>13</v>
      </c>
    </row>
    <row r="1853" spans="1:2">
      <c r="A1853" s="114">
        <v>230</v>
      </c>
      <c r="B1853" s="117" t="s">
        <v>1720</v>
      </c>
    </row>
    <row r="1854" spans="1:2">
      <c r="A1854" s="114">
        <v>240</v>
      </c>
      <c r="B1854" s="117" t="s">
        <v>1721</v>
      </c>
    </row>
    <row r="1855" spans="1:2">
      <c r="A1855" s="114">
        <v>241</v>
      </c>
      <c r="B1855" s="117" t="s">
        <v>442</v>
      </c>
    </row>
    <row r="1856" spans="1:2">
      <c r="A1856" s="114">
        <v>242</v>
      </c>
      <c r="B1856" s="117" t="s">
        <v>1722</v>
      </c>
    </row>
    <row r="1857" spans="1:2">
      <c r="A1857" s="114">
        <v>243</v>
      </c>
      <c r="B1857" s="117" t="s">
        <v>1611</v>
      </c>
    </row>
    <row r="1858" spans="1:2">
      <c r="A1858" s="114">
        <v>244</v>
      </c>
      <c r="B1858" s="117" t="s">
        <v>1612</v>
      </c>
    </row>
    <row r="1859" spans="1:2">
      <c r="A1859" s="114">
        <v>300</v>
      </c>
      <c r="B1859" s="117" t="s">
        <v>1613</v>
      </c>
    </row>
    <row r="1860" spans="1:2">
      <c r="A1860" s="114">
        <v>310</v>
      </c>
      <c r="B1860" s="117" t="s">
        <v>1614</v>
      </c>
    </row>
    <row r="1861" spans="1:2">
      <c r="A1861" s="114">
        <v>311</v>
      </c>
      <c r="B1861" s="117" t="s">
        <v>1615</v>
      </c>
    </row>
    <row r="1862" spans="1:2">
      <c r="A1862" s="114">
        <v>312</v>
      </c>
      <c r="B1862" s="117" t="s">
        <v>1616</v>
      </c>
    </row>
    <row r="1863" spans="1:2">
      <c r="A1863" s="114">
        <v>313</v>
      </c>
      <c r="B1863" s="117" t="s">
        <v>1617</v>
      </c>
    </row>
    <row r="1864" spans="1:2">
      <c r="A1864" s="114">
        <v>314</v>
      </c>
      <c r="B1864" s="117" t="s">
        <v>1618</v>
      </c>
    </row>
    <row r="1865" spans="1:2">
      <c r="A1865" s="114">
        <v>320</v>
      </c>
      <c r="B1865" s="117" t="s">
        <v>1619</v>
      </c>
    </row>
    <row r="1866" spans="1:2">
      <c r="A1866" s="114">
        <v>321</v>
      </c>
      <c r="B1866" s="117" t="s">
        <v>1620</v>
      </c>
    </row>
    <row r="1867" spans="1:2">
      <c r="A1867" s="114">
        <v>322</v>
      </c>
      <c r="B1867" s="117" t="s">
        <v>1621</v>
      </c>
    </row>
    <row r="1868" spans="1:2">
      <c r="A1868" s="114">
        <v>323</v>
      </c>
      <c r="B1868" s="117" t="s">
        <v>1622</v>
      </c>
    </row>
    <row r="1869" spans="1:2">
      <c r="A1869" s="114">
        <v>330</v>
      </c>
      <c r="B1869" s="117" t="s">
        <v>1723</v>
      </c>
    </row>
    <row r="1870" spans="1:2">
      <c r="A1870" s="114">
        <v>340</v>
      </c>
      <c r="B1870" s="117" t="s">
        <v>1724</v>
      </c>
    </row>
    <row r="1871" spans="1:2">
      <c r="A1871" s="114">
        <v>350</v>
      </c>
      <c r="B1871" s="117" t="s">
        <v>1725</v>
      </c>
    </row>
    <row r="1872" spans="1:2">
      <c r="A1872" s="114">
        <v>360</v>
      </c>
      <c r="B1872" s="117" t="s">
        <v>1726</v>
      </c>
    </row>
    <row r="1873" spans="1:2" ht="12.75" customHeight="1">
      <c r="A1873" s="114">
        <v>400</v>
      </c>
      <c r="B1873" s="117" t="s">
        <v>587</v>
      </c>
    </row>
    <row r="1874" spans="1:2">
      <c r="A1874" s="114">
        <v>410</v>
      </c>
      <c r="B1874" s="117" t="s">
        <v>1727</v>
      </c>
    </row>
    <row r="1875" spans="1:2">
      <c r="A1875" s="114">
        <v>411</v>
      </c>
      <c r="B1875" s="117" t="s">
        <v>1728</v>
      </c>
    </row>
    <row r="1876" spans="1:2">
      <c r="A1876" s="114">
        <v>412</v>
      </c>
      <c r="B1876" s="117" t="s">
        <v>1729</v>
      </c>
    </row>
    <row r="1877" spans="1:2">
      <c r="A1877" s="114">
        <v>413</v>
      </c>
      <c r="B1877" s="117" t="s">
        <v>369</v>
      </c>
    </row>
    <row r="1878" spans="1:2">
      <c r="A1878" s="114">
        <v>414</v>
      </c>
      <c r="B1878" s="117" t="s">
        <v>370</v>
      </c>
    </row>
    <row r="1879" spans="1:2">
      <c r="A1879" s="114">
        <v>415</v>
      </c>
      <c r="B1879" s="117" t="s">
        <v>371</v>
      </c>
    </row>
    <row r="1880" spans="1:2">
      <c r="A1880" s="114">
        <v>420</v>
      </c>
      <c r="B1880" s="117" t="s">
        <v>392</v>
      </c>
    </row>
    <row r="1881" spans="1:2" ht="25.5">
      <c r="A1881" s="114">
        <v>421</v>
      </c>
      <c r="B1881" s="117" t="s">
        <v>393</v>
      </c>
    </row>
    <row r="1882" spans="1:2" ht="25.5">
      <c r="A1882" s="114">
        <v>422</v>
      </c>
      <c r="B1882" s="117" t="s">
        <v>394</v>
      </c>
    </row>
    <row r="1883" spans="1:2">
      <c r="A1883" s="114">
        <v>430</v>
      </c>
      <c r="B1883" s="117" t="s">
        <v>395</v>
      </c>
    </row>
    <row r="1884" spans="1:2">
      <c r="A1884" s="114">
        <v>440</v>
      </c>
      <c r="B1884" s="125" t="s">
        <v>1468</v>
      </c>
    </row>
    <row r="1885" spans="1:2">
      <c r="A1885" s="114">
        <v>441</v>
      </c>
      <c r="B1885" s="125" t="s">
        <v>1469</v>
      </c>
    </row>
    <row r="1886" spans="1:2">
      <c r="A1886" s="114">
        <v>510</v>
      </c>
      <c r="B1886" s="117" t="s">
        <v>25</v>
      </c>
    </row>
    <row r="1887" spans="1:2">
      <c r="A1887" s="114">
        <v>511</v>
      </c>
      <c r="B1887" s="117" t="s">
        <v>396</v>
      </c>
    </row>
    <row r="1888" spans="1:2">
      <c r="A1888" s="114">
        <v>512</v>
      </c>
      <c r="B1888" s="117" t="s">
        <v>397</v>
      </c>
    </row>
    <row r="1889" spans="1:2" ht="25.5">
      <c r="A1889" s="114">
        <v>513</v>
      </c>
      <c r="B1889" s="117" t="s">
        <v>730</v>
      </c>
    </row>
    <row r="1890" spans="1:2">
      <c r="A1890" s="114">
        <v>514</v>
      </c>
      <c r="B1890" s="117" t="s">
        <v>731</v>
      </c>
    </row>
    <row r="1891" spans="1:2">
      <c r="A1891" s="114">
        <v>515</v>
      </c>
      <c r="B1891" s="125" t="s">
        <v>1882</v>
      </c>
    </row>
    <row r="1892" spans="1:2">
      <c r="A1892" s="114">
        <v>520</v>
      </c>
      <c r="B1892" s="117" t="s">
        <v>1021</v>
      </c>
    </row>
    <row r="1893" spans="1:2" ht="25.5">
      <c r="A1893" s="114">
        <v>521</v>
      </c>
      <c r="B1893" s="117" t="s">
        <v>732</v>
      </c>
    </row>
    <row r="1894" spans="1:2">
      <c r="A1894" s="114">
        <v>522</v>
      </c>
      <c r="B1894" s="117" t="s">
        <v>733</v>
      </c>
    </row>
    <row r="1895" spans="1:2">
      <c r="A1895" s="114">
        <v>530</v>
      </c>
      <c r="B1895" s="117" t="s">
        <v>734</v>
      </c>
    </row>
    <row r="1896" spans="1:2">
      <c r="A1896" s="114">
        <v>540</v>
      </c>
      <c r="B1896" s="125" t="s">
        <v>2095</v>
      </c>
    </row>
    <row r="1897" spans="1:2">
      <c r="A1897" s="114">
        <v>560</v>
      </c>
      <c r="B1897" s="117" t="s">
        <v>735</v>
      </c>
    </row>
    <row r="1898" spans="1:2">
      <c r="A1898" s="114">
        <v>570</v>
      </c>
      <c r="B1898" s="117" t="s">
        <v>736</v>
      </c>
    </row>
    <row r="1899" spans="1:2">
      <c r="A1899" s="114">
        <v>580</v>
      </c>
      <c r="B1899" s="117" t="s">
        <v>737</v>
      </c>
    </row>
    <row r="1900" spans="1:2">
      <c r="A1900" s="114">
        <v>600</v>
      </c>
      <c r="B1900" s="117" t="s">
        <v>1651</v>
      </c>
    </row>
    <row r="1901" spans="1:2">
      <c r="A1901" s="114">
        <v>610</v>
      </c>
      <c r="B1901" s="117" t="s">
        <v>1652</v>
      </c>
    </row>
    <row r="1902" spans="1:2">
      <c r="A1902" s="114">
        <v>611</v>
      </c>
      <c r="B1902" s="117" t="s">
        <v>1653</v>
      </c>
    </row>
    <row r="1903" spans="1:2">
      <c r="A1903" s="114">
        <v>612</v>
      </c>
      <c r="B1903" s="117" t="s">
        <v>1654</v>
      </c>
    </row>
    <row r="1904" spans="1:2">
      <c r="A1904" s="114">
        <v>620</v>
      </c>
      <c r="B1904" s="117" t="s">
        <v>1655</v>
      </c>
    </row>
    <row r="1905" spans="1:2">
      <c r="A1905" s="114">
        <v>621</v>
      </c>
      <c r="B1905" s="117" t="s">
        <v>1656</v>
      </c>
    </row>
    <row r="1906" spans="1:2">
      <c r="A1906" s="114">
        <v>630</v>
      </c>
      <c r="B1906" s="125" t="s">
        <v>1242</v>
      </c>
    </row>
    <row r="1907" spans="1:2">
      <c r="A1907" s="114">
        <v>700</v>
      </c>
      <c r="B1907" s="117" t="s">
        <v>1657</v>
      </c>
    </row>
    <row r="1908" spans="1:2">
      <c r="A1908" s="114">
        <v>710</v>
      </c>
      <c r="B1908" s="125" t="s">
        <v>1243</v>
      </c>
    </row>
    <row r="1909" spans="1:2">
      <c r="A1909" s="114">
        <v>800</v>
      </c>
      <c r="B1909" s="117" t="s">
        <v>1658</v>
      </c>
    </row>
    <row r="1910" spans="1:2">
      <c r="A1910" s="114">
        <v>810</v>
      </c>
      <c r="B1910" s="117" t="s">
        <v>1661</v>
      </c>
    </row>
    <row r="1911" spans="1:2">
      <c r="A1911" s="114">
        <v>820</v>
      </c>
      <c r="B1911" s="117" t="s">
        <v>1662</v>
      </c>
    </row>
    <row r="1912" spans="1:2">
      <c r="A1912" s="114">
        <v>821</v>
      </c>
      <c r="B1912" s="117" t="s">
        <v>1663</v>
      </c>
    </row>
    <row r="1913" spans="1:2">
      <c r="A1913" s="114">
        <v>822</v>
      </c>
      <c r="B1913" s="117" t="s">
        <v>1664</v>
      </c>
    </row>
    <row r="1914" spans="1:2">
      <c r="A1914" s="114">
        <v>823</v>
      </c>
      <c r="B1914" s="117" t="s">
        <v>1665</v>
      </c>
    </row>
    <row r="1915" spans="1:2">
      <c r="A1915" s="114">
        <v>830</v>
      </c>
      <c r="B1915" s="117" t="s">
        <v>527</v>
      </c>
    </row>
    <row r="1916" spans="1:2" ht="38.25">
      <c r="A1916" s="114">
        <v>831</v>
      </c>
      <c r="B1916" s="118" t="s">
        <v>528</v>
      </c>
    </row>
    <row r="1917" spans="1:2" ht="51">
      <c r="A1917" s="114">
        <v>832</v>
      </c>
      <c r="B1917" s="118" t="s">
        <v>529</v>
      </c>
    </row>
    <row r="1918" spans="1:2">
      <c r="A1918" s="114">
        <v>833</v>
      </c>
      <c r="B1918" s="117" t="s">
        <v>530</v>
      </c>
    </row>
    <row r="1919" spans="1:2" ht="25.5">
      <c r="A1919" s="114">
        <v>840</v>
      </c>
      <c r="B1919" s="117" t="s">
        <v>531</v>
      </c>
    </row>
    <row r="1920" spans="1:2">
      <c r="A1920" s="114">
        <v>841</v>
      </c>
      <c r="B1920" s="117" t="s">
        <v>532</v>
      </c>
    </row>
    <row r="1921" spans="1:2">
      <c r="A1921" s="114">
        <v>850</v>
      </c>
      <c r="B1921" s="117" t="s">
        <v>533</v>
      </c>
    </row>
    <row r="1922" spans="1:2">
      <c r="A1922" s="114">
        <v>851</v>
      </c>
      <c r="B1922" s="117" t="s">
        <v>534</v>
      </c>
    </row>
    <row r="1923" spans="1:2" ht="12.75" customHeight="1">
      <c r="A1923" s="114">
        <v>852</v>
      </c>
      <c r="B1923" s="117" t="s">
        <v>535</v>
      </c>
    </row>
    <row r="1924" spans="1:2">
      <c r="A1924" s="114">
        <v>860</v>
      </c>
      <c r="B1924" s="117" t="s">
        <v>1147</v>
      </c>
    </row>
    <row r="1925" spans="1:2">
      <c r="A1925" s="114">
        <v>861</v>
      </c>
      <c r="B1925" s="117" t="s">
        <v>1148</v>
      </c>
    </row>
    <row r="1926" spans="1:2">
      <c r="A1926" s="114">
        <v>862</v>
      </c>
      <c r="B1926" s="117" t="s">
        <v>1149</v>
      </c>
    </row>
    <row r="1927" spans="1:2">
      <c r="A1927" s="114">
        <v>863</v>
      </c>
      <c r="B1927" s="117" t="s">
        <v>1150</v>
      </c>
    </row>
    <row r="1928" spans="1:2">
      <c r="A1928" s="114">
        <v>870</v>
      </c>
      <c r="B1928" s="117" t="s">
        <v>1151</v>
      </c>
    </row>
    <row r="1929" spans="1:2">
      <c r="A1929" s="114">
        <v>880</v>
      </c>
      <c r="B1929" s="117" t="s">
        <v>1152</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K87"/>
  <sheetViews>
    <sheetView view="pageBreakPreview" topLeftCell="A19" zoomScale="90" zoomScaleNormal="100" zoomScaleSheetLayoutView="90" workbookViewId="0">
      <selection activeCell="A65" sqref="A65:E65"/>
    </sheetView>
  </sheetViews>
  <sheetFormatPr defaultRowHeight="12.75" outlineLevelCol="1"/>
  <cols>
    <col min="1" max="1" width="5.85546875" customWidth="1"/>
    <col min="2" max="2" width="65" customWidth="1"/>
    <col min="3" max="3" width="16.42578125" hidden="1" customWidth="1" outlineLevel="1"/>
    <col min="4" max="4" width="16.140625" hidden="1" customWidth="1" outlineLevel="1"/>
    <col min="5" max="5" width="13.5703125" customWidth="1" collapsed="1"/>
  </cols>
  <sheetData>
    <row r="1" spans="1:11" ht="15.75">
      <c r="B1" s="332" t="s">
        <v>1884</v>
      </c>
      <c r="C1" s="332"/>
      <c r="D1" s="332"/>
      <c r="E1" s="332"/>
    </row>
    <row r="2" spans="1:11" ht="15.75">
      <c r="B2" s="332" t="s">
        <v>914</v>
      </c>
      <c r="C2" s="332"/>
      <c r="D2" s="332"/>
      <c r="E2" s="332"/>
    </row>
    <row r="3" spans="1:11" ht="15.75">
      <c r="B3" s="332" t="s">
        <v>643</v>
      </c>
      <c r="C3" s="332"/>
      <c r="D3" s="332"/>
      <c r="E3" s="332"/>
    </row>
    <row r="4" spans="1:11" ht="15.75">
      <c r="B4" s="332" t="s">
        <v>2133</v>
      </c>
      <c r="C4" s="332"/>
      <c r="D4" s="332"/>
      <c r="E4" s="332"/>
    </row>
    <row r="5" spans="1:11">
      <c r="B5" s="189"/>
      <c r="C5" s="189"/>
      <c r="D5" s="189"/>
    </row>
    <row r="7" spans="1:11" ht="45" customHeight="1">
      <c r="A7" s="333" t="s">
        <v>2009</v>
      </c>
      <c r="B7" s="333"/>
      <c r="C7" s="333"/>
      <c r="D7" s="333"/>
      <c r="E7" s="333"/>
    </row>
    <row r="8" spans="1:11" ht="18.75">
      <c r="A8" s="213"/>
      <c r="B8" s="213"/>
      <c r="C8" s="213"/>
      <c r="D8" s="213"/>
      <c r="E8" s="213"/>
    </row>
    <row r="9" spans="1:11" ht="45.75" customHeight="1">
      <c r="A9" s="345" t="s">
        <v>2061</v>
      </c>
      <c r="B9" s="345"/>
      <c r="C9" s="345"/>
      <c r="D9" s="345"/>
      <c r="E9" s="345"/>
    </row>
    <row r="10" spans="1:11" ht="15.75">
      <c r="A10" s="342" t="s">
        <v>2010</v>
      </c>
      <c r="B10" s="342"/>
      <c r="C10" s="112" t="s">
        <v>2142</v>
      </c>
      <c r="D10" s="90" t="s">
        <v>67</v>
      </c>
      <c r="E10" s="188" t="s">
        <v>375</v>
      </c>
    </row>
    <row r="11" spans="1:11" ht="15.75">
      <c r="A11" s="193">
        <v>1</v>
      </c>
      <c r="B11" s="194" t="s">
        <v>2013</v>
      </c>
      <c r="C11" s="195">
        <v>1750000</v>
      </c>
      <c r="D11" s="324">
        <v>0</v>
      </c>
      <c r="E11" s="195">
        <f>SUM(C11:D11)</f>
        <v>1750000</v>
      </c>
    </row>
    <row r="12" spans="1:11" ht="15.75">
      <c r="A12" s="343" t="s">
        <v>1007</v>
      </c>
      <c r="B12" s="344"/>
      <c r="C12" s="199">
        <v>1750000</v>
      </c>
      <c r="D12" s="325">
        <f>D11</f>
        <v>0</v>
      </c>
      <c r="E12" s="199">
        <f>SUM(C12:D12)</f>
        <v>1750000</v>
      </c>
    </row>
    <row r="13" spans="1:11" ht="47.25" customHeight="1">
      <c r="A13" s="345" t="s">
        <v>2062</v>
      </c>
      <c r="B13" s="345"/>
      <c r="C13" s="345"/>
      <c r="D13" s="345"/>
      <c r="E13" s="345"/>
    </row>
    <row r="14" spans="1:11" ht="15.75">
      <c r="A14" s="342" t="s">
        <v>2010</v>
      </c>
      <c r="B14" s="342"/>
      <c r="C14" s="112" t="s">
        <v>2142</v>
      </c>
      <c r="D14" s="90" t="s">
        <v>67</v>
      </c>
      <c r="E14" s="188" t="s">
        <v>375</v>
      </c>
    </row>
    <row r="15" spans="1:11" ht="15.75">
      <c r="A15" s="193">
        <v>1</v>
      </c>
      <c r="B15" s="194" t="s">
        <v>2011</v>
      </c>
      <c r="C15" s="195">
        <v>989000</v>
      </c>
      <c r="D15" s="324">
        <v>0</v>
      </c>
      <c r="E15" s="195">
        <f>SUM(C15:D15)</f>
        <v>989000</v>
      </c>
    </row>
    <row r="16" spans="1:11" ht="15.75">
      <c r="A16" s="200">
        <v>2</v>
      </c>
      <c r="B16" s="194" t="s">
        <v>2014</v>
      </c>
      <c r="C16" s="195">
        <v>892000</v>
      </c>
      <c r="D16" s="324">
        <v>0</v>
      </c>
      <c r="E16" s="195">
        <f t="shared" ref="E16:E18" si="0">SUM(C16:D16)</f>
        <v>892000</v>
      </c>
      <c r="I16" s="87"/>
      <c r="K16" s="87"/>
    </row>
    <row r="17" spans="1:11" ht="15.75">
      <c r="A17" s="201">
        <v>3</v>
      </c>
      <c r="B17" s="194" t="s">
        <v>2012</v>
      </c>
      <c r="C17" s="195">
        <v>684000</v>
      </c>
      <c r="D17" s="324">
        <v>0</v>
      </c>
      <c r="E17" s="195">
        <f t="shared" si="0"/>
        <v>684000</v>
      </c>
      <c r="I17" s="87"/>
      <c r="J17" s="87"/>
      <c r="K17" s="87"/>
    </row>
    <row r="18" spans="1:11" ht="15.75">
      <c r="A18" s="193">
        <v>4</v>
      </c>
      <c r="B18" s="194" t="s">
        <v>2015</v>
      </c>
      <c r="C18" s="195">
        <v>989000</v>
      </c>
      <c r="D18" s="324">
        <v>0</v>
      </c>
      <c r="E18" s="195">
        <f t="shared" si="0"/>
        <v>989000</v>
      </c>
      <c r="I18" s="87"/>
      <c r="J18" s="87"/>
      <c r="K18" s="87"/>
    </row>
    <row r="19" spans="1:11" ht="15.75">
      <c r="A19" s="343" t="s">
        <v>1007</v>
      </c>
      <c r="B19" s="344"/>
      <c r="C19" s="199">
        <v>3554000</v>
      </c>
      <c r="D19" s="199">
        <v>0</v>
      </c>
      <c r="E19" s="199">
        <f>SUM(E15:E18)</f>
        <v>3554000</v>
      </c>
    </row>
    <row r="20" spans="1:11">
      <c r="A20" s="196"/>
      <c r="B20" s="196"/>
      <c r="C20" s="196"/>
      <c r="D20" s="196"/>
      <c r="E20" s="196"/>
      <c r="K20" s="202"/>
    </row>
    <row r="21" spans="1:11" ht="72" customHeight="1">
      <c r="A21" s="345" t="s">
        <v>2063</v>
      </c>
      <c r="B21" s="345"/>
      <c r="C21" s="345"/>
      <c r="D21" s="345"/>
      <c r="E21" s="345"/>
      <c r="K21" s="202"/>
    </row>
    <row r="22" spans="1:11" ht="15.75">
      <c r="A22" s="342" t="s">
        <v>2010</v>
      </c>
      <c r="B22" s="342"/>
      <c r="C22" s="112" t="s">
        <v>2142</v>
      </c>
      <c r="D22" s="90" t="s">
        <v>67</v>
      </c>
      <c r="E22" s="188" t="s">
        <v>375</v>
      </c>
    </row>
    <row r="23" spans="1:11" ht="15.75">
      <c r="A23" s="193">
        <v>1</v>
      </c>
      <c r="B23" s="194" t="s">
        <v>2013</v>
      </c>
      <c r="C23" s="195">
        <v>862500</v>
      </c>
      <c r="D23" s="324">
        <v>0</v>
      </c>
      <c r="E23" s="195">
        <f>SUM(C23:D23)</f>
        <v>862500</v>
      </c>
    </row>
    <row r="24" spans="1:11" ht="15.75">
      <c r="A24" s="343" t="s">
        <v>1007</v>
      </c>
      <c r="B24" s="344"/>
      <c r="C24" s="199">
        <f>C23</f>
        <v>862500</v>
      </c>
      <c r="D24" s="199">
        <f>D23</f>
        <v>0</v>
      </c>
      <c r="E24" s="199">
        <f>E23</f>
        <v>862500</v>
      </c>
    </row>
    <row r="25" spans="1:11" ht="15.75" customHeight="1">
      <c r="A25" s="198"/>
      <c r="B25" s="197"/>
      <c r="C25" s="197"/>
      <c r="D25" s="197"/>
      <c r="E25" s="203"/>
    </row>
    <row r="26" spans="1:11" ht="102" customHeight="1">
      <c r="A26" s="345" t="s">
        <v>2064</v>
      </c>
      <c r="B26" s="345"/>
      <c r="C26" s="345"/>
      <c r="D26" s="345"/>
      <c r="E26" s="345"/>
    </row>
    <row r="27" spans="1:11" ht="15.75">
      <c r="A27" s="342" t="s">
        <v>2010</v>
      </c>
      <c r="B27" s="342"/>
      <c r="C27" s="112" t="s">
        <v>2142</v>
      </c>
      <c r="D27" s="90" t="s">
        <v>67</v>
      </c>
      <c r="E27" s="188" t="s">
        <v>375</v>
      </c>
    </row>
    <row r="28" spans="1:11" ht="15.75">
      <c r="A28" s="193">
        <v>1</v>
      </c>
      <c r="B28" s="194" t="s">
        <v>2015</v>
      </c>
      <c r="C28" s="195">
        <v>3751000</v>
      </c>
      <c r="D28" s="324"/>
      <c r="E28" s="195">
        <f>SUM(C28:D28)</f>
        <v>3751000</v>
      </c>
    </row>
    <row r="29" spans="1:11" ht="15.75">
      <c r="A29" s="343" t="s">
        <v>1007</v>
      </c>
      <c r="B29" s="344"/>
      <c r="C29" s="199">
        <v>3751000</v>
      </c>
      <c r="D29" s="199">
        <f>D28</f>
        <v>0</v>
      </c>
      <c r="E29" s="199">
        <f>E28</f>
        <v>3751000</v>
      </c>
    </row>
    <row r="30" spans="1:11">
      <c r="A30" s="196"/>
      <c r="B30" s="196"/>
      <c r="C30" s="196"/>
      <c r="D30" s="196"/>
      <c r="E30" s="196"/>
    </row>
    <row r="31" spans="1:11" ht="49.5" customHeight="1">
      <c r="A31" s="345" t="s">
        <v>2065</v>
      </c>
      <c r="B31" s="345"/>
      <c r="C31" s="345"/>
      <c r="D31" s="345"/>
      <c r="E31" s="345"/>
    </row>
    <row r="32" spans="1:11" ht="15.75">
      <c r="A32" s="342" t="s">
        <v>2010</v>
      </c>
      <c r="B32" s="342"/>
      <c r="C32" s="112" t="s">
        <v>2142</v>
      </c>
      <c r="D32" s="90" t="s">
        <v>67</v>
      </c>
      <c r="E32" s="188" t="s">
        <v>375</v>
      </c>
    </row>
    <row r="33" spans="1:5" ht="15.75">
      <c r="A33" s="193">
        <v>1</v>
      </c>
      <c r="B33" s="194" t="s">
        <v>2013</v>
      </c>
      <c r="C33" s="195">
        <v>4750000</v>
      </c>
      <c r="D33" s="324"/>
      <c r="E33" s="195">
        <f>SUM(C33:D33)</f>
        <v>4750000</v>
      </c>
    </row>
    <row r="34" spans="1:5" ht="15.75">
      <c r="A34" s="343" t="s">
        <v>1007</v>
      </c>
      <c r="B34" s="344"/>
      <c r="C34" s="199">
        <v>4750000</v>
      </c>
      <c r="D34" s="199">
        <f>D33</f>
        <v>0</v>
      </c>
      <c r="E34" s="199">
        <f>E33</f>
        <v>4750000</v>
      </c>
    </row>
    <row r="36" spans="1:5" ht="89.25" customHeight="1">
      <c r="A36" s="345" t="s">
        <v>2066</v>
      </c>
      <c r="B36" s="345"/>
      <c r="C36" s="345"/>
      <c r="D36" s="345"/>
      <c r="E36" s="345"/>
    </row>
    <row r="37" spans="1:5" ht="15.75">
      <c r="A37" s="342" t="s">
        <v>2010</v>
      </c>
      <c r="B37" s="342"/>
      <c r="C37" s="112" t="s">
        <v>2142</v>
      </c>
      <c r="D37" s="90" t="s">
        <v>67</v>
      </c>
      <c r="E37" s="188" t="s">
        <v>375</v>
      </c>
    </row>
    <row r="38" spans="1:5" ht="15.75">
      <c r="A38" s="193">
        <v>1</v>
      </c>
      <c r="B38" s="194" t="s">
        <v>2013</v>
      </c>
      <c r="C38" s="195">
        <v>28718434</v>
      </c>
      <c r="D38" s="324"/>
      <c r="E38" s="195">
        <f>SUM(C38:D38)</f>
        <v>28718434</v>
      </c>
    </row>
    <row r="39" spans="1:5" ht="15.75">
      <c r="A39" s="343" t="s">
        <v>1007</v>
      </c>
      <c r="B39" s="344"/>
      <c r="C39" s="199">
        <f>C38</f>
        <v>28718434</v>
      </c>
      <c r="D39" s="199">
        <f>D38</f>
        <v>0</v>
      </c>
      <c r="E39" s="199">
        <f t="shared" ref="E39" si="1">E38</f>
        <v>28718434</v>
      </c>
    </row>
    <row r="41" spans="1:5" ht="15.75">
      <c r="A41" s="345" t="s">
        <v>2067</v>
      </c>
      <c r="B41" s="345"/>
      <c r="C41" s="345"/>
      <c r="D41" s="345"/>
      <c r="E41" s="345"/>
    </row>
    <row r="42" spans="1:5" ht="15.75">
      <c r="A42" s="342" t="s">
        <v>2010</v>
      </c>
      <c r="B42" s="342"/>
      <c r="C42" s="112" t="s">
        <v>2142</v>
      </c>
      <c r="D42" s="90" t="s">
        <v>67</v>
      </c>
      <c r="E42" s="188" t="s">
        <v>375</v>
      </c>
    </row>
    <row r="43" spans="1:5" ht="15.75">
      <c r="A43" s="193">
        <v>1</v>
      </c>
      <c r="B43" s="279" t="s">
        <v>2013</v>
      </c>
      <c r="C43" s="195">
        <v>45169185</v>
      </c>
      <c r="D43" s="324">
        <v>0</v>
      </c>
      <c r="E43" s="195">
        <f>SUM(C43:D43)</f>
        <v>45169185</v>
      </c>
    </row>
    <row r="44" spans="1:5" ht="15.75">
      <c r="A44" s="204">
        <v>2</v>
      </c>
      <c r="B44" s="279" t="s">
        <v>2012</v>
      </c>
      <c r="C44" s="195">
        <v>2970000</v>
      </c>
      <c r="D44" s="324">
        <v>0</v>
      </c>
      <c r="E44" s="195">
        <f t="shared" ref="E44:E45" si="2">SUM(C44:D44)</f>
        <v>2970000</v>
      </c>
    </row>
    <row r="45" spans="1:5" ht="15.75">
      <c r="A45" s="343" t="s">
        <v>1007</v>
      </c>
      <c r="B45" s="344"/>
      <c r="C45" s="199">
        <v>48139185</v>
      </c>
      <c r="D45" s="199">
        <f>SUM(D43:D44)</f>
        <v>0</v>
      </c>
      <c r="E45" s="276">
        <f t="shared" si="2"/>
        <v>48139185</v>
      </c>
    </row>
    <row r="47" spans="1:5" ht="42" customHeight="1">
      <c r="A47" s="345" t="s">
        <v>2068</v>
      </c>
      <c r="B47" s="345"/>
      <c r="C47" s="345"/>
      <c r="D47" s="345"/>
      <c r="E47" s="345"/>
    </row>
    <row r="48" spans="1:5" ht="15.75">
      <c r="A48" s="342" t="s">
        <v>2010</v>
      </c>
      <c r="B48" s="342"/>
      <c r="C48" s="112" t="s">
        <v>2142</v>
      </c>
      <c r="D48" s="90" t="s">
        <v>67</v>
      </c>
      <c r="E48" s="212" t="s">
        <v>375</v>
      </c>
    </row>
    <row r="49" spans="1:5" ht="15.75">
      <c r="A49" s="190" t="s">
        <v>1741</v>
      </c>
      <c r="B49" s="191" t="s">
        <v>2031</v>
      </c>
      <c r="C49" s="192">
        <v>4695700</v>
      </c>
      <c r="D49" s="192">
        <f>SUM(D50:D50)</f>
        <v>0</v>
      </c>
      <c r="E49" s="192">
        <f>SUM(E50:E50)</f>
        <v>4695700</v>
      </c>
    </row>
    <row r="50" spans="1:5" ht="15.75">
      <c r="A50" s="217" t="s">
        <v>2023</v>
      </c>
      <c r="B50" s="194" t="s">
        <v>2022</v>
      </c>
      <c r="C50" s="219">
        <v>4695700</v>
      </c>
      <c r="D50" s="326"/>
      <c r="E50" s="195">
        <f t="shared" ref="E50" si="3">SUM(C50:D50)</f>
        <v>4695700</v>
      </c>
    </row>
    <row r="51" spans="1:5" ht="15.75">
      <c r="A51" s="218" t="s">
        <v>1800</v>
      </c>
      <c r="B51" s="191" t="s">
        <v>2024</v>
      </c>
      <c r="C51" s="192">
        <v>372000</v>
      </c>
      <c r="D51" s="192">
        <f t="shared" ref="D51" si="4">D52</f>
        <v>0</v>
      </c>
      <c r="E51" s="192">
        <f t="shared" ref="E51" si="5">E52</f>
        <v>372000</v>
      </c>
    </row>
    <row r="52" spans="1:5" ht="15.75">
      <c r="A52" s="217" t="s">
        <v>2025</v>
      </c>
      <c r="B52" s="194" t="s">
        <v>2013</v>
      </c>
      <c r="C52" s="195">
        <v>372000</v>
      </c>
      <c r="D52" s="324"/>
      <c r="E52" s="195">
        <f>SUM(C52:D52)</f>
        <v>372000</v>
      </c>
    </row>
    <row r="53" spans="1:5" ht="15.75">
      <c r="A53" s="190" t="s">
        <v>2026</v>
      </c>
      <c r="B53" s="191" t="s">
        <v>2027</v>
      </c>
      <c r="C53" s="192">
        <v>1146500</v>
      </c>
      <c r="D53" s="192">
        <f t="shared" ref="D53" si="6">SUM(D54:D57)</f>
        <v>0</v>
      </c>
      <c r="E53" s="192">
        <f t="shared" ref="E53" si="7">SUM(E54:E57)</f>
        <v>1146500</v>
      </c>
    </row>
    <row r="54" spans="1:5" ht="15.75">
      <c r="A54" s="217" t="s">
        <v>2028</v>
      </c>
      <c r="B54" s="194" t="s">
        <v>2011</v>
      </c>
      <c r="C54" s="220">
        <v>144000</v>
      </c>
      <c r="D54" s="327">
        <v>0</v>
      </c>
      <c r="E54" s="220">
        <f>SUM(C54:D54)</f>
        <v>144000</v>
      </c>
    </row>
    <row r="55" spans="1:5" ht="15.75">
      <c r="A55" s="217" t="s">
        <v>2029</v>
      </c>
      <c r="B55" s="194" t="s">
        <v>2012</v>
      </c>
      <c r="C55" s="220">
        <v>346500</v>
      </c>
      <c r="D55" s="327">
        <v>0</v>
      </c>
      <c r="E55" s="220">
        <f t="shared" ref="E55:E57" si="8">SUM(C55:D55)</f>
        <v>346500</v>
      </c>
    </row>
    <row r="56" spans="1:5" ht="15.75">
      <c r="A56" s="217" t="s">
        <v>2030</v>
      </c>
      <c r="B56" s="194" t="s">
        <v>2022</v>
      </c>
      <c r="C56" s="220">
        <v>376000</v>
      </c>
      <c r="D56" s="327">
        <v>0</v>
      </c>
      <c r="E56" s="220">
        <f t="shared" si="8"/>
        <v>376000</v>
      </c>
    </row>
    <row r="57" spans="1:5" ht="15.75">
      <c r="A57" s="217" t="s">
        <v>2145</v>
      </c>
      <c r="B57" s="194" t="s">
        <v>2013</v>
      </c>
      <c r="C57" s="220">
        <v>280000</v>
      </c>
      <c r="D57" s="327">
        <v>0</v>
      </c>
      <c r="E57" s="220">
        <f t="shared" si="8"/>
        <v>280000</v>
      </c>
    </row>
    <row r="58" spans="1:5" ht="15.75">
      <c r="A58" s="346" t="s">
        <v>1007</v>
      </c>
      <c r="B58" s="347"/>
      <c r="C58" s="224">
        <v>6214200</v>
      </c>
      <c r="D58" s="224">
        <f>SUM(D49+D51+D53)</f>
        <v>0</v>
      </c>
      <c r="E58" s="224">
        <f>SUM(E49+E51+E53)</f>
        <v>6214200</v>
      </c>
    </row>
    <row r="60" spans="1:5" ht="86.25" customHeight="1">
      <c r="A60" s="345" t="s">
        <v>2069</v>
      </c>
      <c r="B60" s="345"/>
      <c r="C60" s="345"/>
      <c r="D60" s="345"/>
      <c r="E60" s="345"/>
    </row>
    <row r="61" spans="1:5" ht="15.75">
      <c r="A61" s="342" t="s">
        <v>2010</v>
      </c>
      <c r="B61" s="342"/>
      <c r="C61" s="112" t="s">
        <v>2142</v>
      </c>
      <c r="D61" s="90" t="s">
        <v>67</v>
      </c>
      <c r="E61" s="222" t="s">
        <v>375</v>
      </c>
    </row>
    <row r="62" spans="1:5" ht="15.75">
      <c r="A62" s="193">
        <v>1</v>
      </c>
      <c r="B62" s="194" t="s">
        <v>2013</v>
      </c>
      <c r="C62" s="195">
        <v>14919000</v>
      </c>
      <c r="D62" s="324">
        <v>0</v>
      </c>
      <c r="E62" s="195">
        <f>C62+D62</f>
        <v>14919000</v>
      </c>
    </row>
    <row r="63" spans="1:5" ht="15.75">
      <c r="A63" s="343" t="s">
        <v>1007</v>
      </c>
      <c r="B63" s="344"/>
      <c r="C63" s="199">
        <f>SUM(C62)</f>
        <v>14919000</v>
      </c>
      <c r="D63" s="199">
        <f>D62</f>
        <v>0</v>
      </c>
      <c r="E63" s="199">
        <f>C63+D63</f>
        <v>14919000</v>
      </c>
    </row>
    <row r="65" spans="1:5" ht="67.5" customHeight="1">
      <c r="A65" s="345" t="s">
        <v>2070</v>
      </c>
      <c r="B65" s="345"/>
      <c r="C65" s="345"/>
      <c r="D65" s="345"/>
      <c r="E65" s="345"/>
    </row>
    <row r="66" spans="1:5" ht="15.75">
      <c r="A66" s="342" t="s">
        <v>2010</v>
      </c>
      <c r="B66" s="342"/>
      <c r="C66" s="112" t="s">
        <v>2142</v>
      </c>
      <c r="D66" s="90" t="s">
        <v>67</v>
      </c>
      <c r="E66" s="222" t="s">
        <v>375</v>
      </c>
    </row>
    <row r="67" spans="1:5" ht="15.75">
      <c r="A67" s="193">
        <v>1</v>
      </c>
      <c r="B67" s="194" t="s">
        <v>2013</v>
      </c>
      <c r="C67" s="195">
        <v>6922658</v>
      </c>
      <c r="D67" s="324">
        <v>0</v>
      </c>
      <c r="E67" s="195">
        <f>SUM(C67:D67)</f>
        <v>6922658</v>
      </c>
    </row>
    <row r="68" spans="1:5" ht="15.75">
      <c r="A68" s="343" t="s">
        <v>1007</v>
      </c>
      <c r="B68" s="344"/>
      <c r="C68" s="199">
        <f>C67</f>
        <v>6922658</v>
      </c>
      <c r="D68" s="199">
        <f>D67</f>
        <v>0</v>
      </c>
      <c r="E68" s="199">
        <f>SUM(C68:D68)</f>
        <v>6922658</v>
      </c>
    </row>
    <row r="69" spans="1:5" ht="34.5" customHeight="1">
      <c r="A69" s="345" t="s">
        <v>2090</v>
      </c>
      <c r="B69" s="345"/>
      <c r="C69" s="345"/>
      <c r="D69" s="345"/>
      <c r="E69" s="345"/>
    </row>
    <row r="70" spans="1:5" ht="15.75">
      <c r="A70" s="342" t="s">
        <v>2010</v>
      </c>
      <c r="B70" s="342"/>
      <c r="C70" s="112" t="s">
        <v>2142</v>
      </c>
      <c r="D70" s="90" t="s">
        <v>67</v>
      </c>
      <c r="E70" s="274" t="s">
        <v>375</v>
      </c>
    </row>
    <row r="71" spans="1:5" ht="15.75">
      <c r="A71" s="193">
        <v>1</v>
      </c>
      <c r="B71" s="194" t="s">
        <v>2013</v>
      </c>
      <c r="C71" s="195">
        <v>1396173</v>
      </c>
      <c r="D71" s="324"/>
      <c r="E71" s="195">
        <f>SUM(C71:D71)</f>
        <v>1396173</v>
      </c>
    </row>
    <row r="72" spans="1:5" ht="15.75">
      <c r="A72" s="204">
        <v>2</v>
      </c>
      <c r="B72" s="194" t="s">
        <v>2015</v>
      </c>
      <c r="C72" s="195">
        <v>276791</v>
      </c>
      <c r="D72" s="324"/>
      <c r="E72" s="195">
        <f t="shared" ref="E72:E73" si="9">SUM(C72:D72)</f>
        <v>276791</v>
      </c>
    </row>
    <row r="73" spans="1:5" ht="15.75">
      <c r="A73" s="343" t="s">
        <v>1007</v>
      </c>
      <c r="B73" s="344"/>
      <c r="C73" s="199">
        <v>1672964</v>
      </c>
      <c r="D73" s="199">
        <f>SUM(D71:D72)</f>
        <v>0</v>
      </c>
      <c r="E73" s="276">
        <f t="shared" si="9"/>
        <v>1672964</v>
      </c>
    </row>
    <row r="74" spans="1:5">
      <c r="E74" s="225"/>
    </row>
    <row r="75" spans="1:5" ht="55.5" customHeight="1">
      <c r="A75" s="345" t="s">
        <v>2096</v>
      </c>
      <c r="B75" s="345"/>
      <c r="C75" s="345"/>
      <c r="D75" s="345"/>
      <c r="E75" s="345"/>
    </row>
    <row r="76" spans="1:5" ht="15.75">
      <c r="A76" s="342" t="s">
        <v>2010</v>
      </c>
      <c r="B76" s="342"/>
      <c r="C76" s="112" t="s">
        <v>2142</v>
      </c>
      <c r="D76" s="90" t="s">
        <v>67</v>
      </c>
      <c r="E76" s="280" t="s">
        <v>375</v>
      </c>
    </row>
    <row r="77" spans="1:5" ht="15.75">
      <c r="A77" s="193">
        <v>1</v>
      </c>
      <c r="B77" s="194" t="s">
        <v>2011</v>
      </c>
      <c r="C77" s="195">
        <v>805140</v>
      </c>
      <c r="D77" s="324"/>
      <c r="E77" s="195">
        <f>SUM(C77:D77)</f>
        <v>805140</v>
      </c>
    </row>
    <row r="78" spans="1:5" ht="15.75">
      <c r="A78" s="200">
        <v>2</v>
      </c>
      <c r="B78" s="194" t="s">
        <v>2014</v>
      </c>
      <c r="C78" s="195">
        <v>1610280</v>
      </c>
      <c r="D78" s="324"/>
      <c r="E78" s="195">
        <f t="shared" ref="E78:E81" si="10">SUM(C78:D78)</f>
        <v>1610280</v>
      </c>
    </row>
    <row r="79" spans="1:5" ht="15.75">
      <c r="A79" s="201">
        <v>3</v>
      </c>
      <c r="B79" s="194" t="s">
        <v>2012</v>
      </c>
      <c r="C79" s="195">
        <v>2070360</v>
      </c>
      <c r="D79" s="324"/>
      <c r="E79" s="195">
        <f t="shared" si="10"/>
        <v>2070360</v>
      </c>
    </row>
    <row r="80" spans="1:5" ht="15.75">
      <c r="A80" s="193">
        <v>4</v>
      </c>
      <c r="B80" s="194" t="s">
        <v>2015</v>
      </c>
      <c r="C80" s="195">
        <v>2415420</v>
      </c>
      <c r="D80" s="324"/>
      <c r="E80" s="195">
        <f t="shared" si="10"/>
        <v>2415420</v>
      </c>
    </row>
    <row r="81" spans="1:5" ht="15.75">
      <c r="A81" s="193">
        <v>5</v>
      </c>
      <c r="B81" s="194" t="s">
        <v>2013</v>
      </c>
      <c r="C81" s="195">
        <v>9086580</v>
      </c>
      <c r="D81" s="324">
        <v>-7476500</v>
      </c>
      <c r="E81" s="195">
        <f t="shared" si="10"/>
        <v>1610080</v>
      </c>
    </row>
    <row r="82" spans="1:5" ht="15.75">
      <c r="A82" s="343" t="s">
        <v>1007</v>
      </c>
      <c r="B82" s="344"/>
      <c r="C82" s="199">
        <v>15987780</v>
      </c>
      <c r="D82" s="199">
        <f>SUM(D77:D81)</f>
        <v>-7476500</v>
      </c>
      <c r="E82" s="276">
        <f>SUM(E77:E81)</f>
        <v>8511280</v>
      </c>
    </row>
    <row r="84" spans="1:5" ht="53.25" customHeight="1">
      <c r="A84" s="341" t="s">
        <v>2126</v>
      </c>
      <c r="B84" s="341"/>
      <c r="C84" s="341"/>
      <c r="D84" s="341"/>
      <c r="E84" s="341"/>
    </row>
    <row r="85" spans="1:5" ht="15.75">
      <c r="A85" s="342" t="s">
        <v>2010</v>
      </c>
      <c r="B85" s="342"/>
      <c r="C85" s="112" t="s">
        <v>2142</v>
      </c>
      <c r="D85" s="90" t="s">
        <v>67</v>
      </c>
      <c r="E85" s="322" t="s">
        <v>375</v>
      </c>
    </row>
    <row r="86" spans="1:5" ht="15.75">
      <c r="A86" s="193">
        <v>1</v>
      </c>
      <c r="B86" s="194" t="s">
        <v>2013</v>
      </c>
      <c r="C86" s="195">
        <v>1700000</v>
      </c>
      <c r="D86" s="324"/>
      <c r="E86" s="195">
        <f>SUM(C86:D86)</f>
        <v>1700000</v>
      </c>
    </row>
    <row r="87" spans="1:5" ht="15.75">
      <c r="A87" s="343" t="s">
        <v>1007</v>
      </c>
      <c r="B87" s="344"/>
      <c r="C87" s="276">
        <f>C86</f>
        <v>1700000</v>
      </c>
      <c r="D87" s="199">
        <f>D86</f>
        <v>0</v>
      </c>
      <c r="E87" s="276">
        <f>SUM(C87:D87)</f>
        <v>1700000</v>
      </c>
    </row>
  </sheetData>
  <mergeCells count="44">
    <mergeCell ref="A45:B45"/>
    <mergeCell ref="A34:B34"/>
    <mergeCell ref="A37:B37"/>
    <mergeCell ref="A39:B39"/>
    <mergeCell ref="A41:E41"/>
    <mergeCell ref="A42:B42"/>
    <mergeCell ref="A36:E36"/>
    <mergeCell ref="A14:B14"/>
    <mergeCell ref="A19:B19"/>
    <mergeCell ref="A21:E21"/>
    <mergeCell ref="A22:B22"/>
    <mergeCell ref="A24:B24"/>
    <mergeCell ref="A26:E26"/>
    <mergeCell ref="A27:B27"/>
    <mergeCell ref="A29:B29"/>
    <mergeCell ref="A31:E31"/>
    <mergeCell ref="A32:B32"/>
    <mergeCell ref="A13:E13"/>
    <mergeCell ref="B1:E1"/>
    <mergeCell ref="B2:E2"/>
    <mergeCell ref="B3:E3"/>
    <mergeCell ref="B4:E4"/>
    <mergeCell ref="A7:E7"/>
    <mergeCell ref="A9:E9"/>
    <mergeCell ref="A10:B10"/>
    <mergeCell ref="A12:B12"/>
    <mergeCell ref="A69:E69"/>
    <mergeCell ref="A70:B70"/>
    <mergeCell ref="A73:B73"/>
    <mergeCell ref="A47:E47"/>
    <mergeCell ref="A48:B48"/>
    <mergeCell ref="A58:B58"/>
    <mergeCell ref="A68:B68"/>
    <mergeCell ref="A60:E60"/>
    <mergeCell ref="A61:B61"/>
    <mergeCell ref="A63:B63"/>
    <mergeCell ref="A65:E65"/>
    <mergeCell ref="A66:B66"/>
    <mergeCell ref="A84:E84"/>
    <mergeCell ref="A85:B85"/>
    <mergeCell ref="A87:B87"/>
    <mergeCell ref="A75:E75"/>
    <mergeCell ref="A76:B76"/>
    <mergeCell ref="A82:B82"/>
  </mergeCells>
  <pageMargins left="0.70866141732283472" right="0.70866141732283472" top="0.74803149606299213" bottom="0.74803149606299213" header="0.31496062992125984" footer="0.31496062992125984"/>
  <pageSetup paperSize="9" fitToHeight="0" orientation="portrait" r:id="rId1"/>
  <headerFooter>
    <oddFooter>&amp;C&amp;P</oddFooter>
  </headerFooter>
  <rowBreaks count="1" manualBreakCount="1">
    <brk id="30" max="4" man="1"/>
  </rowBreaks>
</worksheet>
</file>

<file path=xl/worksheets/sheet9.xml><?xml version="1.0" encoding="utf-8"?>
<worksheet xmlns="http://schemas.openxmlformats.org/spreadsheetml/2006/main" xmlns:r="http://schemas.openxmlformats.org/officeDocument/2006/relationships">
  <dimension ref="A1:K44"/>
  <sheetViews>
    <sheetView view="pageBreakPreview" topLeftCell="A22" zoomScaleNormal="100" zoomScaleSheetLayoutView="100" workbookViewId="0">
      <selection activeCell="A35" sqref="A35:I35"/>
    </sheetView>
  </sheetViews>
  <sheetFormatPr defaultRowHeight="12.75"/>
  <cols>
    <col min="1" max="1" width="7" customWidth="1"/>
    <col min="7" max="7" width="24.140625" customWidth="1"/>
    <col min="9" max="9" width="14.7109375" customWidth="1"/>
    <col min="10" max="10" width="9.140625" hidden="1" customWidth="1"/>
  </cols>
  <sheetData>
    <row r="1" spans="1:11" ht="15.75">
      <c r="A1" s="205"/>
      <c r="B1" s="205"/>
      <c r="C1" s="205"/>
      <c r="D1" s="205"/>
      <c r="E1" s="205"/>
      <c r="F1" s="205"/>
      <c r="G1" s="350" t="s">
        <v>2008</v>
      </c>
      <c r="H1" s="350"/>
      <c r="I1" s="350"/>
      <c r="J1" s="350"/>
      <c r="K1" s="196"/>
    </row>
    <row r="2" spans="1:11" ht="15.75">
      <c r="A2" s="205"/>
      <c r="B2" s="205"/>
      <c r="C2" s="205"/>
      <c r="D2" s="205"/>
      <c r="E2" s="205"/>
      <c r="F2" s="205"/>
      <c r="G2" s="350" t="s">
        <v>2017</v>
      </c>
      <c r="H2" s="350"/>
      <c r="I2" s="350"/>
      <c r="J2" s="350"/>
      <c r="K2" s="196"/>
    </row>
    <row r="3" spans="1:11" ht="15.75">
      <c r="A3" s="205"/>
      <c r="B3" s="205"/>
      <c r="C3" s="205"/>
      <c r="D3" s="205"/>
      <c r="E3" s="205"/>
      <c r="F3" s="205"/>
      <c r="G3" s="350" t="s">
        <v>643</v>
      </c>
      <c r="H3" s="350"/>
      <c r="I3" s="350"/>
      <c r="J3" s="350"/>
      <c r="K3" s="196"/>
    </row>
    <row r="4" spans="1:11" ht="15.75">
      <c r="A4" s="205"/>
      <c r="B4" s="205"/>
      <c r="C4" s="205"/>
      <c r="D4" s="205"/>
      <c r="E4" s="205"/>
      <c r="F4" s="205"/>
      <c r="G4" s="350" t="s">
        <v>2133</v>
      </c>
      <c r="H4" s="350"/>
      <c r="I4" s="350"/>
      <c r="J4" s="350"/>
      <c r="K4" s="196"/>
    </row>
    <row r="5" spans="1:11" ht="15.75">
      <c r="A5" s="205"/>
      <c r="B5" s="205"/>
      <c r="C5" s="205"/>
      <c r="D5" s="205"/>
      <c r="E5" s="205"/>
      <c r="F5" s="205"/>
      <c r="G5" s="205"/>
      <c r="H5" s="205"/>
      <c r="I5" s="205"/>
      <c r="J5" s="206"/>
      <c r="K5" s="196"/>
    </row>
    <row r="6" spans="1:11" ht="38.25" customHeight="1">
      <c r="A6" s="351" t="s">
        <v>2018</v>
      </c>
      <c r="B6" s="351"/>
      <c r="C6" s="351"/>
      <c r="D6" s="351"/>
      <c r="E6" s="351"/>
      <c r="F6" s="351"/>
      <c r="G6" s="351"/>
      <c r="H6" s="351"/>
      <c r="I6" s="351"/>
      <c r="J6" s="351"/>
      <c r="K6" s="196"/>
    </row>
    <row r="7" spans="1:11" ht="15.75">
      <c r="A7" s="207"/>
      <c r="B7" s="205"/>
      <c r="C7" s="205"/>
      <c r="D7" s="205"/>
      <c r="E7" s="205"/>
      <c r="F7" s="205"/>
      <c r="G7" s="205"/>
      <c r="H7" s="205"/>
      <c r="I7" s="205"/>
      <c r="J7" s="205"/>
      <c r="K7" s="196"/>
    </row>
    <row r="8" spans="1:11" ht="45" customHeight="1">
      <c r="A8" s="348" t="s">
        <v>2071</v>
      </c>
      <c r="B8" s="348"/>
      <c r="C8" s="348"/>
      <c r="D8" s="348"/>
      <c r="E8" s="348"/>
      <c r="F8" s="348"/>
      <c r="G8" s="348"/>
      <c r="H8" s="348"/>
      <c r="I8" s="348"/>
      <c r="J8" s="209"/>
      <c r="K8" s="209"/>
    </row>
    <row r="9" spans="1:11" ht="33" customHeight="1">
      <c r="A9" s="352" t="s">
        <v>2019</v>
      </c>
      <c r="B9" s="352"/>
      <c r="C9" s="352"/>
      <c r="D9" s="352"/>
      <c r="E9" s="352"/>
      <c r="F9" s="352"/>
      <c r="G9" s="352"/>
      <c r="H9" s="352"/>
      <c r="I9" s="352"/>
      <c r="J9" s="352"/>
      <c r="K9" s="196"/>
    </row>
    <row r="10" spans="1:11" ht="37.5" customHeight="1">
      <c r="A10" s="348" t="s">
        <v>2072</v>
      </c>
      <c r="B10" s="348"/>
      <c r="C10" s="348"/>
      <c r="D10" s="348"/>
      <c r="E10" s="348"/>
      <c r="F10" s="348"/>
      <c r="G10" s="348"/>
      <c r="H10" s="348"/>
      <c r="I10" s="348"/>
      <c r="J10" s="348"/>
      <c r="K10" s="209"/>
    </row>
    <row r="11" spans="1:11" ht="39.75" customHeight="1">
      <c r="A11" s="349" t="s">
        <v>2019</v>
      </c>
      <c r="B11" s="349"/>
      <c r="C11" s="349"/>
      <c r="D11" s="349"/>
      <c r="E11" s="349"/>
      <c r="F11" s="349"/>
      <c r="G11" s="349"/>
      <c r="H11" s="349"/>
      <c r="I11" s="349"/>
      <c r="J11" s="210"/>
      <c r="K11" s="208"/>
    </row>
    <row r="12" spans="1:11" ht="2.25" hidden="1" customHeight="1"/>
    <row r="13" spans="1:11" ht="68.25" customHeight="1">
      <c r="A13" s="348" t="s">
        <v>2073</v>
      </c>
      <c r="B13" s="348"/>
      <c r="C13" s="348"/>
      <c r="D13" s="348"/>
      <c r="E13" s="348"/>
      <c r="F13" s="348"/>
      <c r="G13" s="348"/>
      <c r="H13" s="348"/>
      <c r="I13" s="348"/>
      <c r="J13" s="348"/>
    </row>
    <row r="14" spans="1:11" ht="32.25" customHeight="1">
      <c r="A14" s="349" t="s">
        <v>2019</v>
      </c>
      <c r="B14" s="349"/>
      <c r="C14" s="349"/>
      <c r="D14" s="349"/>
      <c r="E14" s="349"/>
      <c r="F14" s="349"/>
      <c r="G14" s="349"/>
      <c r="H14" s="349"/>
      <c r="I14" s="349"/>
      <c r="J14" s="210"/>
    </row>
    <row r="16" spans="1:11" ht="63.75" customHeight="1">
      <c r="A16" s="348" t="s">
        <v>2074</v>
      </c>
      <c r="B16" s="348"/>
      <c r="C16" s="348"/>
      <c r="D16" s="348"/>
      <c r="E16" s="348"/>
      <c r="F16" s="348"/>
      <c r="G16" s="348"/>
      <c r="H16" s="348"/>
      <c r="I16" s="348"/>
      <c r="J16" s="348"/>
    </row>
    <row r="17" spans="1:10" ht="37.5" customHeight="1">
      <c r="A17" s="349" t="s">
        <v>2019</v>
      </c>
      <c r="B17" s="349"/>
      <c r="C17" s="349"/>
      <c r="D17" s="349"/>
      <c r="E17" s="349"/>
      <c r="F17" s="349"/>
      <c r="G17" s="349"/>
      <c r="H17" s="349"/>
      <c r="I17" s="349"/>
      <c r="J17" s="210"/>
    </row>
    <row r="18" spans="1:10" ht="0.75" customHeight="1"/>
    <row r="19" spans="1:10" ht="57.75" customHeight="1">
      <c r="A19" s="353" t="s">
        <v>2075</v>
      </c>
      <c r="B19" s="353"/>
      <c r="C19" s="353"/>
      <c r="D19" s="353"/>
      <c r="E19" s="353"/>
      <c r="F19" s="353"/>
      <c r="G19" s="353"/>
      <c r="H19" s="353"/>
      <c r="I19" s="353"/>
      <c r="J19" s="353"/>
    </row>
    <row r="20" spans="1:10" ht="33" customHeight="1">
      <c r="A20" s="349" t="s">
        <v>2019</v>
      </c>
      <c r="B20" s="349"/>
      <c r="C20" s="349"/>
      <c r="D20" s="349"/>
      <c r="E20" s="349"/>
      <c r="F20" s="349"/>
      <c r="G20" s="349"/>
      <c r="H20" s="349"/>
      <c r="I20" s="349"/>
      <c r="J20" s="210"/>
    </row>
    <row r="22" spans="1:10" ht="69" customHeight="1">
      <c r="A22" s="348" t="s">
        <v>2076</v>
      </c>
      <c r="B22" s="348"/>
      <c r="C22" s="348"/>
      <c r="D22" s="348"/>
      <c r="E22" s="348"/>
      <c r="F22" s="348"/>
      <c r="G22" s="348"/>
      <c r="H22" s="348"/>
      <c r="I22" s="348"/>
      <c r="J22" s="348"/>
    </row>
    <row r="23" spans="1:10" ht="37.5" customHeight="1">
      <c r="A23" s="349" t="s">
        <v>2019</v>
      </c>
      <c r="B23" s="349"/>
      <c r="C23" s="349"/>
      <c r="D23" s="349"/>
      <c r="E23" s="349"/>
      <c r="F23" s="349"/>
      <c r="G23" s="349"/>
      <c r="H23" s="349"/>
      <c r="I23" s="349"/>
      <c r="J23" s="210"/>
    </row>
    <row r="24" spans="1:10" ht="18.75" customHeight="1"/>
    <row r="25" spans="1:10" ht="31.5" customHeight="1">
      <c r="A25" s="348" t="s">
        <v>2077</v>
      </c>
      <c r="B25" s="348"/>
      <c r="C25" s="348"/>
      <c r="D25" s="348"/>
      <c r="E25" s="348"/>
      <c r="F25" s="348"/>
      <c r="G25" s="348"/>
      <c r="H25" s="348"/>
      <c r="I25" s="348"/>
      <c r="J25" s="348"/>
    </row>
    <row r="26" spans="1:10" ht="48" customHeight="1">
      <c r="A26" s="349" t="s">
        <v>2019</v>
      </c>
      <c r="B26" s="349"/>
      <c r="C26" s="349"/>
      <c r="D26" s="349"/>
      <c r="E26" s="349"/>
      <c r="F26" s="349"/>
      <c r="G26" s="349"/>
      <c r="H26" s="349"/>
      <c r="I26" s="349"/>
      <c r="J26" s="210"/>
    </row>
    <row r="28" spans="1:10" ht="50.25" customHeight="1">
      <c r="A28" s="348" t="s">
        <v>2078</v>
      </c>
      <c r="B28" s="348"/>
      <c r="C28" s="348"/>
      <c r="D28" s="348"/>
      <c r="E28" s="348"/>
      <c r="F28" s="348"/>
      <c r="G28" s="348"/>
      <c r="H28" s="348"/>
      <c r="I28" s="348"/>
      <c r="J28" s="348"/>
    </row>
    <row r="29" spans="1:10" ht="36.75" customHeight="1">
      <c r="A29" s="349" t="s">
        <v>2019</v>
      </c>
      <c r="B29" s="349"/>
      <c r="C29" s="349"/>
      <c r="D29" s="349"/>
      <c r="E29" s="349"/>
      <c r="F29" s="349"/>
      <c r="G29" s="349"/>
      <c r="H29" s="349"/>
      <c r="I29" s="349"/>
      <c r="J29" s="214"/>
    </row>
    <row r="30" spans="1:10" ht="11.25" customHeight="1"/>
    <row r="31" spans="1:10" ht="69.75" customHeight="1">
      <c r="A31" s="348" t="s">
        <v>2079</v>
      </c>
      <c r="B31" s="348"/>
      <c r="C31" s="348"/>
      <c r="D31" s="348"/>
      <c r="E31" s="348"/>
      <c r="F31" s="348"/>
      <c r="G31" s="348"/>
      <c r="H31" s="348"/>
      <c r="I31" s="348"/>
      <c r="J31" s="348"/>
    </row>
    <row r="32" spans="1:10" ht="33" customHeight="1">
      <c r="A32" s="349" t="s">
        <v>2019</v>
      </c>
      <c r="B32" s="349"/>
      <c r="C32" s="349"/>
      <c r="D32" s="349"/>
      <c r="E32" s="349"/>
      <c r="F32" s="349"/>
      <c r="G32" s="349"/>
      <c r="H32" s="349"/>
      <c r="I32" s="349"/>
      <c r="J32" s="223"/>
    </row>
    <row r="34" spans="1:11" ht="56.25" customHeight="1">
      <c r="A34" s="348" t="s">
        <v>2080</v>
      </c>
      <c r="B34" s="348"/>
      <c r="C34" s="348"/>
      <c r="D34" s="348"/>
      <c r="E34" s="348"/>
      <c r="F34" s="348"/>
      <c r="G34" s="348"/>
      <c r="H34" s="348"/>
      <c r="I34" s="348"/>
      <c r="J34" s="348"/>
    </row>
    <row r="35" spans="1:11" ht="30" customHeight="1">
      <c r="A35" s="349" t="s">
        <v>2019</v>
      </c>
      <c r="B35" s="349"/>
      <c r="C35" s="349"/>
      <c r="D35" s="349"/>
      <c r="E35" s="349"/>
      <c r="F35" s="349"/>
      <c r="G35" s="349"/>
      <c r="H35" s="349"/>
      <c r="I35" s="349"/>
      <c r="J35" s="223"/>
    </row>
    <row r="37" spans="1:11" ht="69.75" customHeight="1">
      <c r="A37" s="348" t="s">
        <v>2087</v>
      </c>
      <c r="B37" s="348"/>
      <c r="C37" s="348"/>
      <c r="D37" s="348"/>
      <c r="E37" s="348"/>
      <c r="F37" s="348"/>
      <c r="G37" s="348"/>
      <c r="H37" s="348"/>
      <c r="I37" s="348"/>
      <c r="J37" s="277"/>
      <c r="K37" s="277"/>
    </row>
    <row r="38" spans="1:11" ht="35.25" customHeight="1">
      <c r="A38" s="349" t="s">
        <v>2019</v>
      </c>
      <c r="B38" s="349"/>
      <c r="C38" s="349"/>
      <c r="D38" s="349"/>
      <c r="E38" s="349"/>
      <c r="F38" s="349"/>
      <c r="G38" s="349"/>
      <c r="H38" s="349"/>
      <c r="I38" s="349"/>
      <c r="J38" s="349"/>
      <c r="K38" s="275"/>
    </row>
    <row r="40" spans="1:11" ht="48.75" customHeight="1">
      <c r="A40" s="348" t="s">
        <v>2097</v>
      </c>
      <c r="B40" s="348"/>
      <c r="C40" s="348"/>
      <c r="D40" s="348"/>
      <c r="E40" s="348"/>
      <c r="F40" s="348"/>
      <c r="G40" s="348"/>
      <c r="H40" s="348"/>
      <c r="I40" s="348"/>
      <c r="J40" s="277"/>
    </row>
    <row r="41" spans="1:11" ht="36.75" customHeight="1">
      <c r="A41" s="349" t="s">
        <v>2019</v>
      </c>
      <c r="B41" s="349"/>
      <c r="C41" s="349"/>
      <c r="D41" s="349"/>
      <c r="E41" s="349"/>
      <c r="F41" s="349"/>
      <c r="G41" s="349"/>
      <c r="H41" s="349"/>
      <c r="I41" s="349"/>
      <c r="J41" s="349"/>
    </row>
    <row r="43" spans="1:11" ht="69" customHeight="1">
      <c r="A43" s="348" t="s">
        <v>2127</v>
      </c>
      <c r="B43" s="348"/>
      <c r="C43" s="348"/>
      <c r="D43" s="348"/>
      <c r="E43" s="348"/>
      <c r="F43" s="348"/>
      <c r="G43" s="348"/>
      <c r="H43" s="348"/>
      <c r="I43" s="348"/>
      <c r="J43" s="277"/>
    </row>
    <row r="44" spans="1:11" ht="36.75" customHeight="1">
      <c r="A44" s="349" t="s">
        <v>2019</v>
      </c>
      <c r="B44" s="349"/>
      <c r="C44" s="349"/>
      <c r="D44" s="349"/>
      <c r="E44" s="349"/>
      <c r="F44" s="349"/>
      <c r="G44" s="349"/>
      <c r="H44" s="349"/>
      <c r="I44" s="349"/>
      <c r="J44" s="349"/>
    </row>
  </sheetData>
  <mergeCells count="31">
    <mergeCell ref="A14:I14"/>
    <mergeCell ref="A16:J16"/>
    <mergeCell ref="A17:I17"/>
    <mergeCell ref="A19:J19"/>
    <mergeCell ref="A20:I20"/>
    <mergeCell ref="A13:J13"/>
    <mergeCell ref="G1:J1"/>
    <mergeCell ref="G2:J2"/>
    <mergeCell ref="G3:J3"/>
    <mergeCell ref="G4:J4"/>
    <mergeCell ref="A6:J6"/>
    <mergeCell ref="A8:I8"/>
    <mergeCell ref="A9:J9"/>
    <mergeCell ref="A10:J10"/>
    <mergeCell ref="A11:I11"/>
    <mergeCell ref="A22:J22"/>
    <mergeCell ref="A28:J28"/>
    <mergeCell ref="A29:I29"/>
    <mergeCell ref="A23:I23"/>
    <mergeCell ref="A31:J31"/>
    <mergeCell ref="A26:I26"/>
    <mergeCell ref="A37:I37"/>
    <mergeCell ref="A25:J25"/>
    <mergeCell ref="A32:I32"/>
    <mergeCell ref="A34:J34"/>
    <mergeCell ref="A35:I35"/>
    <mergeCell ref="A43:I43"/>
    <mergeCell ref="A44:J44"/>
    <mergeCell ref="A40:I40"/>
    <mergeCell ref="A41:J41"/>
    <mergeCell ref="A38:J38"/>
  </mergeCells>
  <pageMargins left="0.70866141732283472" right="0.70866141732283472" top="0.74803149606299213" bottom="0.74803149606299213" header="0.31496062992125984" footer="0.31496062992125984"/>
  <pageSetup paperSize="9" scale="88"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11</vt:i4>
      </vt:variant>
    </vt:vector>
  </HeadingPairs>
  <TitlesOfParts>
    <vt:vector size="29" baseType="lpstr">
      <vt:lpstr>Пр_1</vt:lpstr>
      <vt:lpstr>Пр_2</vt:lpstr>
      <vt:lpstr>Лист</vt:lpstr>
      <vt:lpstr>Пр_3</vt:lpstr>
      <vt:lpstr>КВСР</vt:lpstr>
      <vt:lpstr>КФСР</vt:lpstr>
      <vt:lpstr>КВР</vt:lpstr>
      <vt:lpstr>Пр_4</vt:lpstr>
      <vt:lpstr>лист 2</vt:lpstr>
      <vt:lpstr>Пр_51</vt:lpstr>
      <vt:lpstr>Пр_61</vt:lpstr>
      <vt:lpstr>Пр_5</vt:lpstr>
      <vt:lpstr>КЦСР</vt:lpstr>
      <vt:lpstr>Лист1</vt:lpstr>
      <vt:lpstr>Лист2</vt:lpstr>
      <vt:lpstr>Пр_8</vt:lpstr>
      <vt:lpstr>Пр_11</vt:lpstr>
      <vt:lpstr>Лист3</vt:lpstr>
      <vt:lpstr>КВР!Область_печати</vt:lpstr>
      <vt:lpstr>КВСР!Область_печати</vt:lpstr>
      <vt:lpstr>КФСР!Область_печати</vt:lpstr>
      <vt:lpstr>КЦСР!Область_печати</vt:lpstr>
      <vt:lpstr>Лист!Область_печати</vt:lpstr>
      <vt:lpstr>'лист 2'!Область_печати</vt:lpstr>
      <vt:lpstr>Пр_1!Область_печати</vt:lpstr>
      <vt:lpstr>Пр_2!Область_печати</vt:lpstr>
      <vt:lpstr>Пр_3!Область_печати</vt:lpstr>
      <vt:lpstr>Пр_4!Область_печати</vt:lpstr>
      <vt:lpstr>Пр_5!Область_печати</vt:lpstr>
    </vt:vector>
  </TitlesOfParts>
  <Manager>Минин А.А.</Manager>
  <Company>Департамент финансов администрации Тутаевского муниципального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 2012 года</dc:title>
  <dc:subject>Бюджет 2012 года</dc:subject>
  <dc:creator>Мохов М.Н.</dc:creator>
  <cp:lastModifiedBy>Елаева</cp:lastModifiedBy>
  <cp:lastPrinted>2013-01-05T07:36:11Z</cp:lastPrinted>
  <dcterms:created xsi:type="dcterms:W3CDTF">2004-11-16T05:58:34Z</dcterms:created>
  <dcterms:modified xsi:type="dcterms:W3CDTF">2013-01-05T07:36:15Z</dcterms:modified>
</cp:coreProperties>
</file>