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5100" windowWidth="9720" windowHeight="3510" tabRatio="818"/>
  </bookViews>
  <sheets>
    <sheet name="Пр1" sheetId="1" r:id="rId1"/>
    <sheet name="Пр_2" sheetId="2" r:id="rId2"/>
    <sheet name="Пр_3" sheetId="6" r:id="rId3"/>
    <sheet name="Пр_9" sheetId="19" state="hidden" r:id="rId4"/>
    <sheet name="Пр_10" sheetId="18" state="hidden" r:id="rId5"/>
    <sheet name="Пр_4" sheetId="5" r:id="rId6"/>
    <sheet name="Пр_5" sheetId="44" r:id="rId7"/>
    <sheet name="Пр12_" sheetId="48" state="hidden" r:id="rId8"/>
    <sheet name="Пр_15" sheetId="21" state="hidden" r:id="rId9"/>
    <sheet name="Пр_16" sheetId="31" state="hidden" r:id="rId10"/>
    <sheet name="Пр3" sheetId="17" state="hidden" r:id="rId11"/>
    <sheet name="Пр13" sheetId="54" state="hidden" r:id="rId12"/>
    <sheet name="Пр_6" sheetId="13" r:id="rId13"/>
    <sheet name="Пр_18" sheetId="32" state="hidden" r:id="rId14"/>
    <sheet name="Пр_19" sheetId="24" state="hidden" r:id="rId15"/>
    <sheet name="Пр20" sheetId="33" state="hidden" r:id="rId16"/>
    <sheet name="Пр_20" sheetId="37" state="hidden" r:id="rId17"/>
    <sheet name="Пр_21" sheetId="38" state="hidden" r:id="rId18"/>
    <sheet name="Пр_22" sheetId="39" state="hidden" r:id="rId19"/>
    <sheet name="Пр_23" sheetId="40" state="hidden" r:id="rId20"/>
    <sheet name="Пр 10." sheetId="14" state="hidden" r:id="rId21"/>
    <sheet name="КВСР" sheetId="8" state="hidden" r:id="rId22"/>
    <sheet name="КФСР" sheetId="7" state="hidden" r:id="rId23"/>
    <sheet name="КЦСР" sheetId="9" state="hidden" r:id="rId24"/>
    <sheet name="КВР" sheetId="10" state="hidden" r:id="rId25"/>
    <sheet name="20" sheetId="34" state="hidden" r:id="rId26"/>
    <sheet name="21" sheetId="35" state="hidden" r:id="rId27"/>
    <sheet name="22" sheetId="36" state="hidden" r:id="rId28"/>
    <sheet name="Лист1" sheetId="41" state="hidden" r:id="rId29"/>
    <sheet name="Лист2" sheetId="42" state="hidden" r:id="rId30"/>
    <sheet name="Программа" sheetId="46" state="hidden" r:id="rId31"/>
    <sheet name="Пр13-" sheetId="51" state="hidden" r:id="rId32"/>
    <sheet name="Пр14-" sheetId="52" state="hidden" r:id="rId33"/>
    <sheet name="Направление" sheetId="45" state="hidden" r:id="rId34"/>
    <sheet name="Лист3" sheetId="49" state="hidden" r:id="rId35"/>
    <sheet name="Лист4" sheetId="50" state="hidden" r:id="rId36"/>
    <sheet name="Лист5" sheetId="53" state="hidden" r:id="rId37"/>
    <sheet name="LOG" sheetId="56" state="hidden" r:id="rId38"/>
    <sheet name="Пр_7" sheetId="57" r:id="rId39"/>
  </sheets>
  <definedNames>
    <definedName name="_xlnm._FilterDatabase" localSheetId="21" hidden="1">КВСР!$A$2:$B$1166</definedName>
    <definedName name="_xlnm._FilterDatabase" localSheetId="22" hidden="1">КФСР!$A$1400:$B$1478</definedName>
    <definedName name="_xlnm._FilterDatabase" localSheetId="23" hidden="1">КЦСР!$A$2036:$B$3271</definedName>
    <definedName name="_xlnm._FilterDatabase" localSheetId="5" hidden="1">Пр_4!$A$8:$I$767</definedName>
    <definedName name="_xlnm._FilterDatabase" localSheetId="6" hidden="1">Пр_5!$C$1:$F$128</definedName>
    <definedName name="_xlnm._FilterDatabase" localSheetId="0" hidden="1">Пр1!$A$9:$K$149</definedName>
    <definedName name="Z_66DBF0AC_E9A0_482F_9E41_1928B6CA83DC_.wvu.Cols" localSheetId="1" hidden="1">Пр_2!$C:$C</definedName>
    <definedName name="Z_66DBF0AC_E9A0_482F_9E41_1928B6CA83DC_.wvu.Cols" localSheetId="2" hidden="1">Пр_3!#REF!</definedName>
    <definedName name="Z_66DBF0AC_E9A0_482F_9E41_1928B6CA83DC_.wvu.FilterData" localSheetId="5" hidden="1">Пр_4!$A$9:$F$743</definedName>
    <definedName name="Z_66DBF0AC_E9A0_482F_9E41_1928B6CA83DC_.wvu.Rows" localSheetId="2" hidden="1">Пр_3!#REF!,Пр_3!#REF!</definedName>
    <definedName name="Z_91923F83_3A6B_4204_9891_178562AB34F1_.wvu.Cols" localSheetId="1" hidden="1">Пр_2!$C:$C</definedName>
    <definedName name="Z_91923F83_3A6B_4204_9891_178562AB34F1_.wvu.Cols" localSheetId="2" hidden="1">Пр_3!#REF!</definedName>
    <definedName name="Z_91923F83_3A6B_4204_9891_178562AB34F1_.wvu.FilterData" localSheetId="5" hidden="1">Пр_4!$A$9:$F$743</definedName>
    <definedName name="Z_91923F83_3A6B_4204_9891_178562AB34F1_.wvu.PrintArea" localSheetId="1" hidden="1">Пр_2!$A$1:$B$119</definedName>
    <definedName name="Z_91923F83_3A6B_4204_9891_178562AB34F1_.wvu.PrintArea" localSheetId="5" hidden="1">Пр_4!$A$1:$F$743</definedName>
    <definedName name="Z_91923F83_3A6B_4204_9891_178562AB34F1_.wvu.PrintArea" localSheetId="0" hidden="1">Пр1!$A$1:$H$149</definedName>
    <definedName name="Z_91923F83_3A6B_4204_9891_178562AB34F1_.wvu.Rows" localSheetId="1" hidden="1">Пр_2!$22:$22</definedName>
    <definedName name="Z_91923F83_3A6B_4204_9891_178562AB34F1_.wvu.Rows" localSheetId="2" hidden="1">Пр_3!#REF!,Пр_3!#REF!</definedName>
    <definedName name="Z_A5E41FC9_89B1_40D2_B587_57BC4C5E4715_.wvu.Cols" localSheetId="1" hidden="1">Пр_2!$C:$C</definedName>
    <definedName name="Z_A5E41FC9_89B1_40D2_B587_57BC4C5E4715_.wvu.Cols" localSheetId="2" hidden="1">Пр_3!#REF!</definedName>
    <definedName name="Z_A5E41FC9_89B1_40D2_B587_57BC4C5E4715_.wvu.FilterData" localSheetId="5" hidden="1">Пр_4!$A$9:$F$743</definedName>
    <definedName name="Z_A5E41FC9_89B1_40D2_B587_57BC4C5E4715_.wvu.PrintArea" localSheetId="1" hidden="1">Пр_2!$A$1:$B$119</definedName>
    <definedName name="Z_A5E41FC9_89B1_40D2_B587_57BC4C5E4715_.wvu.PrintArea" localSheetId="5" hidden="1">Пр_4!$A$1:$F$743</definedName>
    <definedName name="Z_A5E41FC9_89B1_40D2_B587_57BC4C5E4715_.wvu.PrintArea" localSheetId="0" hidden="1">Пр1!$A$1:$H$149</definedName>
    <definedName name="Z_A5E41FC9_89B1_40D2_B587_57BC4C5E4715_.wvu.Rows" localSheetId="1" hidden="1">Пр_2!$22:$22</definedName>
    <definedName name="Z_A5E41FC9_89B1_40D2_B587_57BC4C5E4715_.wvu.Rows" localSheetId="2" hidden="1">Пр_3!#REF!,Пр_3!#REF!</definedName>
    <definedName name="Z_B3311466_F005_49F1_A579_3E6CECE305A8_.wvu.Cols" localSheetId="1" hidden="1">Пр_2!$C:$C</definedName>
    <definedName name="Z_B3311466_F005_49F1_A579_3E6CECE305A8_.wvu.Cols" localSheetId="2" hidden="1">Пр_3!#REF!</definedName>
    <definedName name="Z_B3311466_F005_49F1_A579_3E6CECE305A8_.wvu.FilterData" localSheetId="5" hidden="1">Пр_4!$A$9:$F$743</definedName>
    <definedName name="Z_B3311466_F005_49F1_A579_3E6CECE305A8_.wvu.PrintArea" localSheetId="1" hidden="1">Пр_2!$A$1:$B$119</definedName>
    <definedName name="Z_B3311466_F005_49F1_A579_3E6CECE305A8_.wvu.PrintArea" localSheetId="5" hidden="1">Пр_4!$A$1:$F$743</definedName>
    <definedName name="Z_B3311466_F005_49F1_A579_3E6CECE305A8_.wvu.PrintArea" localSheetId="0" hidden="1">Пр1!$A$1:$H$149</definedName>
    <definedName name="Z_B3311466_F005_49F1_A579_3E6CECE305A8_.wvu.Rows" localSheetId="1" hidden="1">Пр_2!$22:$22</definedName>
    <definedName name="Z_B3311466_F005_49F1_A579_3E6CECE305A8_.wvu.Rows" localSheetId="2" hidden="1">Пр_3!#REF!,Пр_3!#REF!</definedName>
    <definedName name="Z_E51CBA0A_8A1C_44BF_813B_86B1F7C678D3_.wvu.FilterData" localSheetId="5" hidden="1">Пр_4!$A$9:$F$743</definedName>
    <definedName name="Z_E5662E33_D4B0_43EA_9B06_C8DA9DFDBEF6_.wvu.Cols" localSheetId="1" hidden="1">Пр_2!$C:$C</definedName>
    <definedName name="Z_E5662E33_D4B0_43EA_9B06_C8DA9DFDBEF6_.wvu.Cols" localSheetId="2" hidden="1">Пр_3!#REF!</definedName>
    <definedName name="Z_E5662E33_D4B0_43EA_9B06_C8DA9DFDBEF6_.wvu.FilterData" localSheetId="5" hidden="1">Пр_4!$A$9:$F$743</definedName>
    <definedName name="Z_E5662E33_D4B0_43EA_9B06_C8DA9DFDBEF6_.wvu.PrintArea" localSheetId="1" hidden="1">Пр_2!$A$1:$B$119</definedName>
    <definedName name="Z_E5662E33_D4B0_43EA_9B06_C8DA9DFDBEF6_.wvu.PrintArea" localSheetId="2" hidden="1">Пр_3!$A$1:$C$23</definedName>
    <definedName name="Z_E5662E33_D4B0_43EA_9B06_C8DA9DFDBEF6_.wvu.PrintArea" localSheetId="5" hidden="1">Пр_4!$A$1:$F$743</definedName>
    <definedName name="Z_E5662E33_D4B0_43EA_9B06_C8DA9DFDBEF6_.wvu.PrintArea" localSheetId="0" hidden="1">Пр1!$A$1:$H$149</definedName>
    <definedName name="Z_E5662E33_D4B0_43EA_9B06_C8DA9DFDBEF6_.wvu.Rows" localSheetId="1" hidden="1">Пр_2!$22:$22</definedName>
    <definedName name="Z_E5662E33_D4B0_43EA_9B06_C8DA9DFDBEF6_.wvu.Rows" localSheetId="2" hidden="1">Пр_3!#REF!,Пр_3!#REF!</definedName>
    <definedName name="Z_F3607253_7816_4CF7_9CFD_2ADFFAD916F8_.wvu.Cols" localSheetId="1" hidden="1">Пр_2!$C:$C</definedName>
    <definedName name="Z_F3607253_7816_4CF7_9CFD_2ADFFAD916F8_.wvu.Cols" localSheetId="2" hidden="1">Пр_3!#REF!</definedName>
    <definedName name="Z_F3607253_7816_4CF7_9CFD_2ADFFAD916F8_.wvu.FilterData" localSheetId="5" hidden="1">Пр_4!$A$9:$F$743</definedName>
    <definedName name="Z_F3607253_7816_4CF7_9CFD_2ADFFAD916F8_.wvu.PrintArea" localSheetId="1" hidden="1">Пр_2!$A$1:$B$119</definedName>
    <definedName name="Z_F3607253_7816_4CF7_9CFD_2ADFFAD916F8_.wvu.PrintArea" localSheetId="5" hidden="1">Пр_4!$A$1:$F$743</definedName>
    <definedName name="Z_F3607253_7816_4CF7_9CFD_2ADFFAD916F8_.wvu.PrintArea" localSheetId="0" hidden="1">Пр1!$A$1:$H$149</definedName>
    <definedName name="Z_F3607253_7816_4CF7_9CFD_2ADFFAD916F8_.wvu.Rows" localSheetId="1" hidden="1">Пр_2!$22:$22</definedName>
    <definedName name="Z_F3607253_7816_4CF7_9CFD_2ADFFAD916F8_.wvu.Rows" localSheetId="2" hidden="1">Пр_3!#REF!,Пр_3!#REF!</definedName>
    <definedName name="_xlnm.Print_Area" localSheetId="24">КВР!$A$1820:$B$1930</definedName>
    <definedName name="_xlnm.Print_Area" localSheetId="21">КВСР!$A$1000:$B$1167</definedName>
    <definedName name="_xlnm.Print_Area" localSheetId="22">КФСР!$A$1:$B$1501</definedName>
    <definedName name="_xlnm.Print_Area" localSheetId="23">КЦСР!$A$2036:$B$3485</definedName>
    <definedName name="_xlnm.Print_Area" localSheetId="8">Пр_15!$A$1:$D$14</definedName>
    <definedName name="_xlnm.Print_Area" localSheetId="9">Пр_16!$A$1:$E$15</definedName>
    <definedName name="_xlnm.Print_Area" localSheetId="13">Пр_18!$A$1:$D$31</definedName>
    <definedName name="_xlnm.Print_Area" localSheetId="1">Пр_2!$A$1:$E$121</definedName>
    <definedName name="_xlnm.Print_Area" localSheetId="16">Пр_20!$A$1:$E$24</definedName>
    <definedName name="_xlnm.Print_Area" localSheetId="19">Пр_23!$A$1:$D$17</definedName>
    <definedName name="_xlnm.Print_Area" localSheetId="2">Пр_3!$A$1:$E$26</definedName>
    <definedName name="_xlnm.Print_Area" localSheetId="5">Пр_4!$A$1:$I$767</definedName>
    <definedName name="_xlnm.Print_Area" localSheetId="6">Пр_5!$A$1:$F$57</definedName>
    <definedName name="_xlnm.Print_Area" localSheetId="12">Пр_6!$A$1:$E$107</definedName>
    <definedName name="_xlnm.Print_Area" localSheetId="3">Пр_9!$A$1:$C$171</definedName>
    <definedName name="_xlnm.Print_Area" localSheetId="0">Пр1!$A$1:$K$149</definedName>
    <definedName name="_xlnm.Print_Area" localSheetId="7">Пр12_!$A$1:$I$52</definedName>
  </definedNames>
  <calcPr calcId="125725"/>
  <customWorkbookViews>
    <customWorkbookView name="Шипина - Личное представление" guid="{91923F83-3A6B-4204-9891-178562AB34F1}" mergeInterval="0" personalView="1" maximized="1" windowWidth="796" windowHeight="435" tabRatio="740" activeSheetId="1"/>
    <customWorkbookView name="Елаева - Личное представление" guid="{66DBF0AC-E9A0-482F-9E41-1928B6CA83DC}" mergeInterval="0" personalView="1" maximized="1" windowWidth="1020" windowHeight="603" tabRatio="740" activeSheetId="1"/>
    <customWorkbookView name="Суворова - Личное представление" guid="{A5E41FC9-89B1-40D2-B587-57BC4C5E4715}" mergeInterval="0" personalView="1" maximized="1" windowWidth="796" windowHeight="435" tabRatio="740" activeSheetId="5"/>
    <customWorkbookView name="User - Личное представление" guid="{F3607253-7816-4CF7-9CFD-2ADFFAD916F8}" mergeInterval="0" personalView="1" maximized="1" windowWidth="1020" windowHeight="603" tabRatio="740" activeSheetId="2"/>
    <customWorkbookView name="Новикова - Личное представление" guid="{B3311466-F005-49F1-A579-3E6CECE305A8}" mergeInterval="0" personalView="1" maximized="1" windowWidth="1020" windowHeight="577" tabRatio="740" activeSheetId="2"/>
    <customWorkbookView name="SEC - Личное представление" guid="{E5662E33-D4B0-43EA-9B06-C8DA9DFDBEF6}" mergeInterval="0" personalView="1" maximized="1" windowWidth="1276" windowHeight="608" tabRatio="740" activeSheetId="6"/>
  </customWorkbookViews>
</workbook>
</file>

<file path=xl/calcChain.xml><?xml version="1.0" encoding="utf-8"?>
<calcChain xmlns="http://schemas.openxmlformats.org/spreadsheetml/2006/main">
  <c r="H281" i="5"/>
  <c r="H195"/>
  <c r="C22" i="6"/>
  <c r="H103" i="5"/>
  <c r="H139"/>
  <c r="I626"/>
  <c r="H626"/>
  <c r="H587"/>
  <c r="H515"/>
  <c r="H480"/>
  <c r="H359"/>
  <c r="H306"/>
  <c r="H16"/>
  <c r="E24" i="6"/>
  <c r="D24"/>
  <c r="E15"/>
  <c r="D15"/>
  <c r="E16"/>
  <c r="D16"/>
  <c r="E18"/>
  <c r="D18"/>
  <c r="E22" i="57"/>
  <c r="D22"/>
  <c r="D16"/>
  <c r="D86" i="13"/>
  <c r="E85"/>
  <c r="E84"/>
  <c r="E86" s="1"/>
  <c r="C86"/>
  <c r="D10" i="57"/>
  <c r="E15" l="1"/>
  <c r="E16" s="1"/>
  <c r="D11" l="1"/>
  <c r="E10"/>
  <c r="E11" s="1"/>
  <c r="G110" i="5" l="1"/>
  <c r="H697"/>
  <c r="I698"/>
  <c r="I697" s="1"/>
  <c r="A697"/>
  <c r="A698"/>
  <c r="H738"/>
  <c r="G738"/>
  <c r="I739"/>
  <c r="I738" s="1"/>
  <c r="A738"/>
  <c r="A739"/>
  <c r="A537" l="1"/>
  <c r="A538"/>
  <c r="A539"/>
  <c r="H538"/>
  <c r="H537" s="1"/>
  <c r="G538"/>
  <c r="G537" s="1"/>
  <c r="I539"/>
  <c r="I538" s="1"/>
  <c r="I537" s="1"/>
  <c r="A529"/>
  <c r="H557"/>
  <c r="I558"/>
  <c r="I557" s="1"/>
  <c r="A557"/>
  <c r="A558"/>
  <c r="H175"/>
  <c r="H197"/>
  <c r="H188"/>
  <c r="H215"/>
  <c r="H304"/>
  <c r="H303"/>
  <c r="H258"/>
  <c r="H72"/>
  <c r="H71"/>
  <c r="H19"/>
  <c r="H29" l="1"/>
  <c r="K21" i="1"/>
  <c r="K20"/>
  <c r="J22"/>
  <c r="J20"/>
  <c r="A68" i="5" l="1"/>
  <c r="A69"/>
  <c r="H68"/>
  <c r="G68"/>
  <c r="I69"/>
  <c r="I68" s="1"/>
  <c r="A23"/>
  <c r="H64"/>
  <c r="I23"/>
  <c r="H21"/>
  <c r="H18"/>
  <c r="K144" i="1" l="1"/>
  <c r="C21" i="6" l="1"/>
  <c r="C20" s="1"/>
  <c r="C26" s="1"/>
  <c r="C21" i="2"/>
  <c r="A442" i="5"/>
  <c r="I122" l="1"/>
  <c r="H750"/>
  <c r="I751"/>
  <c r="I750" s="1"/>
  <c r="A750"/>
  <c r="A751"/>
  <c r="A653"/>
  <c r="A654"/>
  <c r="H653"/>
  <c r="I654"/>
  <c r="I653" s="1"/>
  <c r="I477"/>
  <c r="H476"/>
  <c r="I476" s="1"/>
  <c r="A477"/>
  <c r="A476"/>
  <c r="J48" i="1"/>
  <c r="K53"/>
  <c r="K87"/>
  <c r="K89"/>
  <c r="H206" i="5"/>
  <c r="I206" s="1"/>
  <c r="A263"/>
  <c r="A264"/>
  <c r="E12" i="6"/>
  <c r="E11" s="1"/>
  <c r="I164" i="5"/>
  <c r="I160"/>
  <c r="I156"/>
  <c r="I154"/>
  <c r="I152"/>
  <c r="I150"/>
  <c r="I148"/>
  <c r="I147"/>
  <c r="I146"/>
  <c r="I766"/>
  <c r="I762"/>
  <c r="I760"/>
  <c r="I759"/>
  <c r="I758"/>
  <c r="I753"/>
  <c r="I747"/>
  <c r="I743"/>
  <c r="I735"/>
  <c r="I734"/>
  <c r="I733"/>
  <c r="I731"/>
  <c r="I729"/>
  <c r="I728"/>
  <c r="I725"/>
  <c r="I720"/>
  <c r="I718"/>
  <c r="I715"/>
  <c r="I712"/>
  <c r="I710"/>
  <c r="I707"/>
  <c r="I705"/>
  <c r="I703"/>
  <c r="I700"/>
  <c r="I696"/>
  <c r="I695"/>
  <c r="I690"/>
  <c r="I688"/>
  <c r="I685"/>
  <c r="I683"/>
  <c r="I681"/>
  <c r="I678"/>
  <c r="I673"/>
  <c r="I672"/>
  <c r="I668"/>
  <c r="I665"/>
  <c r="I663"/>
  <c r="I661"/>
  <c r="I656"/>
  <c r="I650"/>
  <c r="I648"/>
  <c r="I646"/>
  <c r="I643"/>
  <c r="I639"/>
  <c r="I634"/>
  <c r="I631"/>
  <c r="I630"/>
  <c r="I625"/>
  <c r="I621"/>
  <c r="I619"/>
  <c r="I615"/>
  <c r="I613"/>
  <c r="I608"/>
  <c r="I605"/>
  <c r="I601"/>
  <c r="I597"/>
  <c r="I593"/>
  <c r="I591"/>
  <c r="I589"/>
  <c r="I585"/>
  <c r="I583"/>
  <c r="I581"/>
  <c r="I580"/>
  <c r="I578"/>
  <c r="I577"/>
  <c r="I576"/>
  <c r="I571"/>
  <c r="I568"/>
  <c r="I566"/>
  <c r="I564"/>
  <c r="I562"/>
  <c r="I560"/>
  <c r="I556"/>
  <c r="I554"/>
  <c r="I550"/>
  <c r="I548"/>
  <c r="I546"/>
  <c r="I544"/>
  <c r="I536"/>
  <c r="I534"/>
  <c r="I532"/>
  <c r="I528"/>
  <c r="I526"/>
  <c r="I521"/>
  <c r="I519"/>
  <c r="I517"/>
  <c r="I513"/>
  <c r="I511"/>
  <c r="I508"/>
  <c r="I506"/>
  <c r="I504"/>
  <c r="I502"/>
  <c r="I500"/>
  <c r="I498"/>
  <c r="I496"/>
  <c r="I491"/>
  <c r="I488"/>
  <c r="I486"/>
  <c r="I484"/>
  <c r="I482"/>
  <c r="I475"/>
  <c r="I469"/>
  <c r="I465"/>
  <c r="I462"/>
  <c r="I458"/>
  <c r="I454"/>
  <c r="I450"/>
  <c r="I448"/>
  <c r="I445"/>
  <c r="I443"/>
  <c r="I440"/>
  <c r="I435"/>
  <c r="I433"/>
  <c r="I432"/>
  <c r="I431"/>
  <c r="I426"/>
  <c r="I423"/>
  <c r="I422"/>
  <c r="I420"/>
  <c r="I419"/>
  <c r="I418"/>
  <c r="I416"/>
  <c r="I415"/>
  <c r="I410"/>
  <c r="I408"/>
  <c r="I407"/>
  <c r="I405"/>
  <c r="I403"/>
  <c r="I401"/>
  <c r="I396"/>
  <c r="I393"/>
  <c r="I392"/>
  <c r="I390"/>
  <c r="I389"/>
  <c r="I387"/>
  <c r="I386"/>
  <c r="I384"/>
  <c r="I382"/>
  <c r="I381"/>
  <c r="I379"/>
  <c r="I378"/>
  <c r="I376"/>
  <c r="I375"/>
  <c r="I373"/>
  <c r="I371"/>
  <c r="I369"/>
  <c r="I368"/>
  <c r="I366"/>
  <c r="I364"/>
  <c r="I363"/>
  <c r="I361"/>
  <c r="I356"/>
  <c r="I352"/>
  <c r="I347"/>
  <c r="I346"/>
  <c r="I341"/>
  <c r="I336"/>
  <c r="I331"/>
  <c r="I329"/>
  <c r="I324"/>
  <c r="I323"/>
  <c r="I322"/>
  <c r="I318"/>
  <c r="I317"/>
  <c r="I316"/>
  <c r="I313"/>
  <c r="I308"/>
  <c r="I307"/>
  <c r="I305"/>
  <c r="I304"/>
  <c r="I303"/>
  <c r="I301"/>
  <c r="I300"/>
  <c r="I298"/>
  <c r="I296"/>
  <c r="I294"/>
  <c r="I293"/>
  <c r="I292"/>
  <c r="I287"/>
  <c r="I283"/>
  <c r="I262"/>
  <c r="I281"/>
  <c r="I279"/>
  <c r="I278"/>
  <c r="I275"/>
  <c r="I274"/>
  <c r="I270"/>
  <c r="I266"/>
  <c r="I260"/>
  <c r="I258"/>
  <c r="I257"/>
  <c r="I255"/>
  <c r="I253"/>
  <c r="I251"/>
  <c r="I249"/>
  <c r="I248"/>
  <c r="I246"/>
  <c r="I245"/>
  <c r="I244"/>
  <c r="I243"/>
  <c r="I241"/>
  <c r="I239"/>
  <c r="I238"/>
  <c r="I233"/>
  <c r="I232"/>
  <c r="I230"/>
  <c r="I228"/>
  <c r="I227"/>
  <c r="I225"/>
  <c r="I223"/>
  <c r="I221"/>
  <c r="I220"/>
  <c r="I212"/>
  <c r="I210"/>
  <c r="I207"/>
  <c r="I205"/>
  <c r="I203"/>
  <c r="I201"/>
  <c r="I199"/>
  <c r="I195"/>
  <c r="I193"/>
  <c r="I185"/>
  <c r="I183"/>
  <c r="I181"/>
  <c r="I179"/>
  <c r="I177"/>
  <c r="I175"/>
  <c r="I170"/>
  <c r="I141"/>
  <c r="I137"/>
  <c r="I133"/>
  <c r="I131"/>
  <c r="I129"/>
  <c r="I127"/>
  <c r="I124"/>
  <c r="I120"/>
  <c r="I118"/>
  <c r="I116"/>
  <c r="I114"/>
  <c r="I112"/>
  <c r="I107"/>
  <c r="I105"/>
  <c r="I102"/>
  <c r="I97"/>
  <c r="I94"/>
  <c r="I89"/>
  <c r="I88"/>
  <c r="I87"/>
  <c r="I82"/>
  <c r="I78"/>
  <c r="I75"/>
  <c r="I74"/>
  <c r="I72"/>
  <c r="I71"/>
  <c r="I67"/>
  <c r="I66"/>
  <c r="I64"/>
  <c r="I63"/>
  <c r="I61"/>
  <c r="I59"/>
  <c r="I57"/>
  <c r="I54"/>
  <c r="I50"/>
  <c r="I46"/>
  <c r="I44"/>
  <c r="I40"/>
  <c r="I36"/>
  <c r="I34"/>
  <c r="I29"/>
  <c r="I25"/>
  <c r="I22"/>
  <c r="I21" s="1"/>
  <c r="I20"/>
  <c r="I19"/>
  <c r="I14"/>
  <c r="A326"/>
  <c r="A353"/>
  <c r="H531"/>
  <c r="I531" s="1"/>
  <c r="A532"/>
  <c r="A531"/>
  <c r="H442"/>
  <c r="I442" s="1"/>
  <c r="A443"/>
  <c r="H633"/>
  <c r="I633" s="1"/>
  <c r="A634"/>
  <c r="A633"/>
  <c r="A632"/>
  <c r="H607"/>
  <c r="I607" s="1"/>
  <c r="A608"/>
  <c r="A607"/>
  <c r="A606"/>
  <c r="H592"/>
  <c r="I592" s="1"/>
  <c r="A593"/>
  <c r="A592"/>
  <c r="H590"/>
  <c r="I590" s="1"/>
  <c r="A591"/>
  <c r="A590"/>
  <c r="A562"/>
  <c r="A561"/>
  <c r="H561"/>
  <c r="I561" s="1"/>
  <c r="H559"/>
  <c r="I559" s="1"/>
  <c r="A560"/>
  <c r="A559"/>
  <c r="A536"/>
  <c r="A535"/>
  <c r="H535"/>
  <c r="I535" s="1"/>
  <c r="H533"/>
  <c r="I533" s="1"/>
  <c r="A534"/>
  <c r="A533"/>
  <c r="A530"/>
  <c r="H520"/>
  <c r="I520" s="1"/>
  <c r="A521"/>
  <c r="A520"/>
  <c r="H518"/>
  <c r="I518" s="1"/>
  <c r="A519"/>
  <c r="A518"/>
  <c r="H449"/>
  <c r="I449" s="1"/>
  <c r="A450"/>
  <c r="A449"/>
  <c r="H355"/>
  <c r="I355" s="1"/>
  <c r="A356"/>
  <c r="A355"/>
  <c r="A354"/>
  <c r="H335"/>
  <c r="H334" s="1"/>
  <c r="H333" s="1"/>
  <c r="I333" s="1"/>
  <c r="A336"/>
  <c r="A335"/>
  <c r="A334"/>
  <c r="A333"/>
  <c r="H330"/>
  <c r="I330" s="1"/>
  <c r="A331"/>
  <c r="A330"/>
  <c r="H328"/>
  <c r="I328" s="1"/>
  <c r="A329"/>
  <c r="A328"/>
  <c r="A327"/>
  <c r="A325"/>
  <c r="H277"/>
  <c r="I277" s="1"/>
  <c r="A278"/>
  <c r="A207"/>
  <c r="A206"/>
  <c r="I197"/>
  <c r="I215"/>
  <c r="I188"/>
  <c r="I741"/>
  <c r="I552"/>
  <c r="I18"/>
  <c r="H765"/>
  <c r="I765" s="1"/>
  <c r="A766"/>
  <c r="A765"/>
  <c r="A764"/>
  <c r="A763"/>
  <c r="H649"/>
  <c r="I649" s="1"/>
  <c r="A650"/>
  <c r="A649"/>
  <c r="A585"/>
  <c r="A584"/>
  <c r="H584"/>
  <c r="I584" s="1"/>
  <c r="H447"/>
  <c r="I447" s="1"/>
  <c r="A448"/>
  <c r="A447"/>
  <c r="A446"/>
  <c r="A445"/>
  <c r="A444"/>
  <c r="A441"/>
  <c r="H444"/>
  <c r="I444" s="1"/>
  <c r="H421"/>
  <c r="I421" s="1"/>
  <c r="A422"/>
  <c r="A421"/>
  <c r="H261"/>
  <c r="I261" s="1"/>
  <c r="A262"/>
  <c r="A261"/>
  <c r="H155"/>
  <c r="I155" s="1"/>
  <c r="A156"/>
  <c r="A155"/>
  <c r="H65"/>
  <c r="I65" s="1"/>
  <c r="A66"/>
  <c r="J28" i="1"/>
  <c r="J25" s="1"/>
  <c r="J14"/>
  <c r="D105" i="13"/>
  <c r="E104"/>
  <c r="K130" i="1"/>
  <c r="K146"/>
  <c r="K145"/>
  <c r="K148"/>
  <c r="K65"/>
  <c r="K64"/>
  <c r="K86"/>
  <c r="K52"/>
  <c r="K121"/>
  <c r="K88"/>
  <c r="K143"/>
  <c r="K60"/>
  <c r="K58"/>
  <c r="K50"/>
  <c r="H96" i="5"/>
  <c r="H95" s="1"/>
  <c r="I95" s="1"/>
  <c r="A95"/>
  <c r="A96"/>
  <c r="A97"/>
  <c r="H702"/>
  <c r="H706"/>
  <c r="I706" s="1"/>
  <c r="A706"/>
  <c r="A707"/>
  <c r="H655"/>
  <c r="A651"/>
  <c r="A652"/>
  <c r="A655"/>
  <c r="A656"/>
  <c r="H117"/>
  <c r="I117" s="1"/>
  <c r="H115"/>
  <c r="I115" s="1"/>
  <c r="H113"/>
  <c r="I113" s="1"/>
  <c r="H126"/>
  <c r="I126" s="1"/>
  <c r="H130"/>
  <c r="I130" s="1"/>
  <c r="A130"/>
  <c r="A131"/>
  <c r="A126"/>
  <c r="A127"/>
  <c r="A121"/>
  <c r="A117"/>
  <c r="A118"/>
  <c r="A122"/>
  <c r="A113"/>
  <c r="A114"/>
  <c r="A115"/>
  <c r="A116"/>
  <c r="D100" i="13"/>
  <c r="D93"/>
  <c r="E97"/>
  <c r="E99"/>
  <c r="E98"/>
  <c r="E92"/>
  <c r="E91"/>
  <c r="E90"/>
  <c r="H652" i="5" l="1"/>
  <c r="H651" s="1"/>
  <c r="I651" s="1"/>
  <c r="I702"/>
  <c r="I335"/>
  <c r="I96"/>
  <c r="I334"/>
  <c r="I655"/>
  <c r="I652" s="1"/>
  <c r="H327"/>
  <c r="H530"/>
  <c r="I530" s="1"/>
  <c r="H121"/>
  <c r="I121" s="1"/>
  <c r="H632"/>
  <c r="I632" s="1"/>
  <c r="H606"/>
  <c r="I606" s="1"/>
  <c r="H441"/>
  <c r="I441" s="1"/>
  <c r="H354"/>
  <c r="I354" s="1"/>
  <c r="H764"/>
  <c r="I764" s="1"/>
  <c r="H446"/>
  <c r="I446" s="1"/>
  <c r="E105" i="13"/>
  <c r="E100"/>
  <c r="E93"/>
  <c r="H325" i="5" l="1"/>
  <c r="I325" s="1"/>
  <c r="I327"/>
  <c r="H326"/>
  <c r="I326" s="1"/>
  <c r="H529"/>
  <c r="I529" s="1"/>
  <c r="H353"/>
  <c r="I353" s="1"/>
  <c r="H763"/>
  <c r="I763" s="1"/>
  <c r="A640"/>
  <c r="A641"/>
  <c r="A642"/>
  <c r="A643"/>
  <c r="H642"/>
  <c r="A722"/>
  <c r="A723"/>
  <c r="A724"/>
  <c r="A725"/>
  <c r="H724"/>
  <c r="A630"/>
  <c r="H629"/>
  <c r="I629" s="1"/>
  <c r="H641" l="1"/>
  <c r="I642"/>
  <c r="H723"/>
  <c r="I724"/>
  <c r="A598"/>
  <c r="A599"/>
  <c r="A600"/>
  <c r="A601"/>
  <c r="H600"/>
  <c r="H599" l="1"/>
  <c r="I600"/>
  <c r="H640"/>
  <c r="I640" s="1"/>
  <c r="I641"/>
  <c r="H722"/>
  <c r="I722" s="1"/>
  <c r="I723"/>
  <c r="H439"/>
  <c r="A436"/>
  <c r="A437"/>
  <c r="A438"/>
  <c r="A439"/>
  <c r="A440"/>
  <c r="A277"/>
  <c r="A279"/>
  <c r="H598" l="1"/>
  <c r="I598" s="1"/>
  <c r="I599"/>
  <c r="H438"/>
  <c r="I439"/>
  <c r="H437" l="1"/>
  <c r="I438"/>
  <c r="H282"/>
  <c r="I282" s="1"/>
  <c r="H269"/>
  <c r="A267"/>
  <c r="A268"/>
  <c r="A269"/>
  <c r="A270"/>
  <c r="A282"/>
  <c r="A283"/>
  <c r="H436" l="1"/>
  <c r="I436" s="1"/>
  <c r="I437"/>
  <c r="H268"/>
  <c r="I269"/>
  <c r="A76"/>
  <c r="A77"/>
  <c r="A78"/>
  <c r="H77"/>
  <c r="A65"/>
  <c r="A67"/>
  <c r="H45"/>
  <c r="I45" s="1"/>
  <c r="A45"/>
  <c r="A46"/>
  <c r="H35"/>
  <c r="I35" s="1"/>
  <c r="A35"/>
  <c r="A36"/>
  <c r="A60"/>
  <c r="A61"/>
  <c r="H60"/>
  <c r="I60" s="1"/>
  <c r="D80" i="13"/>
  <c r="E79"/>
  <c r="E80" s="1"/>
  <c r="A704" i="5"/>
  <c r="A705"/>
  <c r="H704"/>
  <c r="K66" i="1"/>
  <c r="J128"/>
  <c r="H267" i="5" l="1"/>
  <c r="I267" s="1"/>
  <c r="I268"/>
  <c r="H701"/>
  <c r="I701" s="1"/>
  <c r="I704"/>
  <c r="H76"/>
  <c r="I76" s="1"/>
  <c r="I77"/>
  <c r="A104"/>
  <c r="A105"/>
  <c r="H104"/>
  <c r="I104" s="1"/>
  <c r="K132" i="1"/>
  <c r="J43" l="1"/>
  <c r="K61"/>
  <c r="K39"/>
  <c r="H730" i="5" l="1"/>
  <c r="I730" s="1"/>
  <c r="A730"/>
  <c r="A731"/>
  <c r="H711"/>
  <c r="I711" s="1"/>
  <c r="A163"/>
  <c r="D75" i="13"/>
  <c r="E74"/>
  <c r="E75" s="1"/>
  <c r="H662" i="5"/>
  <c r="I662" s="1"/>
  <c r="A663"/>
  <c r="A662"/>
  <c r="H163"/>
  <c r="A164"/>
  <c r="A162"/>
  <c r="A161"/>
  <c r="H101"/>
  <c r="I101" s="1"/>
  <c r="A101"/>
  <c r="D54" i="13"/>
  <c r="E53"/>
  <c r="B29" i="44"/>
  <c r="D29"/>
  <c r="H132" i="5"/>
  <c r="I132" s="1"/>
  <c r="A132"/>
  <c r="A133"/>
  <c r="H709"/>
  <c r="I709" s="1"/>
  <c r="A711"/>
  <c r="A712"/>
  <c r="A708"/>
  <c r="A709"/>
  <c r="A710"/>
  <c r="A701"/>
  <c r="A702"/>
  <c r="A703"/>
  <c r="B19" i="54"/>
  <c r="C13"/>
  <c r="B12"/>
  <c r="B11"/>
  <c r="H162" i="5" l="1"/>
  <c r="I163"/>
  <c r="B13" i="54"/>
  <c r="E54" i="13"/>
  <c r="H708" i="5"/>
  <c r="I708" s="1"/>
  <c r="F29" i="44" s="1"/>
  <c r="A466" i="5"/>
  <c r="A467"/>
  <c r="A468"/>
  <c r="A469"/>
  <c r="H468"/>
  <c r="H604"/>
  <c r="A602"/>
  <c r="A603"/>
  <c r="A604"/>
  <c r="A605"/>
  <c r="H273"/>
  <c r="A274"/>
  <c r="A271"/>
  <c r="A272"/>
  <c r="A273"/>
  <c r="A275"/>
  <c r="H53"/>
  <c r="A51"/>
  <c r="A52"/>
  <c r="A53"/>
  <c r="A54"/>
  <c r="D52" i="44"/>
  <c r="D53"/>
  <c r="A567" i="5"/>
  <c r="A568"/>
  <c r="H567"/>
  <c r="I567" s="1"/>
  <c r="A582"/>
  <c r="A583"/>
  <c r="H582"/>
  <c r="I582" s="1"/>
  <c r="A487"/>
  <c r="A488"/>
  <c r="H487"/>
  <c r="I487" s="1"/>
  <c r="H272" l="1"/>
  <c r="I273"/>
  <c r="H161"/>
  <c r="I161" s="1"/>
  <c r="I162"/>
  <c r="H52"/>
  <c r="I52" s="1"/>
  <c r="I53"/>
  <c r="H467"/>
  <c r="I468"/>
  <c r="H603"/>
  <c r="I604"/>
  <c r="E29" i="44"/>
  <c r="A647" i="5"/>
  <c r="A648"/>
  <c r="H647"/>
  <c r="I647" s="1"/>
  <c r="H638"/>
  <c r="A636"/>
  <c r="A637"/>
  <c r="A638"/>
  <c r="A639"/>
  <c r="H628"/>
  <c r="A628"/>
  <c r="A629"/>
  <c r="A631"/>
  <c r="A627"/>
  <c r="A744"/>
  <c r="A745"/>
  <c r="A746"/>
  <c r="A747"/>
  <c r="H746"/>
  <c r="H555"/>
  <c r="A555"/>
  <c r="A556"/>
  <c r="A505"/>
  <c r="A506"/>
  <c r="H505"/>
  <c r="I505" s="1"/>
  <c r="A394"/>
  <c r="A395"/>
  <c r="A396"/>
  <c r="H395"/>
  <c r="A406"/>
  <c r="A198"/>
  <c r="A199"/>
  <c r="H198"/>
  <c r="I198" s="1"/>
  <c r="H265"/>
  <c r="H264" s="1"/>
  <c r="A265"/>
  <c r="A266"/>
  <c r="A180"/>
  <c r="A181"/>
  <c r="H180"/>
  <c r="I180" s="1"/>
  <c r="A153"/>
  <c r="A154"/>
  <c r="H153"/>
  <c r="I153" s="1"/>
  <c r="A594"/>
  <c r="A423"/>
  <c r="A284"/>
  <c r="D56" i="44"/>
  <c r="K134" i="1"/>
  <c r="E68" i="13"/>
  <c r="E67"/>
  <c r="D69"/>
  <c r="K84" i="1"/>
  <c r="K85"/>
  <c r="K75"/>
  <c r="K57"/>
  <c r="K83"/>
  <c r="K81"/>
  <c r="F17" i="52"/>
  <c r="G17" s="1"/>
  <c r="G16"/>
  <c r="G15"/>
  <c r="G14"/>
  <c r="G13"/>
  <c r="C17"/>
  <c r="D17" s="1"/>
  <c r="D16"/>
  <c r="D15"/>
  <c r="D14"/>
  <c r="D13"/>
  <c r="H752" i="5"/>
  <c r="A753"/>
  <c r="A752"/>
  <c r="A749"/>
  <c r="A748"/>
  <c r="K142" i="1"/>
  <c r="K141"/>
  <c r="K131"/>
  <c r="K67"/>
  <c r="I555" i="5" l="1"/>
  <c r="I752"/>
  <c r="I749" s="1"/>
  <c r="H749"/>
  <c r="I264"/>
  <c r="H263"/>
  <c r="I263" s="1"/>
  <c r="E53" i="44"/>
  <c r="I265" i="5"/>
  <c r="H637"/>
  <c r="I638"/>
  <c r="H602"/>
  <c r="I602" s="1"/>
  <c r="I603"/>
  <c r="H271"/>
  <c r="I271" s="1"/>
  <c r="I272"/>
  <c r="H394"/>
  <c r="I394" s="1"/>
  <c r="I395"/>
  <c r="H627"/>
  <c r="I627" s="1"/>
  <c r="I628"/>
  <c r="H466"/>
  <c r="I466" s="1"/>
  <c r="I467"/>
  <c r="H745"/>
  <c r="I746"/>
  <c r="H51"/>
  <c r="I51" s="1"/>
  <c r="E69" i="13"/>
  <c r="K49" i="1"/>
  <c r="K140"/>
  <c r="K129"/>
  <c r="K139"/>
  <c r="C17" i="51"/>
  <c r="D16"/>
  <c r="D15"/>
  <c r="D14"/>
  <c r="D13"/>
  <c r="H694" i="5"/>
  <c r="A695"/>
  <c r="D63" i="13"/>
  <c r="E62"/>
  <c r="D58"/>
  <c r="E57"/>
  <c r="H699" i="5"/>
  <c r="I699" s="1"/>
  <c r="A699"/>
  <c r="A700"/>
  <c r="A719"/>
  <c r="A720"/>
  <c r="H719"/>
  <c r="I719" s="1"/>
  <c r="H667"/>
  <c r="A668"/>
  <c r="A667"/>
  <c r="A666"/>
  <c r="A665"/>
  <c r="A664"/>
  <c r="H664"/>
  <c r="I664" s="1"/>
  <c r="H596"/>
  <c r="A597"/>
  <c r="A596"/>
  <c r="A595"/>
  <c r="H425"/>
  <c r="A426"/>
  <c r="A425"/>
  <c r="A424"/>
  <c r="H286"/>
  <c r="A287"/>
  <c r="A286"/>
  <c r="A285"/>
  <c r="E13" i="48"/>
  <c r="E28"/>
  <c r="E35"/>
  <c r="E36"/>
  <c r="E39"/>
  <c r="E40"/>
  <c r="E42"/>
  <c r="I694" i="5" l="1"/>
  <c r="H693"/>
  <c r="I693" s="1"/>
  <c r="F53" i="44"/>
  <c r="F52"/>
  <c r="H285" i="5"/>
  <c r="I285" s="1"/>
  <c r="I286"/>
  <c r="H424"/>
  <c r="I424" s="1"/>
  <c r="I425"/>
  <c r="H595"/>
  <c r="I596"/>
  <c r="H744"/>
  <c r="I744" s="1"/>
  <c r="I745"/>
  <c r="H636"/>
  <c r="I636" s="1"/>
  <c r="I637"/>
  <c r="H666"/>
  <c r="I666" s="1"/>
  <c r="I667"/>
  <c r="E52" i="44"/>
  <c r="H748" i="5"/>
  <c r="I748" s="1"/>
  <c r="D17" i="51"/>
  <c r="E63" i="13"/>
  <c r="E58"/>
  <c r="H594" i="5" l="1"/>
  <c r="I594" s="1"/>
  <c r="I595"/>
  <c r="H284"/>
  <c r="I284" s="1"/>
  <c r="D11" i="6"/>
  <c r="H495" i="5"/>
  <c r="I495" s="1"/>
  <c r="A495"/>
  <c r="A496"/>
  <c r="H543"/>
  <c r="I543" s="1"/>
  <c r="A543"/>
  <c r="A544"/>
  <c r="H481"/>
  <c r="I481" s="1"/>
  <c r="A481"/>
  <c r="A482"/>
  <c r="H570"/>
  <c r="A569"/>
  <c r="A570"/>
  <c r="A571"/>
  <c r="H490"/>
  <c r="A489"/>
  <c r="A490"/>
  <c r="A491"/>
  <c r="H614"/>
  <c r="I614" s="1"/>
  <c r="H612"/>
  <c r="I612" s="1"/>
  <c r="A610"/>
  <c r="A611"/>
  <c r="A612"/>
  <c r="A613"/>
  <c r="A614"/>
  <c r="A615"/>
  <c r="A522"/>
  <c r="A523"/>
  <c r="A524"/>
  <c r="A525"/>
  <c r="A526"/>
  <c r="A527"/>
  <c r="A528"/>
  <c r="H525"/>
  <c r="I525" s="1"/>
  <c r="H527"/>
  <c r="I527" s="1"/>
  <c r="H489" l="1"/>
  <c r="I489" s="1"/>
  <c r="I490"/>
  <c r="H569"/>
  <c r="I569" s="1"/>
  <c r="I570"/>
  <c r="H611"/>
  <c r="H524"/>
  <c r="H409"/>
  <c r="I409" s="1"/>
  <c r="A407"/>
  <c r="A408"/>
  <c r="H406"/>
  <c r="I406" s="1"/>
  <c r="H402"/>
  <c r="I402" s="1"/>
  <c r="A402"/>
  <c r="A403"/>
  <c r="H391"/>
  <c r="I391" s="1"/>
  <c r="A392"/>
  <c r="A389"/>
  <c r="H388"/>
  <c r="I388" s="1"/>
  <c r="H385"/>
  <c r="I385" s="1"/>
  <c r="A386"/>
  <c r="H383"/>
  <c r="I383" s="1"/>
  <c r="A383"/>
  <c r="A384"/>
  <c r="A378"/>
  <c r="H377"/>
  <c r="I377" s="1"/>
  <c r="H365"/>
  <c r="I365" s="1"/>
  <c r="A365"/>
  <c r="A366"/>
  <c r="H362"/>
  <c r="I362" s="1"/>
  <c r="A364"/>
  <c r="H345"/>
  <c r="I345" s="1"/>
  <c r="A346"/>
  <c r="H321"/>
  <c r="I321" s="1"/>
  <c r="A324"/>
  <c r="A318"/>
  <c r="H610" l="1"/>
  <c r="I610" s="1"/>
  <c r="I611"/>
  <c r="H523"/>
  <c r="H522" s="1"/>
  <c r="I524"/>
  <c r="H315"/>
  <c r="I315" s="1"/>
  <c r="I523" l="1"/>
  <c r="I522" s="1"/>
  <c r="H247"/>
  <c r="I247" s="1"/>
  <c r="A249"/>
  <c r="A294"/>
  <c r="A322"/>
  <c r="A340"/>
  <c r="A316"/>
  <c r="I306"/>
  <c r="A308"/>
  <c r="H58"/>
  <c r="I58" s="1"/>
  <c r="A58"/>
  <c r="A59"/>
  <c r="H140"/>
  <c r="I140" s="1"/>
  <c r="A140"/>
  <c r="A141"/>
  <c r="A150"/>
  <c r="H56"/>
  <c r="I56" s="1"/>
  <c r="H62"/>
  <c r="I62" s="1"/>
  <c r="A64"/>
  <c r="A56"/>
  <c r="A57"/>
  <c r="A62"/>
  <c r="A63"/>
  <c r="A758"/>
  <c r="H24"/>
  <c r="I24" s="1"/>
  <c r="A21"/>
  <c r="A22"/>
  <c r="A24"/>
  <c r="A25"/>
  <c r="A464"/>
  <c r="A461"/>
  <c r="A18"/>
  <c r="A20"/>
  <c r="H553"/>
  <c r="A553"/>
  <c r="A554"/>
  <c r="I553" l="1"/>
  <c r="H291"/>
  <c r="I291" s="1"/>
  <c r="B51" i="44" l="1"/>
  <c r="H714" i="5"/>
  <c r="A713"/>
  <c r="A714"/>
  <c r="A715"/>
  <c r="G51" i="48"/>
  <c r="G50"/>
  <c r="A109" i="5"/>
  <c r="D50" i="44"/>
  <c r="B50"/>
  <c r="H713" i="5" l="1"/>
  <c r="I713" s="1"/>
  <c r="I714"/>
  <c r="J36" i="1"/>
  <c r="K38"/>
  <c r="D51" i="44"/>
  <c r="H671" i="5"/>
  <c r="I671" s="1"/>
  <c r="A673"/>
  <c r="H380"/>
  <c r="I380" s="1"/>
  <c r="A381"/>
  <c r="A368"/>
  <c r="H367"/>
  <c r="I367" s="1"/>
  <c r="H474"/>
  <c r="A475"/>
  <c r="H682"/>
  <c r="I682" s="1"/>
  <c r="A683"/>
  <c r="A682"/>
  <c r="A106"/>
  <c r="H106"/>
  <c r="I106" s="1"/>
  <c r="A107"/>
  <c r="A103"/>
  <c r="E28" i="13"/>
  <c r="H111" i="5"/>
  <c r="H123"/>
  <c r="A98"/>
  <c r="A111"/>
  <c r="A112"/>
  <c r="A123"/>
  <c r="A124"/>
  <c r="I123" l="1"/>
  <c r="I111"/>
  <c r="I474"/>
  <c r="H473"/>
  <c r="I103"/>
  <c r="H128"/>
  <c r="H119"/>
  <c r="I119" s="1"/>
  <c r="A108"/>
  <c r="A110"/>
  <c r="A119"/>
  <c r="A120"/>
  <c r="A125"/>
  <c r="A128"/>
  <c r="A129"/>
  <c r="D49" i="13"/>
  <c r="E48"/>
  <c r="E47"/>
  <c r="E46"/>
  <c r="E41"/>
  <c r="E40"/>
  <c r="D42"/>
  <c r="H717" i="5"/>
  <c r="A716"/>
  <c r="A717"/>
  <c r="A718"/>
  <c r="A732"/>
  <c r="A733"/>
  <c r="A734"/>
  <c r="A735"/>
  <c r="H110" l="1"/>
  <c r="I110" s="1"/>
  <c r="H716"/>
  <c r="I716" s="1"/>
  <c r="I717"/>
  <c r="H125"/>
  <c r="I125" s="1"/>
  <c r="I128"/>
  <c r="E49" i="13"/>
  <c r="E42"/>
  <c r="H732" i="5"/>
  <c r="I732" s="1"/>
  <c r="H100"/>
  <c r="A102"/>
  <c r="A100"/>
  <c r="A99"/>
  <c r="H374"/>
  <c r="I374" s="1"/>
  <c r="A375"/>
  <c r="K54" i="1"/>
  <c r="K55"/>
  <c r="K56"/>
  <c r="K59"/>
  <c r="K68"/>
  <c r="K69"/>
  <c r="K70"/>
  <c r="K71"/>
  <c r="K72"/>
  <c r="K73"/>
  <c r="K76"/>
  <c r="K77"/>
  <c r="K78"/>
  <c r="K79"/>
  <c r="K80"/>
  <c r="K82"/>
  <c r="K51"/>
  <c r="K48"/>
  <c r="J90"/>
  <c r="K90" s="1"/>
  <c r="K125"/>
  <c r="K120"/>
  <c r="K119"/>
  <c r="K118"/>
  <c r="K94"/>
  <c r="K138"/>
  <c r="K133"/>
  <c r="K136"/>
  <c r="K137"/>
  <c r="K135"/>
  <c r="E34" i="13"/>
  <c r="E29"/>
  <c r="E27"/>
  <c r="E26"/>
  <c r="E21"/>
  <c r="C35"/>
  <c r="C22"/>
  <c r="C106" s="1"/>
  <c r="H99" i="5" l="1"/>
  <c r="I99" s="1"/>
  <c r="I100"/>
  <c r="F51" i="44"/>
  <c r="H109" i="5"/>
  <c r="H108" s="1"/>
  <c r="E51" i="44"/>
  <c r="J42" i="1"/>
  <c r="K42" s="1"/>
  <c r="I108" i="5" l="1"/>
  <c r="E50" i="44"/>
  <c r="I109" i="5"/>
  <c r="F50" i="44" s="1"/>
  <c r="H98" i="5"/>
  <c r="I98" s="1"/>
  <c r="D16" i="24"/>
  <c r="D15"/>
  <c r="D14"/>
  <c r="D13"/>
  <c r="C12" i="2" l="1"/>
  <c r="H360" i="5"/>
  <c r="I360" s="1"/>
  <c r="A360"/>
  <c r="A361"/>
  <c r="H565" l="1"/>
  <c r="I565" s="1"/>
  <c r="A565"/>
  <c r="A566"/>
  <c r="D30" i="13" l="1"/>
  <c r="I42" i="48"/>
  <c r="I40"/>
  <c r="I39"/>
  <c r="I36"/>
  <c r="I35"/>
  <c r="I28"/>
  <c r="I13"/>
  <c r="H42"/>
  <c r="H40"/>
  <c r="H39"/>
  <c r="H36"/>
  <c r="H35"/>
  <c r="H28"/>
  <c r="H13"/>
  <c r="G42"/>
  <c r="G40"/>
  <c r="G39"/>
  <c r="G36"/>
  <c r="G35"/>
  <c r="G28"/>
  <c r="G13"/>
  <c r="F42"/>
  <c r="F40"/>
  <c r="F39"/>
  <c r="F36"/>
  <c r="F35"/>
  <c r="F28"/>
  <c r="F13"/>
  <c r="D42"/>
  <c r="D40"/>
  <c r="D39"/>
  <c r="D36"/>
  <c r="D35"/>
  <c r="D28"/>
  <c r="D13"/>
  <c r="E43" i="44"/>
  <c r="E41"/>
  <c r="E40"/>
  <c r="E28"/>
  <c r="F43"/>
  <c r="F41"/>
  <c r="F40"/>
  <c r="F28"/>
  <c r="D10"/>
  <c r="G45" i="48"/>
  <c r="G47"/>
  <c r="E45"/>
  <c r="D45"/>
  <c r="D37"/>
  <c r="D119" i="2"/>
  <c r="D118"/>
  <c r="D115"/>
  <c r="D112"/>
  <c r="D111"/>
  <c r="D109"/>
  <c r="D107"/>
  <c r="D106"/>
  <c r="D105"/>
  <c r="D103"/>
  <c r="D100"/>
  <c r="D94"/>
  <c r="D93"/>
  <c r="D92"/>
  <c r="D91"/>
  <c r="D90"/>
  <c r="D89"/>
  <c r="D88"/>
  <c r="D87"/>
  <c r="D86"/>
  <c r="D83"/>
  <c r="D82"/>
  <c r="D78"/>
  <c r="D76"/>
  <c r="D75"/>
  <c r="D74"/>
  <c r="D73"/>
  <c r="D68"/>
  <c r="D67"/>
  <c r="D66"/>
  <c r="D65"/>
  <c r="D62"/>
  <c r="D61"/>
  <c r="D59"/>
  <c r="D56"/>
  <c r="D55"/>
  <c r="D52"/>
  <c r="D51"/>
  <c r="D49"/>
  <c r="D48"/>
  <c r="D46"/>
  <c r="D44"/>
  <c r="D43"/>
  <c r="D42"/>
  <c r="D41"/>
  <c r="D40"/>
  <c r="D38"/>
  <c r="D37"/>
  <c r="D36"/>
  <c r="D35"/>
  <c r="D33"/>
  <c r="D31"/>
  <c r="D30"/>
  <c r="D29"/>
  <c r="D28"/>
  <c r="D27"/>
  <c r="D26"/>
  <c r="D24"/>
  <c r="D23"/>
  <c r="D20"/>
  <c r="D18"/>
  <c r="D17"/>
  <c r="D16"/>
  <c r="D15"/>
  <c r="D10"/>
  <c r="C119"/>
  <c r="C118"/>
  <c r="C117"/>
  <c r="C115"/>
  <c r="C114"/>
  <c r="C112"/>
  <c r="C111"/>
  <c r="C110"/>
  <c r="C109"/>
  <c r="C107"/>
  <c r="C106"/>
  <c r="C105"/>
  <c r="C104"/>
  <c r="C103"/>
  <c r="C101"/>
  <c r="C100"/>
  <c r="C99"/>
  <c r="C97"/>
  <c r="C96"/>
  <c r="C94"/>
  <c r="C93"/>
  <c r="C92"/>
  <c r="C91"/>
  <c r="C90"/>
  <c r="C89"/>
  <c r="C88"/>
  <c r="C87"/>
  <c r="C86"/>
  <c r="C84"/>
  <c r="C83"/>
  <c r="C82"/>
  <c r="C79"/>
  <c r="C78"/>
  <c r="C77"/>
  <c r="C76"/>
  <c r="C75"/>
  <c r="C74"/>
  <c r="C73"/>
  <c r="C71"/>
  <c r="C69"/>
  <c r="C68"/>
  <c r="C67"/>
  <c r="C66"/>
  <c r="C65"/>
  <c r="C63"/>
  <c r="C62"/>
  <c r="C61"/>
  <c r="C60"/>
  <c r="C59"/>
  <c r="C57"/>
  <c r="C56"/>
  <c r="C55"/>
  <c r="C54"/>
  <c r="C53"/>
  <c r="C52"/>
  <c r="C51"/>
  <c r="C50"/>
  <c r="C49"/>
  <c r="C48"/>
  <c r="C47"/>
  <c r="C46"/>
  <c r="C44"/>
  <c r="C43"/>
  <c r="C42"/>
  <c r="C41"/>
  <c r="C40"/>
  <c r="C39"/>
  <c r="C38"/>
  <c r="C37"/>
  <c r="C36"/>
  <c r="C35"/>
  <c r="C34"/>
  <c r="C33"/>
  <c r="C31"/>
  <c r="C30"/>
  <c r="C29"/>
  <c r="C28"/>
  <c r="C27"/>
  <c r="C26"/>
  <c r="C25"/>
  <c r="C24"/>
  <c r="C23"/>
  <c r="C20"/>
  <c r="C19"/>
  <c r="C18"/>
  <c r="C17"/>
  <c r="C16"/>
  <c r="C15"/>
  <c r="C14"/>
  <c r="C13"/>
  <c r="C11"/>
  <c r="C10"/>
  <c r="D12"/>
  <c r="H761" i="5"/>
  <c r="I761" s="1"/>
  <c r="H757"/>
  <c r="I757" s="1"/>
  <c r="H742"/>
  <c r="I742" s="1"/>
  <c r="H740"/>
  <c r="H727"/>
  <c r="H689"/>
  <c r="I689" s="1"/>
  <c r="H687"/>
  <c r="I687" s="1"/>
  <c r="H684"/>
  <c r="I684" s="1"/>
  <c r="H680"/>
  <c r="I680" s="1"/>
  <c r="H677"/>
  <c r="H670"/>
  <c r="H660"/>
  <c r="I660" s="1"/>
  <c r="H645"/>
  <c r="H624"/>
  <c r="I624" s="1"/>
  <c r="H620"/>
  <c r="I620" s="1"/>
  <c r="H618"/>
  <c r="I618" s="1"/>
  <c r="H588"/>
  <c r="I588" s="1"/>
  <c r="H579"/>
  <c r="I579" s="1"/>
  <c r="H575"/>
  <c r="I575" s="1"/>
  <c r="H563"/>
  <c r="I563" s="1"/>
  <c r="H551"/>
  <c r="I551" s="1"/>
  <c r="H549"/>
  <c r="H547"/>
  <c r="I547" s="1"/>
  <c r="H545"/>
  <c r="H516"/>
  <c r="I516" s="1"/>
  <c r="H512"/>
  <c r="I512" s="1"/>
  <c r="H510"/>
  <c r="I510" s="1"/>
  <c r="H507"/>
  <c r="I507" s="1"/>
  <c r="H503"/>
  <c r="I503" s="1"/>
  <c r="H501"/>
  <c r="I501" s="1"/>
  <c r="H499"/>
  <c r="I499" s="1"/>
  <c r="H497"/>
  <c r="I497" s="1"/>
  <c r="H485"/>
  <c r="I485" s="1"/>
  <c r="H483"/>
  <c r="I483" s="1"/>
  <c r="H464"/>
  <c r="H461"/>
  <c r="H457"/>
  <c r="H453"/>
  <c r="H434"/>
  <c r="I434" s="1"/>
  <c r="H430"/>
  <c r="I430" s="1"/>
  <c r="H417"/>
  <c r="I417" s="1"/>
  <c r="H414"/>
  <c r="I414" s="1"/>
  <c r="H404"/>
  <c r="I404" s="1"/>
  <c r="H400"/>
  <c r="I400" s="1"/>
  <c r="H372"/>
  <c r="I372" s="1"/>
  <c r="H370"/>
  <c r="I370" s="1"/>
  <c r="H351"/>
  <c r="H344"/>
  <c r="H340"/>
  <c r="I340" s="1"/>
  <c r="H320"/>
  <c r="H314"/>
  <c r="H312"/>
  <c r="H302"/>
  <c r="I302" s="1"/>
  <c r="H299"/>
  <c r="I299" s="1"/>
  <c r="H297"/>
  <c r="I297" s="1"/>
  <c r="H295"/>
  <c r="I295" s="1"/>
  <c r="H280"/>
  <c r="H276" s="1"/>
  <c r="H259"/>
  <c r="I259" s="1"/>
  <c r="H256"/>
  <c r="I256" s="1"/>
  <c r="H254"/>
  <c r="I254" s="1"/>
  <c r="H252"/>
  <c r="I252" s="1"/>
  <c r="H250"/>
  <c r="I250" s="1"/>
  <c r="H242"/>
  <c r="I242" s="1"/>
  <c r="H240"/>
  <c r="I240" s="1"/>
  <c r="H237"/>
  <c r="H231"/>
  <c r="I231" s="1"/>
  <c r="H229"/>
  <c r="I229" s="1"/>
  <c r="H226"/>
  <c r="I226" s="1"/>
  <c r="H224"/>
  <c r="I224" s="1"/>
  <c r="H222"/>
  <c r="I222" s="1"/>
  <c r="H219"/>
  <c r="I219" s="1"/>
  <c r="H214"/>
  <c r="H211"/>
  <c r="I211" s="1"/>
  <c r="H209"/>
  <c r="I209" s="1"/>
  <c r="H204"/>
  <c r="I204" s="1"/>
  <c r="H202"/>
  <c r="I202" s="1"/>
  <c r="H200"/>
  <c r="I200" s="1"/>
  <c r="H196"/>
  <c r="I196" s="1"/>
  <c r="H194"/>
  <c r="H192"/>
  <c r="I192" s="1"/>
  <c r="H187"/>
  <c r="H184"/>
  <c r="I184" s="1"/>
  <c r="H182"/>
  <c r="I182" s="1"/>
  <c r="H178"/>
  <c r="I178" s="1"/>
  <c r="H176"/>
  <c r="I176" s="1"/>
  <c r="H174"/>
  <c r="I174" s="1"/>
  <c r="H169"/>
  <c r="H159"/>
  <c r="I159" s="1"/>
  <c r="H151"/>
  <c r="I151" s="1"/>
  <c r="H149"/>
  <c r="I149" s="1"/>
  <c r="H145"/>
  <c r="I145" s="1"/>
  <c r="H136"/>
  <c r="I136" s="1"/>
  <c r="H93"/>
  <c r="H86"/>
  <c r="I86" s="1"/>
  <c r="H81"/>
  <c r="H73"/>
  <c r="I73" s="1"/>
  <c r="H70"/>
  <c r="H49"/>
  <c r="H43"/>
  <c r="I43" s="1"/>
  <c r="H39"/>
  <c r="H33"/>
  <c r="I33" s="1"/>
  <c r="H28"/>
  <c r="H17"/>
  <c r="H13"/>
  <c r="E25" i="6"/>
  <c r="E23"/>
  <c r="E19"/>
  <c r="E14"/>
  <c r="D23"/>
  <c r="D13"/>
  <c r="E13" s="1"/>
  <c r="K123" i="1"/>
  <c r="K92"/>
  <c r="K147"/>
  <c r="K128" s="1"/>
  <c r="K107"/>
  <c r="K110"/>
  <c r="K102"/>
  <c r="K115"/>
  <c r="K106"/>
  <c r="K105"/>
  <c r="K104"/>
  <c r="K99"/>
  <c r="K114"/>
  <c r="K113"/>
  <c r="K108"/>
  <c r="K109"/>
  <c r="K101"/>
  <c r="K103"/>
  <c r="K122"/>
  <c r="K117"/>
  <c r="K116"/>
  <c r="K112"/>
  <c r="K111"/>
  <c r="K97"/>
  <c r="K91"/>
  <c r="K93"/>
  <c r="K127"/>
  <c r="K126"/>
  <c r="K124"/>
  <c r="K96"/>
  <c r="K100"/>
  <c r="K95"/>
  <c r="K46"/>
  <c r="K45"/>
  <c r="K44"/>
  <c r="K37"/>
  <c r="K35"/>
  <c r="K33"/>
  <c r="K32"/>
  <c r="K30"/>
  <c r="K29"/>
  <c r="K28"/>
  <c r="K27"/>
  <c r="K26"/>
  <c r="K24"/>
  <c r="K23"/>
  <c r="K18"/>
  <c r="K17"/>
  <c r="K15"/>
  <c r="K14" s="1"/>
  <c r="K13"/>
  <c r="K12" s="1"/>
  <c r="K98"/>
  <c r="K36"/>
  <c r="J31"/>
  <c r="J12"/>
  <c r="I194" i="5" l="1"/>
  <c r="H191"/>
  <c r="I740"/>
  <c r="I737" s="1"/>
  <c r="H737"/>
  <c r="I545"/>
  <c r="H542"/>
  <c r="I549"/>
  <c r="I70"/>
  <c r="I55" s="1"/>
  <c r="H55"/>
  <c r="I237"/>
  <c r="H236"/>
  <c r="K19" i="1"/>
  <c r="K16" s="1"/>
  <c r="J16"/>
  <c r="I17" i="5"/>
  <c r="H80"/>
  <c r="I80" s="1"/>
  <c r="I81"/>
  <c r="I139"/>
  <c r="H319"/>
  <c r="I320"/>
  <c r="H463"/>
  <c r="I463" s="1"/>
  <c r="I464"/>
  <c r="H676"/>
  <c r="I677"/>
  <c r="H92"/>
  <c r="I93"/>
  <c r="H213"/>
  <c r="I213" s="1"/>
  <c r="I214"/>
  <c r="H311"/>
  <c r="I311" s="1"/>
  <c r="I312"/>
  <c r="H343"/>
  <c r="I343" s="1"/>
  <c r="I344"/>
  <c r="H456"/>
  <c r="I457"/>
  <c r="H12"/>
  <c r="I13"/>
  <c r="H38"/>
  <c r="I39"/>
  <c r="H168"/>
  <c r="I169"/>
  <c r="I276"/>
  <c r="I280"/>
  <c r="H452"/>
  <c r="I452" s="1"/>
  <c r="I453"/>
  <c r="H644"/>
  <c r="I644" s="1"/>
  <c r="I645"/>
  <c r="H726"/>
  <c r="I727"/>
  <c r="H27"/>
  <c r="I27" s="1"/>
  <c r="I28"/>
  <c r="H48"/>
  <c r="I49"/>
  <c r="H186"/>
  <c r="I186" s="1"/>
  <c r="I187"/>
  <c r="E13" i="44"/>
  <c r="I314" i="5"/>
  <c r="F13" i="44" s="1"/>
  <c r="H350" i="5"/>
  <c r="I351"/>
  <c r="H460"/>
  <c r="I460" s="1"/>
  <c r="I461"/>
  <c r="H669"/>
  <c r="I669" s="1"/>
  <c r="I670"/>
  <c r="I191"/>
  <c r="H290"/>
  <c r="H574"/>
  <c r="I574" s="1"/>
  <c r="I587"/>
  <c r="H413"/>
  <c r="H144"/>
  <c r="H494"/>
  <c r="I494" s="1"/>
  <c r="H659"/>
  <c r="H42"/>
  <c r="H32"/>
  <c r="K43" i="1"/>
  <c r="H38" i="48"/>
  <c r="H173" i="5"/>
  <c r="I173" s="1"/>
  <c r="E19" i="48"/>
  <c r="E47"/>
  <c r="E48"/>
  <c r="E37"/>
  <c r="E38"/>
  <c r="E34"/>
  <c r="E43"/>
  <c r="E30"/>
  <c r="E31"/>
  <c r="E32"/>
  <c r="E26"/>
  <c r="E27"/>
  <c r="E20"/>
  <c r="E21"/>
  <c r="C116" i="2"/>
  <c r="H399" i="5"/>
  <c r="H679"/>
  <c r="I679" s="1"/>
  <c r="E30" i="13"/>
  <c r="E21" i="44"/>
  <c r="C108" i="2"/>
  <c r="C64"/>
  <c r="C85"/>
  <c r="C102"/>
  <c r="C113"/>
  <c r="K22" i="1"/>
  <c r="J34"/>
  <c r="K34"/>
  <c r="K25"/>
  <c r="C58" i="2"/>
  <c r="D85"/>
  <c r="C9"/>
  <c r="K31" i="1"/>
  <c r="C45" i="2"/>
  <c r="C22"/>
  <c r="C32"/>
  <c r="D38" i="48"/>
  <c r="G41"/>
  <c r="G43"/>
  <c r="H34"/>
  <c r="G19"/>
  <c r="G29"/>
  <c r="D43"/>
  <c r="D34"/>
  <c r="G31"/>
  <c r="G32"/>
  <c r="G26"/>
  <c r="G27"/>
  <c r="H30"/>
  <c r="D20"/>
  <c r="D21"/>
  <c r="D19"/>
  <c r="D30"/>
  <c r="D27"/>
  <c r="G37"/>
  <c r="G38"/>
  <c r="G34"/>
  <c r="G20"/>
  <c r="G21"/>
  <c r="H32"/>
  <c r="H48"/>
  <c r="H43"/>
  <c r="E16"/>
  <c r="G30"/>
  <c r="G48"/>
  <c r="H19"/>
  <c r="H21"/>
  <c r="H27"/>
  <c r="G11"/>
  <c r="G46"/>
  <c r="D32"/>
  <c r="E11"/>
  <c r="G16"/>
  <c r="D11"/>
  <c r="D46"/>
  <c r="D44"/>
  <c r="E12"/>
  <c r="D48"/>
  <c r="D23"/>
  <c r="H509" i="5"/>
  <c r="H686"/>
  <c r="H756"/>
  <c r="H218"/>
  <c r="H208"/>
  <c r="H429"/>
  <c r="H158"/>
  <c r="H135"/>
  <c r="H617"/>
  <c r="H339"/>
  <c r="H623"/>
  <c r="I473"/>
  <c r="H85"/>
  <c r="I85" s="1"/>
  <c r="H342"/>
  <c r="I342" s="1"/>
  <c r="C81" i="2"/>
  <c r="C80" s="1"/>
  <c r="E10" i="6"/>
  <c r="D10"/>
  <c r="J41" i="1"/>
  <c r="K11" l="1"/>
  <c r="E55" i="44"/>
  <c r="J11" i="1"/>
  <c r="J149" s="1"/>
  <c r="D21" i="6" s="1"/>
  <c r="E21" s="1"/>
  <c r="I542" i="5"/>
  <c r="H12" i="48"/>
  <c r="H451" i="5"/>
  <c r="I451" s="1"/>
  <c r="H26"/>
  <c r="I26" s="1"/>
  <c r="H138"/>
  <c r="I138" s="1"/>
  <c r="H79"/>
  <c r="D39" i="2" s="1"/>
  <c r="H635" i="5"/>
  <c r="I635" s="1"/>
  <c r="H622"/>
  <c r="I622" s="1"/>
  <c r="I623"/>
  <c r="H134"/>
  <c r="I134" s="1"/>
  <c r="I135"/>
  <c r="H217"/>
  <c r="I218"/>
  <c r="E12" i="44"/>
  <c r="I509" i="5"/>
  <c r="F12" i="44" s="1"/>
  <c r="H47" i="5"/>
  <c r="I48"/>
  <c r="F49" i="44" s="1"/>
  <c r="H721" i="5"/>
  <c r="I721" s="1"/>
  <c r="I726"/>
  <c r="H37"/>
  <c r="I38"/>
  <c r="F37" i="44" s="1"/>
  <c r="H455" i="5"/>
  <c r="I456"/>
  <c r="H91"/>
  <c r="I92"/>
  <c r="F35" i="44" s="1"/>
  <c r="H15" i="5"/>
  <c r="I16"/>
  <c r="H616"/>
  <c r="I616" s="1"/>
  <c r="I617"/>
  <c r="H428"/>
  <c r="I428" s="1"/>
  <c r="I429"/>
  <c r="H398"/>
  <c r="I398" s="1"/>
  <c r="I399"/>
  <c r="H235"/>
  <c r="I236"/>
  <c r="H349"/>
  <c r="I350"/>
  <c r="H167"/>
  <c r="I168"/>
  <c r="H11"/>
  <c r="I12"/>
  <c r="E46" i="44"/>
  <c r="I676" i="5"/>
  <c r="F46" i="44" s="1"/>
  <c r="E20"/>
  <c r="I319" i="5"/>
  <c r="H459"/>
  <c r="E49" i="44"/>
  <c r="E37"/>
  <c r="I79" i="5"/>
  <c r="H692"/>
  <c r="H479"/>
  <c r="I480"/>
  <c r="H31"/>
  <c r="I31" s="1"/>
  <c r="F32" i="44" s="1"/>
  <c r="I32" i="5"/>
  <c r="F33" i="44" s="1"/>
  <c r="H658" i="5"/>
  <c r="E30" i="44" s="1"/>
  <c r="I659" i="5"/>
  <c r="F31" i="44" s="1"/>
  <c r="H514" i="5"/>
  <c r="I514" s="1"/>
  <c r="I515"/>
  <c r="E16" i="44"/>
  <c r="I208" i="5"/>
  <c r="F16" i="44" s="1"/>
  <c r="E56"/>
  <c r="I686" i="5"/>
  <c r="F56" i="44" s="1"/>
  <c r="H358" i="5"/>
  <c r="H357" s="1"/>
  <c r="I359"/>
  <c r="H143"/>
  <c r="I143" s="1"/>
  <c r="I144"/>
  <c r="H289"/>
  <c r="I289" s="1"/>
  <c r="I290"/>
  <c r="H338"/>
  <c r="I339"/>
  <c r="H157"/>
  <c r="I157" s="1"/>
  <c r="I158"/>
  <c r="H755"/>
  <c r="D14" i="2" s="1"/>
  <c r="I756" i="5"/>
  <c r="H736"/>
  <c r="I736" s="1"/>
  <c r="H41"/>
  <c r="I42"/>
  <c r="F39" i="44" s="1"/>
  <c r="H412" i="5"/>
  <c r="H411" s="1"/>
  <c r="I413"/>
  <c r="H310"/>
  <c r="E35" i="44"/>
  <c r="H573" i="5"/>
  <c r="I573" s="1"/>
  <c r="H586"/>
  <c r="I586" s="1"/>
  <c r="E31" i="44"/>
  <c r="E33"/>
  <c r="E39"/>
  <c r="E27"/>
  <c r="F45" i="48"/>
  <c r="F20"/>
  <c r="F29"/>
  <c r="F19"/>
  <c r="F27"/>
  <c r="F30"/>
  <c r="F33"/>
  <c r="F37"/>
  <c r="F21"/>
  <c r="F34"/>
  <c r="F38"/>
  <c r="F43"/>
  <c r="F41"/>
  <c r="H493" i="5"/>
  <c r="H47" i="48"/>
  <c r="H25"/>
  <c r="H45"/>
  <c r="H16"/>
  <c r="H31"/>
  <c r="H22"/>
  <c r="E46"/>
  <c r="E23"/>
  <c r="E17"/>
  <c r="E24"/>
  <c r="E25"/>
  <c r="E18"/>
  <c r="E41"/>
  <c r="E15"/>
  <c r="H51"/>
  <c r="E29"/>
  <c r="E33"/>
  <c r="E22"/>
  <c r="H50"/>
  <c r="H84" i="5"/>
  <c r="E44" i="44"/>
  <c r="E11"/>
  <c r="E23"/>
  <c r="D96" i="2"/>
  <c r="H675" i="5"/>
  <c r="E47" i="44"/>
  <c r="H472" i="5"/>
  <c r="H471" s="1"/>
  <c r="E19" i="44"/>
  <c r="E25"/>
  <c r="F51" i="48"/>
  <c r="H541" i="5"/>
  <c r="E18" i="44"/>
  <c r="H172" i="5"/>
  <c r="E15" i="44"/>
  <c r="D12" i="48"/>
  <c r="D16"/>
  <c r="H46"/>
  <c r="G25"/>
  <c r="D25"/>
  <c r="D15"/>
  <c r="H41"/>
  <c r="G17"/>
  <c r="G33"/>
  <c r="D26"/>
  <c r="D29"/>
  <c r="D18"/>
  <c r="G22"/>
  <c r="H18"/>
  <c r="H23"/>
  <c r="G12"/>
  <c r="G44"/>
  <c r="H11"/>
  <c r="G15"/>
  <c r="H29"/>
  <c r="G10"/>
  <c r="D33"/>
  <c r="D41"/>
  <c r="F12"/>
  <c r="H15"/>
  <c r="G18"/>
  <c r="G23"/>
  <c r="D10"/>
  <c r="D22"/>
  <c r="D31"/>
  <c r="H397" i="5"/>
  <c r="I397" s="1"/>
  <c r="F44" i="44"/>
  <c r="H190" i="5"/>
  <c r="H189" s="1"/>
  <c r="F47" i="44"/>
  <c r="F21"/>
  <c r="F19"/>
  <c r="K41" i="1"/>
  <c r="K149" l="1"/>
  <c r="H609" i="5"/>
  <c r="I609" s="1"/>
  <c r="I15"/>
  <c r="D13" i="2"/>
  <c r="H17" i="48"/>
  <c r="H30" i="5"/>
  <c r="D21" i="2" s="1"/>
  <c r="D25"/>
  <c r="D22" s="1"/>
  <c r="H142" i="5"/>
  <c r="F27" i="44"/>
  <c r="E32"/>
  <c r="E22"/>
  <c r="H288" i="5"/>
  <c r="I288" s="1"/>
  <c r="D19" i="2"/>
  <c r="E45" i="44"/>
  <c r="I675" i="5"/>
  <c r="F45" i="44" s="1"/>
  <c r="H171" i="5"/>
  <c r="I171" s="1"/>
  <c r="I172"/>
  <c r="I472"/>
  <c r="I84"/>
  <c r="F42" i="44" s="1"/>
  <c r="E10"/>
  <c r="I493" i="5"/>
  <c r="D117" i="2"/>
  <c r="D116" s="1"/>
  <c r="I459" i="5"/>
  <c r="H166"/>
  <c r="I167"/>
  <c r="H234"/>
  <c r="I235"/>
  <c r="D114" i="2"/>
  <c r="D113" s="1"/>
  <c r="I455" i="5"/>
  <c r="E48" i="44"/>
  <c r="I47" i="5"/>
  <c r="F48" i="44" s="1"/>
  <c r="H216" i="5"/>
  <c r="I216" s="1"/>
  <c r="I217"/>
  <c r="H309"/>
  <c r="I310"/>
  <c r="E38" i="44"/>
  <c r="I41" i="5"/>
  <c r="H754"/>
  <c r="I755"/>
  <c r="I754" s="1"/>
  <c r="H337"/>
  <c r="I337" s="1"/>
  <c r="I338"/>
  <c r="H691"/>
  <c r="I691" s="1"/>
  <c r="I692"/>
  <c r="F26" i="44" s="1"/>
  <c r="D63" i="2"/>
  <c r="E26" i="44"/>
  <c r="H540" i="5"/>
  <c r="I540" s="1"/>
  <c r="I541"/>
  <c r="I11"/>
  <c r="D11" i="2"/>
  <c r="H348" i="5"/>
  <c r="I349"/>
  <c r="H90"/>
  <c r="I90" s="1"/>
  <c r="I91"/>
  <c r="F34" i="44" s="1"/>
  <c r="E34"/>
  <c r="E36"/>
  <c r="I37" i="5"/>
  <c r="F36" i="44" s="1"/>
  <c r="I189" i="5"/>
  <c r="I190"/>
  <c r="I412"/>
  <c r="I358"/>
  <c r="H657"/>
  <c r="I657" s="1"/>
  <c r="I658"/>
  <c r="F30" i="44" s="1"/>
  <c r="H478" i="5"/>
  <c r="I478" s="1"/>
  <c r="I479"/>
  <c r="D110" i="2"/>
  <c r="D108" s="1"/>
  <c r="D69"/>
  <c r="D64" s="1"/>
  <c r="H427" i="5"/>
  <c r="H572"/>
  <c r="E24" i="44"/>
  <c r="F11"/>
  <c r="H492" i="5"/>
  <c r="I492" s="1"/>
  <c r="F32" i="48"/>
  <c r="F46"/>
  <c r="F11"/>
  <c r="F48"/>
  <c r="F26"/>
  <c r="F44"/>
  <c r="F25"/>
  <c r="F16"/>
  <c r="H24"/>
  <c r="H33"/>
  <c r="H37"/>
  <c r="H26"/>
  <c r="H20"/>
  <c r="E14"/>
  <c r="F50"/>
  <c r="E44"/>
  <c r="E10"/>
  <c r="F24" i="44"/>
  <c r="E13" i="2"/>
  <c r="F55" i="44"/>
  <c r="D34" i="2"/>
  <c r="D32" s="1"/>
  <c r="H674" i="5"/>
  <c r="H83"/>
  <c r="E42" i="44"/>
  <c r="F23"/>
  <c r="H10" i="48"/>
  <c r="F18" i="44"/>
  <c r="F25"/>
  <c r="E17"/>
  <c r="F15"/>
  <c r="E14"/>
  <c r="F15" i="48"/>
  <c r="F18"/>
  <c r="F23"/>
  <c r="D17"/>
  <c r="D47"/>
  <c r="D24"/>
  <c r="D14"/>
  <c r="G24"/>
  <c r="H44"/>
  <c r="G14"/>
  <c r="H14"/>
  <c r="F10"/>
  <c r="F22"/>
  <c r="C98" i="2"/>
  <c r="C95" s="1"/>
  <c r="F20" i="44"/>
  <c r="I142" i="5"/>
  <c r="H10" l="1"/>
  <c r="I10"/>
  <c r="E54" i="44"/>
  <c r="E57" s="1"/>
  <c r="D99" i="2"/>
  <c r="I30" i="5"/>
  <c r="E21" i="2" s="1"/>
  <c r="D47"/>
  <c r="D9"/>
  <c r="D60"/>
  <c r="D58" s="1"/>
  <c r="I427" i="5"/>
  <c r="H332"/>
  <c r="D72" i="2"/>
  <c r="H165" i="5"/>
  <c r="F10" i="44"/>
  <c r="E11" i="2"/>
  <c r="D57"/>
  <c r="I471" i="5"/>
  <c r="I348"/>
  <c r="D97" i="2"/>
  <c r="I83" i="5"/>
  <c r="I357"/>
  <c r="D98" i="2"/>
  <c r="I166" i="5"/>
  <c r="D53" i="2"/>
  <c r="I674" i="5"/>
  <c r="D84" i="2"/>
  <c r="I572" i="5"/>
  <c r="D101" i="2"/>
  <c r="I411" i="5"/>
  <c r="D104" i="2"/>
  <c r="D102" s="1"/>
  <c r="I309" i="5"/>
  <c r="I234"/>
  <c r="D79" i="2"/>
  <c r="D71"/>
  <c r="F24" i="48"/>
  <c r="F47"/>
  <c r="F31"/>
  <c r="G49"/>
  <c r="F38" i="44"/>
  <c r="E49" i="48"/>
  <c r="F17"/>
  <c r="D49"/>
  <c r="H49"/>
  <c r="G52"/>
  <c r="H52"/>
  <c r="D77" i="2"/>
  <c r="H470" i="5"/>
  <c r="D54" i="2"/>
  <c r="D50"/>
  <c r="F17" i="44"/>
  <c r="F22"/>
  <c r="C72" i="2"/>
  <c r="C70" s="1"/>
  <c r="C120" s="1"/>
  <c r="C121" s="1"/>
  <c r="D81"/>
  <c r="F14" i="44"/>
  <c r="F14" i="48"/>
  <c r="D95" i="2" l="1"/>
  <c r="D80"/>
  <c r="I332" i="5"/>
  <c r="D45" i="2"/>
  <c r="D70"/>
  <c r="I165" i="5"/>
  <c r="I767" s="1"/>
  <c r="F54" i="44"/>
  <c r="F57" s="1"/>
  <c r="F52" i="48"/>
  <c r="F49"/>
  <c r="I470" i="5"/>
  <c r="H767"/>
  <c r="D120" i="2" l="1"/>
  <c r="D22" i="6" l="1"/>
  <c r="E22" s="1"/>
  <c r="D121" i="2"/>
  <c r="A254" i="5"/>
  <c r="A255"/>
  <c r="A250"/>
  <c r="A251"/>
  <c r="B48" i="44"/>
  <c r="D20" i="6" l="1"/>
  <c r="D26" s="1"/>
  <c r="E51" i="48"/>
  <c r="E50"/>
  <c r="E52" l="1"/>
  <c r="I20" l="1"/>
  <c r="I21"/>
  <c r="I30"/>
  <c r="I12"/>
  <c r="I11"/>
  <c r="I16"/>
  <c r="I24" l="1"/>
  <c r="I25"/>
  <c r="I29"/>
  <c r="I18"/>
  <c r="I15"/>
  <c r="I14"/>
  <c r="I10" l="1"/>
  <c r="B11"/>
  <c r="B12"/>
  <c r="B13"/>
  <c r="B14"/>
  <c r="B15"/>
  <c r="B16"/>
  <c r="B17"/>
  <c r="B18"/>
  <c r="B19"/>
  <c r="B20"/>
  <c r="B21"/>
  <c r="B22"/>
  <c r="B23"/>
  <c r="B24"/>
  <c r="B25"/>
  <c r="B26"/>
  <c r="B27"/>
  <c r="B28"/>
  <c r="B29"/>
  <c r="B30"/>
  <c r="B31"/>
  <c r="B32"/>
  <c r="B33"/>
  <c r="B34"/>
  <c r="B35"/>
  <c r="B36"/>
  <c r="B37"/>
  <c r="B38"/>
  <c r="B39"/>
  <c r="B40"/>
  <c r="B41"/>
  <c r="B42"/>
  <c r="B43"/>
  <c r="B44"/>
  <c r="B45"/>
  <c r="B46"/>
  <c r="B47"/>
  <c r="B48"/>
  <c r="B50"/>
  <c r="B51"/>
  <c r="A511" i="5"/>
  <c r="A512"/>
  <c r="A501"/>
  <c r="A502"/>
  <c r="A620"/>
  <c r="A621"/>
  <c r="A547"/>
  <c r="A548"/>
  <c r="A549"/>
  <c r="A550"/>
  <c r="A485"/>
  <c r="A486"/>
  <c r="A484"/>
  <c r="A675"/>
  <c r="A659"/>
  <c r="A472"/>
  <c r="A657"/>
  <c r="A658"/>
  <c r="A660"/>
  <c r="A661"/>
  <c r="A740"/>
  <c r="A741"/>
  <c r="A742"/>
  <c r="A463"/>
  <c r="A465"/>
  <c r="A457"/>
  <c r="A182"/>
  <c r="A183"/>
  <c r="A169"/>
  <c r="A178"/>
  <c r="A179"/>
  <c r="A302"/>
  <c r="A303"/>
  <c r="A304"/>
  <c r="A305"/>
  <c r="A299"/>
  <c r="A300"/>
  <c r="A301"/>
  <c r="A297"/>
  <c r="A298"/>
  <c r="A295"/>
  <c r="A296"/>
  <c r="A231"/>
  <c r="A232"/>
  <c r="A233"/>
  <c r="A230"/>
  <c r="A224"/>
  <c r="A225"/>
  <c r="A240"/>
  <c r="A241"/>
  <c r="A242"/>
  <c r="A243"/>
  <c r="A244"/>
  <c r="A245"/>
  <c r="A246"/>
  <c r="A247"/>
  <c r="A248"/>
  <c r="A192"/>
  <c r="A193"/>
  <c r="A184"/>
  <c r="A185"/>
  <c r="A176"/>
  <c r="A177"/>
  <c r="A213"/>
  <c r="A214"/>
  <c r="A215"/>
  <c r="A311"/>
  <c r="A312"/>
  <c r="A313"/>
  <c r="A310"/>
  <c r="A314"/>
  <c r="A315"/>
  <c r="A317"/>
  <c r="A211"/>
  <c r="A212"/>
  <c r="A337"/>
  <c r="A338"/>
  <c r="A339"/>
  <c r="A341"/>
  <c r="A388"/>
  <c r="A390"/>
  <c r="A385"/>
  <c r="A387"/>
  <c r="A377"/>
  <c r="A379"/>
  <c r="A374"/>
  <c r="A376"/>
  <c r="A358"/>
  <c r="A372"/>
  <c r="A373"/>
  <c r="A370"/>
  <c r="A371"/>
  <c r="A362"/>
  <c r="A363"/>
  <c r="I37" i="48" l="1"/>
  <c r="I38"/>
  <c r="I43"/>
  <c r="I31"/>
  <c r="I32"/>
  <c r="I47"/>
  <c r="I48"/>
  <c r="A12" i="5"/>
  <c r="A13"/>
  <c r="I41" i="48" l="1"/>
  <c r="A404" i="5"/>
  <c r="A405"/>
  <c r="A400"/>
  <c r="A401"/>
  <c r="A344"/>
  <c r="A149"/>
  <c r="A134"/>
  <c r="A135"/>
  <c r="A136"/>
  <c r="A137"/>
  <c r="A138"/>
  <c r="A139"/>
  <c r="A83"/>
  <c r="A84"/>
  <c r="A85"/>
  <c r="A86"/>
  <c r="A87"/>
  <c r="A88"/>
  <c r="A89"/>
  <c r="B55" i="44"/>
  <c r="B56"/>
  <c r="B27"/>
  <c r="B28"/>
  <c r="B30"/>
  <c r="B31"/>
  <c r="B32"/>
  <c r="B33"/>
  <c r="B34"/>
  <c r="B35"/>
  <c r="B36"/>
  <c r="B37"/>
  <c r="B38"/>
  <c r="B39"/>
  <c r="B40"/>
  <c r="B41"/>
  <c r="B42"/>
  <c r="B43"/>
  <c r="B44"/>
  <c r="B45"/>
  <c r="B46"/>
  <c r="B47"/>
  <c r="B49"/>
  <c r="A50" i="5"/>
  <c r="A31"/>
  <c r="A32"/>
  <c r="A33"/>
  <c r="A34"/>
  <c r="A37"/>
  <c r="A38"/>
  <c r="A39"/>
  <c r="A40"/>
  <c r="A41"/>
  <c r="A42"/>
  <c r="A43"/>
  <c r="A44"/>
  <c r="A47"/>
  <c r="A48"/>
  <c r="A49"/>
  <c r="A91"/>
  <c r="D24" i="32"/>
  <c r="C24"/>
  <c r="D35" i="13"/>
  <c r="I45" i="48"/>
  <c r="A688" i="5"/>
  <c r="A689"/>
  <c r="A690"/>
  <c r="A681"/>
  <c r="A684"/>
  <c r="A685"/>
  <c r="A686"/>
  <c r="A90"/>
  <c r="A92"/>
  <c r="A93"/>
  <c r="A94"/>
  <c r="C30" i="32"/>
  <c r="D30"/>
  <c r="D13" i="31"/>
  <c r="D12"/>
  <c r="B12"/>
  <c r="B13"/>
  <c r="B11" i="21"/>
  <c r="B12"/>
  <c r="A762" i="5"/>
  <c r="A761"/>
  <c r="A760"/>
  <c r="A759"/>
  <c r="A757"/>
  <c r="A756"/>
  <c r="A755"/>
  <c r="A754"/>
  <c r="A743"/>
  <c r="A737"/>
  <c r="A736"/>
  <c r="A729"/>
  <c r="A728"/>
  <c r="A727"/>
  <c r="A726"/>
  <c r="A721"/>
  <c r="A696"/>
  <c r="A694"/>
  <c r="A693"/>
  <c r="A692"/>
  <c r="A691"/>
  <c r="A687"/>
  <c r="A680"/>
  <c r="A679"/>
  <c r="A678"/>
  <c r="A677"/>
  <c r="A676"/>
  <c r="A674"/>
  <c r="A672"/>
  <c r="A671"/>
  <c r="A670"/>
  <c r="A669"/>
  <c r="A646"/>
  <c r="A645"/>
  <c r="A644"/>
  <c r="A635"/>
  <c r="A626"/>
  <c r="A625"/>
  <c r="A624"/>
  <c r="A623"/>
  <c r="A622"/>
  <c r="A619"/>
  <c r="A618"/>
  <c r="A617"/>
  <c r="A616"/>
  <c r="A609"/>
  <c r="A589"/>
  <c r="A588"/>
  <c r="A587"/>
  <c r="A586"/>
  <c r="A581"/>
  <c r="A580"/>
  <c r="A579"/>
  <c r="A578"/>
  <c r="A577"/>
  <c r="A576"/>
  <c r="A575"/>
  <c r="A574"/>
  <c r="A573"/>
  <c r="A572"/>
  <c r="A564"/>
  <c r="A563"/>
  <c r="A552"/>
  <c r="A551"/>
  <c r="A546"/>
  <c r="A545"/>
  <c r="A542"/>
  <c r="A541"/>
  <c r="A540"/>
  <c r="A517"/>
  <c r="A516"/>
  <c r="A515"/>
  <c r="A514"/>
  <c r="A513"/>
  <c r="A510"/>
  <c r="A509"/>
  <c r="A508"/>
  <c r="A507"/>
  <c r="A504"/>
  <c r="A503"/>
  <c r="A500"/>
  <c r="A499"/>
  <c r="A498"/>
  <c r="A497"/>
  <c r="A494"/>
  <c r="A493"/>
  <c r="A492"/>
  <c r="A483"/>
  <c r="A480"/>
  <c r="A479"/>
  <c r="A478"/>
  <c r="A474"/>
  <c r="A473"/>
  <c r="A471"/>
  <c r="A470"/>
  <c r="A462"/>
  <c r="A460"/>
  <c r="A459"/>
  <c r="A458"/>
  <c r="A456"/>
  <c r="A455"/>
  <c r="A454"/>
  <c r="A453"/>
  <c r="A452"/>
  <c r="A451"/>
  <c r="A435"/>
  <c r="A434"/>
  <c r="A433"/>
  <c r="A432"/>
  <c r="A431"/>
  <c r="A430"/>
  <c r="A429"/>
  <c r="A428"/>
  <c r="A427"/>
  <c r="A420"/>
  <c r="A419"/>
  <c r="A418"/>
  <c r="A417"/>
  <c r="A416"/>
  <c r="A415"/>
  <c r="A414"/>
  <c r="A413"/>
  <c r="A412"/>
  <c r="A411"/>
  <c r="A410"/>
  <c r="A409"/>
  <c r="A399"/>
  <c r="A398"/>
  <c r="A397"/>
  <c r="A393"/>
  <c r="A391"/>
  <c r="A382"/>
  <c r="A380"/>
  <c r="A369"/>
  <c r="A367"/>
  <c r="A359"/>
  <c r="A357"/>
  <c r="A352"/>
  <c r="A351"/>
  <c r="A350"/>
  <c r="A349"/>
  <c r="A348"/>
  <c r="A347"/>
  <c r="A345"/>
  <c r="A343"/>
  <c r="A342"/>
  <c r="A332"/>
  <c r="A323"/>
  <c r="A321"/>
  <c r="A320"/>
  <c r="A319"/>
  <c r="A309"/>
  <c r="A307"/>
  <c r="A306"/>
  <c r="A293"/>
  <c r="A292"/>
  <c r="A291"/>
  <c r="A290"/>
  <c r="A289"/>
  <c r="A288"/>
  <c r="A281"/>
  <c r="A280"/>
  <c r="A276"/>
  <c r="A260"/>
  <c r="A259"/>
  <c r="A258"/>
  <c r="A257"/>
  <c r="A256"/>
  <c r="A253"/>
  <c r="A252"/>
  <c r="D28" i="44" s="1"/>
  <c r="A239" i="5"/>
  <c r="A238"/>
  <c r="A237"/>
  <c r="A236"/>
  <c r="A235"/>
  <c r="A234"/>
  <c r="A229"/>
  <c r="A228"/>
  <c r="A227"/>
  <c r="A226"/>
  <c r="A223"/>
  <c r="A222"/>
  <c r="A221"/>
  <c r="A220"/>
  <c r="A219"/>
  <c r="A218"/>
  <c r="A217"/>
  <c r="A216"/>
  <c r="A210"/>
  <c r="A209"/>
  <c r="A208"/>
  <c r="A205"/>
  <c r="A204"/>
  <c r="A203"/>
  <c r="A202"/>
  <c r="A201"/>
  <c r="A200"/>
  <c r="A197"/>
  <c r="A196"/>
  <c r="A195"/>
  <c r="A194"/>
  <c r="A191"/>
  <c r="A190"/>
  <c r="A189"/>
  <c r="A188"/>
  <c r="A187"/>
  <c r="A186"/>
  <c r="A175"/>
  <c r="A174"/>
  <c r="A173"/>
  <c r="A172"/>
  <c r="A171"/>
  <c r="A170"/>
  <c r="A168"/>
  <c r="A167"/>
  <c r="A166"/>
  <c r="A165"/>
  <c r="A160"/>
  <c r="A159"/>
  <c r="A158"/>
  <c r="A157"/>
  <c r="A152"/>
  <c r="A151"/>
  <c r="A148"/>
  <c r="A147"/>
  <c r="A146"/>
  <c r="A145"/>
  <c r="A144"/>
  <c r="A143"/>
  <c r="A142"/>
  <c r="A82"/>
  <c r="A81"/>
  <c r="A80"/>
  <c r="A79"/>
  <c r="A75"/>
  <c r="A74"/>
  <c r="A73"/>
  <c r="A72"/>
  <c r="A71"/>
  <c r="A70"/>
  <c r="A55"/>
  <c r="A30"/>
  <c r="A29"/>
  <c r="A28"/>
  <c r="A27"/>
  <c r="A26"/>
  <c r="A19"/>
  <c r="A17"/>
  <c r="A16"/>
  <c r="A15"/>
  <c r="A11"/>
  <c r="A10"/>
  <c r="A14"/>
  <c r="B10" i="48"/>
  <c r="B26" i="44"/>
  <c r="B25"/>
  <c r="B24"/>
  <c r="B23"/>
  <c r="B22"/>
  <c r="B21"/>
  <c r="B20"/>
  <c r="B19"/>
  <c r="B18"/>
  <c r="B17"/>
  <c r="B16"/>
  <c r="B15"/>
  <c r="B14"/>
  <c r="B13"/>
  <c r="B11"/>
  <c r="B10"/>
  <c r="B12"/>
  <c r="D26"/>
  <c r="D25"/>
  <c r="D24"/>
  <c r="D21"/>
  <c r="D20"/>
  <c r="D19"/>
  <c r="D18"/>
  <c r="D17"/>
  <c r="D16"/>
  <c r="D15"/>
  <c r="D14"/>
  <c r="D13"/>
  <c r="E35" i="13" l="1"/>
  <c r="I50" i="48"/>
  <c r="I51"/>
  <c r="I26"/>
  <c r="I27"/>
  <c r="I34"/>
  <c r="I19"/>
  <c r="I23"/>
  <c r="D50"/>
  <c r="D51"/>
  <c r="I46"/>
  <c r="D46" i="44"/>
  <c r="D32"/>
  <c r="D48"/>
  <c r="D43"/>
  <c r="D40"/>
  <c r="D30"/>
  <c r="D36"/>
  <c r="D45"/>
  <c r="D41"/>
  <c r="D31"/>
  <c r="D44"/>
  <c r="D47"/>
  <c r="D39"/>
  <c r="D49"/>
  <c r="D37"/>
  <c r="D35"/>
  <c r="D33"/>
  <c r="D34"/>
  <c r="D27"/>
  <c r="D12"/>
  <c r="D52" i="48" l="1"/>
  <c r="I22"/>
  <c r="I17"/>
  <c r="I33"/>
  <c r="I44"/>
  <c r="D23" i="44"/>
  <c r="D22"/>
  <c r="D42"/>
  <c r="D55"/>
  <c r="D38"/>
  <c r="D54" l="1"/>
  <c r="D57" s="1"/>
  <c r="I49" i="48"/>
  <c r="I52"/>
  <c r="D14" i="40"/>
  <c r="D17" s="1"/>
  <c r="C14"/>
  <c r="C17" s="1"/>
  <c r="D12"/>
  <c r="C12"/>
  <c r="D10"/>
  <c r="C10"/>
  <c r="C14" i="39"/>
  <c r="C13" s="1"/>
  <c r="C16" s="1"/>
  <c r="C11"/>
  <c r="C9"/>
  <c r="D19" i="38"/>
  <c r="C19"/>
  <c r="D24" i="37"/>
  <c r="E23"/>
  <c r="E22"/>
  <c r="E21"/>
  <c r="E20"/>
  <c r="E19"/>
  <c r="E18"/>
  <c r="E17" s="1"/>
  <c r="C17"/>
  <c r="E16"/>
  <c r="E15"/>
  <c r="E14"/>
  <c r="E13"/>
  <c r="C12"/>
  <c r="E11"/>
  <c r="C10"/>
  <c r="C24" s="1"/>
  <c r="E17" i="33"/>
  <c r="D17"/>
  <c r="C17"/>
  <c r="B17"/>
  <c r="C17" i="24"/>
  <c r="D17" s="1"/>
  <c r="D19" i="32"/>
  <c r="C19"/>
  <c r="D11"/>
  <c r="D31" s="1"/>
  <c r="C11"/>
  <c r="C31" s="1"/>
  <c r="D22" i="13"/>
  <c r="D106" s="1"/>
  <c r="D16"/>
  <c r="E15"/>
  <c r="D11"/>
  <c r="E10"/>
  <c r="E14" i="31"/>
  <c r="D14"/>
  <c r="C14"/>
  <c r="B14"/>
  <c r="C13" i="21"/>
  <c r="B13"/>
  <c r="E10" i="37" l="1"/>
  <c r="E12"/>
  <c r="E22" i="13"/>
  <c r="E106" s="1"/>
  <c r="E11"/>
  <c r="E16"/>
  <c r="E24" i="37" l="1"/>
  <c r="D11" i="44"/>
  <c r="E119" i="2" l="1"/>
  <c r="E118"/>
  <c r="E117"/>
  <c r="E115"/>
  <c r="E114"/>
  <c r="E112"/>
  <c r="E111"/>
  <c r="E110" s="1"/>
  <c r="E109"/>
  <c r="E107"/>
  <c r="E106"/>
  <c r="E105"/>
  <c r="E104" s="1"/>
  <c r="E103"/>
  <c r="E100"/>
  <c r="E99"/>
  <c r="E98"/>
  <c r="E97" s="1"/>
  <c r="E96"/>
  <c r="E94"/>
  <c r="E93"/>
  <c r="E92"/>
  <c r="E91"/>
  <c r="E90"/>
  <c r="E89"/>
  <c r="E88"/>
  <c r="E87"/>
  <c r="E86"/>
  <c r="E83"/>
  <c r="E82"/>
  <c r="E81" s="1"/>
  <c r="E78"/>
  <c r="E77" s="1"/>
  <c r="E76"/>
  <c r="E75"/>
  <c r="E74"/>
  <c r="E73"/>
  <c r="E72"/>
  <c r="E71" s="1"/>
  <c r="E69"/>
  <c r="E68"/>
  <c r="E67"/>
  <c r="E66"/>
  <c r="E65"/>
  <c r="E63"/>
  <c r="E62"/>
  <c r="E61"/>
  <c r="E60"/>
  <c r="E59"/>
  <c r="E57"/>
  <c r="E56"/>
  <c r="E55"/>
  <c r="E54"/>
  <c r="E53"/>
  <c r="E52"/>
  <c r="E51"/>
  <c r="E50"/>
  <c r="E49"/>
  <c r="E48"/>
  <c r="E47"/>
  <c r="E46" s="1"/>
  <c r="E44"/>
  <c r="E43"/>
  <c r="E42"/>
  <c r="E41"/>
  <c r="E40"/>
  <c r="E39"/>
  <c r="E38"/>
  <c r="E37"/>
  <c r="E36"/>
  <c r="E35"/>
  <c r="E34" s="1"/>
  <c r="E33"/>
  <c r="E31"/>
  <c r="E30"/>
  <c r="E29"/>
  <c r="E28"/>
  <c r="E27"/>
  <c r="E26"/>
  <c r="E25" s="1"/>
  <c r="E24"/>
  <c r="E23"/>
  <c r="E20"/>
  <c r="E19" s="1"/>
  <c r="E18"/>
  <c r="E17"/>
  <c r="E16"/>
  <c r="E15"/>
  <c r="E14"/>
  <c r="E12"/>
  <c r="E10"/>
  <c r="E9" l="1"/>
  <c r="E45"/>
  <c r="E113"/>
  <c r="E64"/>
  <c r="E22"/>
  <c r="E85"/>
  <c r="E84" s="1"/>
  <c r="E80" s="1"/>
  <c r="E79" s="1"/>
  <c r="E70" s="1"/>
  <c r="E108"/>
  <c r="E102"/>
  <c r="E101" s="1"/>
  <c r="E95" s="1"/>
  <c r="E32"/>
  <c r="E116"/>
  <c r="E58"/>
  <c r="E120" l="1"/>
  <c r="E121" s="1"/>
  <c r="E20" i="6" l="1"/>
  <c r="E26" s="1"/>
</calcChain>
</file>

<file path=xl/sharedStrings.xml><?xml version="1.0" encoding="utf-8"?>
<sst xmlns="http://schemas.openxmlformats.org/spreadsheetml/2006/main" count="4813" uniqueCount="2800">
  <si>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</si>
  <si>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НАЦИОНАЛЬНАЯ БЕЗОПАСНОСТЬ И ПРАВООХРАНИТЕЛЬНАЯ ДЕЯТЕЛЬНОСТЬ</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</si>
  <si>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</si>
  <si>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</si>
  <si>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Мероприятия в области образования</t>
  </si>
  <si>
    <t>Приложение 2</t>
  </si>
  <si>
    <t>Приложение 4</t>
  </si>
  <si>
    <t xml:space="preserve">Наименование </t>
  </si>
  <si>
    <t>Константиновское сельское поселение</t>
  </si>
  <si>
    <t xml:space="preserve">2. Субсидия на реализацию муниципальных программ развития субъектов малого и среднего  предпринимательства, включенных в перечень монопрофильных муниципальных районов с высокой степенью проявления кризисной ситуации в социально-экономической сфере </t>
  </si>
  <si>
    <t>Городское поселение Тутаев</t>
  </si>
  <si>
    <t>3. Субсидия на финансирование дорожного хозяйства</t>
  </si>
  <si>
    <t>2 18 05010 05 0000 151</t>
  </si>
  <si>
    <t>Арендная плата и поступления от от продажи и заключения договоров аренды за земли городских поселений</t>
  </si>
  <si>
    <t>Учреждения, обеспечивающие предоставление услуг в сфере лесных отношений</t>
  </si>
  <si>
    <t>Вопросы в области лесных отношений</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</si>
  <si>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</si>
  <si>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</si>
  <si>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Обеспечение деятельности вневедомственной охраны</t>
  </si>
  <si>
    <t>Администратора</t>
  </si>
  <si>
    <t>Группы</t>
  </si>
  <si>
    <t>Мобилизационная подготовка и переподготовка резервов, учебно-сборовые мероприятия</t>
  </si>
  <si>
    <t>Обеспечение функционирования аппаратов фондов поддержки научной  и (или) научно-технической деятельности</t>
  </si>
  <si>
    <t>Порядок (методика) и условия распределения субсидий  бюджетам поселений Тутаевского муниципального района на 2013 год.</t>
  </si>
  <si>
    <t>2014 год</t>
  </si>
  <si>
    <t>Перечень главных распорядителей бюджетных средств бюджета Тутаевского муниципального района</t>
  </si>
  <si>
    <t>Приложение 12</t>
  </si>
  <si>
    <t>Приложение 15</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</si>
  <si>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</si>
  <si>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</si>
  <si>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</si>
  <si>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</si>
  <si>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</si>
  <si>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</si>
  <si>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</si>
  <si>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</si>
  <si>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</si>
  <si>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Дошкольное образование</t>
  </si>
  <si>
    <t>Подгруппы</t>
  </si>
  <si>
    <t>Статьи и   подстатьи</t>
  </si>
  <si>
    <t>Природоохранные учреждения</t>
  </si>
  <si>
    <t>Учреждения, обеспечивающие предоставление услуг в сфере образования</t>
  </si>
  <si>
    <t>Субсидии аэропортам, расположенным в районах Крайнего Севера и приравненных к ним местностях</t>
  </si>
  <si>
    <t>Кредиты кредитных организаций в валюте Российской Федерации</t>
  </si>
  <si>
    <t>955 01 02 00 00 00 0000 700</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</si>
  <si>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</si>
  <si>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</si>
  <si>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</si>
  <si>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Министерство образования РФ</t>
  </si>
  <si>
    <t>Министерство финансов РФ</t>
  </si>
  <si>
    <t>Дополнительная подготовка участковых врачей</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</si>
  <si>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</si>
  <si>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</si>
  <si>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Функционирование органов в сфере национальной безопасности и правоохранительной деятельности</t>
  </si>
  <si>
    <t xml:space="preserve">Оплата и хранение специального топлива и горюче-смазочных материалов </t>
  </si>
  <si>
    <t>Обеспечение проведения выборов и референдумов</t>
  </si>
  <si>
    <t>Геодезия и картография</t>
  </si>
  <si>
    <t>Обеспечение деятельности подведомственных учреждений</t>
  </si>
  <si>
    <t>Другие вопросы в области образования</t>
  </si>
  <si>
    <t>02030</t>
  </si>
  <si>
    <t>Периодическая печать</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</si>
  <si>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</si>
  <si>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Государственная регистрация актов гражданского состояния</t>
  </si>
  <si>
    <t>Санаторно-оздоровительная помощь</t>
  </si>
  <si>
    <t>Плата за негативное воздействие на окружающую среду</t>
  </si>
  <si>
    <t>Штрафы, санкции, возмещение ущерба</t>
  </si>
  <si>
    <t>Субсидия на подготовку к зиме объектов коммунального назначения</t>
  </si>
  <si>
    <t>Мероприятия в области санитарно-эпидемиологического надзора</t>
  </si>
  <si>
    <t>Центры спортивной подготовки (сборные команды)</t>
  </si>
  <si>
    <t>Противочумные организации</t>
  </si>
  <si>
    <t>МЦП "Развитие субъектов малого и среднего предпринимательства Тутаевского муниципального района на 2009 - 2011 годы"</t>
  </si>
  <si>
    <t xml:space="preserve"> </t>
  </si>
  <si>
    <t>Экономической классификации</t>
  </si>
  <si>
    <t>000</t>
  </si>
  <si>
    <t>1</t>
  </si>
  <si>
    <t>00</t>
  </si>
  <si>
    <t>00000</t>
  </si>
  <si>
    <t>0000</t>
  </si>
  <si>
    <t>182</t>
  </si>
  <si>
    <t>Центры информатизации и обучения избирательным технологиям</t>
  </si>
  <si>
    <t>Обеспечение мероприятий по поддержке соотечественников, проживающих за рубежом</t>
  </si>
  <si>
    <t>Подпрограмма "Внедрение и использование спутниковых навигационных систем в области транспорта"</t>
  </si>
  <si>
    <t>Социальное обслуживание населения</t>
  </si>
  <si>
    <t>Другие вопросы в области социальной политики</t>
  </si>
  <si>
    <t>Детские дошкольные учреждения</t>
  </si>
  <si>
    <t>Общее образование</t>
  </si>
  <si>
    <t>Федеральная целевая программа "Обеспечение ядерной и радиационной безопасности на 2008 год и на период до 2015 года"</t>
  </si>
  <si>
    <t xml:space="preserve"> Российский центр  международного научного  и культурного сотрудничества  при правительстве  РФ</t>
  </si>
  <si>
    <t>Реализация мер социальной поддержки отдельных категорий граждан</t>
  </si>
  <si>
    <t>Обеспечение мер социальной поддержки ветеранов труда</t>
  </si>
  <si>
    <t>Оплата труда патронатного родителя</t>
  </si>
  <si>
    <t xml:space="preserve"> Российская академия сельскохозяйственных наук</t>
  </si>
  <si>
    <t>Федеральная миграционная служба</t>
  </si>
  <si>
    <t>Субсидии на проведение мероприятий по поисковому и аварийно-спасательному обеспечению полетов</t>
  </si>
  <si>
    <t>Отдельные мероприятия в области воздушного транспорта</t>
  </si>
  <si>
    <t>Федеральный закон от 17 декабря 2001 года № 173-ФЗ "О трудовых пенсиях в Российской Федерации"</t>
  </si>
  <si>
    <t>Мероприятия, связанные с распоряжением и реализацией выморочного имущества</t>
  </si>
  <si>
    <t>Федеральная целевая программа "Развитие оборонно-промышленного комплекса Российской Федерации на 2007 - 2010 годы и на период до 2015 года"</t>
  </si>
  <si>
    <t>Приложение 5</t>
  </si>
  <si>
    <t>1. Порядок (методика) и условия распределения субсидии на реализацию областной целевой программы "Чистая вода  Ярославской области"</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</si>
  <si>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</si>
  <si>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</si>
  <si>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</si>
  <si>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</si>
  <si>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</si>
  <si>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</si>
  <si>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</si>
  <si>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</si>
  <si>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</si>
  <si>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</si>
  <si>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</si>
  <si>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</si>
  <si>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Подпрограмма 'Единая система организации воздушного движения'</t>
  </si>
  <si>
    <t>Подпрограмма 'Внутренний водный транспорт'</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</si>
  <si>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</si>
  <si>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</si>
  <si>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</si>
  <si>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</si>
  <si>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</si>
  <si>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</si>
  <si>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</si>
  <si>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</si>
  <si>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</si>
  <si>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</si>
  <si>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</si>
  <si>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</si>
  <si>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</si>
  <si>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Министерство транспорта Российской Федерации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</si>
  <si>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</si>
  <si>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</si>
  <si>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Закон Российской Федерации от 18 октября 1991 года № 1761-1 "О реабилитации жертв политических репрессий"</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</si>
  <si>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</si>
  <si>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</si>
  <si>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Мобилизационная и вневойсковая подготовка</t>
  </si>
  <si>
    <t>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</si>
  <si>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Государственный академический Большой театр России</t>
  </si>
  <si>
    <t xml:space="preserve"> Генеральная прокуратура Российской Федерации</t>
  </si>
  <si>
    <t>Органы юстиции</t>
  </si>
  <si>
    <t>Государственный  комитет  РФ по стандартизации и метрологии</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</si>
  <si>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</si>
  <si>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</si>
  <si>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</si>
  <si>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</si>
  <si>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</si>
  <si>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</si>
  <si>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</si>
  <si>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</si>
  <si>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</si>
  <si>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</si>
  <si>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</si>
  <si>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</si>
  <si>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</si>
  <si>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</si>
  <si>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</si>
  <si>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</si>
  <si>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</si>
  <si>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</si>
  <si>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 xml:space="preserve"> Российская академия наук</t>
  </si>
  <si>
    <t>Фед.служба исполнения наказаний</t>
  </si>
  <si>
    <t>Проведение подготовки и переподготовки мобилизационного резерва и учебно-сборовые мероприятия</t>
  </si>
  <si>
    <t>Строительство федеральных центров высоких медицинских технологий, осуществляемое в рамках национального проекта</t>
  </si>
  <si>
    <t>Доплаты к пенсиям, дополнительное пенсионное обеспечение</t>
  </si>
  <si>
    <t>Совершенствование организации питания учащихся в общеобразовательных учреждениях</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</si>
  <si>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</si>
  <si>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Государственная поддержка геодезии и картографии</t>
  </si>
  <si>
    <t>Картографо-геодезические и картографические работы</t>
  </si>
  <si>
    <t>Оплата и хранение специального топлива и горюче-смазочных материалов вне рамок государственного оборонного заказа</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</si>
  <si>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</si>
  <si>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</si>
  <si>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</si>
  <si>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Поддержка организаций, осуществляющих фундаментальные исследования</t>
  </si>
  <si>
    <t>Субсидия на реализацию подпрограммы "Улучшение условий проживания отдельных категорий граждан, нуждающихся в специальной социальной защите"</t>
  </si>
  <si>
    <t xml:space="preserve">к решению Муниципального </t>
  </si>
  <si>
    <t>Единовременные денежные компенсации реабилитированным лицам</t>
  </si>
  <si>
    <t>Продовольственное обеспечение вне рамок государственного оборонного заказа</t>
  </si>
  <si>
    <t>Компенсация стоимости продовольственного пайка</t>
  </si>
  <si>
    <t>Субсидии на поддержку социально значимых проектов в сфере периодической печати</t>
  </si>
  <si>
    <t>Субсидии стационарам сложного протезирования на оплату дней пребывания инвалидов в стационарах</t>
  </si>
  <si>
    <t>Федеральный закон от 12 января 1995 года № 5-ФЗ "О ветеранах"</t>
  </si>
  <si>
    <t>Осуществление ежемесячной денежной выплаты Героям Советского Союза, Героям Российской Федерации и полным кавалерам ордена Славы</t>
  </si>
  <si>
    <t xml:space="preserve"> Федеральная  энергетическая  комиссия   РФ</t>
  </si>
  <si>
    <t xml:space="preserve"> Центральная избирательная комиссия РФ</t>
  </si>
  <si>
    <t>Субсидии военизированным аварийно-спасательным частям на обеспечение постоянной боевой готовности</t>
  </si>
  <si>
    <t>Государственная поддержка отдельных отраслей промышленности и топливно-энергетического комплекса</t>
  </si>
  <si>
    <t>Подпрограмма "Автомобильные дороги"</t>
  </si>
  <si>
    <t>Центры, станции и отделения переливания крови</t>
  </si>
  <si>
    <t>Совершенствование медицинской помощи больным с сосудистыми заболеваниями</t>
  </si>
  <si>
    <t>Дезинфекционные станции</t>
  </si>
  <si>
    <t>Дотации бюджетам закрытых административно-территориальных образований</t>
  </si>
  <si>
    <t>Выплаты приемной семье на содержание подопечных детей</t>
  </si>
  <si>
    <t>Департамент АПКООС и П</t>
  </si>
  <si>
    <t>Оплата труда приемного родителя</t>
  </si>
  <si>
    <t>Периодическая печать и издательства</t>
  </si>
  <si>
    <t>Доставка грузов гуманитарного характера и эвакуация российских граждан</t>
  </si>
  <si>
    <t>Обеспечение деятельности аварийно-спасательного флота</t>
  </si>
  <si>
    <t>Федеральная целевая программа "Национальная технологическая база" на 2007 - 2011 годы</t>
  </si>
  <si>
    <t>Департамент финансов администрации Ярославской области</t>
  </si>
  <si>
    <t>Управление внутренних дел Ярославской области</t>
  </si>
  <si>
    <t>Услуги ГИБДД</t>
  </si>
  <si>
    <t>Медицинская помощь в дневных стационарах всех типов</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</si>
  <si>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</si>
  <si>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</si>
  <si>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Управление находящимися в государственной и муниципальной собственности акциями открытых акционерных обществ</t>
  </si>
  <si>
    <t xml:space="preserve"> Российская академия живописи, ваяния и зодчества</t>
  </si>
  <si>
    <t>Транспортное обеспечение федеральных органов власти</t>
  </si>
  <si>
    <t>Мероприятия по обеспечению жильем прокуроров, следователей органов прокуратуры</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</si>
  <si>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</si>
  <si>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</si>
  <si>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</si>
  <si>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Государственная фельдъегерская служба РФ</t>
  </si>
  <si>
    <t>Переселение граждан Российской Федерации из города Байконура</t>
  </si>
  <si>
    <t>Взнос Российской Федерации в уставные капиталы</t>
  </si>
  <si>
    <t>Мероприятия по проведению оздоровительной кампании детей</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</si>
  <si>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</si>
  <si>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Субвенция на государственную поддержку опеки и попечительства</t>
  </si>
  <si>
    <t>Субсидии на осуществление контроля за излучением радиоэлектронных средств и (или) высокочастотных устройств (радиоконтроль)</t>
  </si>
  <si>
    <t>Субсидии организациям, осуществляющим ведение федеральных информационных фондов, баз и банков данных</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</si>
  <si>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</si>
  <si>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Научно-исследовательские и опытно-конструкторские работы</t>
  </si>
  <si>
    <t>Подпрограмма "Обеспечение жильем молодых семей"</t>
  </si>
  <si>
    <t xml:space="preserve"> Министерство  экономического  развития  и торговли РФ</t>
  </si>
  <si>
    <t>Санэпиднадзор</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</si>
  <si>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</si>
  <si>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</si>
  <si>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Топливно-энергетический комплекс</t>
  </si>
  <si>
    <t>Государственная поддержка в сфере образования</t>
  </si>
  <si>
    <t>Единовременные страховые выплаты</t>
  </si>
  <si>
    <t>Ежемесячные страховые выплаты</t>
  </si>
  <si>
    <t>Подпрограмма "Вирусные гепатиты"</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</si>
  <si>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</si>
  <si>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Столбец2</t>
  </si>
  <si>
    <t>МУ КЦСОН "Милосердие"</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</si>
  <si>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</si>
  <si>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Единый налог на вменённый доход для отдельных видов деятельности</t>
  </si>
  <si>
    <t>Создание Президентской библиотеки имени Б.Н. Ельцина</t>
  </si>
  <si>
    <t>Мобилизационная подготовка экономики</t>
  </si>
  <si>
    <t>Скорая медицинская помощь</t>
  </si>
  <si>
    <t>048</t>
  </si>
  <si>
    <t>Вещевое обеспечение</t>
  </si>
  <si>
    <t>Федеральная космическая программа России на 2006 - 2015 годы</t>
  </si>
  <si>
    <t>Государственная пошлина</t>
  </si>
  <si>
    <t>Название</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</si>
  <si>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</si>
  <si>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специальных и военных объектов</t>
  </si>
  <si>
    <t>Обеспечение военнослужащих служебным и постоянным жильем</t>
  </si>
  <si>
    <t>Нормированный страховой запас Федерального фонда обязательного медицинского страхования</t>
  </si>
  <si>
    <t>Стационарная медицинская помощь</t>
  </si>
  <si>
    <t>Амбулаторная помощь</t>
  </si>
  <si>
    <t>Научное сопровождение инновационных проектов государственного значения</t>
  </si>
  <si>
    <t>Природоохранные мероприятия</t>
  </si>
  <si>
    <t>Проведение мероприятий для детей и молодежи</t>
  </si>
  <si>
    <t>Субсидии издательствам и издающим организациям на реализацию социально значимых проектов, выпуск книг, изданий для инвалидов по зрению</t>
  </si>
  <si>
    <t>Реализация мероприятий, связанных с процедурами банкротства</t>
  </si>
  <si>
    <t>Зарубежный аппарат</t>
  </si>
  <si>
    <t>Генеральный прокурор Российской Федерации</t>
  </si>
  <si>
    <t>Мероприятия в области воспроизводства и сохранения водных биологических ресурсов и прочие мероприятия</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</si>
  <si>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</si>
  <si>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Общее руководство и управление общими службами и услугами Управления делами Президента Российской Федерации</t>
  </si>
  <si>
    <t>Материальное обеспечение специалистов ядерного оружейного комплекса Российской Федерации</t>
  </si>
  <si>
    <t>Социальная помощь</t>
  </si>
  <si>
    <t>Водоохранные и водохозяйственные учреждения</t>
  </si>
  <si>
    <t>Подпрограмма "Создание высокоэффективной системы геодезического обеспечения Российской Федерации"</t>
  </si>
  <si>
    <t>Министерство сельского хозяйства  РФ</t>
  </si>
  <si>
    <t>Неуказанная ведомственная статья</t>
  </si>
  <si>
    <t>Строительство и реконструкция объектов для проведения XXVII Всемирной летней Универсиады 2013 г. в г. Казани</t>
  </si>
  <si>
    <t>Учреждения, обеспечивающие государственный санитарно-эпидемиологический надзор</t>
  </si>
  <si>
    <t>2</t>
  </si>
  <si>
    <t>01</t>
  </si>
  <si>
    <t>05</t>
  </si>
  <si>
    <t>08</t>
  </si>
  <si>
    <t>11</t>
  </si>
  <si>
    <t>12</t>
  </si>
  <si>
    <t>14</t>
  </si>
  <si>
    <t>16</t>
  </si>
  <si>
    <t>02</t>
  </si>
  <si>
    <t>02000</t>
  </si>
  <si>
    <t>03000</t>
  </si>
  <si>
    <t>01000</t>
  </si>
  <si>
    <t>05000</t>
  </si>
  <si>
    <t>110</t>
  </si>
  <si>
    <t>120</t>
  </si>
  <si>
    <t>151</t>
  </si>
  <si>
    <t xml:space="preserve"> Российское авиационно-космическое агентство</t>
  </si>
  <si>
    <t>МЦП "Развитие жилищного строительства в ТМР ЯО на 2011 - 2015 гг"</t>
  </si>
  <si>
    <t>Прием и содержание вынужденных переселенцев</t>
  </si>
  <si>
    <t>Организационно-воспитательная работа с молодежью</t>
  </si>
  <si>
    <t>Реализация государственных функций, связанных с обеспечением национальной обороны</t>
  </si>
  <si>
    <t>Пенсии</t>
  </si>
  <si>
    <t>Субвенция на оказание социальной помощи отдельным категориям  граждан</t>
  </si>
  <si>
    <t>Централизованные закупки в рамках национального календаря профилактических прививок</t>
  </si>
  <si>
    <t>Субсидии на обеспечение мероприятий по обводнению</t>
  </si>
  <si>
    <t>Санатории для детей и подростков</t>
  </si>
  <si>
    <t>МУЗ "Тутаевская центральная районная больница"</t>
  </si>
  <si>
    <t>Подпрограмма "Вакцинопрофилактика"</t>
  </si>
  <si>
    <t>Продовольственное обеспечение в рамках государственного оборонного заказа</t>
  </si>
  <si>
    <t>Выплата пенсий, назначенных досрочно гражданам, признанным безработными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</si>
  <si>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</si>
  <si>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</si>
  <si>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Федеральная целевая программа "Реформирование системы военного образования в Российской Федерации на период до 2010 года"</t>
  </si>
  <si>
    <t>07000</t>
  </si>
  <si>
    <t>Мероприятия по борьбе с беспризорностью, по опеке и попечительству</t>
  </si>
  <si>
    <t>Учреждения по внешкольной работе с детьми</t>
  </si>
  <si>
    <t>Библиотеки</t>
  </si>
  <si>
    <t>Администрация поселка Константиновский</t>
  </si>
  <si>
    <t>Безвозмездные поступления от других бюджетов бюджетной системы Российской Федерации</t>
  </si>
  <si>
    <t>Подпрограмма "Исследование природы Мирового океана"</t>
  </si>
  <si>
    <t>Подпрограмма "Освоение и использование Арктики"</t>
  </si>
  <si>
    <t>Подпрограмма "Изучение и исследование Антарктики"</t>
  </si>
  <si>
    <t>Межбюджетные трансферты на обеспечение казначейской системы исполнения областного бюджета в муниципальных районах Ярославской области</t>
  </si>
  <si>
    <t>Меры по оказанию медицинской помощи гражданам Российской Федерации за рубежом</t>
  </si>
  <si>
    <t>Федеральная целевая программа "Социально-экономическое развитие Курильских островов (Сахалинская область) на 2007 - 2015 годы"</t>
  </si>
  <si>
    <t>Оплата услуг организаций по переработке высокообогащенного урана, извлеченного из ядерного оружия, в низкообогащенный уран</t>
  </si>
  <si>
    <t>Мероприятия по обеспечению миграционной политики</t>
  </si>
  <si>
    <t>Уличное освещение</t>
  </si>
  <si>
    <t>Обеспечение деятельности военных комиссариатов</t>
  </si>
  <si>
    <t>Организация, регулирование и охрана водных биологических ресурсов</t>
  </si>
  <si>
    <t>Администрация Чебаковской сельской территории</t>
  </si>
  <si>
    <t>Администрация Константиновского сельского поселения</t>
  </si>
  <si>
    <t>Администрация Артемьевского сельского поселения</t>
  </si>
  <si>
    <t>Субвенции бюджетам субъектов Российской Федерации и муниципальных образований</t>
  </si>
  <si>
    <t>Иные межбюджетные трансферты</t>
  </si>
  <si>
    <t xml:space="preserve"> Российское агентство по патентам и товарным знакам</t>
  </si>
  <si>
    <t>Участие в миротворческой деятельности</t>
  </si>
  <si>
    <t>Военно-техническое сотрудничество</t>
  </si>
  <si>
    <t>Переподготовка и повышение квалификации кадров</t>
  </si>
  <si>
    <t>Субсидии образовательным учреждениям в странах Содружества Независимых Государств и общественным организациям</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</si>
  <si>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</si>
  <si>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</si>
  <si>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Субсидии на поддержку некоммерческих неправительственных организаций, участвующих в развитии институтов гражданского общества</t>
  </si>
  <si>
    <t>Развитие и поддержка социальной, инженерной и инновационной инфраструктуры наукоградов Российской Федерации</t>
  </si>
  <si>
    <t>Выплата дополнительного материального обеспечения, доплат к пенсиям, пособий и компенсаций</t>
  </si>
  <si>
    <t>Прикладные научные исследования в области национальной обороны</t>
  </si>
  <si>
    <t>Другие вопросы в области национальной обороны</t>
  </si>
  <si>
    <t>Органы прокуратуры</t>
  </si>
  <si>
    <t>Внутренние войска</t>
  </si>
  <si>
    <t>Благоустройство</t>
  </si>
  <si>
    <t>Субвенция на денежные выплаты</t>
  </si>
  <si>
    <t>Президентская программа "Уничтожение запасов химического оружия в Российской Федерации"</t>
  </si>
  <si>
    <t>Реализация дополнительных мероприятий, направленных на снижение напряженности на рынке труда субъектов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</si>
  <si>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</si>
  <si>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Кинематография</t>
  </si>
  <si>
    <t>Телевидение и радиовещание</t>
  </si>
  <si>
    <t xml:space="preserve"> Федеральная   служба    России   по    финансовому оздоровлению и банкротству</t>
  </si>
  <si>
    <t>Субсидии творческим союзам на поддержку развития театральной деятельности</t>
  </si>
  <si>
    <t>Мероприятия в области национальной обороны</t>
  </si>
  <si>
    <t>Подпрограмма "Информационное обеспечение управления недвижимостью, реформирования и регулирования земельных и имущественных отношений"</t>
  </si>
  <si>
    <t>Формирование и использование государственных семенных фондов</t>
  </si>
  <si>
    <t>Охрана и использование объектов животного мира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</si>
  <si>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</si>
  <si>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</si>
  <si>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</si>
  <si>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Выполнение научно-исследовательских и опытно-конструкторских работ по государственным контрактам</t>
  </si>
  <si>
    <t>Специальные профессионально-технические училища</t>
  </si>
  <si>
    <t>Средние специальные учебные заведения</t>
  </si>
  <si>
    <t>Институты повышения квалификации</t>
  </si>
  <si>
    <t>Расходы общепрограммного характера по федеральной целевой программе "Промышленная утилизация вооружения и военной техники (2005 - 2010 годы)"</t>
  </si>
  <si>
    <t xml:space="preserve">Областная целевая программа "Развитие физической культуры и спорта в Ярославской области" </t>
  </si>
  <si>
    <t>Социальное обеспечение населения</t>
  </si>
  <si>
    <t>Реформирование муниципальных финансов</t>
  </si>
  <si>
    <t>Мероприятия по обеспечению жильем федеральных государственных гражданских служащих</t>
  </si>
  <si>
    <t>Мероприятия по обеспечению жильем молодых ученых и строительство общежитий</t>
  </si>
  <si>
    <t>Приобретение оборудования для быстровозводимых физкультурно-оздоровительных комплексов</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</si>
  <si>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</si>
  <si>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Уменьшение прочих остатков денежных средств бюджета муниципального района</t>
  </si>
  <si>
    <t xml:space="preserve"> Управление делами Президента Российской Федерации</t>
  </si>
  <si>
    <t>Выплата единовременного пособия при всех формах устройства детей, лишенных родительского попечения, в семью</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</si>
  <si>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</si>
  <si>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</si>
  <si>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Содержание учреждений, осуществляющих управление федеральными автомобильными дорогами</t>
  </si>
  <si>
    <t>952</t>
  </si>
  <si>
    <t>Дорожное хозяйство</t>
  </si>
  <si>
    <t>Рыболовное хозяйство</t>
  </si>
  <si>
    <t>Поддержка северного оленеводства и табунного коневодства</t>
  </si>
  <si>
    <t>Поддержка племенного животноводства</t>
  </si>
  <si>
    <t>Государственный  комитет  Российской  Федерации по строительству и жилищно-коммунальному комплексу</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</si>
  <si>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</si>
  <si>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Субсидии на поддержку культурных и духовных центров за рубежом в соответствии с решениями Правительства Российской Федерации</t>
  </si>
  <si>
    <t>Среднее профессиональное образование</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</si>
  <si>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</si>
  <si>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</si>
  <si>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Модернизация внутренних войск, войск гражданской обороны, а также правоохранительных и иных органов</t>
  </si>
  <si>
    <t>НАЦИОНАЛЬНАЯ ЭКОНОМИКА</t>
  </si>
  <si>
    <t>Капитальный ремонт муниципального жилищного фонда</t>
  </si>
  <si>
    <t>Поддержка коммунального хозяйства</t>
  </si>
  <si>
    <t>Председатель Конституционного Суда Российской Федерации и судьи Конституционного Суда Российской Федерации</t>
  </si>
  <si>
    <t>Федеральная целевая программа "Модернизация транспортной системы России (2002 - 2010 годы)"</t>
  </si>
  <si>
    <t>Подпрограмма "Железнодорожный транспорт"</t>
  </si>
  <si>
    <t>Реализация проекта Международного термоядерного экспериментального реактора ИТЭР</t>
  </si>
  <si>
    <t>Оплата и хранение специального топлива и горюче-смазочных материалов в рамках государственного оборонного заказа</t>
  </si>
  <si>
    <t>Мероприятия по организации оздоровительной кампании детей</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</si>
  <si>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</si>
  <si>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</si>
  <si>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Культура</t>
  </si>
  <si>
    <t>Оплата стоимости проезда пенсионерам к месту отдыха и обратно один раз в два года</t>
  </si>
  <si>
    <t>Мероприятия по организации социальной защиты</t>
  </si>
  <si>
    <t>Федеральная целевая программа "Мировой океан"</t>
  </si>
  <si>
    <t>Дотация на сбалансированность бюджетов поселений</t>
  </si>
  <si>
    <t>Реализация межгосударственных договоров в рамках Содружества Независимых Государств</t>
  </si>
  <si>
    <t>Федеральная целевая программа "Восстановление экономики и социальной сферы Чеченской Республики (2002 год и последующие годы)"</t>
  </si>
  <si>
    <t>Прочие поступления</t>
  </si>
  <si>
    <t>Комитет РФ по делам молодежи</t>
  </si>
  <si>
    <t>Администрация Метенининской сельской территории</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</si>
  <si>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</si>
  <si>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</si>
  <si>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Мероприятия по реализации Федерального закона от 9 февраля 2007 г. № 16-ФЗ «О транспортной безопасности» в сфере водного транспорта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</si>
  <si>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</si>
  <si>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</si>
  <si>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</si>
  <si>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</si>
  <si>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</si>
  <si>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Мероприятия по воспроизводству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</si>
  <si>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</si>
  <si>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</si>
  <si>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МУСА МЦ "Галактика"</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</si>
  <si>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</si>
  <si>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Дополнительное ежемесячное материальное обеспечение инвалидов вследствие военной травмы</t>
  </si>
  <si>
    <t>Администрация Великосельского сельского поселения</t>
  </si>
  <si>
    <t>Гуманитарная финансовая помощь другим государствам</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</si>
  <si>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</si>
  <si>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Администрация Помогаловской сельской территории</t>
  </si>
  <si>
    <t>Содержание служб поисково- и аварийно-спасательного обеспечения полетов</t>
  </si>
  <si>
    <t>Региональная программа "Социальная поддержка пожилых граждан в Ярославской области" в сфере молодежной политики</t>
  </si>
  <si>
    <t>Мероприятия в рамках административной реформы</t>
  </si>
  <si>
    <t>Международные культурные, научные и информационные связи</t>
  </si>
  <si>
    <t>Президент Российской Федерации</t>
  </si>
  <si>
    <t>Специальные объекты</t>
  </si>
  <si>
    <t>Социальная поддержка Героев Советского Союза, Героев Российской Федерации и полных кавалеров ордена Славы</t>
  </si>
  <si>
    <t>Реформирование государственной службы Российской Федерации</t>
  </si>
  <si>
    <t>Строительство объектов подразделений вневедомственной охраны</t>
  </si>
  <si>
    <t>Пенсионное обеспечение</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</si>
  <si>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</si>
  <si>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ОБЩЕГОСУДАРСТВЕННЫЕ ВОПРОСЫ</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</si>
  <si>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</si>
  <si>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Реализация государственной политики в отношении соотечественников за рубежом</t>
  </si>
  <si>
    <t>Выплаты семьям опекунов на содержание подопечных детей</t>
  </si>
  <si>
    <t xml:space="preserve"> Министерство   труда   и   социального    развития РФ</t>
  </si>
  <si>
    <t xml:space="preserve"> Государственный  комитет  РФ по статистике</t>
  </si>
  <si>
    <t xml:space="preserve"> Центр экономической конъюнктуры при  Правительстве РФ</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</si>
  <si>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</si>
  <si>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Министерство  по  делам  федерации, национальной и миграционной политики РФ</t>
  </si>
  <si>
    <t>Администрация Борисоглебской сельской территории</t>
  </si>
  <si>
    <t xml:space="preserve"> Высший арбитражный суд Российской Федерации</t>
  </si>
  <si>
    <t xml:space="preserve"> Конституционный Суд Российской Федерации</t>
  </si>
  <si>
    <t>Субсидии творческим союзам на оказание материальной помощи членам творческих союзов</t>
  </si>
  <si>
    <t>Субвенция на предоставление гражданам субсидий на оплату жилого помещения и коммунальных услуг</t>
  </si>
  <si>
    <t>Связь и информатика</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</si>
  <si>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</si>
  <si>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Администрация Борисоглебского сельского поселения</t>
  </si>
  <si>
    <t>Федеральная регистрация</t>
  </si>
  <si>
    <t>Доходы</t>
  </si>
  <si>
    <t>Налоги на прибыль, доходы</t>
  </si>
  <si>
    <t>Мероприятия в сфере межнациональных отношений</t>
  </si>
  <si>
    <t>Федеральная целевая программа "Социально-экономическое развитие Республики Башкортостан до 2007 года"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</si>
  <si>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</si>
  <si>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 xml:space="preserve"> Информационное телеграфное агентство России (ИТАР-ТАСС)</t>
  </si>
  <si>
    <t>Пособия гражданам, подвергшимся воздействию радиации вследствие радиационных аварий и ядерных испытаний</t>
  </si>
  <si>
    <t xml:space="preserve"> Сибирское отделение Российской академии наук</t>
  </si>
  <si>
    <t>Учреждения, обеспечивающие предоставление услуг в области животноводства</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</si>
  <si>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</si>
  <si>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</si>
  <si>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</si>
  <si>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</si>
  <si>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</si>
  <si>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</si>
  <si>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</si>
  <si>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</si>
  <si>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Содержание и управление дорожным хозяйством</t>
  </si>
  <si>
    <t>Ремонт и содержание федеральных автомобильных дорог</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</si>
  <si>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</si>
  <si>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</si>
  <si>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</si>
  <si>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</si>
  <si>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</si>
  <si>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Мероприятия по реализации Федерального закона от 9 февраля 2007 г. № 16-ФЗ «О транспортной безопасности» в сфере дорожного хозяйства</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</si>
  <si>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</si>
  <si>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</si>
  <si>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Территориальная избирательная комиссия по г. Тутаеву и Тутаевскому району</t>
  </si>
  <si>
    <t>Российское агентство по боеприпасам</t>
  </si>
  <si>
    <t>Плазмацентры</t>
  </si>
  <si>
    <t>Вопросы топливно-энергетического комплекса</t>
  </si>
  <si>
    <t>Высокотехнологичные виды медицинской помощи</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</si>
  <si>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</si>
  <si>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Данная субсидия распределяется в порядке и на условиях, утвержденных законодательством Ярославской области.</t>
  </si>
  <si>
    <t>Субсидии на обеспечение безопасности судоходства на канале имени Москвы</t>
  </si>
  <si>
    <t>Региональные целевые программы</t>
  </si>
  <si>
    <t>Мероприятия в области коммунального хозяйства</t>
  </si>
  <si>
    <t>Бюджетные кредиты, предоставленные внутри страны в валюте Российской Федерации</t>
  </si>
  <si>
    <t>Поддержка мер по обеспечению сбалансированности бюджетов закрытых административно-территориальных образований</t>
  </si>
  <si>
    <t>Реформирование региональных и муниципальных финансов</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</si>
  <si>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</si>
  <si>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Центральные транспортные комбинаты</t>
  </si>
  <si>
    <t>Эксплуатация зданий</t>
  </si>
  <si>
    <t>Исследования в части вопросов утилизации и ликвидации вооружения и военной техники, уничтожения запасов химического оружия</t>
  </si>
  <si>
    <t>Борьба с эпидемиями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</si>
  <si>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</si>
  <si>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</si>
  <si>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Развитие и поддержка социальной и инженерной инфраструктуры закрытых административно-территориальных образований</t>
  </si>
  <si>
    <t>Субсидии издательствам и издающим организациям на реализацию социально значимых проектов, выпуск книг, изданий для инвалидов</t>
  </si>
  <si>
    <t>Подпрограмма "Развитие экспорта транспортных услуг России"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</si>
  <si>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</si>
  <si>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</si>
  <si>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</si>
  <si>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</si>
  <si>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</si>
  <si>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Подпрограмма "Социальная поддержка и реабилитация инвалидов вследствие боевых действий и военной травмы"</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</si>
  <si>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</si>
  <si>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Администрация Николо-Эдомской сельской территории</t>
  </si>
  <si>
    <t>Итого источников внутреннего финансирования</t>
  </si>
  <si>
    <t>Прочие мероприятия по благоустройству городских округов и поселений</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</si>
  <si>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</si>
  <si>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Другие вопросы в области охраны окружающей среды</t>
  </si>
  <si>
    <t>Обслуживание внутреннего государственного и муниципального долга</t>
  </si>
  <si>
    <t xml:space="preserve"> Министерство иностранных дел Российской Федерации</t>
  </si>
  <si>
    <t>Совершенствование организации медицинской помощи пострадавшим при дорожно-транспортных происшествиях</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</si>
  <si>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</si>
  <si>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</si>
  <si>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Субсидии на поддержку образовательного кредитования</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</si>
  <si>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</si>
  <si>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хлебная инспекция при правительстве РФ</t>
  </si>
  <si>
    <t>Автобронетанковая техника</t>
  </si>
  <si>
    <t>Администрация Родионовской сельской территории</t>
  </si>
  <si>
    <t xml:space="preserve"> Федеральная служба  России по  гидрометеорологии и мониторингу окружающей среды</t>
  </si>
  <si>
    <t xml:space="preserve">Субсидия на реализацию областной целевой программы "Модернизация объектов коммунальной инфраструктуры Ярославской области" </t>
  </si>
  <si>
    <t>Субсидии организациям на создание и ведение Федерального информационного фонда технических регламентов и стандартов</t>
  </si>
  <si>
    <t>Пособия при усыновлении ребенка</t>
  </si>
  <si>
    <t>Резервный фонд Правительства Российской Федерации по предупреждению и ликвидации чрезвычайных ситуаций и последствий стихийных бедствий</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</si>
  <si>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</si>
  <si>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Оснащение общеобразовательных учреждений учебным оборудованием</t>
  </si>
  <si>
    <t>Приобретение жилья гражданами, уволенными с военной службы (службы), и приравненными к ним лицами</t>
  </si>
  <si>
    <t>Обучение в высших учебных заведениях лиц, прошедших военную службу по контракту</t>
  </si>
  <si>
    <t>Проведение статистических обследований и переписей</t>
  </si>
  <si>
    <t>Депутаты представительного органа муниципального образования</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</si>
  <si>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</si>
  <si>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</si>
  <si>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</si>
  <si>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</si>
  <si>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</si>
  <si>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</si>
  <si>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</si>
  <si>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Закупка товаров, работ и услуг для государственных нужд</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</si>
  <si>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</si>
  <si>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</si>
  <si>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</si>
  <si>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</si>
  <si>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</si>
  <si>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</si>
  <si>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</si>
  <si>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</si>
  <si>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Отдельные мероприятия в области информационно-коммуникационных технологий и связи</t>
  </si>
  <si>
    <t>Конверсия радиочастотного спектра</t>
  </si>
  <si>
    <t>Осуществление полномочий Российской Федерации в области содействия занятости населения, включая расходы по осуществлению этих полномочий</t>
  </si>
  <si>
    <t xml:space="preserve"> Российская академия архитектуры и строительных наук</t>
  </si>
  <si>
    <t xml:space="preserve"> Российский фонд фундаментальных исследований</t>
  </si>
  <si>
    <t>МУ ИЦ "Берега"</t>
  </si>
  <si>
    <t>Возврат бюджетных кредитов, предоставленных юридическим лицам в валюте Российской Федерации</t>
  </si>
  <si>
    <t xml:space="preserve"> Российская академия образования</t>
  </si>
  <si>
    <t>Федеральная целевая программа "Развитие гражданской авиационной техники России на 2002 - 2010 годы и на период до 2015 года"</t>
  </si>
  <si>
    <t>Жилищное хозяйство</t>
  </si>
  <si>
    <t>Коммунальное хозяйство</t>
  </si>
  <si>
    <t xml:space="preserve"> Федеральный надзор России по ядерной и  радиационной безопасности</t>
  </si>
  <si>
    <t>Штрафы за экологическое правонарушение</t>
  </si>
  <si>
    <t>Подготовка населения и организаций к действиям в чрезвычайной ситуации в мирное и военное время</t>
  </si>
  <si>
    <t>Мероприятия по депортации (административному выдворению)</t>
  </si>
  <si>
    <t>Государственная поддержка сельского хозяйства</t>
  </si>
  <si>
    <t>955 01 06 05 01 00 0000 640</t>
  </si>
  <si>
    <t xml:space="preserve"> Представительство Правительства РФ в Чеченской республике</t>
  </si>
  <si>
    <t>Государственная пошлина за государственную регистрацию, а также за совершение прочих юридически значимых действий</t>
  </si>
  <si>
    <t>ОХРАНА ОКРУЖАЮЩЕЙ СРЕДЫ</t>
  </si>
  <si>
    <t>Экологический контроль</t>
  </si>
  <si>
    <t xml:space="preserve"> Главное управление специальных программ Президента РФ</t>
  </si>
  <si>
    <t>Обеспечение проведения ремонта индивидуальных жилых домов, принадлежащих членам семей военнослужащих, потерявшим кормильца</t>
  </si>
  <si>
    <t>Осуществление ежемесячной денежной выплаты Героям Социалистического Труда и полным кавалерам ордена Трудовой Славы</t>
  </si>
  <si>
    <t>Прикладные научные исследования в области образования</t>
  </si>
  <si>
    <t>Администрация Великосельской сельской территории</t>
  </si>
  <si>
    <t>Компенсация стоимости вещевого имущества</t>
  </si>
  <si>
    <t>Обеспечение ведения специальной части индивидуальных лицевых счетов застрахованных лиц, формирование средств пенсионных накоплений</t>
  </si>
  <si>
    <t>Аппараты органов управления государственных внебюджетных фондов</t>
  </si>
  <si>
    <t>Военный персонал</t>
  </si>
  <si>
    <t>Погашение бюджетных кредитов, полученных от других бюджетов бюджетной системы Российской Федерации в валюте Российской Федерации</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</si>
  <si>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</si>
  <si>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</si>
  <si>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Мероприятия в области исследования и использования космического пространства в мирных целях</t>
  </si>
  <si>
    <t>Геологическое изучение недр</t>
  </si>
  <si>
    <t>Территориальные фонды информации</t>
  </si>
  <si>
    <t>Воинские формирования (органы, подразделения)</t>
  </si>
  <si>
    <t>Осуществление полномочий по подготовке проведения статистических переписей</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</si>
  <si>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</si>
  <si>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</si>
  <si>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</si>
  <si>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</si>
  <si>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</si>
  <si>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</si>
  <si>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</si>
  <si>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</si>
  <si>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</si>
  <si>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</si>
  <si>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</si>
  <si>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Обеспечение мероприятий, предусмотренных соглашениями с международными финансовыми организациями</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</si>
  <si>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</si>
  <si>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</si>
  <si>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</si>
  <si>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</si>
  <si>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</si>
  <si>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</si>
  <si>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Резервный фонд исполнительных органов государственной власти субъектов Российской Федерации</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</si>
  <si>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</si>
  <si>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Обеспечение функционирования аппаратов фондов поддержки научной и (или) научно-технической деятельности</t>
  </si>
  <si>
    <t>Оценка недвижимости, признание прав и регулирование отношений по государственной и муниципальной собственности</t>
  </si>
  <si>
    <t>Комбинаты питания</t>
  </si>
  <si>
    <t>Денежные компенсации истцам в случае вынесения соответствующих решений Европейским Судом по правам человека</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</si>
  <si>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</si>
  <si>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</si>
  <si>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</si>
  <si>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Мероприятия по ликвидации чрезвычайных ситуаций и стихийных бедствий, выполняемые в рамках специальных решений</t>
  </si>
  <si>
    <t>Осуществление ежемесячной денежной выплаты инвалидам</t>
  </si>
  <si>
    <t>изменения</t>
  </si>
  <si>
    <t>Оплата и хранение специального топлива и горюче-смазочных материалов</t>
  </si>
  <si>
    <t>Бюджетные инвестиции в объекты капитального строительства, не включенные в целевые программы</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</si>
  <si>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</si>
  <si>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</si>
  <si>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</si>
  <si>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Мероприятия по патриотическому воспитанию граждан Российской Федерации</t>
  </si>
  <si>
    <t>Резервный фонд Президента Российской Федерации</t>
  </si>
  <si>
    <t>Мероприятия в области использования, охраны водных объектов и гидротехнических сооружений</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</si>
  <si>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</si>
  <si>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Поиск и спасание</t>
  </si>
  <si>
    <t>Учреждения по обеспечению хозяйственного обслуживания</t>
  </si>
  <si>
    <t>Приложение 1</t>
  </si>
  <si>
    <t xml:space="preserve"> Государственная Дума Федерального собрания РФ</t>
  </si>
  <si>
    <t>Единый сельскохозяйственный налог</t>
  </si>
  <si>
    <t>Вещевое обеспечение в рамках государственного оборонного заказа</t>
  </si>
  <si>
    <t>Вещевое обеспечение вне рамок государственного оборонного заказа</t>
  </si>
  <si>
    <t>Строительство объектов общегражданского назначения с использованием специальных методов</t>
  </si>
  <si>
    <t>Чебаковское сельское поселение</t>
  </si>
  <si>
    <t>Левобережное сельское поселение</t>
  </si>
  <si>
    <t>Проведение диспансеризации находящихся в стационарных учреждениях детей-сирот и детей, оставшихся без попечения родителей</t>
  </si>
  <si>
    <t>Подпрограмма "Разработка и подготовка производства навигационного оборудования и аппаратуры для гражданских потребителей"</t>
  </si>
  <si>
    <t>Федеральное агентство по сельскому хозяйству</t>
  </si>
  <si>
    <t>Государственный комитет  по кинематографии</t>
  </si>
  <si>
    <t xml:space="preserve"> Министерство  промышленности,  науки  и технологий РФ</t>
  </si>
  <si>
    <t>Резервный фонд Правительства Российской Федерации</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</si>
  <si>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</si>
  <si>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Не используется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</si>
  <si>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</si>
  <si>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</si>
  <si>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Дотации</t>
  </si>
  <si>
    <t>Субсидия на реализацию мероприятий по патриотическому воспитанию молодежи Ярославской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</si>
  <si>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</si>
  <si>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Оздоровление детей </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</si>
  <si>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</si>
  <si>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</si>
  <si>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</si>
  <si>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</si>
  <si>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</si>
  <si>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</si>
  <si>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</si>
  <si>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</si>
  <si>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</si>
  <si>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Государственная поддержка талантливой молодежи</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</si>
  <si>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</si>
  <si>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</si>
  <si>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"Дети России" на 2007 - 2010 годы</t>
  </si>
  <si>
    <t>Подпрограмма "Здоровое поколение"</t>
  </si>
  <si>
    <t>Подпрограмма "Дети и семья"</t>
  </si>
  <si>
    <t>Субсидии информационным агентствам</t>
  </si>
  <si>
    <t>Развитие социальной и инженерной инфраструктуры субъектов Российской Федерации и муниципальных образований</t>
  </si>
  <si>
    <t>Субсидии на поддержку овцеводства</t>
  </si>
  <si>
    <t>Разработка приоритетных направлений науки, технологий и техники</t>
  </si>
  <si>
    <t>Инспекционная деятельность и другие расходы</t>
  </si>
  <si>
    <t>Субсидии российским организациям на обеспечение деятельности на архипелаге Шпицберген</t>
  </si>
  <si>
    <t>Обеспечение реализации соглашений с правительствами иностранных государств и организациями</t>
  </si>
  <si>
    <t>Субсидии на закладку и уход за многолетними насаждениями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</si>
  <si>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</si>
  <si>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</si>
  <si>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</si>
  <si>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</si>
  <si>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</si>
  <si>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</si>
  <si>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</si>
  <si>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</si>
  <si>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</si>
  <si>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</si>
  <si>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</si>
  <si>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</si>
  <si>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</si>
  <si>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</si>
  <si>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</si>
  <si>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</si>
  <si>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</si>
  <si>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</si>
  <si>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</si>
  <si>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</si>
  <si>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Выплата федеральной социальной доплаты к пенсии</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</si>
  <si>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</si>
  <si>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</si>
  <si>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</si>
  <si>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</si>
  <si>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Обеспечение авиационных перевозок высших должностных лиц Российской Федерации</t>
  </si>
  <si>
    <t>Модернизация Вооруженных Сил Российской Федерации и воинских формирований</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</si>
  <si>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</si>
  <si>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Совета ТМР</t>
  </si>
  <si>
    <t>Межбюджетные трансферты на обеспечение сбалансированности бюджетов поселений</t>
  </si>
  <si>
    <t>Прикладные научные исследования в области жилищно- коммунального хозяйства</t>
  </si>
  <si>
    <t>Областная целевая программа "Комплексные меры противодействия злоупотреблению наркотиками и их незаконному обороту"</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</si>
  <si>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</si>
  <si>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06000</t>
  </si>
  <si>
    <t>Субсидия на финансирование дорожного хозяйства</t>
  </si>
  <si>
    <t>Прочие выплаты по обязательствам государства</t>
  </si>
  <si>
    <t>Субвенция на обеспечение профилактики безнадзорности, правонарушений несовершеннолетних и защиты их прав</t>
  </si>
  <si>
    <t>Реализация государственных функций, связанных с общегосударственным управлением</t>
  </si>
  <si>
    <t>Мероприятия, связанные с обеспечением функционирования организаций оборонно-промышленного комплекса</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</si>
  <si>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</si>
  <si>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 xml:space="preserve"> Государственный Эрмитаж</t>
  </si>
  <si>
    <t xml:space="preserve"> МОСКОВСКОЕ НПО "РАДОН"</t>
  </si>
  <si>
    <t>Всероссийское общество слепых</t>
  </si>
  <si>
    <t>Обеспечение ядерной, радиационной и экологической безопасности</t>
  </si>
  <si>
    <t>Подпрограмма "Психические расстройства"</t>
  </si>
  <si>
    <t>Субсидии организациям на проведение оздоровительных и реабилитационных мероприятий</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</si>
  <si>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</si>
  <si>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</si>
  <si>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1. Субвенция на осуществление первичного воинского учета на территориях, где отсутствуют военные комиссариаты</t>
  </si>
  <si>
    <t>955 01 05 02 01 05 0000 610</t>
  </si>
  <si>
    <t>Организация альтернативной гражданской службы</t>
  </si>
  <si>
    <t>Процентные платежи по муниципальному долгу</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</si>
  <si>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</si>
  <si>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</si>
  <si>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Платежи за выполнение определенных функций</t>
  </si>
  <si>
    <t>Административные платежи и сборы</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</si>
  <si>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</si>
  <si>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Мероприятия в области коммунального хозяйства, связанные с выполнением переданных полномочий по теплоснабжению</t>
  </si>
  <si>
    <t>МЦП "Чистая вода" на территории  ТМР на период 2011-2014годов</t>
  </si>
  <si>
    <t>Обеспечение автомобильными дорогами новых микрорайонов</t>
  </si>
  <si>
    <t>Отдельные мероприятия в области дорожного хозяйства</t>
  </si>
  <si>
    <t>Функционирование высшего должностного лица субъекта Российской Федерации и муниципального образования</t>
  </si>
  <si>
    <t>Изменение остатков средств на счетах по учету средств бюджета</t>
  </si>
  <si>
    <t>955 01 05 02 01 05 0000 510</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</si>
  <si>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</si>
  <si>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</si>
  <si>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</si>
  <si>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</si>
  <si>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</si>
  <si>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</si>
  <si>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мер социальной поддержки для лиц, награжденных знаком "Почетный донор СССР", "Почетный донор России"</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</si>
  <si>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</si>
  <si>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</si>
  <si>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</si>
  <si>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</si>
  <si>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</si>
  <si>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</si>
  <si>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</si>
  <si>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</si>
  <si>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</si>
  <si>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</si>
  <si>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</si>
  <si>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</si>
  <si>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Предоставление материнского (семейного) капитала</t>
  </si>
  <si>
    <t>Федеральная целевая программа "Русский язык" на 2011 - 2015 годы"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</si>
  <si>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</si>
  <si>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"Государственная граница Российской Федерации (2003 - 2011 годы)"</t>
  </si>
  <si>
    <t>Проведение мероприятий по медицинскому освидетельствованию в связи с исполнением гражданами воинской обязанности</t>
  </si>
  <si>
    <t>Подготовка граждан по военно-учетным специальностям</t>
  </si>
  <si>
    <t>Реализация программ местного развития и обеспечение занятости для шахтерских городов и поселков</t>
  </si>
  <si>
    <t>Накопительно-ипотечная система жилищного обеспечения военнослужащих</t>
  </si>
  <si>
    <t>Функционирование Президента Российской Федерации</t>
  </si>
  <si>
    <t>Медико-социальная экспертная комиссия</t>
  </si>
  <si>
    <t>Другие вопросы в области жилищно-коммунального хозяйства</t>
  </si>
  <si>
    <t>Министерство Российской Федерации по делам печати, телерадиовещания и средств массовых коммуникаций</t>
  </si>
  <si>
    <t>Председатель Высшего Арбитражного Суда Российской Федерации и судьи Высшего Арбитражного Суда Российской Федерации</t>
  </si>
  <si>
    <t>Судьи</t>
  </si>
  <si>
    <t>Судейское сообщество</t>
  </si>
  <si>
    <t>Обеспечение деятельности аппаратов судов</t>
  </si>
  <si>
    <t>Выплаты правопреемникам умерших застрахованных лиц</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</si>
  <si>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</si>
  <si>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Государственная поддержка внедрения комплексных мер модернизации образования</t>
  </si>
  <si>
    <t>ОЦП "Поддержка потребительского рынка на селе"</t>
  </si>
  <si>
    <t>955 01 02 00 00 05 0000 810</t>
  </si>
  <si>
    <t xml:space="preserve"> Государственный  комитет  РФ по физической культуре, спорту и туризму</t>
  </si>
  <si>
    <t>Миграционная политика</t>
  </si>
  <si>
    <t>Прикладные научные исследования в области национальной безопасности и правоохранительной деятельности</t>
  </si>
  <si>
    <t>Федеральная целевая программа "Развитие социальной инфраструктуры космодрома "Плесецк" и города Мирный"</t>
  </si>
  <si>
    <t>Поддержка государственных академий наук и их региональных отделений</t>
  </si>
  <si>
    <t>Проведение выборов главы муниципального образования</t>
  </si>
  <si>
    <t>Подготовка и участие в обеспечении коллективной безопасности и миротворческой деятельности;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</si>
  <si>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</si>
  <si>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</si>
  <si>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Федеральные целевые программы</t>
  </si>
  <si>
    <t>Федеральная целевая программа "Глобальная навигационная система"</t>
  </si>
  <si>
    <t>Федеральная целевая программа "Развитие физической культуры и спорта в Российской Федерации на 2006 - 2015 годы"</t>
  </si>
  <si>
    <t>Администрация Тутаевского муниципального района</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</si>
  <si>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</si>
  <si>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</si>
  <si>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</si>
  <si>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Отдельные мероприятия в области морского и речного транспорта</t>
  </si>
  <si>
    <t>Департамент труда и соц. развития Администрации ТМР</t>
  </si>
  <si>
    <t>Департамент культуры, туризма и молодежной политики Администрации ТМР</t>
  </si>
  <si>
    <t>Департамент АПК, ООС и природопользования Администрации ТМР</t>
  </si>
  <si>
    <t>Департамент ЖКХ и строительства Администрации ТМР</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</si>
  <si>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</si>
  <si>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Доходы от использования имущества, находящегося в государственной и муниципальной собственности</t>
  </si>
  <si>
    <t>Члены Совета Федерации и их помощники</t>
  </si>
  <si>
    <t>Российское агентство по обычным вооружениям</t>
  </si>
  <si>
    <t>Российское агентство по системам управления</t>
  </si>
  <si>
    <t>Состояние окружающей среды и природопользования</t>
  </si>
  <si>
    <t>Столбец1</t>
  </si>
  <si>
    <t>Санатории для больных туберкулезом</t>
  </si>
  <si>
    <t>01001</t>
  </si>
  <si>
    <t>Издательства</t>
  </si>
  <si>
    <t>Подпрограмма "Промышленная утилизация ядерных боеприпасов (2005 - 2010 годы)"</t>
  </si>
  <si>
    <t>Мероприятия по информационному обеспечению и другие работы в области водных ресурсов</t>
  </si>
  <si>
    <t>Молодежная политика и оздоровление детей</t>
  </si>
  <si>
    <t xml:space="preserve"> Счетная палата Российской Федерации</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</si>
  <si>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</si>
  <si>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Исследования и разработки в сфере использования атомной энергии в интересах развития национальной экономики</t>
  </si>
  <si>
    <t>Техническое регулирование и обеспечение единства измерений</t>
  </si>
  <si>
    <t>Техническое регулирование</t>
  </si>
  <si>
    <t>Каталогизация продукции для федеральных государственных нужд</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</si>
  <si>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</si>
  <si>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Приобретение жилья гражданами, подлежащими отселению с комплекса "Байконур"</t>
  </si>
  <si>
    <t xml:space="preserve"> Министерство обороны Российской Федерации</t>
  </si>
  <si>
    <t>Субсидии на навигационно-гидрографическое обеспечение судоходства на трассах Севморпути</t>
  </si>
  <si>
    <t>Резервные фонды</t>
  </si>
  <si>
    <t>Другие общегосударственные вопросы</t>
  </si>
  <si>
    <t>Подпрограмма "Обеспечение функционирования и развития системы ГЛОНАСС"</t>
  </si>
  <si>
    <t>Выплата пенсий по государственному пенсионному обеспечению</t>
  </si>
  <si>
    <t>Государственный материальный резерв</t>
  </si>
  <si>
    <t>Фундаментальные исследования</t>
  </si>
  <si>
    <t>Подпрограмма "Военно-стратегические интересы России в Мировом океане"</t>
  </si>
  <si>
    <t>ЖИЛИЩНО-КОММУНАЛЬНОЕ ХОЗЯЙСТВО</t>
  </si>
  <si>
    <t>Министерство леса и природопользования области</t>
  </si>
  <si>
    <t xml:space="preserve"> Дальневосточное отделение российской академии наук</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</si>
  <si>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</si>
  <si>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</si>
  <si>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</si>
  <si>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</si>
  <si>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</si>
  <si>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</si>
  <si>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</si>
  <si>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</si>
  <si>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</si>
  <si>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</si>
  <si>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развития Калининградской области на период до 2015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</si>
  <si>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</si>
  <si>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</si>
  <si>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</si>
  <si>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</si>
  <si>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</si>
  <si>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</si>
  <si>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Подпрограмма "Создание обеспечивающей инфраструктуры космодрома "Восточный"</t>
  </si>
  <si>
    <t>Развитие российских космодромов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</si>
  <si>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</si>
  <si>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</si>
  <si>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</si>
  <si>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инфраструктуры наноиндустрии в Российской Федерации" на 2008-2011 годы</t>
  </si>
  <si>
    <t>Технопарки в сфере высоких технологий</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</si>
  <si>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</si>
  <si>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</si>
  <si>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</si>
  <si>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Стрелковое и холодное оружие</t>
  </si>
  <si>
    <t>Развитие и поддержка инфраструктуры города Байконура</t>
  </si>
  <si>
    <t>Другие вопросы в области национальной безопасности и правоохранительной деятельности</t>
  </si>
  <si>
    <t>Обслуживание внешнего государственного долга</t>
  </si>
  <si>
    <t>Другие вопросы в области национальной экономики</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</si>
  <si>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</si>
  <si>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Инвестиционный фонд</t>
  </si>
  <si>
    <t>Приоритетные направления науки и техники</t>
  </si>
  <si>
    <t>Субсидии на поддержку научных мероприятий</t>
  </si>
  <si>
    <t>Реализация государственной политики занятости населения</t>
  </si>
  <si>
    <t>Процентные платежи по государственному долгу Российской Федерации</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</si>
  <si>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</si>
  <si>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Периодические издания, учрежденные органами законодательной и исполнительной власти</t>
  </si>
  <si>
    <t>Учреждения, обеспечивающие предоставление услуг в сфере здравоохранения</t>
  </si>
  <si>
    <t>Поликлиники, амбулатории, диагностические центры</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</si>
  <si>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</si>
  <si>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Государственная поддержка воздушного транспорта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</si>
  <si>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</si>
  <si>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</si>
  <si>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</si>
  <si>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</si>
  <si>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Подпрограмма "Гражданская авиация"</t>
  </si>
  <si>
    <t>Подпрограмма "Морской транспорт"</t>
  </si>
  <si>
    <t>Подпрограмма "Внутренние водные пути"</t>
  </si>
  <si>
    <t>Налоги на совокупный доход</t>
  </si>
  <si>
    <t>Обеспечение инвалидов транспортными средствами</t>
  </si>
  <si>
    <t>Подпрограмма "Онкология"</t>
  </si>
  <si>
    <t>Подпрограмма "Инфекции, передаваемые половым путем"</t>
  </si>
  <si>
    <t>Субсидии на возмещение расходов по содержанию специальных объектов</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</si>
  <si>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</si>
  <si>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</si>
  <si>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Мероприятия в топливно-энергетической области</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</si>
  <si>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</si>
  <si>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Обеспечение функционирования Вооруженных Сил Российской Федерации</t>
  </si>
  <si>
    <t>Продовольственное обеспечение</t>
  </si>
  <si>
    <t>Федеральная целевая программа "Развитие государственной статистики России в 2007 - 2011 годах"</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</si>
  <si>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</si>
  <si>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Доплаты к пенсиям государственных служащих субъектов Российской Федерации и муниципальных служащих </t>
  </si>
  <si>
    <t>Учреждения социального обслуживание  населения</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</si>
  <si>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</si>
  <si>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Бюджетные инвестиции в объекты капитального строительства собственности муниципальных образований</t>
  </si>
  <si>
    <t>Подпрограмма "Промышленная утилизация ядерных боеприпасов на 2011 - 2015 годы и на период до 2020 года"</t>
  </si>
  <si>
    <t>2 02 04012 05 0000 151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</si>
  <si>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</si>
  <si>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</si>
  <si>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</si>
  <si>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2 02 04999 05 0000 151</t>
  </si>
  <si>
    <t>Прочие межбюджетные трансферты, передаваемые бюджетам муниципальных районов</t>
  </si>
  <si>
    <t>2 08 05000 05 0000 180</t>
  </si>
  <si>
    <t>Строительство и реконструкция объектов для проведения V Международных спортивных игр "Дети Азии" в г. Якутске</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</si>
  <si>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</si>
  <si>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</si>
  <si>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</si>
  <si>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Реализация международных обязательств в сфере военно-технического сотрудничества</t>
  </si>
  <si>
    <t>Меры социальной поддержки граждан, подвергшихся воздействию радиации вследствие радиационных аварий и ядерных испытаний</t>
  </si>
  <si>
    <t>Заготовка, переработка, хранение и обеспечение безопасности донорской крови и её компонентов</t>
  </si>
  <si>
    <t>Санитарно-эпидемиологическое благополучие</t>
  </si>
  <si>
    <t>Санатории, пансионаты, дома отдыха и турбазы</t>
  </si>
  <si>
    <t>Обеспечение сотрудничества в рамках Содружества Независимых Государств</t>
  </si>
  <si>
    <t>Долевой взнос в бюджет Союзного государства</t>
  </si>
  <si>
    <t>Реализация государственных функций по мобилизационной подготовке экономики</t>
  </si>
  <si>
    <t>Российское агентство по судостроению</t>
  </si>
  <si>
    <t>Другие вооружения, военная и специальная техника</t>
  </si>
  <si>
    <t>Продукция производственно-технического назначения</t>
  </si>
  <si>
    <t>Руководитель контрольно-счетной палаты муниципального образования и его заместители</t>
  </si>
  <si>
    <t>Глава муниципального образования</t>
  </si>
  <si>
    <t>Государственные единовременные пособия и ежемесячные денежные компенсации гражданам при возникновении поствакцинальных осложнений</t>
  </si>
  <si>
    <t>Информационные технологии и связь</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</si>
  <si>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</si>
  <si>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 xml:space="preserve"> Министерство юстиции Российской Федерации</t>
  </si>
  <si>
    <t>Корабли и катера</t>
  </si>
  <si>
    <t>Государственная программа развития сельского хозяйства</t>
  </si>
  <si>
    <t>Мониторинг водных биологических ресурсов</t>
  </si>
  <si>
    <t>Прикладные научные исследования и разработки</t>
  </si>
  <si>
    <t>Субсидии на выполнение мероприятий по несению аварийно-спасательной готовности на море</t>
  </si>
  <si>
    <t>Органы, осуществляющие государственный санитарно-эпидемиологический надзор</t>
  </si>
  <si>
    <t>Элемента</t>
  </si>
  <si>
    <t>Программы</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</si>
  <si>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</si>
  <si>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</si>
  <si>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</si>
  <si>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</si>
  <si>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</si>
  <si>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защите от угрозы природного и техногенного характера, информирование и оповещение населения на транспорте</t>
  </si>
  <si>
    <t>Организация Государственной информационной системы миграционного учета</t>
  </si>
  <si>
    <t>Гранты в области науки, культуры, искусства и средств массовой информации</t>
  </si>
  <si>
    <t>Субсидии на завоз семян для выращивания кормовых культур в северных районах страны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</si>
  <si>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</si>
  <si>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Мероприятия в области сельскохозяйственного производства</t>
  </si>
  <si>
    <t>Реализация мероприятий в рамках базовой программы обязательного медицинского страхования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</si>
  <si>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</si>
  <si>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Федеральный закон от 12 января 1996 года № 8-ФЗ "О погребении и похоронном деле"</t>
  </si>
  <si>
    <t>Детские дома</t>
  </si>
  <si>
    <t>Название дохода</t>
  </si>
  <si>
    <t>Код</t>
  </si>
  <si>
    <t>Наименование</t>
  </si>
  <si>
    <t>04000</t>
  </si>
  <si>
    <t>Российская антарктическая и арктическая экспедиции</t>
  </si>
  <si>
    <t>Учреждения, обеспечивающие предоставление услуг в сфере гидрометеорологии и мониторинга окружающей среды</t>
  </si>
  <si>
    <t>Компенсация стоимости санаторно-курортных путевок лицам, нуждающимся в санаторно-курортном лечении</t>
  </si>
  <si>
    <t>Премирование победителей Всероссийского конкурса на звание "Самый благоустроенный город России"</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</si>
  <si>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</si>
  <si>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</si>
  <si>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Федеральная целевая программа "Социальная поддержка инвалидов на 2006 - 2010 годы"</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</si>
  <si>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</si>
  <si>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</si>
  <si>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Комплектование книжных фондов библиотек муниципальных образований</t>
  </si>
  <si>
    <t>Федеральная целевая программа "Электронная Россия (2002 - 2010 годы)"</t>
  </si>
  <si>
    <t>Бюджетные инвестиции в объекты капитального строительства государственной собственности субъектов Российской Федерации</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</si>
  <si>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</si>
  <si>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</si>
  <si>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</si>
  <si>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Федеральная целевая программа "Русский язык (2006 - 2010 годы)"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</si>
  <si>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</si>
  <si>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Строительство объектов социального и производственного комплексов, в том числе объектов общегражданского назначения, жилья, инфраструктуры</t>
  </si>
  <si>
    <t>Иные безвозмездные и безвозвратные перечисления</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</si>
  <si>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</si>
  <si>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</si>
  <si>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</si>
  <si>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</si>
  <si>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</si>
  <si>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</si>
  <si>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</si>
  <si>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</si>
  <si>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</si>
  <si>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</si>
  <si>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</si>
  <si>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</si>
  <si>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</si>
  <si>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Организация и содержание  мест захоронения</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</si>
  <si>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</si>
  <si>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</si>
  <si>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</si>
  <si>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Программа развития сельского хозяйства в ТМР на 2008 - 2012 гг.</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</si>
  <si>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</si>
  <si>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Субсидии автономной некоммерческой организации "Спортивное вещание"</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</si>
  <si>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</si>
  <si>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</si>
  <si>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</si>
  <si>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</si>
  <si>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</si>
  <si>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</si>
  <si>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</si>
  <si>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</si>
  <si>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</si>
  <si>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</si>
  <si>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</si>
  <si>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</si>
  <si>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</si>
  <si>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</si>
  <si>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</si>
  <si>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</si>
  <si>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</si>
  <si>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Государственные природные заповедники</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</si>
  <si>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</si>
  <si>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</si>
  <si>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Субсидии на содержание комплекса защитных сооружений г. Санкт-Петербурга от наводнений</t>
  </si>
  <si>
    <t>Увеличение прочих остатков денежных средств бюджета муниципального района</t>
  </si>
  <si>
    <t>Внедрение современных образовательных технологий</t>
  </si>
  <si>
    <t>Реализация договоров (контрактов) с иностранными фирмами в области научного сотрудничества</t>
  </si>
  <si>
    <t>Департамент муниципального имущества Администрации ТМР</t>
  </si>
  <si>
    <t>Департамент образования Администрации ТМР</t>
  </si>
  <si>
    <t>Целевые программы муниципальных образований</t>
  </si>
  <si>
    <t>Создание технопарков</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</si>
  <si>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</si>
  <si>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</si>
  <si>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</si>
  <si>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</si>
  <si>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</si>
  <si>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17</t>
  </si>
  <si>
    <t>Прочие неналоговые доходы</t>
  </si>
  <si>
    <t>Председатель представительного органа муниципального образования</t>
  </si>
  <si>
    <t>Субсидии на проведение отдельных мероприятий по другим видам транспорта</t>
  </si>
  <si>
    <t>СОЦИАЛЬНАЯ ПОЛИТИКА</t>
  </si>
  <si>
    <t>Охрана семьи и детства</t>
  </si>
  <si>
    <t>Субвенция на осуществление первичного воинского учета на территориях, где отсутствуют военные комиссариаты</t>
  </si>
  <si>
    <t>Федеральная служба земельного Кадастра России</t>
  </si>
  <si>
    <t>Прикладные научные исследования в области социальной политики</t>
  </si>
  <si>
    <t>Мероприятия по предупреждению и ликвидации последствий чрезвычайных ситуаций и стихийных бедствий</t>
  </si>
  <si>
    <t>Мероприятия по гражданской обороне</t>
  </si>
  <si>
    <t>Председатель Государственной Думы и его заместители</t>
  </si>
  <si>
    <t>Компенсации членам семей погибших военнослужащих</t>
  </si>
  <si>
    <t>Оказание государственной социальной помощи отдельным категориям граждан по проезду на транспорте пригородного сообщения</t>
  </si>
  <si>
    <t xml:space="preserve"> Министерство внутренних дел Российской Федерации</t>
  </si>
  <si>
    <t xml:space="preserve"> Федеральная служба безопасности РФ</t>
  </si>
  <si>
    <t>Господдержка опеки и попечительства</t>
  </si>
  <si>
    <t>Информационно-аналитическое и научно-методическое обеспечение</t>
  </si>
  <si>
    <t>Областная целевая программа "Повышение эффективности и результативности деятельности органов исполнительной власти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</si>
  <si>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</si>
  <si>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01050</t>
  </si>
  <si>
    <t>Профессиональная подготовка, переподготовка и повышение квалификации</t>
  </si>
  <si>
    <t>Высшее и послевузовское профессиональное образование</t>
  </si>
  <si>
    <t>Международное сотрудничество</t>
  </si>
  <si>
    <t>ПРОФИЦИТ/ДЕФИЦИТ</t>
  </si>
  <si>
    <t>к решению Муниципального</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</si>
  <si>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</si>
  <si>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953 Департамент образования Администрации Тутаевского муниципального района</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</si>
  <si>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</si>
  <si>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</si>
  <si>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</si>
  <si>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</si>
  <si>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</si>
  <si>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</si>
  <si>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2 02 03033 05 0000 151</t>
  </si>
  <si>
    <t>Субвенции бюджетам муниципальных районов на оздоровление детей</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</si>
  <si>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</si>
  <si>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</si>
  <si>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</si>
  <si>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</si>
  <si>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</si>
  <si>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</si>
  <si>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</si>
  <si>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</si>
  <si>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</si>
  <si>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</si>
  <si>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</si>
  <si>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</si>
  <si>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</si>
  <si>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</si>
  <si>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</si>
  <si>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</si>
  <si>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</si>
  <si>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</si>
  <si>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</si>
  <si>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01 02 00 00 05 0000 710</t>
  </si>
  <si>
    <t>01 02 00 00 05 0000 810</t>
  </si>
  <si>
    <t>Получение кредитов от других бюджетов бюджетной системы Российской Федерации бюджетом муниципального района в валюте Российской Федерации</t>
  </si>
  <si>
    <t>Погашение бюджетом муниципального района кредитов от других бюджетов бюджетной системы Российской Федерации в валюте Российской Федерации</t>
  </si>
  <si>
    <t>Сумма, руб.</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</si>
  <si>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</si>
  <si>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Оздоровление детей</t>
  </si>
  <si>
    <t>Внедрение инновационных образовательных программ</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</si>
  <si>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</si>
  <si>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Платежи при пользовании природными ресурсами</t>
  </si>
  <si>
    <t>Субвенция на обеспечение деятельности   органов опеки и попечительства</t>
  </si>
  <si>
    <t>Субвенция на социальную поддержку отдельных категорий  граждан в части ежемесячного пособия на ребенка</t>
  </si>
  <si>
    <t>Полномочные представители Президента Российской Федерации в федеральных округах и их аппараты</t>
  </si>
  <si>
    <t>Центральный аппарат</t>
  </si>
  <si>
    <t xml:space="preserve"> Федеральная служба специального строительства РФ</t>
  </si>
  <si>
    <t xml:space="preserve"> Уполномоченный  по  правам  человека  в РФ</t>
  </si>
  <si>
    <t>Выплата накопительной части трудовой пенсии</t>
  </si>
  <si>
    <t>Государственная поддержка железнодорожного транспорта</t>
  </si>
  <si>
    <t xml:space="preserve"> Российская академия медицинских наук</t>
  </si>
  <si>
    <t>Боевая подготовка</t>
  </si>
  <si>
    <t>Проведение мероприятий по улучшению жилищных условий граждан Российской Федерации,  проживающих и работающих в сельской местности</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</si>
  <si>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</si>
  <si>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Вооруженные Силы Российской Федерации</t>
  </si>
  <si>
    <t>Проведение выборов Президента Российской Федерации</t>
  </si>
  <si>
    <t>Проведение референдумов</t>
  </si>
  <si>
    <t>ОЦП "Чистая вода Ярославской области"</t>
  </si>
  <si>
    <t>Субсидии организациям на осуществление расходов в области обеспечения единства измерений</t>
  </si>
  <si>
    <t>Мероприятия по землеустройству и землепользованию</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</si>
  <si>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</si>
  <si>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Администрация Президента Российской Федерации</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</si>
  <si>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</si>
  <si>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Пособия и компенсации военнослужащим,  приравненным к ним лицам, а также уволенным из их числа</t>
  </si>
  <si>
    <t>Субсидии</t>
  </si>
  <si>
    <t>Информатика</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</si>
  <si>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</si>
  <si>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Расходы общепрограммного характера по федеральной целевой программе   "Модернизация   транспортной     системы    России (2002 - 2010 годы)"</t>
  </si>
  <si>
    <t>Обеспечение мер социальной поддержки тружеников тыла</t>
  </si>
  <si>
    <t>955 01 06 05 01 05 0000 640</t>
  </si>
  <si>
    <t>Субсидии творческим союзам</t>
  </si>
  <si>
    <t>Федеральная служба статистики</t>
  </si>
  <si>
    <t>Мероприятия по реализации государственной национальной политики</t>
  </si>
  <si>
    <t>Изменения</t>
  </si>
  <si>
    <t>Профессионально-технические училища</t>
  </si>
  <si>
    <t>Министерство международных отношений и внешнеэкономических связей области</t>
  </si>
  <si>
    <t>Управление Росприроднадзора</t>
  </si>
  <si>
    <t>Федеральное агенство лесного хозяйства</t>
  </si>
  <si>
    <t>ID</t>
  </si>
  <si>
    <t>NAME</t>
  </si>
  <si>
    <t>Органы внутренних дел</t>
  </si>
  <si>
    <t>ИТОГО</t>
  </si>
  <si>
    <t>955</t>
  </si>
  <si>
    <t>Закон Российской Федерации от 9 июня 1993 года № 5142-I "О донорстве крови и ее компонентов"</t>
  </si>
  <si>
    <t>Оплата жилищно-коммунальных услуг отдельным категориям граждан</t>
  </si>
  <si>
    <t>Мероприятия в области здравоохранения, спорта и физической культуры, туризма</t>
  </si>
  <si>
    <t>Взносы в международные организации</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</si>
  <si>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</si>
  <si>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</si>
  <si>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</si>
  <si>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</si>
  <si>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</si>
  <si>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</si>
  <si>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</si>
  <si>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</si>
  <si>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</si>
  <si>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</si>
  <si>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</si>
  <si>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</si>
  <si>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</si>
  <si>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</si>
  <si>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</si>
  <si>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Субсидии бюджетным учреждениям</t>
  </si>
  <si>
    <t>Субсидии бюджетным учреждениям на финансовое обеспечение государственного задания на оказание государственных услуг (выполнение работ)</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</si>
  <si>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</si>
  <si>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</si>
  <si>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</si>
  <si>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</si>
  <si>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Обслуживание государственного долга Российской Федерации</t>
  </si>
  <si>
    <t>Иные бюджетные ассигнования</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</si>
  <si>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</si>
  <si>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</si>
  <si>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</si>
  <si>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</si>
  <si>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</si>
  <si>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</si>
  <si>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</si>
  <si>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Мероприятия по обеспечению жильем отдельных категорий граждан</t>
  </si>
  <si>
    <t>Другие виды транспорта</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</si>
  <si>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</si>
  <si>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Выплата базовой части трудовой пенсии</t>
  </si>
  <si>
    <t>Субсидии организациям культуры, кинематографии и средств массовой информации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</si>
  <si>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</si>
  <si>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Обеспечение и проведение предпродажной подготовки и продажи федерального имущества</t>
  </si>
  <si>
    <t>Осуществление передаваемых полномочий Российской Федерации в области охраны здоровья граждан</t>
  </si>
  <si>
    <t>Председатель Правительства Российской Федерации и его заместители</t>
  </si>
  <si>
    <t>Территориальные органы</t>
  </si>
  <si>
    <t>Реализация отдельных полномочий в области лесных отношений</t>
  </si>
  <si>
    <t>Учреждения, обеспечивающие предоставление услуг в сфере недропользования</t>
  </si>
  <si>
    <t>Судебная система</t>
  </si>
  <si>
    <t xml:space="preserve"> Российское агентство по государственным резервам</t>
  </si>
  <si>
    <t>Пособия и компенсации военнослужащим, приравненным к ним лицам, а также уволенным из их числа</t>
  </si>
  <si>
    <t xml:space="preserve"> Министерство РФ по антимонопольной политике и поддержке предпринимательства</t>
  </si>
  <si>
    <t>Оказание других видов социальной помощи по решению суда</t>
  </si>
  <si>
    <t>Субсидии организациям народных художественных промыслов на поддержку производства и реализации изделий народных художественных промыслов</t>
  </si>
  <si>
    <t>Служба внешней разведки Российской Федерации</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</si>
  <si>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</si>
  <si>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</si>
  <si>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</si>
  <si>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</si>
  <si>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</si>
  <si>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</si>
  <si>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</si>
  <si>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</si>
  <si>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</si>
  <si>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</si>
  <si>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</si>
  <si>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</si>
  <si>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</si>
  <si>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</si>
  <si>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</si>
  <si>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</si>
  <si>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</si>
  <si>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</si>
  <si>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</si>
  <si>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</si>
  <si>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</si>
  <si>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</si>
  <si>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</si>
  <si>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</si>
  <si>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</si>
  <si>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</si>
  <si>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</si>
  <si>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</si>
  <si>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</si>
  <si>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</si>
  <si>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</si>
  <si>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</si>
  <si>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</si>
  <si>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</si>
  <si>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</si>
  <si>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</si>
  <si>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</si>
  <si>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</si>
  <si>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Софинансирование формирования пенсионных накоплений застрахованных лиц за счет средств Фонда национального благосостояния</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</si>
  <si>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</si>
  <si>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</si>
  <si>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Методическое обеспечение и информационная поддержка</t>
  </si>
  <si>
    <t xml:space="preserve"> Федеральная комиссия по рынку ценных бумаг</t>
  </si>
  <si>
    <t>Председатель Верховного Суда Российской Федерации и судьи Верховного Суда Российской Федерации</t>
  </si>
  <si>
    <t>Федеральная целевая программа "Преодоление последствий радиационных аварий на период до 2010 года"</t>
  </si>
  <si>
    <t>Переселение граждан из закрытых административно-территориальных образований</t>
  </si>
  <si>
    <t>Министерство природных ресурсов РФ</t>
  </si>
  <si>
    <t>Министерство здравоохранения РФ</t>
  </si>
  <si>
    <t>Министерство культуры РФ</t>
  </si>
  <si>
    <t>Содержание ребенка в семье опекуна и приемной семье, а также вознаграждение, причитающееся приемному родителю</t>
  </si>
  <si>
    <t xml:space="preserve">Выравнивание бюджетной обеспеченности поселений из районного фонда финансовой поддержки </t>
  </si>
  <si>
    <t>Субсидия на реализацию подпрограммы "Государственная поддержка граждан, проживающих на территории ЯО, в сфере ипотечного кредитования"</t>
  </si>
  <si>
    <t>Централизованные закупки медикаментов и медицинского оборудования</t>
  </si>
  <si>
    <t>Департамент культуры, туризма  и молодежной политики Администрации ТМР</t>
  </si>
  <si>
    <t>Проведение выборов и референдумов</t>
  </si>
  <si>
    <t>Государственная пошлина по делам, рассматриваемым в судах общей юрисдикции, мировыми судьями</t>
  </si>
  <si>
    <t>Мероприятия в сфере культуры и кинематографии</t>
  </si>
  <si>
    <t>Федеральная целевая программа "Промышленная утилизация вооружения и военной техники (2005 - 2010 годы)"</t>
  </si>
  <si>
    <t>Тутаевский МО МВД России</t>
  </si>
  <si>
    <t>Приложение 7</t>
  </si>
  <si>
    <t>Реформирование региональных финансов</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</si>
  <si>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</si>
  <si>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 xml:space="preserve"> Государственный таможенный комитет РФ</t>
  </si>
  <si>
    <t>Обязательное медицинское страхование неработающего населения (детей)</t>
  </si>
  <si>
    <t>Формирование государственного материального резерва</t>
  </si>
  <si>
    <t>Государственная поддержка почтовой связи</t>
  </si>
  <si>
    <t>Артиллерия</t>
  </si>
  <si>
    <t xml:space="preserve"> Фонд содействия развитию малых форм предприятий  в научно-технической сфере</t>
  </si>
  <si>
    <t>Субсидии на поддержку периодической печати для инвалидов, на реализацию социально значимых проектов, изданий для инвалидов по зрению</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</si>
  <si>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</si>
  <si>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Осуществление первичного воинского учета на территориях, где отсутствуют военные комиссариаты</t>
  </si>
  <si>
    <t>Оказание других видов социальной помощи</t>
  </si>
  <si>
    <t>Выплата страховой части трудовой пенсии</t>
  </si>
  <si>
    <t>от "___"____________ 20___ г.№ ______</t>
  </si>
  <si>
    <t>Председатель Совета Федерации и его заместители</t>
  </si>
  <si>
    <t>Депутаты Государственной Думы и их помощники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</si>
  <si>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</si>
  <si>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</si>
  <si>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</si>
  <si>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</si>
  <si>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Реализация государственных функций в области здравоохранения</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</si>
  <si>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</si>
  <si>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</si>
  <si>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</si>
  <si>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</si>
  <si>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</si>
  <si>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</si>
  <si>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</si>
  <si>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</si>
  <si>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</si>
  <si>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</si>
  <si>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</si>
  <si>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</si>
  <si>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</si>
  <si>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</si>
  <si>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</si>
  <si>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</si>
  <si>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</si>
  <si>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</si>
  <si>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</si>
  <si>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</si>
  <si>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</si>
  <si>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</si>
  <si>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</si>
  <si>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</si>
  <si>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</si>
  <si>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</si>
  <si>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</si>
  <si>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</si>
  <si>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Материально-техническое обеспечение</t>
  </si>
  <si>
    <t>Код бюджетной классификации РФ</t>
  </si>
  <si>
    <t>Долевое участие в содержании координационных структур Содружества Независимых Государств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</si>
  <si>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</si>
  <si>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</si>
  <si>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Мероприятия по реализации Концепции развития унифицированной системы рефинансирования ипотечных жилищных кредитов в России</t>
  </si>
  <si>
    <t>КУЛЬТУРА И КИНЕМАТОГРАФИЯ</t>
  </si>
  <si>
    <t xml:space="preserve">Прикладные научные исследования в области культуры, кинематографии </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</si>
  <si>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</si>
  <si>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</si>
  <si>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</si>
  <si>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 xml:space="preserve"> Государственная техническая комиссия при президенте РФ</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</si>
  <si>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</si>
  <si>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</si>
  <si>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Выплата доплат к пенсиям</t>
  </si>
  <si>
    <t>Бюджетные инвестиции</t>
  </si>
  <si>
    <t>Министерство РФ по атомной энергии</t>
  </si>
  <si>
    <t>Подпрограмма "Сахарный диабет"</t>
  </si>
  <si>
    <t>Подпрограмма "Туберкулез"</t>
  </si>
  <si>
    <t xml:space="preserve">Погашение кредитов, предоставленных кредитными организациями в валюте Российской Федерации </t>
  </si>
  <si>
    <t>955 01 02 00 00 00 0000 800</t>
  </si>
  <si>
    <t>Прочие расходы, связанные с международной деятельностью</t>
  </si>
  <si>
    <t>Выполнение других обязательств государства</t>
  </si>
  <si>
    <t>Поисковые и аварийно-спасательные учреждения</t>
  </si>
  <si>
    <t>Железнодорожный транспорт</t>
  </si>
  <si>
    <t>Другие вопросы в области культуры, кинематографии</t>
  </si>
  <si>
    <t>ЗДРАВООХРАНЕНИЕ</t>
  </si>
  <si>
    <t>Прикладные научные исследования в области здравоохранения</t>
  </si>
  <si>
    <t>Другие вопросы в области здравоохранения</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</si>
  <si>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</si>
  <si>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</si>
  <si>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</si>
  <si>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</si>
  <si>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</si>
  <si>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</si>
  <si>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</si>
  <si>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</si>
  <si>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</si>
  <si>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</si>
  <si>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</si>
  <si>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</si>
  <si>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</si>
  <si>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</si>
  <si>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</si>
  <si>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</si>
  <si>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</si>
  <si>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</si>
  <si>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</si>
  <si>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</si>
  <si>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</si>
  <si>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Обеспечение единства измерений</t>
  </si>
  <si>
    <t>Премия Правительства Российской Федерации в области качества</t>
  </si>
  <si>
    <t>Мероприятия в области гражданской промышленности</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</si>
  <si>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</si>
  <si>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</si>
  <si>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</si>
  <si>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</si>
  <si>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</si>
  <si>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</si>
  <si>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Поощрение достижения наилучших значений показателей деятельности органов исполнительной власти</t>
  </si>
  <si>
    <t>Софинансирование реформирования региональных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</si>
  <si>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</si>
  <si>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</si>
  <si>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</si>
  <si>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</si>
  <si>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Средства, передаваемые для компенсации дополнительных расходов, возникших а результате решений, принятых органами власти другого уровня</t>
  </si>
  <si>
    <t>Отдельные полномочия в области лекарственного обеспечения</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</si>
  <si>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</si>
  <si>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</si>
  <si>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</si>
  <si>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</si>
  <si>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</si>
  <si>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</si>
  <si>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</si>
  <si>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Субсидия на реализацию мероприятий патриотического воспитания молодежи ЯО</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</si>
  <si>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</si>
  <si>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</si>
  <si>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</si>
  <si>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</si>
  <si>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'Молодежь России (2001 – 2005 годы)'</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</si>
  <si>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</si>
  <si>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Главный расп., расп.</t>
  </si>
  <si>
    <t>Реализация других функций, связанных с обеспечением национальной безопасности и правоохранительной деятельности</t>
  </si>
  <si>
    <t>Артемьевское сельское поселение</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</si>
  <si>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</si>
  <si>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Осуществление отдельных полномочий в области водных отношений</t>
  </si>
  <si>
    <t>Федеральный закон от 15 декабря 2001 года № 166-ФЗ "О государственном пенсионном обеспечении в Российской Федерации"</t>
  </si>
  <si>
    <t>Государственный заказ на профессиональную переподготовку и повышение квалификации государственных служащих</t>
  </si>
  <si>
    <t>Мероприятия по повышению безопасности атомной энергетики, улучшению экологии</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</si>
  <si>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</si>
  <si>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</si>
  <si>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Субсидии на поддержку элитного семеноводства</t>
  </si>
  <si>
    <t>Получение кредитов от кредитных организаций в валюте Российской Федерации</t>
  </si>
  <si>
    <t>955 01 02 00 00 05 0000 710</t>
  </si>
  <si>
    <t>Администрация Артемьевской сельской территории</t>
  </si>
  <si>
    <t>Прочая продукция производственно-технического назначения</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</si>
  <si>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</si>
  <si>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</si>
  <si>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</si>
  <si>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МП "организация круглогодичной переправы в Тутаевском муниципальном районе"</t>
  </si>
  <si>
    <t>МП "О дополнительных мерах реализации 185-ФЗ "О фонде содействия реформированию ЖКХ" на территории ТМР ЯО на 2009 - 2011 годы"</t>
  </si>
  <si>
    <t>Больницы, клиники, госпитали, медико-санитарные части</t>
  </si>
  <si>
    <t>Руководство и управление в сфере установленных функций</t>
  </si>
  <si>
    <t>Аудиторы Счетной палаты Российской Федерации</t>
  </si>
  <si>
    <t>Члены Центральной избирательной комиссии Российской Федерации</t>
  </si>
  <si>
    <t>Администрация Фоминской сельской территории</t>
  </si>
  <si>
    <t>Исследование и использование космического пространства</t>
  </si>
  <si>
    <t>Воспроизводство минерально-сырьевой базы</t>
  </si>
  <si>
    <t>Водные ресурсы</t>
  </si>
  <si>
    <t>Лесное хозяйство</t>
  </si>
  <si>
    <t>Прикладные научные исследования в области национальной экономики</t>
  </si>
  <si>
    <t>430</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</si>
  <si>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</si>
  <si>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</si>
  <si>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Ядерно-оружейный комплекс</t>
  </si>
  <si>
    <t xml:space="preserve"> Российская академия художеств</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</si>
  <si>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</si>
  <si>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Переселение граждан в другую местность</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</si>
  <si>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</si>
  <si>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</si>
  <si>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</si>
  <si>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</si>
  <si>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</si>
  <si>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</si>
  <si>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</si>
  <si>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Прочие неналоговые доходы бюджетов муниципальных районов</t>
  </si>
  <si>
    <t>2 18 05010 05 0000 180</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</si>
  <si>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</si>
  <si>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</si>
  <si>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2 02 02999 05 0000 151</t>
  </si>
  <si>
    <t>Прочие субсидии бюджетам муниципальных районов</t>
  </si>
  <si>
    <t>2 02 03003 05 0000 151</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</si>
  <si>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</si>
  <si>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</si>
  <si>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</si>
  <si>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</si>
  <si>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</si>
  <si>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</si>
  <si>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</si>
  <si>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</si>
  <si>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</si>
  <si>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</si>
  <si>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не используется</t>
  </si>
  <si>
    <t>ВЦП "Развитие системы мер социальной поддержки населения ЯО"</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</si>
  <si>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</si>
  <si>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</si>
  <si>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</si>
  <si>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</si>
  <si>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</si>
  <si>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</si>
  <si>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</si>
  <si>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</si>
  <si>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Пособие по уходу за ребенком гражданам, подвергшимся воздействию радиации вследствие радиационных аварий</t>
  </si>
  <si>
    <t>Дотация бюджету Красноярского края</t>
  </si>
  <si>
    <t>Обеспечение деятельности учреждений по реализации миграционной политики</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</si>
  <si>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</si>
  <si>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Строительство объектов общегражданского назначения</t>
  </si>
  <si>
    <t>Составление (изменение и дополнение) списков кандидатов в присяжные заседатели федеральных судов общей юрисдикции в Российской Федерации</t>
  </si>
  <si>
    <t>Электронная техника и средства связи</t>
  </si>
  <si>
    <t>Боеприпасы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</si>
  <si>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</si>
  <si>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</si>
  <si>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</si>
  <si>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</si>
  <si>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</si>
  <si>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Подпрограмма "Стимулирование программ развития жилищного строительства субъектов Российской Федерации"</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</si>
  <si>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</si>
  <si>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</si>
  <si>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</si>
  <si>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</si>
  <si>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</si>
  <si>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</si>
  <si>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</si>
  <si>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</si>
  <si>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</si>
  <si>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</si>
  <si>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</si>
  <si>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</si>
  <si>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</si>
  <si>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</si>
  <si>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</si>
  <si>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</si>
  <si>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</si>
  <si>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</si>
  <si>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</si>
  <si>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Субвенция на реализацию отдельных полномочий в сфере законодательства об административных правонарушениях</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</si>
  <si>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</si>
  <si>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</si>
  <si>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</si>
  <si>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</si>
  <si>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</si>
  <si>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</si>
  <si>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</si>
  <si>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958 Департамент жилищно- коммунального хозяйства и строительства Администрации Тутаевского муниципального района</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</si>
  <si>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</si>
  <si>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</si>
  <si>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</si>
  <si>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Расходы общепрограммного характера по федеральной целевой программе "Жилище" на 2002 – 2010 годы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</si>
  <si>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</si>
  <si>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</si>
  <si>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</si>
  <si>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Прием и содержание лиц в рамках выполнения международных договоров Российской Федерации о реадмиссии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</si>
  <si>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</si>
  <si>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</si>
  <si>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</si>
  <si>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</si>
  <si>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</si>
  <si>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</si>
  <si>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Субсидии на поддержку производства льна и конопли</t>
  </si>
  <si>
    <t>Федеральная целевая программа "Экономическое и социальное развитие коренных малочисленных народов Севера до 2011 года"</t>
  </si>
  <si>
    <t>Функ. кл.</t>
  </si>
  <si>
    <t>Вид. расх.</t>
  </si>
  <si>
    <t>Физкультурно-оздоровительная работа и спортивные мероприятия</t>
  </si>
  <si>
    <t>Музеи и постоянные выставки</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</si>
  <si>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</si>
  <si>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Налог на доходы физических лиц</t>
  </si>
  <si>
    <t>Органы по контролю за оборотом наркотических средств и психотропных веществ</t>
  </si>
  <si>
    <t xml:space="preserve"> Российская     оборонная     спортивно-техническая организация (РОСТО)</t>
  </si>
  <si>
    <t>Доходы от продажи материальных и нематериальных активов</t>
  </si>
  <si>
    <t>Прикладные научные исследования в области общегосударственных вопросов</t>
  </si>
  <si>
    <t>МУ Управление единого заказчика ТМО</t>
  </si>
  <si>
    <t>МУ Контрольно-счетная палата ТМР</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</si>
  <si>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</si>
  <si>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Получение кредитов от кредитных организаций бюджетом муниципального района в валюте Российской Федерации</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</si>
  <si>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</si>
  <si>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</si>
  <si>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Субсидии организациям транспорта, осуществляющим приобретение автотехники для пополнения подвижного состава автоколонн войскового типа</t>
  </si>
  <si>
    <t>Государственная поддержка в сфере культуры, кинематографии и средств массовой информации</t>
  </si>
  <si>
    <t xml:space="preserve"> Министерство  имущественных  отношений  РФ</t>
  </si>
  <si>
    <t>Международные отношения и международное сотрудничество</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</si>
  <si>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</si>
  <si>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Содержание объектов инфраструктуры города Байконура, связанных с арендой космодрома Байконур</t>
  </si>
  <si>
    <t>Возврат бюджетных кредитов, предоставленных юридическим лицам из бюджетов муниципальных районов в валюте Российской Федерации</t>
  </si>
  <si>
    <t>Поддержка мер по обеспечению сбалансированности бюджетов</t>
  </si>
  <si>
    <t>Геолого-разведочные и другие работы в области геологического изучения недр</t>
  </si>
  <si>
    <t>Субсидии казенным предприятиям оборонно-промышленного комплекса</t>
  </si>
  <si>
    <t>Театры, цирки, концертные и другие организации исполнительских искусств</t>
  </si>
  <si>
    <t>Информационные агентства</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</si>
  <si>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</si>
  <si>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</si>
  <si>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Воздушный транспорт</t>
  </si>
  <si>
    <t>Подпрограмма "Одаренные дети"</t>
  </si>
  <si>
    <t>Система исполнения наказаний</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</si>
  <si>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</si>
  <si>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МЛУ "Константиновская районная больница"</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</si>
  <si>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</si>
  <si>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Субсидия на реализацию подпрограммы "Государственная поддержка молодых семей ЯО в приобретении (строительстве) жилья"</t>
  </si>
  <si>
    <t>ОЦП "развитие МТБ учреждений культуры ЯО"</t>
  </si>
  <si>
    <t>ОЦП "Развитие МТБ учреждений культуры ЯО"</t>
  </si>
  <si>
    <t>Субсидия ОЦП "Обращение с ТБО на территории ЯО" , в части мероприятий обеспечения МО генеральными схемами очистки территорий</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</si>
  <si>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</si>
  <si>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</si>
  <si>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</si>
  <si>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</si>
  <si>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</si>
  <si>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</si>
  <si>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</si>
  <si>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</si>
  <si>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</si>
  <si>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</si>
  <si>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</si>
  <si>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</si>
  <si>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2 02 02008 05 0000 151</t>
  </si>
  <si>
    <t xml:space="preserve">Субсидии бюджетам муниципальных районов на обеспечение жильем молодых семей </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</si>
  <si>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</si>
  <si>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</si>
  <si>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</si>
  <si>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</si>
  <si>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</si>
  <si>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</si>
  <si>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 xml:space="preserve">Доходы бюджетов муниципальных районов от возврата бюджетными учреждениями остатков субсидий прошлых лет </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</si>
  <si>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</si>
  <si>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</si>
  <si>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</si>
  <si>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</si>
  <si>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</si>
  <si>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</si>
  <si>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Приложение 9</t>
  </si>
  <si>
    <t>Приложение 10</t>
  </si>
  <si>
    <t>2-я редакция</t>
  </si>
  <si>
    <t>Приобретение специализированной лесопожарной техники и оборудования</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</si>
  <si>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</si>
  <si>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Реализация мероприятий с использованием специальных методов</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</si>
  <si>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</si>
  <si>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</si>
  <si>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Вопросы регулирования продовольственного рынка и государственных семенных фондов</t>
  </si>
  <si>
    <t>Земельные кадастровые палаты</t>
  </si>
  <si>
    <t>Реализация государственных функций в области национальной экономики</t>
  </si>
  <si>
    <t>Муниципальный совет ТМР</t>
  </si>
  <si>
    <t xml:space="preserve"> Российский гуманитарный научный фонд</t>
  </si>
  <si>
    <t xml:space="preserve"> Государственный фонд кинофильмов РФ</t>
  </si>
  <si>
    <t>Председатель Счетной палаты Российской Федерации и его заместитель</t>
  </si>
  <si>
    <t>Учебные заведения и курсы по переподготовке кадров</t>
  </si>
  <si>
    <t>Высшие учебные заведения</t>
  </si>
  <si>
    <t>Проведение выборов в Федеральное Собрание Российской Федерации</t>
  </si>
  <si>
    <t>Обеспечение международной экономической и гуманитарной помощи</t>
  </si>
  <si>
    <t>Федеральный закон от 16 июля 1999 года № 165-ФЗ "Об основах обязательного социального страхования"</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</si>
  <si>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</si>
  <si>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</si>
  <si>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</si>
  <si>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Администрация Помогаловского сельского поселения</t>
  </si>
  <si>
    <t>Покрытие дефицита бюджетов государственных внебюджетных фондов</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</si>
  <si>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</si>
  <si>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</si>
  <si>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в сфере культуры</t>
  </si>
  <si>
    <t>Министерство торговли области</t>
  </si>
  <si>
    <t>Государственная инспекция по маломерным судам области</t>
  </si>
  <si>
    <t>10-я редакция</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</si>
  <si>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</si>
  <si>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</si>
  <si>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</si>
  <si>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Погашение бюджетом муниципального района кредитов от кредитных организаций в валюте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</si>
  <si>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</si>
  <si>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</si>
  <si>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</si>
  <si>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Федеральная служба судебных приставов</t>
  </si>
  <si>
    <t>Учреждения, обеспечивающие предоставление услуг в сфере рыбохозяйственной деятельности</t>
  </si>
  <si>
    <t>Водохозяйственные мероприятия</t>
  </si>
  <si>
    <t xml:space="preserve"> Федеральная архивная служба России</t>
  </si>
  <si>
    <t xml:space="preserve"> Верховный суд Российской Федерации</t>
  </si>
  <si>
    <t xml:space="preserve"> Уральское отделение Российской академии наук</t>
  </si>
  <si>
    <t>Органы безопасности</t>
  </si>
  <si>
    <t>Органы пограничной службы</t>
  </si>
  <si>
    <t>Субвенция на обеспечение деятельности органов местного самоуправления в сфере социальной защиты населения</t>
  </si>
  <si>
    <t>Субвенция на содержание ребенка в семье опекуна и приемной семье, а также вознаграждение, причитающееся приемному родителю</t>
  </si>
  <si>
    <t>Мероприятия по профилактике ВИЧ-инфекции, гепатитов В, С</t>
  </si>
  <si>
    <t>Обеспечение деятельности особо ценных объектов (учреждений) культурного наследия народов Российской Федерации</t>
  </si>
  <si>
    <t>Федеральная целевая программа "Повышение безопасности дорожного движения в 2006 - 2012 годах"</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</si>
  <si>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</si>
  <si>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01 06 01 00 00 0000 630</t>
  </si>
  <si>
    <t>Средства от продажи акций и иных форм участия в капитале, находящихся в государственной и муниципальной собственности</t>
  </si>
  <si>
    <t xml:space="preserve">Областная целевая программа "Социальное развитие села до 2012 года" </t>
  </si>
  <si>
    <t>Приложение 11</t>
  </si>
  <si>
    <t>1. Дотация на выравнивание бюджетной обеспеченности поселений Тутаевского муниципального района</t>
  </si>
  <si>
    <t>Наименование поселения</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</si>
  <si>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</si>
  <si>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</si>
  <si>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</si>
  <si>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</si>
  <si>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</si>
  <si>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</si>
  <si>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</si>
  <si>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</si>
  <si>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</si>
  <si>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</si>
  <si>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</si>
  <si>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</si>
  <si>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</si>
  <si>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</si>
  <si>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</si>
  <si>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</si>
  <si>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</si>
  <si>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</si>
  <si>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</si>
  <si>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</si>
  <si>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</si>
  <si>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</si>
  <si>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Покрытие дефицита бюджета Фонда социального страхования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</si>
  <si>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</si>
  <si>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</si>
  <si>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</si>
  <si>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</si>
  <si>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</si>
  <si>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</si>
  <si>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Обеспечение мероприятий по реформированию  государственной и муниципальной службы</t>
  </si>
  <si>
    <t>Подпрограмма "ВИЧ-инфекция"</t>
  </si>
  <si>
    <t>Поддержка дорожного хозяйства</t>
  </si>
  <si>
    <t>Подпрограмма "Модернизация и создание перспективных средств навигации в интересах специальных потребителей"</t>
  </si>
  <si>
    <t>Международные обязательства в сфере военно-технического сотрудничества</t>
  </si>
  <si>
    <t>Развитие подведомственных центров реабилитации Фонда социального страхования Российской Федерации</t>
  </si>
  <si>
    <t xml:space="preserve"> Федеральный горный и промышленный надзор России</t>
  </si>
  <si>
    <t xml:space="preserve"> Общеэкономические вопросы</t>
  </si>
  <si>
    <t>Администрация Никольской сельской территории</t>
  </si>
  <si>
    <t>Государственный комитет РФ по оборонному заказу при Министерстве обороны РФ</t>
  </si>
  <si>
    <t xml:space="preserve"> Федеральная служба геодезии и картографии России</t>
  </si>
  <si>
    <t>Субсидии государственным цирковым организациям</t>
  </si>
  <si>
    <t>Проведение углубленных медицинских осмотров работников, занятых на работах с вредными и (или) опасными производственными факторами</t>
  </si>
  <si>
    <t>Развитие социальной и инженерной инфраструктуры</t>
  </si>
  <si>
    <t>Обеспечение создания государственной системы изготовления, оформления и контроля паспортно-визовых документов нового поколения</t>
  </si>
  <si>
    <t>Администрация Родионовского сельского поселения</t>
  </si>
  <si>
    <t>Предупреждение и ликвидация последствий чрезвычайных ситуаций и стихийных бедствий природного и техногенного характера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</si>
  <si>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</si>
  <si>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Ликвидация межтерриториального перекрестного субсидирования в электроэнергетике</t>
  </si>
  <si>
    <t>Управление делами Президента Российской Федерации</t>
  </si>
  <si>
    <t>Обеспечение визитов делегаций высших органов власти за рубеж</t>
  </si>
  <si>
    <t>Мероприятия по обеспечению мобилизационной готовности экономики</t>
  </si>
  <si>
    <t>Осуществление высшим исполнительным органом государственной власти Санкт-Петербурга полномочий по управлению федеральным имуществом</t>
  </si>
  <si>
    <t>Сбор, удаление отходов и очистка сточных вод</t>
  </si>
  <si>
    <t>Охрана объектов растительного и животного мира и среды их обитания</t>
  </si>
  <si>
    <t>ОБРАЗОВАНИЕ</t>
  </si>
  <si>
    <t>Департамент финансов администрации ТМР</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</si>
  <si>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</si>
  <si>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Федеральная целевая программа "Комплексные меры противодействия злоупотреблению наркотиками и их незаконному обороту на 2005 - 2009 годы"</t>
  </si>
  <si>
    <t>Федеральная целевая программа "Развитие российских космодромов на 2006 - 2015 годы"</t>
  </si>
  <si>
    <t>Покрытие дефицита бюджета Пенсионного фонда Российской Федерации</t>
  </si>
  <si>
    <t>Обеспечение государственного материального резерва</t>
  </si>
  <si>
    <t>Субсидии организациям ядерно-оружейного комплекса</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</si>
  <si>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</si>
  <si>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</si>
  <si>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Реформирование системы оплаты труда работников федеральных бюджетных учреждений</t>
  </si>
  <si>
    <t>Администрация городского поселения Тутаев</t>
  </si>
  <si>
    <t>МУ "Отдел строительства и капитального ремонта" ТМР</t>
  </si>
  <si>
    <t>Избирательная комиссия ТМР</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</si>
  <si>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</si>
  <si>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</si>
  <si>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</si>
  <si>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</si>
  <si>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</si>
  <si>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</si>
  <si>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</si>
  <si>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</si>
  <si>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</si>
  <si>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</si>
  <si>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</si>
  <si>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</si>
  <si>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</si>
  <si>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</si>
  <si>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</si>
  <si>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</si>
  <si>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</si>
  <si>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</si>
  <si>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</si>
  <si>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</si>
  <si>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</si>
  <si>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</si>
  <si>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</si>
  <si>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</si>
  <si>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</si>
  <si>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</si>
  <si>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</si>
  <si>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</si>
  <si>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</si>
  <si>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</si>
  <si>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</si>
  <si>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</si>
  <si>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</si>
  <si>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Социальное обеспечение и иные выплаты населению</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</si>
  <si>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</si>
  <si>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</si>
  <si>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</si>
  <si>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</si>
  <si>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</si>
  <si>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</si>
  <si>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</si>
  <si>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</si>
  <si>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</si>
  <si>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</si>
  <si>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</si>
  <si>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</si>
  <si>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</si>
  <si>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</si>
  <si>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</si>
  <si>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</si>
  <si>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</si>
  <si>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</si>
  <si>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</si>
  <si>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</si>
  <si>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</si>
  <si>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</si>
  <si>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</si>
  <si>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</si>
  <si>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</si>
  <si>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</si>
  <si>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</si>
  <si>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</si>
  <si>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</si>
  <si>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</si>
  <si>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Обеспечение мероприятий по защите российского морского судоходства и противодействия пиратству</t>
  </si>
  <si>
    <t>Обеспечение мероприятий по празднованию Победы советского народа в Великой Отечественной войне 1941-1945 годов</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</si>
  <si>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</si>
  <si>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</si>
  <si>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Промышленная утилизация и ликвидация вооружений и военной техники</t>
  </si>
  <si>
    <t>Обеспечение государственного запаса специального сырья и делящихся материалов</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</si>
  <si>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</si>
  <si>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</si>
  <si>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</si>
  <si>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</si>
  <si>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</si>
  <si>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</si>
  <si>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</si>
  <si>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</si>
  <si>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</si>
  <si>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Субсидия на реализацию муниципальных программ  развития туризма и отдыха</t>
  </si>
  <si>
    <t xml:space="preserve">ОЦП "Развитие образования" </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</si>
  <si>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</si>
  <si>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</si>
  <si>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</si>
  <si>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</si>
  <si>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</si>
  <si>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</si>
  <si>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</si>
  <si>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</si>
  <si>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Программа"Энергоресурсосбережений"</t>
  </si>
  <si>
    <t>Программа "Энергоресурсосбережений"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</si>
  <si>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</si>
  <si>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</si>
  <si>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</si>
  <si>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</si>
  <si>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</si>
  <si>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</si>
  <si>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Бюджетные кредиты от других бюджетов бюджетной системы Российской Федерации</t>
  </si>
  <si>
    <t>Подпрограмма "Обеспечение земельных участков коммунальной инфраструктурой в целях жилищного строительства"</t>
  </si>
  <si>
    <t>Федеральная целевая программа "Экономическое и социальное развитие Дальнего Востока и Забайкалья на период до 2013 года"</t>
  </si>
  <si>
    <t xml:space="preserve"> Судебный департамент при верховном суде РФ</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</si>
  <si>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</si>
  <si>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</si>
  <si>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</si>
  <si>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</si>
  <si>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</si>
  <si>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</si>
  <si>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</si>
  <si>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</si>
  <si>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</si>
  <si>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</si>
  <si>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</si>
  <si>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</si>
  <si>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</si>
  <si>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</si>
  <si>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</si>
  <si>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</si>
  <si>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Мероприятия, направленные на развитие федеральных автономных учреждений</t>
  </si>
  <si>
    <t>Процентные платежи по долговым обязательствам</t>
  </si>
  <si>
    <t>Фонд социального страхования РФ</t>
  </si>
  <si>
    <t>Приобретение жилья гражданами, выезжающими из районов Крайнего Севера и приравненных к ним местностей</t>
  </si>
  <si>
    <t>Проведение выборов в представительные органы муниципального образования</t>
  </si>
  <si>
    <t>Предоставление гражданам субсидий на оплату жилого помещения и коммунальных услуг</t>
  </si>
  <si>
    <t>Подпрограмма "Модернизация объектов коммунальной инфраструктуры"</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</si>
  <si>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</si>
  <si>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МУЗ Тутаевская городская больница</t>
  </si>
  <si>
    <t>Школы-интернаты</t>
  </si>
  <si>
    <t>Администрация Чебаковского сельского поселения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</si>
  <si>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</si>
  <si>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Проведение мероприятий для детей и молодежи в части реализ.ведомст.целевой программы "Патриотическое воспитание молодежи Я,О"</t>
  </si>
  <si>
    <t>Оздоровление детей в трудной жизненной ситуации</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</si>
  <si>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</si>
  <si>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</si>
  <si>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</si>
  <si>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</si>
  <si>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</si>
  <si>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</si>
  <si>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</si>
  <si>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</si>
  <si>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Субсидии на функционирование координационного центра Россия-НАТО</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</si>
  <si>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</si>
  <si>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</si>
  <si>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</si>
  <si>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</si>
  <si>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</si>
  <si>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2 02 03024 05 0000 151</t>
  </si>
  <si>
    <t>Субвенции бюджетам муниципальных районов на выполнение передаваемых полномочий субъектов Российской Федерации</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</si>
  <si>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</si>
  <si>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</si>
  <si>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</si>
  <si>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</si>
  <si>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</si>
  <si>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</si>
  <si>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</si>
  <si>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</si>
  <si>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1 11 09045 05 0000 120</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</si>
  <si>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</si>
  <si>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</si>
  <si>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</si>
  <si>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</si>
  <si>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</si>
  <si>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</si>
  <si>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</si>
  <si>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</si>
  <si>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Иные межбюджетные трансферты бюджетам бюджетной системы</t>
  </si>
  <si>
    <t>Областная целевая программа "Развитие сельского хозяйства, пищевой и перерабатывающей промышленности ЯО"</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</si>
  <si>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</si>
  <si>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</si>
  <si>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</si>
  <si>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</si>
  <si>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</si>
  <si>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</si>
  <si>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</si>
  <si>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</si>
  <si>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</si>
  <si>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</si>
  <si>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</si>
  <si>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</si>
  <si>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Закон Российской Федерации от 28 июня 1991 года № 1499-I «О медицинском страховании граждан в Российской Федерации»</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</si>
  <si>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</si>
  <si>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</si>
  <si>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</si>
  <si>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</si>
  <si>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</si>
  <si>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</si>
  <si>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</si>
  <si>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Сельское хозяйство и рыболовство</t>
  </si>
  <si>
    <t>Транспорт</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</si>
  <si>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</si>
  <si>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Выплаты независимым экспертам</t>
  </si>
  <si>
    <t>Комитет по земельным ресурсам и землеустройству области</t>
  </si>
  <si>
    <t>Федеральная служба по ветеринарному и фитосанитарному надзору</t>
  </si>
  <si>
    <t>Прикладные научные исследования в области охраны окружающей среды</t>
  </si>
  <si>
    <t>Начальное профессиональное образование</t>
  </si>
  <si>
    <t>Развитие сети национальных университетов и других образовательных учреждений</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</si>
  <si>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</si>
  <si>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</si>
  <si>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</si>
  <si>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</si>
  <si>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</si>
  <si>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</si>
  <si>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</si>
  <si>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</si>
  <si>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</si>
  <si>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</si>
  <si>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</si>
  <si>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</si>
  <si>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</si>
  <si>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</si>
  <si>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</si>
  <si>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</si>
  <si>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Федеральная программа 'Реформирование государственной службы Российской Федерации (2003 – 2005 годы)'</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</si>
  <si>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</si>
  <si>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</si>
  <si>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</si>
  <si>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</si>
  <si>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</si>
  <si>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</si>
  <si>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</si>
  <si>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</si>
  <si>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</si>
  <si>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</si>
  <si>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</si>
  <si>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</si>
  <si>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</si>
  <si>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</si>
  <si>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'Международный термоядерный реактор ИТЭР' на 2002 - 2005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</si>
  <si>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</si>
  <si>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</si>
  <si>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</si>
  <si>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"Развитие электронной компонентной базы" на 2007 - 2011 годы</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</si>
  <si>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</si>
  <si>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Утилизация и ликвидация вооружений</t>
  </si>
  <si>
    <t>Безвозмездные поступления</t>
  </si>
  <si>
    <t>Дома-интернаты для престарелых и инвалидов</t>
  </si>
  <si>
    <t>Учреждения по обучению инвалидов</t>
  </si>
  <si>
    <t>Поддержка туристической деятельности</t>
  </si>
  <si>
    <t>Реализация государственных функций в области социальной политики</t>
  </si>
  <si>
    <t>Содержание и обеспечение деятельности учреждения, обеспечивающего функционирование системы весового контроля автотранспортных средств</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</si>
  <si>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</si>
  <si>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</si>
  <si>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Подпрограмма "Артериальная гипертония"</t>
  </si>
  <si>
    <t>Государственный комитет РФ по рыболовству</t>
  </si>
  <si>
    <t>Министерство РФ по связи и информатизации</t>
  </si>
  <si>
    <t>Обеспечение граждан квалифицированной юридической помощью по назначению органов дознания, органов предварительного следствия, прокурора</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</si>
  <si>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</si>
  <si>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</si>
  <si>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</si>
  <si>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</si>
  <si>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</si>
  <si>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</si>
  <si>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МЦП "Ликвидация последствий аварии на битумной установке, расположенной в урочище Марфино ТМР"</t>
  </si>
  <si>
    <t>МП"Повышение безопасности дорожного движения на территории ТМР на 2010-2012 годы"</t>
  </si>
  <si>
    <t>Условно утвержденные расходы</t>
  </si>
  <si>
    <t>Возмещение расходов по выплате трудовых пенсий в связи с зачетом в страховой стаж не страховых периодов</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</si>
  <si>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</si>
  <si>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</si>
  <si>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</si>
  <si>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Оздоровление детей погибших сотрудников правоохр.органов и военнослужащих</t>
  </si>
  <si>
    <t>Подпрограмма  "Отдых, оздоровление и занятость детей"</t>
  </si>
  <si>
    <t>Подпрограмма "Ярославские каникулы" победители ежегодного конкурса соц. знач. проектов сфере организации отдыха</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</si>
  <si>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</si>
  <si>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МП "Поддержка садоводческих, огороднических и дачных некоммерческих объединений на территории ТМР на 2009 - 2011 годы"</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</si>
  <si>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</si>
  <si>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</si>
  <si>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</si>
  <si>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</si>
  <si>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</si>
  <si>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</si>
  <si>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</si>
  <si>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</si>
  <si>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</si>
  <si>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</si>
  <si>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</si>
  <si>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</si>
  <si>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</si>
  <si>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</si>
  <si>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</si>
  <si>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</si>
  <si>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01 05 02 01 05 0000 510</t>
  </si>
  <si>
    <t>01 05 02 01 05 0000 610</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</si>
  <si>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</si>
  <si>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</si>
  <si>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</si>
  <si>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</si>
  <si>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 xml:space="preserve">2 02 02009 05 0000 151 </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</si>
  <si>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</si>
  <si>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</si>
  <si>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</si>
  <si>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</si>
  <si>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</si>
  <si>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</si>
  <si>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</si>
  <si>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</si>
  <si>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</si>
  <si>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</si>
  <si>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</si>
  <si>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</si>
  <si>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</si>
  <si>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</si>
  <si>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</si>
  <si>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</si>
  <si>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</si>
  <si>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</si>
  <si>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</si>
  <si>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</si>
  <si>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</si>
  <si>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</si>
  <si>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</si>
  <si>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</si>
  <si>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</si>
  <si>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</si>
  <si>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</si>
  <si>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Субсидии на государственную поддержку развития кооперации российских образовательных учреждений высшего профессионального образования</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</si>
  <si>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</si>
  <si>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2 18 05030 05 0000 180</t>
  </si>
  <si>
    <t xml:space="preserve">Доходы бюджетов муниципальных районов от возврата иными организациями остатков субсидий прошлых лет </t>
  </si>
  <si>
    <t>Содержание пунктов пропуска через государственную границу Российской Федерации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</si>
  <si>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</si>
  <si>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</si>
  <si>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</si>
  <si>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Учреждения, обеспечивающие предоставление услуг, связанных с реструктуризацией угольной отрасли</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</si>
  <si>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</si>
  <si>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</si>
  <si>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</si>
  <si>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</si>
  <si>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</si>
  <si>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</si>
  <si>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Субсидии на проведение закупочных и товарных интервенций сельскохозяйственной продукции, а также залоговых операций</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</si>
  <si>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</si>
  <si>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</si>
  <si>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</si>
  <si>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</si>
  <si>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</si>
  <si>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</si>
  <si>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Субсидия на реализацию программ развития муниципальной службы муниципальных образований ЯО.</t>
  </si>
  <si>
    <t>ОЦП "Обеспечение муниципальных районов документацией территориального планирования"</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</si>
  <si>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</si>
  <si>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</si>
  <si>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</si>
  <si>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Приложение 19</t>
  </si>
  <si>
    <t>Приложение 18</t>
  </si>
  <si>
    <t>7-я редакция</t>
  </si>
  <si>
    <t>Приложение 20</t>
  </si>
  <si>
    <t>Распределение иных межбюджетных трансфертов  бюджетам поселений Тутаевского муниципального района на 2013 год</t>
  </si>
  <si>
    <t>Приложение 21</t>
  </si>
  <si>
    <t>Приложение 22</t>
  </si>
  <si>
    <t>№</t>
  </si>
  <si>
    <t>Наименование программы</t>
  </si>
  <si>
    <t>Сумма                    (руб.)</t>
  </si>
  <si>
    <t>Код ведомственной классификации</t>
  </si>
  <si>
    <t>(руб.)</t>
  </si>
  <si>
    <t xml:space="preserve">Перечень ведомственных целевых программ  на 2013 год </t>
  </si>
  <si>
    <t>Перечень ведомственных целевых программ  на плановый период 2014-2015 годов</t>
  </si>
  <si>
    <t>2015 год</t>
  </si>
  <si>
    <t>Приложение 3</t>
  </si>
  <si>
    <t>Приложение 6</t>
  </si>
  <si>
    <t>01003</t>
  </si>
  <si>
    <t>Дотации  на выравнивание бюджетной обеспеченности поселений Ярославской области</t>
  </si>
  <si>
    <t>Дотации на выравнивание бюджетной обеспеченности  муниципальных районов Ярославской области</t>
  </si>
  <si>
    <t>Дотации на обеспечение сбалансированности бюджетов муниципальных образований Ярославской области (Тутаевский муниципальный район)</t>
  </si>
  <si>
    <t>Субсидии бюджетам субъектов Российской Федерации и муниципальных образований (межбюджетные субсидии)</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</si>
  <si>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</si>
  <si>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958</t>
  </si>
  <si>
    <t>02077</t>
  </si>
  <si>
    <t>956</t>
  </si>
  <si>
    <t>02041</t>
  </si>
  <si>
    <t>Субсидия на компенсацию части затрат по организации внутримуниципального сообщения водным транспортом с использованием переправ</t>
  </si>
  <si>
    <t>953</t>
  </si>
  <si>
    <t>950</t>
  </si>
  <si>
    <t>954</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</si>
  <si>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</si>
  <si>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02999</t>
  </si>
  <si>
    <t>02078</t>
  </si>
  <si>
    <t>03015</t>
  </si>
  <si>
    <t>03003</t>
  </si>
  <si>
    <t>03033</t>
  </si>
  <si>
    <t>03020</t>
  </si>
  <si>
    <t>03053</t>
  </si>
  <si>
    <t>03004</t>
  </si>
  <si>
    <t>03001</t>
  </si>
  <si>
    <t>03022</t>
  </si>
  <si>
    <t>03024</t>
  </si>
  <si>
    <t>03027</t>
  </si>
  <si>
    <t>04999</t>
  </si>
  <si>
    <t>05013</t>
  </si>
  <si>
    <t>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</si>
  <si>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</si>
  <si>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</si>
  <si>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06013</t>
  </si>
  <si>
    <t>06025</t>
  </si>
  <si>
    <t xml:space="preserve">Главные администраторы доходов бюджета Тутаевского муниципального района </t>
  </si>
  <si>
    <t>Главные администраторы источнков финансирования дефицита бюджета Тутаевского муниципального района</t>
  </si>
  <si>
    <t xml:space="preserve">2 02 02077 05 0000 151 </t>
  </si>
  <si>
    <t>2 02 02051 05 0000 151</t>
  </si>
  <si>
    <t>Субсидии бюджетам муниципальных районов на реализацию федеральных целевых программ</t>
  </si>
  <si>
    <t>2 02 02088 05 0004 151</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</si>
  <si>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</si>
  <si>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</si>
  <si>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</si>
  <si>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</si>
  <si>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</si>
  <si>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</si>
  <si>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</si>
  <si>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</si>
  <si>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1 14 06013 10 0000 430</t>
  </si>
  <si>
    <t>1 11 05013 10 0000 120</t>
  </si>
  <si>
    <t>1 14 02053 05 0000 410</t>
  </si>
  <si>
    <t>1 14 02053 05 0000 440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</si>
  <si>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</si>
  <si>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Прочие доходы от оказания платных услуг (работ) получателями средств бюджетов муниципальных районов </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</si>
  <si>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</si>
  <si>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</si>
  <si>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Всего, руб.</t>
  </si>
  <si>
    <t>в том числе:  из районного фонда финансовой поддержки поселений</t>
  </si>
  <si>
    <t>2014 год        ( руб.)</t>
  </si>
  <si>
    <t>1. Межбюджетные трансферты на</t>
  </si>
  <si>
    <t>2015 год        ( руб.)</t>
  </si>
  <si>
    <t>Распределение иных межбюджетных трансфертов  бюджетам поселений Тутаевского муниципального района на плановый период 2014 - 2015 годов</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</si>
  <si>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</si>
  <si>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</si>
  <si>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Перечень муниципальных целевых программ на плановый период 2014-2015 годов</t>
  </si>
  <si>
    <t>2014 год                    (руб.)</t>
  </si>
  <si>
    <t>2015 год                     (руб.)</t>
  </si>
  <si>
    <t>Перечень муниципальных целевых программ на 2013 год</t>
  </si>
  <si>
    <t>04014</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</si>
  <si>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</si>
  <si>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Иные межбюджетные трансферты </t>
  </si>
  <si>
    <t>Межбюджетные трансферты</t>
  </si>
  <si>
    <t>Резервные фонды местных администраций</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</si>
  <si>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</si>
  <si>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</si>
  <si>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</si>
  <si>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</si>
  <si>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</si>
  <si>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</si>
  <si>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</si>
  <si>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Федеральная целевая программа "Развитие водохозяйственного комплекса РФ в 2012-2020 годах</t>
  </si>
  <si>
    <t>Субсидия на реализацию ОЦП "Берегоукрепление"</t>
  </si>
  <si>
    <t>Субсидия на реализацию Подпрограммы "Обеспечение жильем молодых семей" ФЦП "Жилище"</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</si>
  <si>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</si>
  <si>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</si>
  <si>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Поддержка жилищного хохяйства</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</si>
  <si>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</si>
  <si>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</si>
  <si>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</si>
  <si>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Расходы на реализацию мероприятий по патриотическому воспитанию молодежи ЯО</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</si>
  <si>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</si>
  <si>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</si>
  <si>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Компенсация расходов на содержание ребенка в дошкольной образовательной организации</t>
  </si>
  <si>
    <t>Субсидия на содержание органов местного самоуправления</t>
  </si>
  <si>
    <t>Программа "Обеспечение доступного дошкольного образования" в части мероприятий по строительству дошкольных образовательных учреждений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</si>
  <si>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</si>
  <si>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</si>
  <si>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</si>
  <si>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</si>
  <si>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</si>
  <si>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"Комплексная программа модернизации и реформирования жилищно-коммунального хозяйства"</t>
  </si>
  <si>
    <t xml:space="preserve">Региональная программа "Стимулирование развития жилищного строительства на территории Ярославской области" </t>
  </si>
  <si>
    <t>ОЦП "Обращение с твердыми бытовыми отходами на территории ЯО"</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</si>
  <si>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</si>
  <si>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</si>
  <si>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Прочие мероприятия, осуществляемые за счет межбюджетных трансфертов прошлых лет из федерального бюджета</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</si>
  <si>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</si>
  <si>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</si>
  <si>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1. Субсидия на реализацию мероприятий ОЦП "Обеспечение безопасности граждан на водных объектах Ярославской области"</t>
  </si>
  <si>
    <t>Программа развтия систем коммунальной инфраструктуры Тутаевского муниципального района на 2011-2015 годы с перспективой до 2030 года</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</si>
  <si>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</si>
  <si>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</si>
  <si>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</si>
  <si>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</si>
  <si>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</si>
  <si>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</si>
  <si>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</si>
  <si>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</si>
  <si>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</si>
  <si>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</si>
  <si>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</si>
  <si>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</si>
  <si>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</si>
  <si>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</si>
  <si>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Комплексная программа профилактики правонарушений и усиления борьбы с преступностью в Тутаевском муниципальном районе на 2012-2013 годы</t>
  </si>
  <si>
    <t>Программа соц. защиты населения Тутаевского муниципального района на 2011-2013 годы</t>
  </si>
  <si>
    <t>МЦП "Развитие культуры Тутаевского муниципального района на 2011-2013 годы"</t>
  </si>
  <si>
    <t>МЦП "Развитие информатизации Тутаевского муниципального района Ярославской области" на 2011-2013 годы</t>
  </si>
  <si>
    <t>МЦП "Патриотическое воспитание граждан РФ, проживающих на территории ТМР ЯО,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</si>
  <si>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</si>
  <si>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</si>
  <si>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Областная целевая программа "Доступная среда"</t>
  </si>
  <si>
    <t>Мероприятия по реализации областной целевой программы "Доступная среда"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</si>
  <si>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</si>
  <si>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</si>
  <si>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</si>
  <si>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</si>
  <si>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Чебаковское  сельское поселение</t>
  </si>
  <si>
    <t>Левобережное  сельское поселение</t>
  </si>
  <si>
    <t>МЦП " Развитие въездного и внутреннего туризма на территории ТМР на 2011-2015 годы"</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</si>
  <si>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</si>
  <si>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</si>
  <si>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МЦП "Развитие физической культуры и спорта в Тутаевском муниципальном районе" на 2013-2015 годы</t>
  </si>
  <si>
    <t>Субсидии некоммерческим организациям (за исключением государственных учреждений)</t>
  </si>
  <si>
    <t>МЦП "Развитие потребительского рынка ТМР" на 2012-2014 годы</t>
  </si>
  <si>
    <t>Ведомственная целевая программа "Молодежь" на 2013-2015 годы</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</si>
  <si>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</si>
  <si>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</si>
  <si>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</si>
  <si>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2013 год (руб.)</t>
  </si>
  <si>
    <t>ВСЕГО</t>
  </si>
  <si>
    <t xml:space="preserve">Приложение 20 </t>
  </si>
  <si>
    <t xml:space="preserve">Приложение 21 </t>
  </si>
  <si>
    <t>Приложение 23</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</si>
  <si>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</si>
  <si>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</si>
  <si>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Оказание господ. поддержки победителям конкурса проект. иннов. моделей по выявл. и поддержке одарен. детей</t>
  </si>
  <si>
    <t>МЦП "Об энергосбережении и повышении энергетической эффективности Тутаевского муниципального района на 2011-2013годы"</t>
  </si>
  <si>
    <t>МЦП "Об энергосбережении и повышении энергетической эффективности Тутаевского муниципального района на 2011-2013 годы"</t>
  </si>
  <si>
    <t>МЦП "Развитие потребительского рынка ТМР на 2012-2014 годы"</t>
  </si>
  <si>
    <t>Реализацию областной целевой программы "Доступная среда" в сфере образования</t>
  </si>
  <si>
    <t>от "20"декабря 2012 г.№ 05-г</t>
  </si>
  <si>
    <t>Адаптация учреждений социального обслуживания населения для обеспечения доступности для инвалидов и других маломобильных групп населения</t>
  </si>
  <si>
    <t>от"20" декабря 2012 г.№05-г</t>
  </si>
  <si>
    <t>от "20" декабря 2012 г. №05-г</t>
  </si>
  <si>
    <t>от "20" декабря 2012г. №05-г</t>
  </si>
  <si>
    <t>Субсидия на реализацию мероприятий по строительству и реконструкции дошкольных образовательных учреждений за счет средств областного бюджета</t>
  </si>
  <si>
    <t>Субсидия на оказание (выполнение) муниципальными учреждениями услуг (работ) в сфере молодежной политики</t>
  </si>
  <si>
    <t>Субсидия на укрепление социальной защищенности пожилых людей</t>
  </si>
  <si>
    <t>Субсидия на повышение социальной активности пожилых людей в части организапции культурных программ</t>
  </si>
  <si>
    <t>Субсидия на укрепление института семьи, повышение качества жизни семей с несовершеннолетними детьми</t>
  </si>
  <si>
    <t>Субсидия на оздоровление и отдых детей</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</si>
  <si>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</si>
  <si>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</si>
  <si>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 xml:space="preserve">Субсидия на реализацию мероприятий по обеспечению безопасности граждан на водных объектах </t>
  </si>
  <si>
    <t>Субсидия на проведение капитального ремонта муниципальных учреждений культуры</t>
  </si>
  <si>
    <t>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</si>
  <si>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</si>
  <si>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</si>
  <si>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</si>
  <si>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всвязи с материнством</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</si>
  <si>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</si>
  <si>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</si>
  <si>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</si>
  <si>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</si>
  <si>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 xml:space="preserve"> Прогнозируемые доходы бюджета Тутаевского муниципального района на 2014 год  в соответствии с классификацией доходов бюджетов Российской Федерации</t>
  </si>
  <si>
    <t>Расходы бюджета Тутаевского муниципального района по разделам и подразделам классификации расходов бюджетов Российской Федерации на 2014 год</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</si>
  <si>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</si>
  <si>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</si>
  <si>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Субвенция на обеспечение  бесплатным питанием обучающихся муниципальных образовательных организаций</t>
  </si>
  <si>
    <t>Субвенция на оплату жилищно -  коммунальных услуг отдельным категориям граждан за счет средств федерального бюджета</t>
  </si>
  <si>
    <t>Субвенция на  осуществление полномочий Российской Федерации по государственной регистрации актов гражданского состояния</t>
  </si>
  <si>
    <t>955 01 03 01 00 00 0000 800</t>
  </si>
  <si>
    <t>955 01 03 01 00 05 0000 810</t>
  </si>
  <si>
    <t>01 03 01 00 05 0000 710</t>
  </si>
  <si>
    <t>01 03 01 00 05 0000 810</t>
  </si>
  <si>
    <t>03</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</si>
  <si>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</si>
  <si>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</si>
  <si>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Налог, взимаемый в связи с патентной системой налогообложения</t>
  </si>
  <si>
    <t>05075</t>
  </si>
  <si>
    <t>Доходы от сдачи в аренду имущества, составляющего казну муниципальных районов (за исключением земельных участков)</t>
  </si>
  <si>
    <t>Дотации бюджетов субъектов Российской Федерации и муниципальных образований</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</si>
  <si>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</si>
  <si>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2 02 04014 05 0000 151 </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</si>
  <si>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</si>
  <si>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</si>
  <si>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</si>
  <si>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2 02 02021 05 0000 151 </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</si>
  <si>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</si>
  <si>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</si>
  <si>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</si>
  <si>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</si>
  <si>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2 02 02078 05 0000 151</t>
  </si>
  <si>
    <t>Субсидии бюджетам муниципальных районов на  бюджетные инвестиции для модернизации объектов коммунальной инфраструктуры</t>
  </si>
  <si>
    <t>2 02 02109 05 0000 151</t>
  </si>
  <si>
    <t>Субсидии бюджетам муниципальных районов на проведение капитального ремонта многоквартирных домов</t>
  </si>
  <si>
    <t xml:space="preserve">2 02 03090 05 0000 151 </t>
  </si>
  <si>
    <t xml:space="preserve">2 02 02141 05 0000 151 </t>
  </si>
  <si>
    <t xml:space="preserve">2 02 02145 05 0000 151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</si>
  <si>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</si>
  <si>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Субсидии бюджетам муниципальных районов на модернизацию региональных систем общего образования</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</si>
  <si>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</si>
  <si>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</si>
  <si>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</si>
  <si>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</si>
  <si>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</si>
  <si>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</si>
  <si>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</si>
  <si>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</si>
  <si>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</si>
  <si>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</si>
  <si>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</si>
  <si>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Получение кредитов от кредитных организаций бюджетами муниципальных района в валюте Российской Федерации</t>
  </si>
  <si>
    <t>Погашение бюджетами муниципальных района кредитов от кредитных организаций в валюте в Российской Федерации</t>
  </si>
  <si>
    <t>Погашение кредитов от других бюджетов бюджетной системы Российской Федерации  бюджетами муниципальных районов в валюте Российской Федерации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</si>
  <si>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</si>
  <si>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</si>
  <si>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000 01 06 00 00 00 0000 000</t>
  </si>
  <si>
    <t>000 01 05 00 00 00 0000 000</t>
  </si>
  <si>
    <t>000 01 03 00 00 00 0000 000</t>
  </si>
  <si>
    <t>000 01 02 00 00 00 0000 000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</si>
  <si>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</si>
  <si>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2 02 02204 05 0000 151</t>
  </si>
  <si>
    <t>Субсидии бюджетам муниципальных районов на модернизацию региональных систем дошкольного образования</t>
  </si>
  <si>
    <t>Распределение дотаций бюджетам поселений Тутаевского муниципального района  на 2014 год</t>
  </si>
  <si>
    <t>Распределение дотаций бюджетам поселений Тутаевского муниципального района на плановый период 2015-2016 годов</t>
  </si>
  <si>
    <t>Распределение субсидий бюджетам поселений Тутаевского муниципального района на 2014 год</t>
  </si>
  <si>
    <t>Приложение 16</t>
  </si>
  <si>
    <t>Код программы</t>
  </si>
  <si>
    <t>значение</t>
  </si>
  <si>
    <t>Код направления</t>
  </si>
  <si>
    <t>Развитие молодежной политики</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</si>
  <si>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 на 2014-2016 годы.</t>
  </si>
  <si>
    <t>Муниципальная целевая программа «Комплексные меры противодействия злоупотреблению наркотиками и их незаконному обороту на 2012-2014 годы».</t>
  </si>
  <si>
    <t>Развитие образования</t>
  </si>
  <si>
    <t>Развитие культуры и туризма</t>
  </si>
  <si>
    <t>Развитие физической культуры и спорта</t>
  </si>
  <si>
    <t>Муниципальная целевая программа «Развитие физической культуры и спорта в Тутаевском муниципальном районе на 2013-2015 годы».</t>
  </si>
  <si>
    <t>Социальная поддержка граждан</t>
  </si>
  <si>
    <t>Доступная среда</t>
  </si>
  <si>
    <t>Муниципальная целевая программа «Доступная среда» на 2012-2015 годы.</t>
  </si>
  <si>
    <t>Развитие коммунальной и инженерной инфраструктуры</t>
  </si>
  <si>
    <t>Программа комплексного развития систем коммунальной инфраструктуры Тутаевского муниципального района на 2011-2015 годы с перспективой до 2030 года.</t>
  </si>
  <si>
    <t>Муниципальная целевая программа «Развитие водоснабжения, водоотведения и очистки сточных вод» на территории Тутаевского муниципального района на период 2012-2017 годов.</t>
  </si>
  <si>
    <t>Энергоэффективность и развитие энергетики</t>
  </si>
  <si>
    <t>Развитие системы муниципального заказа</t>
  </si>
  <si>
    <t>Муниципальная целевая программа «Развитие системы муниципального заказа в Тутаевском муниципальном районе в 2014-2016 годах».</t>
  </si>
  <si>
    <t>Развитие экономического потенциала и формирование благоприятного инвестиционного климата, развитие предпринимательства</t>
  </si>
  <si>
    <t>Муниципальная целевая программа «Развитие субъектов малого и среднего предпринимательства Тутаевского муниципального района на 2012-2015 годы».</t>
  </si>
  <si>
    <t>Создание единого информационного пространства</t>
  </si>
  <si>
    <t>Муниципальная целевая программа «Информатизация управленческой деятельности Администрации ТМР на 2013-2014 годы».</t>
  </si>
  <si>
    <t>Совершенствование муниципального управления</t>
  </si>
  <si>
    <t>Программа развития муниципальной службы в Тутаевском муниципальном районе на 2013-2015 годы.</t>
  </si>
  <si>
    <t>Улучшение условий охраны труда</t>
  </si>
  <si>
    <t>Районная целевая программа «Улучшение условий и охраны труда» на 2014-2016 годы по Тутаевскому муниципальному району.</t>
  </si>
  <si>
    <t>Развитие сельского хозяйства</t>
  </si>
  <si>
    <t>Муниципальная целевая программа «Развитие потребительского рынка Тутаевского муниципального района на 2012-2014 годы».</t>
  </si>
  <si>
    <t>Муниципальная целевая программа «Развитие агропромышленного комплекса и сельских территорий Тутаевского муниципального района на 2013-2015 годы».</t>
  </si>
  <si>
    <t>Развитие дорожного хозяйства и транспорта</t>
  </si>
  <si>
    <t>Муниципальная целевая программа «Повышение безопасности дорожного движения на территории Тутаевского муниципального района на 2013-2015 годы».</t>
  </si>
  <si>
    <t>Муниципальная целевая программа «Сохранность автомобильных дорог общего пользования Тутаевского муниципального района на 2013-2015 годы».</t>
  </si>
  <si>
    <t>Поддержка некоммерческих организаций и территориального общественного самоуправления</t>
  </si>
  <si>
    <t>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 на 2014-2016 годы.</t>
  </si>
  <si>
    <t>Значение</t>
  </si>
  <si>
    <t>Бюджетные инвестиции в объекты капитального строительства муниципальной собственности</t>
  </si>
  <si>
    <t>Бюджетные инвестиции на приобретение недвижимого имущества в муниципальную собственность</t>
  </si>
  <si>
    <t>Расходы на содержание объектов находящихся в муниципальной собственности</t>
  </si>
  <si>
    <t>Субсидия на возмещение затрат по содержанию и  ремонту муниципальных коммунальных сетей</t>
  </si>
  <si>
    <t>Содержание и ремонт бесхозяйных сетей</t>
  </si>
  <si>
    <t>Расходы на мероприятия по газификации поселений</t>
  </si>
  <si>
    <t>Субсидия организациям автомобильного транспорта на возмещение затрат по пассажирским перевозкам внутри муниципальным транспортом общего пользования</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</si>
  <si>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</si>
  <si>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</si>
  <si>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Ремонт  автомобильных дорог общего пользования</t>
  </si>
  <si>
    <t>Иные мероприятия в отношении дорог общего пользования</t>
  </si>
  <si>
    <t>Расходы на содействие развитию малого и среднего предпринимательства</t>
  </si>
  <si>
    <t>Мероприятия по повышению энергоэффективности и энергосбережению</t>
  </si>
  <si>
    <t>Мероприятия в области градостроительства</t>
  </si>
  <si>
    <t>Мероприятия  направленные  по охрану окружающей среды и природопользования</t>
  </si>
  <si>
    <t>Мероприятия  направленные на развитие агропромышленного комплекса</t>
  </si>
  <si>
    <t>Мероприятия направленные на возмещение части затрат за доставку товаров в отдаленные сельские населенные  пункты</t>
  </si>
  <si>
    <t>Дотации поселениям района  на выравнивание бюджетной обеспеченности</t>
  </si>
  <si>
    <t>Мероприятия по развитию въездного и внутреннего туризма</t>
  </si>
  <si>
    <t>Содержание центрального аппарата</t>
  </si>
  <si>
    <t>Содержание главы муниципального образования</t>
  </si>
  <si>
    <t>Содержание руководителя контрольно-счетной палаты муниципального образования и его заместителей</t>
  </si>
  <si>
    <t>Выполнение других обязательств органов местного самоуправления</t>
  </si>
  <si>
    <t>Оценка недвижимости, признание прав и регулирование отношений по муниципальной собственности</t>
  </si>
  <si>
    <t>Обеспечение деятельности подведомственных учреждений органов местного самоуправления</t>
  </si>
  <si>
    <t>Исполнение судебных актов, актов других органов и должностных лиц, иных документов</t>
  </si>
  <si>
    <t>Расходы на развитие муниципальной службы</t>
  </si>
  <si>
    <t>Расходы на проведение мероприятий по информатизации</t>
  </si>
  <si>
    <t>Расходы на развитие системы муниципального заказа</t>
  </si>
  <si>
    <t>Расходы на поддержку территориального общественного самоуправления и некоммерческих организаций</t>
  </si>
  <si>
    <t>Погашение задолженности прошлых лет</t>
  </si>
  <si>
    <t>Расходы на выплату ежемесячных и разовых стипендий главы Тутаевского муниципального района</t>
  </si>
  <si>
    <t xml:space="preserve">Поддержка периодических изданий </t>
  </si>
  <si>
    <t>Процентные платежи по обслуживанию муниципального долга</t>
  </si>
  <si>
    <t>Обеспечение деятельности дошкольных учреждений</t>
  </si>
  <si>
    <t>Расходы на организацию присмотра и ухода за детьми в образовательных учреждениях</t>
  </si>
  <si>
    <t>Обеспечение деятельности общеобразовательных учреждений</t>
  </si>
  <si>
    <t>Обеспечение деятельности учреждений дополнительного образования</t>
  </si>
  <si>
    <t>Расходы на обеспечение функционирования в вечернее время спортивных залов в общеобразовательных организациях для занятий в них обучающихся</t>
  </si>
  <si>
    <t>Обеспечение деятельности прочих учреждений в сфере образования</t>
  </si>
  <si>
    <t>Мероприятия в сфере образования</t>
  </si>
  <si>
    <t>Расходы на обеспечение оздоровления и отдыха детей</t>
  </si>
  <si>
    <t xml:space="preserve">Расходы на оплату стоимости набора продуктов питания в лагерях с дневной формой пребывания детей </t>
  </si>
  <si>
    <t>Расходы на государственную поддержку материально-технической базы образовательных учреждений</t>
  </si>
  <si>
    <t>Расходы на реализацию мероприятий по строительству и реконструкции дошкольных образовательных учреждений</t>
  </si>
  <si>
    <t>Мероприятия в области спорта и физической культуры</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</si>
  <si>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</si>
  <si>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</si>
  <si>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t>
  </si>
  <si>
    <t>Расходы на реализацию мероприятий патриотического воспитания молодежи</t>
  </si>
  <si>
    <t>Расходы на укрепление социальной защищенности пожилых людей</t>
  </si>
  <si>
    <t>Расходы на оборудование социально значимых объектов сферы молодежной политики с целью обеспечения доступности для инвалидов</t>
  </si>
  <si>
    <t>Обеспечение деятельности учреждений по организации досуга в сфере культуры</t>
  </si>
  <si>
    <t>Расходы на повышение социальной активности пожилых людей в части организации культурных программ</t>
  </si>
  <si>
    <t>Обеспечение деятельности библиотек</t>
  </si>
  <si>
    <t>Обеспечение деятельности прочих учреждений в сфере культуры</t>
  </si>
  <si>
    <t>Мероприятия в сфере культуры</t>
  </si>
  <si>
    <t>Расходы на оборудование социально значимых объектов в сфере культуры с целью обеспечения доступности для инвалидов</t>
  </si>
  <si>
    <t>Расходы на проведение капитального ремонта муниципальных учреждений культуры</t>
  </si>
  <si>
    <t>Доплаты к пенсиям муниципальных служащих</t>
  </si>
  <si>
    <t>Расходы на укрепление института семьи, повышение качества жизни семей с несовершеннолетними детьми</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</si>
  <si>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</si>
  <si>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Субвенция  на осуществление первичного воинского учета на территориях, где отсутствуют воинские комиссариаты</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</si>
  <si>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</si>
  <si>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</si>
  <si>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Оплата жилищно-коммунальных услуг отдельным категориям граждан за счет средств федерального бюджета</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</si>
  <si>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</si>
  <si>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</si>
  <si>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</si>
  <si>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</si>
  <si>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Компенсация расходов на содержание ребенка в дошкольной образовательной организации за счет средств областного бюджета</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</si>
  <si>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</si>
  <si>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материально-технической базы образовательных учреждений Ярославской области за счет средств областного бюджета</t>
  </si>
  <si>
    <t>Государственная поддержка опеки и попечительства за счет средств областного бюджета</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</si>
  <si>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</si>
  <si>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</si>
  <si>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</si>
  <si>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Расходы на обеспечение деятельности органов опеки и попечительства за счет средств областного бюджета</t>
  </si>
  <si>
    <t>Расходы на реализацию мероприятий по строительству дошкольных образовательных учреждений за счет средств областного бюджета</t>
  </si>
  <si>
    <t>Расходы на оказание (выполнение) муниципальными учреждениями услуг (работ) в сфере молодежной политики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</si>
  <si>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</si>
  <si>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</si>
  <si>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</si>
  <si>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</si>
  <si>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</si>
  <si>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</si>
  <si>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Денежные выплаты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</si>
  <si>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</si>
  <si>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Оказание социальной помощи отдельным категориям граждан за счет средств областного бюджета</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</si>
  <si>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</si>
  <si>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</si>
  <si>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Расходы на оздоровление и отдых детей за счет средств областного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</si>
  <si>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</si>
  <si>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организацию профильных лагерей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</si>
  <si>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</si>
  <si>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</si>
  <si>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</si>
  <si>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</si>
  <si>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</si>
  <si>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Субсидия на реализацию мероприятий по обеспечению безопасности граждан на водных объектах</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</si>
  <si>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</si>
  <si>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Расходы на содействие развитию малого и среднего предпринимательства за счет средств областного бюджета</t>
  </si>
  <si>
    <t>Расходы на финансирование дорожного хозяйства за счет средств областного бюджета</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</si>
  <si>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</si>
  <si>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</si>
  <si>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</si>
  <si>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</si>
  <si>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Мероприятия по повышению энергоэффективности и энергосбережению за счет средств областного бюджета</t>
  </si>
  <si>
    <t>Дотации поселениям Ярославской области на выравнивание бюджетной обеспеченности</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</si>
  <si>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</si>
  <si>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социальную поддержку отдельных категорий граждан в части ежемесячного пособия на ребенка</t>
  </si>
  <si>
    <t xml:space="preserve">Расходы на обеспечение предоставления услуг по дошкольному образованию детей в дошкольных образовательных организациях </t>
  </si>
  <si>
    <t>Расходы на организацию присмотра и ухода за детьми в образовательных организациях</t>
  </si>
  <si>
    <t>Резервные фонды исполнительных органов государственной власти субъектов Российской Федерации</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</si>
  <si>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</si>
  <si>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</si>
  <si>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ЖКХ</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</si>
  <si>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поступающих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</si>
  <si>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</si>
  <si>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Межбюджетные трансферты  поселениям района</t>
  </si>
  <si>
    <t xml:space="preserve"> Межбюджетные трансферты</t>
  </si>
  <si>
    <t>Бюджетные инвестиции иным юридическим лицам</t>
  </si>
  <si>
    <t>2. Субсидия на финансирование дорожного хозяйства</t>
  </si>
  <si>
    <t>Распределение субвенций бюджетам поселений Тутаевского муниципального района на плановый период 2015-2016 годов</t>
  </si>
  <si>
    <t>Распределение субвенций бюджетам поселений Тутаевского муниципального района на 2014 год</t>
  </si>
  <si>
    <t>3.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</si>
  <si>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</si>
  <si>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</si>
  <si>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Непрограммные расходы бюджета</t>
  </si>
  <si>
    <t>Целевая статья</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</si>
  <si>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</si>
  <si>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</si>
  <si>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Расходы на капитальный ремонт зданий, возвращенных системе образования и функционирующих дошкольных и общеобразовательных учреждений</t>
  </si>
  <si>
    <t>Предоставление субсидий бюджетным, автономным учреждениям и иным некоммерческим организациям</t>
  </si>
  <si>
    <t>Расходы на обеспечение бесплатным питанием обучающихся муниципальных образовательных учреждений за счет средств областного бюджета</t>
  </si>
  <si>
    <t>Ведомственная целевая программа «Молодежь на 2014-2016 годы».</t>
  </si>
  <si>
    <t>Ведомственная целевая программа департамента образования Администрации Тутаевского муниципального района на 2014-2016 годы.</t>
  </si>
  <si>
    <t>Ведомственная целевая программа «Сохранение и развитие культуры Тутаевского муниципального района» на 2014-2016 годы.</t>
  </si>
  <si>
    <t>Ведомственная целевая программа «Социальная поддержка населения Тутаевского муниципального района» на 2014-2016 годы.</t>
  </si>
  <si>
    <t>Муниципальная целевая программа «Здоровое питание обучающихся образовательных учреждений Тутаевского муниципального района» на 2014-2016 годы.</t>
  </si>
  <si>
    <t>Муниципальная целевая программа «Об энергосбережении и повышении энергетической эффективности ТМР на 2014-2016 годы.</t>
  </si>
  <si>
    <t>Содержание и ремонт  автомобильных дорог общего пользования</t>
  </si>
  <si>
    <t>Муниципальная целевая программа «Развитие въездного и внутреннего туризма на территории Тутаевского муниципального района  на 2011-2015 годы».</t>
  </si>
  <si>
    <t>2014 год                                                                               Сумма, руб.</t>
  </si>
  <si>
    <t>2015 год                                                                               Сумма, руб.</t>
  </si>
  <si>
    <t>2016 год                                                                               Сумма, руб.</t>
  </si>
  <si>
    <t>Источники внутреннего финансирования дефицита муниципального района на 2014 год</t>
  </si>
  <si>
    <t>Направ.</t>
  </si>
  <si>
    <t>Пр-ма</t>
  </si>
  <si>
    <t>03090</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</si>
  <si>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</si>
  <si>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</si>
  <si>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 xml:space="preserve">2 02 04999 05 0000 151 </t>
  </si>
  <si>
    <t>1.1.</t>
  </si>
  <si>
    <t>1.2</t>
  </si>
  <si>
    <t>1.3</t>
  </si>
  <si>
    <t>2.1</t>
  </si>
  <si>
    <t>2.2</t>
  </si>
  <si>
    <t>3</t>
  </si>
  <si>
    <t>3.1</t>
  </si>
  <si>
    <t>3.2</t>
  </si>
  <si>
    <t>4</t>
  </si>
  <si>
    <t>4.1</t>
  </si>
  <si>
    <t>5</t>
  </si>
  <si>
    <t>5.1</t>
  </si>
  <si>
    <t>6</t>
  </si>
  <si>
    <t>6.1</t>
  </si>
  <si>
    <t>7</t>
  </si>
  <si>
    <t>7.1</t>
  </si>
  <si>
    <t>7.2</t>
  </si>
  <si>
    <t>8</t>
  </si>
  <si>
    <t>8.1</t>
  </si>
  <si>
    <t>9</t>
  </si>
  <si>
    <t>9.1</t>
  </si>
  <si>
    <t>10.1</t>
  </si>
  <si>
    <t>11.1</t>
  </si>
  <si>
    <t>12.1</t>
  </si>
  <si>
    <t>13</t>
  </si>
  <si>
    <t>13.1</t>
  </si>
  <si>
    <t>14.1</t>
  </si>
  <si>
    <t>14.2</t>
  </si>
  <si>
    <t>15</t>
  </si>
  <si>
    <t>15.1</t>
  </si>
  <si>
    <t>15.2</t>
  </si>
  <si>
    <t>16.1</t>
  </si>
  <si>
    <t>40.9</t>
  </si>
  <si>
    <t>99</t>
  </si>
  <si>
    <t>Перечень муниципальных и ведомственных целевых программ на 2014 год</t>
  </si>
  <si>
    <t>Перечень муниципальных и ведомственных целевых программ на плановый период 2015-2016 годов</t>
  </si>
  <si>
    <t>Распределение субсидий бюджетам поселений Тутаевского муниципального района на плановый период 2015-2016 годов</t>
  </si>
  <si>
    <t>Всего</t>
  </si>
  <si>
    <t>Редакция 1</t>
  </si>
  <si>
    <t>2011</t>
  </si>
  <si>
    <t>2012</t>
  </si>
  <si>
    <t>2039</t>
  </si>
  <si>
    <t>2040</t>
  </si>
  <si>
    <t>2042</t>
  </si>
  <si>
    <t>2013</t>
  </si>
  <si>
    <t>2043</t>
  </si>
  <si>
    <t>2037</t>
  </si>
  <si>
    <t>2045</t>
  </si>
  <si>
    <t>2001</t>
  </si>
  <si>
    <t>2006</t>
  </si>
  <si>
    <t>3003</t>
  </si>
  <si>
    <t>3024</t>
  </si>
  <si>
    <t>3006</t>
  </si>
  <si>
    <t>3004</t>
  </si>
  <si>
    <t>3013</t>
  </si>
  <si>
    <t>3012</t>
  </si>
  <si>
    <t>3021</t>
  </si>
  <si>
    <t>3022</t>
  </si>
  <si>
    <t>3001</t>
  </si>
  <si>
    <t>3002</t>
  </si>
  <si>
    <t>3007</t>
  </si>
  <si>
    <t>3008</t>
  </si>
  <si>
    <t>3009</t>
  </si>
  <si>
    <t>3023</t>
  </si>
  <si>
    <t>3005</t>
  </si>
  <si>
    <t>3014</t>
  </si>
  <si>
    <t>3010</t>
  </si>
  <si>
    <t>4002</t>
  </si>
  <si>
    <t>982 МУ Контрольно-счетная палата Тутаевского муниципального района</t>
  </si>
  <si>
    <t>2007</t>
  </si>
  <si>
    <t>3015</t>
  </si>
  <si>
    <t>3016</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</si>
  <si>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</si>
  <si>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</si>
  <si>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Организация перевозок больных, нуждающихся в амбулаторном гемодиализе</t>
  </si>
  <si>
    <t>03122</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</si>
  <si>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</si>
  <si>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</si>
  <si>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Субсидия на государственную поддержку материально-технической базы образовательных организаций Ярославской области</t>
  </si>
  <si>
    <t>Субсидия на создание условий и осуществление присмотра и ухода за детьми в образовательных организациях</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</si>
  <si>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</si>
  <si>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дошкольных образовательных организациях</t>
  </si>
  <si>
    <t>Субвенция на освобождение от оплаты стоимости  проезда на транспорте детей из многодетных семей, обучающихся в общеобразовательных организациях</t>
  </si>
  <si>
    <t>100</t>
  </si>
  <si>
    <t>02088</t>
  </si>
  <si>
    <t>0004</t>
  </si>
  <si>
    <t>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</si>
  <si>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Межбюджетные трансферты на обеспечение мероприятий по внесению изменений в документы территориального планирования</t>
  </si>
  <si>
    <t xml:space="preserve">Межбюджетные трансферты на обеспечение мероприятий по выдаче градостроительных документов </t>
  </si>
  <si>
    <t xml:space="preserve">Межбюджетные трансферты на организацию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создание, содержание и организация деятельности аварийно-спасательных служб и (или) аварийно-спасательных формирований на территории поселения </t>
  </si>
  <si>
    <t>Межбюджетные трансферты на содержание департамента ЖКХ и строительства</t>
  </si>
  <si>
    <t>Межбюджетные трансферты на обеспечение мероприятий в области дорожного хозяйства</t>
  </si>
  <si>
    <t>2910</t>
  </si>
  <si>
    <t>3025</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</si>
  <si>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</si>
  <si>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03011</t>
  </si>
  <si>
    <t xml:space="preserve">Субвенции на государственные единовременные пособия и ежемесячные денежные компенсации гражданам при возникновении поствакцинальных осложнений </t>
  </si>
  <si>
    <t>3026</t>
  </si>
  <si>
    <t>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t>
  </si>
  <si>
    <t>3027</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</si>
  <si>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t>
  </si>
  <si>
    <t>3028</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</si>
  <si>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t>
  </si>
  <si>
    <t>Субвенция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</si>
  <si>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2912</t>
  </si>
  <si>
    <t>2913</t>
  </si>
  <si>
    <t>2914</t>
  </si>
  <si>
    <t>2905</t>
  </si>
  <si>
    <t>2906</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</si>
  <si>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</si>
  <si>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Субвенция на организацию образовательного процесса в образовательных организациях</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</si>
  <si>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</si>
  <si>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</si>
  <si>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Регулярные платежи за пользование недрами при пользовании недрами на территории Российской Федерации
</t>
  </si>
  <si>
    <t>Содержание центрального аппарата за счет средств поселений</t>
  </si>
  <si>
    <t xml:space="preserve">4.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</si>
  <si>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Развитие жилищного строительства </t>
  </si>
  <si>
    <t>МЦП «Развитие жилищного строительства в Тутаевском МР на 2011-2015 годы» Подпрограмма «Переселение граждан из аварийного жилищного фонда  в ТМР» на 2013-2015 годы</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</si>
  <si>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поселений</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</si>
  <si>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переходящих  средств бюджета (доп.площади)</t>
  </si>
  <si>
    <t>Обеспечение мероприятий в области дорожного хозяйства</t>
  </si>
  <si>
    <t>17.1</t>
  </si>
  <si>
    <t>Доходы от продажи земельных участков, находящихся в собственности муниципальных районов</t>
  </si>
  <si>
    <t>Расходы на осуществление переданных полномочий по ГО ЧС</t>
  </si>
  <si>
    <t>Расходы на осуществление полномочий на государственную регистрацию актов гражданского состояния</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</si>
  <si>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</si>
  <si>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Ежемесячная денежная выплата, назначаемая в случае рождения третьего ребенка или последующих детей до достижения ребенком возраста трех лет</t>
  </si>
  <si>
    <t>от "___"_____________ 2014 г.№ _____</t>
  </si>
  <si>
    <t>от "___"_____________2014 г.№_____</t>
  </si>
  <si>
    <t>от "_____"_____________ 2014г.№______</t>
  </si>
  <si>
    <t>от "____"___________ 2014 г.№ ______</t>
  </si>
  <si>
    <t>от "____"______________ 2014 г.№ ______</t>
  </si>
  <si>
    <t>от "____"______________ 2014г.№ ______</t>
  </si>
  <si>
    <t>Редакция 2</t>
  </si>
  <si>
    <t>Субсидия на проведение мероприятий по повышению энергоэффективности за счет средств областного бюджета</t>
  </si>
  <si>
    <t>Мероприятия по строительству и реконструкции объектов теплоснабжения</t>
  </si>
  <si>
    <t>Приложение 14</t>
  </si>
  <si>
    <t>2916</t>
  </si>
  <si>
    <t>Межбюджетные трансферты на выполнение полномочий по исполнению бюджета поселения, в части определения поставщиков (подрядчиков, исполнителей) товаров (работ, услуг) для обеспечения муниципальных нужд поселения в порядке, установленном Федеральным законом от 05.04.2013 №44-ФЗ</t>
  </si>
  <si>
    <t>04012</t>
  </si>
  <si>
    <t>4010</t>
  </si>
  <si>
    <t>2917</t>
  </si>
  <si>
    <t>Межбюджетные трансферты на выполнение полномочий по созданию условий для организации досуга жителей, в части ремонта домов культуры на территории поселения</t>
  </si>
  <si>
    <t>02008</t>
  </si>
  <si>
    <t>02150</t>
  </si>
  <si>
    <t>2903</t>
  </si>
  <si>
    <t>Межбюджетные трансферты на обеспечение мероприятий по строительству и реконструкции объектов теплоснабжения</t>
  </si>
  <si>
    <t>2918</t>
  </si>
  <si>
    <t>Межбюджетные трансферты на обеспечение условий для развития на территории поселения физической культуры и массового спорта, в части проектирования, межевания, проведения экспертизы и строительства открытого плоскостного сооружения</t>
  </si>
  <si>
    <t>2919</t>
  </si>
  <si>
    <t>Межбюджетные трансферты на реализацию мероприятий ОЦП "Энергосбережение и повышение энергоэффективности в ЯО"</t>
  </si>
  <si>
    <t>2044</t>
  </si>
  <si>
    <t>Субсидия на капитальный ремонт зданий, возвращенных системе образования, и функционирующих дошкольных и общеобразовательных организаций</t>
  </si>
  <si>
    <t>2049</t>
  </si>
  <si>
    <t>Субсидия на оборудование социально значимых объектов сферы образования с целью обеспечения доступности для инвалидов</t>
  </si>
  <si>
    <t>2035</t>
  </si>
  <si>
    <t>Субсидия на оплату труда работников сферы образования</t>
  </si>
  <si>
    <t>2052</t>
  </si>
  <si>
    <t>Субсидия на оплату труда работников сферы молодежной политики</t>
  </si>
  <si>
    <t>2051</t>
  </si>
  <si>
    <t>Субсидия на оплату труда работников сферы культуры</t>
  </si>
  <si>
    <t>5. Субсидия на реализацию мероприятий по переселению граждан из аврийного жилищного фонда с учетом необходимости развития малоэтажного жилищного строительства, поступающих за счет средств гос.корпарации Фонд содействия реформированию ЖКХ</t>
  </si>
  <si>
    <t>Расходы на осуществление переданных полномочий  по определению поставщиков (подрядчиков, исполнителей),в порядке установленом ФЗ-44</t>
  </si>
  <si>
    <t>Расходы  на осуществление переданных полномочий в части ремонтов домов культуры на территории поселения</t>
  </si>
  <si>
    <t>Расходы на оборудование социально-значимых объектов сферы образования с целью обеспечения доступности для инвалидов</t>
  </si>
  <si>
    <t>Оплата труда работников сферы образования</t>
  </si>
  <si>
    <t>Оплата труда работников сферы молодежной политики</t>
  </si>
  <si>
    <t>Мероприятия по строительству и реконструкции спортивных объектов</t>
  </si>
  <si>
    <t>Мероприятия по строительству и реконструкции учреждения социальной защиты</t>
  </si>
  <si>
    <t>Оплата труда работников сферы культуры</t>
  </si>
  <si>
    <t>18</t>
  </si>
  <si>
    <t>18.1</t>
  </si>
  <si>
    <t>МЦП "Профилактика правонарушений и усиления борьбы с преступностью в ТМР на 2014-2016 годы"</t>
  </si>
  <si>
    <t>Профилактика правонарушений и усиления борьбы с преступностью</t>
  </si>
  <si>
    <t>Расходы на профилактику правонарушений и усиления борьбы с преступностью</t>
  </si>
  <si>
    <t>Приложение 13</t>
  </si>
  <si>
    <t>3-я редакция</t>
  </si>
  <si>
    <t>Ведомственная структура расходов бюджета Тутаевского муниципального района на 2014 год</t>
  </si>
  <si>
    <t>Дотации на реализацию мероприятий, предусмотренных НПА ОГВ, в рамках п.3 ст.8 Закона ЯО от 07.10.2008 г. № 40-з "О межбюджетных отношениях"</t>
  </si>
  <si>
    <t>от "____"______________ 2013 г.№ ______</t>
  </si>
  <si>
    <t>Константиновское  сельское поселение</t>
  </si>
  <si>
    <t>Городское  поселение Тутаев</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</si>
  <si>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на 2014-2016 годы  </t>
  </si>
  <si>
    <t>7.3</t>
  </si>
  <si>
    <t>7. Субсидия на реализацию мероприятий ОЦП "Развитие водоснабжения, водоотведения и очистки сточных вод  Ярославской области"</t>
  </si>
  <si>
    <t>8. Субсидия на проведение мероприятий по повышению энергоэффективности  за счет средств областного бюджета</t>
  </si>
  <si>
    <t>9. Субсидия на реализацию мероприятий ПП "Государственная поддержка молодых семей Ярославской области в приобретении (строительстве) жилья"</t>
  </si>
  <si>
    <t>6. Субсидия на реализацию мероприятий по переселению граждан из аврийного жилищного фонда с учетом необходимости развития малоэтажного жилищного строительства за счет средств бюджетов</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</si>
  <si>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</si>
  <si>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Субсидия на реализацию подпрограммы (господдержка граждан, проживающих на территории ЯО в сфере ипотечного жилищного кредитования)</t>
  </si>
  <si>
    <t>Субсидия на проведение мероприятий по повышению энергоэффективности за счет средств федерального бюджета</t>
  </si>
  <si>
    <t>10. Субсидия на реализацию подпрограммы (государственная поддержка граждан,проживающих на территории ЯО в сфере ипотечного жилищного кредитования)</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</si>
  <si>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</si>
  <si>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02089</t>
  </si>
  <si>
    <t xml:space="preserve">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</si>
  <si>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2004</t>
  </si>
  <si>
    <t>Субсидия на реализацию программ развития муниципальной службы в Ярославской области</t>
  </si>
  <si>
    <t>2027</t>
  </si>
  <si>
    <t>2034</t>
  </si>
  <si>
    <t>Субсидия на развитие органов местного самоуправления на территории Ярославской области</t>
  </si>
  <si>
    <t>Субсидия на реализацию подпрограммы "Государственная поддержка граждан,проживающих на территории Ярославской области,в сфере ипотечного кредитования"</t>
  </si>
  <si>
    <t>2030</t>
  </si>
  <si>
    <t>01999</t>
  </si>
  <si>
    <t>1001</t>
  </si>
  <si>
    <t>4004</t>
  </si>
  <si>
    <t>Межбюджетные трансферты на реализацию областной целевой программы "Развитие органов местного самоуправления на территории Ярославской области" по обращениям депутатов Ярославской областной Думы</t>
  </si>
  <si>
    <t>2902</t>
  </si>
  <si>
    <t>Межбюджетные трансферты на обеспечение мероприятий по строительству и реконструкции объектов водоснабжения и водоотведения</t>
  </si>
  <si>
    <t>2904</t>
  </si>
  <si>
    <t>Межбюджетные трансферты на обеспечение мероприятий по строительству и реконструкции объектов газификации</t>
  </si>
  <si>
    <t>Субсидии бюджетам муниципальных районов на реализацию программы энергосбережения и повышения энергетической эффективности на период до 2020 года за счет средств федерального бюджета</t>
  </si>
  <si>
    <t>11. Субсидия на реализацию ОЦП "Развитие органов местного самоуправления на территории Ярославской области" на 2013-2015 годы, предоставляемой поселениям Ярославской области по направлению расходования средств на проведение первоочередных ремонтных работ капитального характера в административных зданиях</t>
  </si>
  <si>
    <t>Расходы на развитие правовой грамотности и правосознания граждан на территории ЯО</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</si>
  <si>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</si>
  <si>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</si>
  <si>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</si>
  <si>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Дотации на реализацию мероприятий, предусмотренных нормативными актами органов государственной власти, в рамках п.3 ст.8 Закона Ярославской области от 07.10.2008 г. № 40-з "О межбюджетных отношениях"</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</si>
  <si>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</si>
  <si>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</si>
  <si>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</si>
  <si>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</si>
  <si>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Савичев</t>
  </si>
  <si>
    <t>J126</t>
  </si>
  <si>
    <t>28.07.2014 16:00:17</t>
  </si>
  <si>
    <t>Пр1</t>
  </si>
  <si>
    <t/>
  </si>
  <si>
    <t>Обеспечение мероприятия,  связанные с выполнением полномочий ОМС МО  по теплоснабжению</t>
  </si>
  <si>
    <t xml:space="preserve">Обеспечение мероприятий на строительство и реконструкцию  объектов водоснабжения и водоотведения </t>
  </si>
  <si>
    <t>Содержание специалиста по дорожному хозяйству в Д ЖКХ</t>
  </si>
  <si>
    <t xml:space="preserve">Обеспечение мероприятий по капитальному ремонту МКД </t>
  </si>
  <si>
    <t>Обеспечение мероприятий по внесению изменений в документы территориального планирования</t>
  </si>
  <si>
    <t>Обеспечение мероприятий по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t>
  </si>
  <si>
    <t>Обеспечение мероприятий по выдаче градостроительных документов</t>
  </si>
  <si>
    <t>Ррасходы в  части полномочий контрольных органов поселений по осуществлению внешнего муниципального контроля</t>
  </si>
  <si>
    <t>Расходы в части проектирования, межевания, проведения экспертизы и строительства открытого плоскостного сооружения</t>
  </si>
  <si>
    <t>Организация проведения энергетического обследования и разработка схем  теплоснабжения</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</si>
  <si>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</si>
  <si>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строительству и реконструкции объектов  газификации </t>
  </si>
  <si>
    <t>Обеспечение мероприятий по переселению граждан из аварийного жилищного фонда за счет средств бюджета поселения</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</si>
  <si>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</si>
  <si>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Субсидия на реализацию муниципальных программ развития малого и среднего предпринимательства монопрофильных образований за счет средств областного бюджета</t>
  </si>
  <si>
    <t xml:space="preserve">2 </t>
  </si>
  <si>
    <t>02009</t>
  </si>
  <si>
    <t>Субсидии бюджетам муниципальных районов на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</si>
  <si>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</si>
  <si>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0002</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</si>
  <si>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</si>
  <si>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 xml:space="preserve">Субсидии бюджетам муниципальных районов на обеспечение мероприятий по переселению граждан из аварийного жилищного фонда за счет средств бюджетов </t>
  </si>
  <si>
    <t>2920</t>
  </si>
  <si>
    <t>Межбюджетные трансферты на обеспечение мероприятий по переселению граждан из аварийного жилищного фонда</t>
  </si>
  <si>
    <t>2060</t>
  </si>
  <si>
    <t>Субсидия на поощрение победителей и призеров смотра-конкурса на лучшую постановку учебно-тренировочной работы по подготовке спортивного резерва и спортсменов высокого класса</t>
  </si>
  <si>
    <t>53</t>
  </si>
  <si>
    <t>3030</t>
  </si>
  <si>
    <t>Субвенция на обеспечение организации видеонаблюдения и видеозаписи при проведении государственной итоговой аттестации по образовательным программам среднего общего образования</t>
  </si>
  <si>
    <t>02051</t>
  </si>
  <si>
    <t>2057</t>
  </si>
  <si>
    <t>Субсидия на оборудование социально-значимых объектов в целях обеспечения доступности для инвалидов за счет средств областного бюджета</t>
  </si>
  <si>
    <t>04052</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</si>
  <si>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</si>
  <si>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04053</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</si>
  <si>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</si>
  <si>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2014год Редакция 5     Сумма, руб.</t>
  </si>
  <si>
    <t>Редакция 5</t>
  </si>
  <si>
    <t>2064</t>
  </si>
  <si>
    <t>Субсидия на оказание поддержки центрам правовой информации</t>
  </si>
  <si>
    <t>2058</t>
  </si>
  <si>
    <t>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</si>
  <si>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Субсидия на реализацию мероприятий по созданию условий для развития инфраструктуры досуга и отдыха за счет средств областного бюджета</t>
  </si>
  <si>
    <t>Субсидия на государственную поддержку молодых семей Ярославской области в приобретении (строительстве) жилья за счет средств федерального бюджета</t>
  </si>
  <si>
    <t>Обеспечение мероприятий по переселению граждан из аварийного жилищного фонда 2014 год (доп.площади)</t>
  </si>
  <si>
    <t>Расходы на поощрение победителей и призеров смотра-конкурса на лучшую постановку учебно тренировочной работы по подготовке спортивного резерва  и спортсменов высокого класса</t>
  </si>
  <si>
    <t>Расходы  на поощрение победителей и призеров смотра-конкурса на лучшую постановку учебно тренировочной работы по подготовке спортивного резерва и спортсменов высокого класса</t>
  </si>
  <si>
    <t>Расходы на финансовое обеспечение организации видионаблюдения и видиозаписи при проведении государственной итоговой аттестации по образовательным программам среднего образования</t>
  </si>
  <si>
    <t>Иные межбюджетные трансферты на государственную поддержку муниципальных учреждений культуры</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</si>
  <si>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</si>
  <si>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Расходы на оборудование социально значимых объектов в сфере культуры учреждений дополнительного образования с целью доступности для инвалидов.</t>
  </si>
  <si>
    <t>Росходы на мероприятия государственной программы Российской Федерации "Доступная среда" на 2011 - 2015 годы</t>
  </si>
  <si>
    <t>Расходы на оборудование социально-значимых объектов муниципальной собственности с целью обеспечения доступности для инвалидов за счет средств областного бюджета</t>
  </si>
  <si>
    <t>Расходы на оказание поддержки пунктам оказания бесплатной юридической помощи</t>
  </si>
  <si>
    <t>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</si>
  <si>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04041</t>
  </si>
  <si>
    <t>Субсидия на обеспечение мероприятий по переселению граждан из аварийного жилищного фонда за счет средств бюджетов</t>
  </si>
  <si>
    <t>Расходы на проведение мероприятий по подключению общедоступных библиотек муниципальных образований области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t>
  </si>
  <si>
    <t>Налоги, сборы и регулярные платежи за пользование природными ресурсами</t>
  </si>
  <si>
    <t>Налог на добычу общераспространенных полезных ископаемых</t>
  </si>
  <si>
    <t>07</t>
  </si>
  <si>
    <t>01020</t>
  </si>
  <si>
    <t>Расходы на финансирование мероприятий на разработку и экспертизу проектно-сметной документации на строительство</t>
  </si>
  <si>
    <t>Распределение межбюджетных трансфертов бюджетам поселений Тутаевского муниципального района на 2014 год</t>
  </si>
  <si>
    <t>5-я редакция</t>
  </si>
  <si>
    <t>1. Межбюджетные трансферты на реализацию ОЦП "Развитие органов местного самоуправления на территории ЯО" на 2013-2015 годы по обращениям депутатов Ярославской областной Думы</t>
  </si>
  <si>
    <t>12. Субсидия на реализацию ОЦП "Развитие органов местного самоуправления на территории Ярославской области" на 2013-2015 годы, по направлению расходования средств на осуществление мероприятий по стимулированию труда работников органов местного самоуправления муниципальных образований области</t>
  </si>
  <si>
    <t>13. Субсидия на реализацию мероприятий по переселению граждан из аврийного жилищного фонда  поступающих за счет средств гос ударственной корпарации Фонд содействия реформированию ЖКХ</t>
  </si>
  <si>
    <t>14. Субсидия на реализацию мероприятий по переселению граждан из аврийного жилищного фонда за счет средств бюджетов</t>
  </si>
  <si>
    <t>15. Субсидия на реализацию муниципальных программ развития малого и среднего предпринимательства монопрофильных  образований за счет средств областного бюджета</t>
  </si>
  <si>
    <t>2. Межбюджетные трансферты за счет средств резервного фонда Администрации Тутаевского муниципального района</t>
  </si>
  <si>
    <t xml:space="preserve"> Сумма, руб.</t>
  </si>
  <si>
    <t xml:space="preserve">                                                                       Сумма, руб.</t>
  </si>
  <si>
    <t xml:space="preserve">                                                                  Сумма, руб.</t>
  </si>
  <si>
    <t xml:space="preserve">                                                            Сумма, руб.</t>
  </si>
  <si>
    <t xml:space="preserve">                                                                            Сумма, руб.</t>
  </si>
  <si>
    <t xml:space="preserve">                                                           Сумма, руб.</t>
  </si>
  <si>
    <t xml:space="preserve">                                                                Сумма, руб.</t>
  </si>
  <si>
    <t xml:space="preserve">                                                                   Сумма, руб.</t>
  </si>
  <si>
    <t xml:space="preserve">                                                              Сумма, руб.</t>
  </si>
  <si>
    <t xml:space="preserve">                                                                           Сумма, руб.</t>
  </si>
  <si>
    <t xml:space="preserve">                                                                     Сумма, руб.</t>
  </si>
</sst>
</file>

<file path=xl/styles.xml><?xml version="1.0" encoding="utf-8"?>
<styleSheet xmlns="http://schemas.openxmlformats.org/spreadsheetml/2006/main">
  <numFmts count="6">
    <numFmt numFmtId="44" formatCode="_-* #,##0.00&quot;р.&quot;_-;\-* #,##0.00&quot;р.&quot;_-;_-* &quot;-&quot;??&quot;р.&quot;_-;_-@_-"/>
    <numFmt numFmtId="164" formatCode="#,##0_р_."/>
    <numFmt numFmtId="165" formatCode=";;"/>
    <numFmt numFmtId="166" formatCode="0000"/>
    <numFmt numFmtId="167" formatCode="000"/>
    <numFmt numFmtId="168" formatCode="0000000"/>
  </numFmts>
  <fonts count="55">
    <font>
      <sz val="10"/>
      <name val="Arial Cyr"/>
      <charset val="204"/>
    </font>
    <font>
      <sz val="11"/>
      <color theme="1"/>
      <name val="Calibri"/>
      <family val="2"/>
      <charset val="204"/>
      <scheme val="minor"/>
    </font>
    <font>
      <sz val="10"/>
      <name val="Arial Cyr"/>
      <charset val="204"/>
    </font>
    <font>
      <sz val="12"/>
      <name val="Times New Roman"/>
      <family val="1"/>
      <charset val="204"/>
    </font>
    <font>
      <b/>
      <sz val="12"/>
      <name val="Times New Roman"/>
      <family val="1"/>
      <charset val="204"/>
    </font>
    <font>
      <i/>
      <sz val="12"/>
      <name val="Times New Roman"/>
      <family val="1"/>
      <charset val="204"/>
    </font>
    <font>
      <sz val="12"/>
      <name val="Arial Cyr"/>
      <charset val="204"/>
    </font>
    <font>
      <sz val="12"/>
      <color indexed="8"/>
      <name val="Times New Roman"/>
      <family val="1"/>
    </font>
    <font>
      <b/>
      <sz val="12"/>
      <name val="Times New Roman"/>
      <family val="1"/>
    </font>
    <font>
      <sz val="12"/>
      <name val="Times New Roman"/>
      <family val="1"/>
    </font>
    <font>
      <b/>
      <sz val="14"/>
      <name val="Times New Roman"/>
      <family val="1"/>
    </font>
    <font>
      <b/>
      <sz val="12"/>
      <name val="Arial Cyr"/>
      <charset val="204"/>
    </font>
    <font>
      <sz val="12"/>
      <name val="Times New Roman Cyr"/>
      <family val="1"/>
      <charset val="204"/>
    </font>
    <font>
      <b/>
      <sz val="14"/>
      <name val="Times New Roman Cyr"/>
      <family val="1"/>
      <charset val="204"/>
    </font>
    <font>
      <b/>
      <i/>
      <sz val="12"/>
      <name val="Times New Roman Cyr"/>
      <family val="1"/>
      <charset val="204"/>
    </font>
    <font>
      <b/>
      <sz val="12"/>
      <name val="Times New Roman Cyr"/>
      <family val="1"/>
      <charset val="204"/>
    </font>
    <font>
      <b/>
      <sz val="12"/>
      <name val="Times New Roman Cyr"/>
      <charset val="204"/>
    </font>
    <font>
      <i/>
      <sz val="12"/>
      <name val="Times New Roman Cyr"/>
      <family val="1"/>
      <charset val="204"/>
    </font>
    <font>
      <sz val="12"/>
      <name val="Times New Roman CYR"/>
      <charset val="204"/>
    </font>
    <font>
      <b/>
      <sz val="10"/>
      <name val="Times New Roman"/>
      <family val="1"/>
      <charset val="204"/>
    </font>
    <font>
      <sz val="10"/>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0"/>
      <color indexed="72"/>
      <name val="Arial"/>
      <family val="2"/>
      <charset val="204"/>
    </font>
    <font>
      <b/>
      <sz val="10"/>
      <color indexed="72"/>
      <name val="Arial"/>
      <family val="2"/>
      <charset val="204"/>
    </font>
    <font>
      <i/>
      <sz val="12"/>
      <name val="Times New Roman CYR"/>
      <charset val="204"/>
    </font>
    <font>
      <b/>
      <sz val="12"/>
      <color indexed="8"/>
      <name val="Times New Roman"/>
      <family val="1"/>
      <charset val="204"/>
    </font>
    <font>
      <sz val="12"/>
      <name val="Times New Roman"/>
      <family val="1"/>
      <charset val="204"/>
    </font>
    <font>
      <sz val="14"/>
      <name val="Times New Roman"/>
      <family val="1"/>
      <charset val="204"/>
    </font>
    <font>
      <b/>
      <sz val="10"/>
      <name val="Arial Cyr"/>
      <charset val="204"/>
    </font>
    <font>
      <b/>
      <sz val="12"/>
      <color indexed="72"/>
      <name val="Times New Roman"/>
      <family val="1"/>
    </font>
    <font>
      <sz val="12"/>
      <color indexed="72"/>
      <name val="Times New Roman"/>
      <family val="1"/>
    </font>
    <font>
      <sz val="8"/>
      <name val="Arial Cyr"/>
      <charset val="204"/>
    </font>
    <font>
      <sz val="10"/>
      <color indexed="8"/>
      <name val="Times New Roman"/>
      <family val="1"/>
      <charset val="204"/>
    </font>
    <font>
      <sz val="14"/>
      <name val="Times New Roman"/>
      <family val="1"/>
    </font>
    <font>
      <b/>
      <sz val="14"/>
      <name val="Times New Roman"/>
      <family val="1"/>
      <charset val="204"/>
    </font>
    <font>
      <b/>
      <sz val="11"/>
      <name val="Times New Roman"/>
      <family val="1"/>
      <charset val="204"/>
    </font>
    <font>
      <sz val="11"/>
      <name val="Times New Roman"/>
      <family val="1"/>
      <charset val="204"/>
    </font>
    <font>
      <sz val="10"/>
      <name val="Arial"/>
      <family val="2"/>
      <charset val="204"/>
    </font>
    <font>
      <sz val="10"/>
      <name val="Times New Roman"/>
      <family val="1"/>
    </font>
    <font>
      <sz val="11"/>
      <color rgb="FF000000"/>
      <name val="Times New Roman"/>
      <family val="1"/>
      <charset val="204"/>
    </font>
    <font>
      <b/>
      <sz val="12"/>
      <color rgb="FF000000"/>
      <name val="Times New Roman"/>
      <family val="1"/>
      <charset val="204"/>
    </font>
    <font>
      <sz val="12"/>
      <color rgb="FF000000"/>
      <name val="Times New Roman"/>
      <family val="1"/>
      <charset val="204"/>
    </font>
    <font>
      <b/>
      <sz val="10"/>
      <name val="Arial"/>
      <family val="2"/>
      <charset val="204"/>
    </font>
    <font>
      <b/>
      <sz val="14"/>
      <name val="Arial Cyr"/>
      <charset val="204"/>
    </font>
    <font>
      <sz val="11"/>
      <color rgb="FFFF0000"/>
      <name val="Times New Roman"/>
      <family val="1"/>
      <charset val="204"/>
    </font>
    <font>
      <sz val="12"/>
      <color indexed="72"/>
      <name val="Times New Roman"/>
      <family val="1"/>
      <charset val="204"/>
    </font>
    <font>
      <b/>
      <sz val="12"/>
      <color indexed="72"/>
      <name val="Times New Roman"/>
      <family val="1"/>
      <charset val="204"/>
    </font>
    <font>
      <sz val="9"/>
      <name val="Times New Roman"/>
      <family val="1"/>
      <charset val="204"/>
    </font>
    <font>
      <sz val="10"/>
      <name val="Times New Roman Cyr"/>
      <family val="1"/>
      <charset val="204"/>
    </font>
    <font>
      <sz val="12"/>
      <color rgb="FFFF0000"/>
      <name val="Times New Roman"/>
      <family val="1"/>
    </font>
    <font>
      <sz val="12"/>
      <color rgb="FF000000"/>
      <name val="Calibri"/>
      <family val="2"/>
      <charset val="204"/>
    </font>
    <font>
      <b/>
      <sz val="12"/>
      <color rgb="FFFF0000"/>
      <name val="Times New Roman"/>
      <family val="1"/>
      <charset val="204"/>
    </font>
    <font>
      <sz val="12"/>
      <color rgb="FFFF0000"/>
      <name val="Times New Roman"/>
      <family val="1"/>
      <charset val="204"/>
    </font>
  </fonts>
  <fills count="12">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theme="4" tint="0.59999389629810485"/>
        <bgColor indexed="64"/>
      </patternFill>
    </fill>
    <fill>
      <patternFill patternType="solid">
        <fgColor theme="0" tint="-0.149967955565050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s>
  <cellStyleXfs count="4">
    <xf numFmtId="0" fontId="0" fillId="0" borderId="0"/>
    <xf numFmtId="44" fontId="2" fillId="0" borderId="0" applyFont="0" applyFill="0" applyBorder="0" applyAlignment="0" applyProtection="0"/>
    <xf numFmtId="0" fontId="28" fillId="0" borderId="0"/>
    <xf numFmtId="0" fontId="1" fillId="0" borderId="0"/>
  </cellStyleXfs>
  <cellXfs count="546">
    <xf numFmtId="0" fontId="0" fillId="0" borderId="0" xfId="0"/>
    <xf numFmtId="0" fontId="6" fillId="0" borderId="0" xfId="0" applyFont="1"/>
    <xf numFmtId="0" fontId="7" fillId="0" borderId="1" xfId="0" applyFont="1" applyBorder="1" applyAlignment="1">
      <alignment horizontal="left" vertical="top" wrapText="1"/>
    </xf>
    <xf numFmtId="0" fontId="9" fillId="0" borderId="0" xfId="0" applyFont="1"/>
    <xf numFmtId="0" fontId="8" fillId="0" borderId="0" xfId="0" applyFont="1"/>
    <xf numFmtId="0" fontId="10" fillId="0" borderId="0" xfId="0" applyFont="1" applyFill="1" applyAlignment="1">
      <alignment horizontal="center" vertical="center" wrapText="1"/>
    </xf>
    <xf numFmtId="0" fontId="11" fillId="0" borderId="0" xfId="0" applyFont="1"/>
    <xf numFmtId="0" fontId="3" fillId="0" borderId="1" xfId="0"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Alignment="1">
      <alignment horizontal="right" wrapText="1"/>
    </xf>
    <xf numFmtId="49" fontId="9" fillId="0" borderId="0" xfId="0" applyNumberFormat="1" applyFont="1" applyAlignment="1">
      <alignment horizontal="justify" wrapText="1"/>
    </xf>
    <xf numFmtId="0" fontId="8" fillId="0" borderId="0" xfId="0" applyFont="1" applyAlignment="1">
      <alignment horizontal="center" wrapText="1"/>
    </xf>
    <xf numFmtId="49" fontId="9" fillId="0" borderId="0" xfId="0" applyNumberFormat="1" applyFont="1"/>
    <xf numFmtId="0" fontId="12" fillId="0" borderId="0" xfId="0" applyFont="1" applyProtection="1"/>
    <xf numFmtId="0" fontId="12" fillId="0" borderId="0" xfId="0" applyFont="1" applyAlignment="1" applyProtection="1">
      <alignment wrapText="1"/>
    </xf>
    <xf numFmtId="49" fontId="12" fillId="0" borderId="0" xfId="0" applyNumberFormat="1" applyFont="1" applyAlignment="1" applyProtection="1">
      <alignment horizontal="center"/>
    </xf>
    <xf numFmtId="0" fontId="12" fillId="0" borderId="0" xfId="0" applyFont="1" applyAlignment="1" applyProtection="1">
      <alignment horizontal="center" vertical="center" wrapText="1"/>
    </xf>
    <xf numFmtId="0" fontId="14" fillId="0" borderId="0" xfId="0" applyFont="1" applyProtection="1"/>
    <xf numFmtId="0" fontId="15" fillId="0" borderId="0" xfId="0" applyFont="1" applyProtection="1"/>
    <xf numFmtId="0" fontId="17" fillId="0" borderId="0" xfId="0" applyFont="1" applyProtection="1"/>
    <xf numFmtId="0" fontId="6" fillId="0" borderId="0" xfId="0" applyFont="1" applyAlignment="1">
      <alignment horizontal="center"/>
    </xf>
    <xf numFmtId="0" fontId="10" fillId="0" borderId="0" xfId="0" applyFont="1" applyFill="1" applyAlignment="1">
      <alignment horizontal="left" vertical="center" wrapText="1"/>
    </xf>
    <xf numFmtId="0" fontId="6" fillId="0" borderId="0" xfId="0" applyFont="1" applyAlignment="1">
      <alignment horizontal="left"/>
    </xf>
    <xf numFmtId="0" fontId="4" fillId="0" borderId="1" xfId="0" applyFont="1" applyBorder="1" applyAlignment="1">
      <alignment horizontal="left" vertical="top" wrapText="1"/>
    </xf>
    <xf numFmtId="49" fontId="19" fillId="0" borderId="1" xfId="0" applyNumberFormat="1" applyFont="1" applyBorder="1" applyAlignment="1">
      <alignment horizontal="center" vertical="justify" wrapText="1"/>
    </xf>
    <xf numFmtId="49" fontId="20" fillId="0" borderId="1" xfId="0" applyNumberFormat="1" applyFont="1" applyBorder="1" applyAlignment="1">
      <alignment horizontal="center" vertical="justify" wrapText="1"/>
    </xf>
    <xf numFmtId="49" fontId="19" fillId="0" borderId="1" xfId="0" applyNumberFormat="1" applyFont="1" applyBorder="1" applyAlignment="1">
      <alignment horizontal="center" vertical="justify"/>
    </xf>
    <xf numFmtId="49" fontId="20" fillId="0" borderId="1" xfId="0" applyNumberFormat="1" applyFont="1" applyBorder="1" applyAlignment="1">
      <alignment horizontal="center" vertical="justify"/>
    </xf>
    <xf numFmtId="49" fontId="21" fillId="0" borderId="1" xfId="0" applyNumberFormat="1" applyFont="1" applyBorder="1" applyAlignment="1">
      <alignment horizontal="center" vertical="justify" wrapText="1"/>
    </xf>
    <xf numFmtId="49" fontId="22" fillId="0" borderId="1" xfId="0" applyNumberFormat="1" applyFont="1" applyBorder="1" applyAlignment="1">
      <alignment horizontal="center" vertical="justify" wrapText="1"/>
    </xf>
    <xf numFmtId="0" fontId="23" fillId="0" borderId="1" xfId="0" applyFont="1" applyBorder="1" applyAlignment="1">
      <alignment horizontal="left" vertical="top" wrapText="1"/>
    </xf>
    <xf numFmtId="0" fontId="9" fillId="0" borderId="0" xfId="0" applyFont="1" applyFill="1" applyAlignment="1">
      <alignment horizontal="left"/>
    </xf>
    <xf numFmtId="0" fontId="9" fillId="0" borderId="0" xfId="0" applyFont="1" applyFill="1" applyAlignment="1">
      <alignment horizontal="center"/>
    </xf>
    <xf numFmtId="0" fontId="8" fillId="0" borderId="0" xfId="0" applyFont="1" applyFill="1" applyAlignment="1">
      <alignment horizontal="center"/>
    </xf>
    <xf numFmtId="0" fontId="0" fillId="0" borderId="0" xfId="0" applyAlignment="1">
      <alignment wrapText="1"/>
    </xf>
    <xf numFmtId="165" fontId="24" fillId="0" borderId="0" xfId="0" applyNumberFormat="1" applyFont="1" applyAlignment="1">
      <alignment wrapText="1"/>
    </xf>
    <xf numFmtId="165" fontId="25" fillId="0" borderId="0" xfId="0" applyNumberFormat="1" applyFont="1" applyAlignment="1">
      <alignment wrapText="1"/>
    </xf>
    <xf numFmtId="167" fontId="0" fillId="0" borderId="0" xfId="0" applyNumberFormat="1" applyAlignment="1">
      <alignment horizontal="center"/>
    </xf>
    <xf numFmtId="167" fontId="25" fillId="0" borderId="0" xfId="0" applyNumberFormat="1" applyFont="1" applyAlignment="1">
      <alignment horizontal="center"/>
    </xf>
    <xf numFmtId="167" fontId="24" fillId="0" borderId="0" xfId="0" applyNumberFormat="1" applyFont="1" applyAlignment="1">
      <alignment horizontal="center"/>
    </xf>
    <xf numFmtId="0" fontId="18" fillId="0" borderId="1" xfId="0" applyFont="1" applyFill="1" applyBorder="1" applyAlignment="1" applyProtection="1">
      <alignment horizontal="left" vertical="top" wrapText="1" indent="2"/>
      <protection hidden="1"/>
    </xf>
    <xf numFmtId="3" fontId="18" fillId="0" borderId="1" xfId="0" applyNumberFormat="1" applyFont="1" applyFill="1" applyBorder="1" applyAlignment="1" applyProtection="1">
      <alignment horizontal="right" vertical="center"/>
    </xf>
    <xf numFmtId="3" fontId="12" fillId="0" borderId="1" xfId="0" applyNumberFormat="1" applyFont="1" applyBorder="1" applyAlignment="1" applyProtection="1">
      <alignment horizontal="right" vertical="center"/>
    </xf>
    <xf numFmtId="3" fontId="18" fillId="0" borderId="1" xfId="0" applyNumberFormat="1" applyFont="1" applyBorder="1" applyAlignment="1" applyProtection="1">
      <alignment horizontal="right" vertical="center"/>
    </xf>
    <xf numFmtId="0" fontId="3" fillId="0" borderId="1" xfId="0" applyFont="1" applyBorder="1" applyAlignment="1">
      <alignment wrapText="1"/>
    </xf>
    <xf numFmtId="0" fontId="16" fillId="0" borderId="1" xfId="0" applyFont="1" applyFill="1" applyBorder="1" applyAlignment="1" applyProtection="1">
      <alignment horizontal="left" vertical="top" wrapText="1"/>
      <protection hidden="1"/>
    </xf>
    <xf numFmtId="3" fontId="15" fillId="0" borderId="1" xfId="0" applyNumberFormat="1" applyFont="1" applyFill="1" applyBorder="1" applyAlignment="1" applyProtection="1">
      <alignment horizontal="right" vertical="center"/>
    </xf>
    <xf numFmtId="3" fontId="16" fillId="0" borderId="1" xfId="0" applyNumberFormat="1" applyFont="1" applyBorder="1" applyAlignment="1" applyProtection="1">
      <alignment horizontal="right" vertical="center"/>
    </xf>
    <xf numFmtId="0" fontId="27" fillId="0" borderId="1" xfId="0" applyFont="1" applyBorder="1" applyAlignment="1">
      <alignment horizontal="left" vertical="top" wrapText="1"/>
    </xf>
    <xf numFmtId="0" fontId="20" fillId="0" borderId="0" xfId="0" applyFont="1"/>
    <xf numFmtId="0" fontId="20" fillId="0" borderId="0" xfId="0" applyFont="1" applyAlignment="1">
      <alignment wrapText="1"/>
    </xf>
    <xf numFmtId="166" fontId="20" fillId="0" borderId="0" xfId="0" applyNumberFormat="1" applyFont="1" applyAlignment="1">
      <alignment horizontal="center"/>
    </xf>
    <xf numFmtId="0" fontId="20" fillId="0" borderId="0" xfId="0" applyFont="1" applyAlignment="1">
      <alignment horizontal="center" wrapText="1"/>
    </xf>
    <xf numFmtId="0" fontId="20" fillId="0" borderId="0" xfId="0" applyFont="1" applyAlignment="1">
      <alignment horizontal="center"/>
    </xf>
    <xf numFmtId="166" fontId="19" fillId="0" borderId="1" xfId="0" applyNumberFormat="1" applyFont="1" applyBorder="1" applyAlignment="1">
      <alignment horizontal="center" vertical="top" wrapText="1"/>
    </xf>
    <xf numFmtId="0" fontId="19" fillId="0" borderId="1" xfId="0" applyFont="1" applyBorder="1" applyAlignment="1">
      <alignment vertical="top" wrapText="1"/>
    </xf>
    <xf numFmtId="166" fontId="20" fillId="0" borderId="1" xfId="0" applyNumberFormat="1" applyFont="1" applyBorder="1" applyAlignment="1">
      <alignment horizontal="center" vertical="top" wrapText="1"/>
    </xf>
    <xf numFmtId="0" fontId="20" fillId="0" borderId="1" xfId="0" applyFont="1" applyBorder="1" applyAlignment="1">
      <alignment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19" fillId="0" borderId="1" xfId="0" applyFont="1" applyBorder="1" applyAlignment="1">
      <alignment horizontal="left" vertical="top" wrapText="1"/>
    </xf>
    <xf numFmtId="166" fontId="22" fillId="0" borderId="1" xfId="0" applyNumberFormat="1" applyFont="1" applyBorder="1" applyAlignment="1">
      <alignment horizontal="center" vertical="top" wrapText="1"/>
    </xf>
    <xf numFmtId="0" fontId="22" fillId="0" borderId="1" xfId="0" applyFont="1" applyBorder="1" applyAlignment="1">
      <alignment vertical="top" wrapText="1"/>
    </xf>
    <xf numFmtId="0" fontId="20" fillId="0" borderId="1" xfId="0" applyFont="1" applyBorder="1" applyAlignment="1">
      <alignment horizontal="justify" vertical="top" wrapText="1"/>
    </xf>
    <xf numFmtId="167" fontId="20" fillId="0" borderId="0" xfId="0" applyNumberFormat="1" applyFont="1" applyAlignment="1">
      <alignment horizontal="center"/>
    </xf>
    <xf numFmtId="168" fontId="20" fillId="0" borderId="0" xfId="0" applyNumberFormat="1" applyFont="1" applyAlignment="1">
      <alignment horizontal="center"/>
    </xf>
    <xf numFmtId="0" fontId="20" fillId="0" borderId="0" xfId="0" applyFont="1" applyAlignment="1">
      <alignment horizontal="left" wrapText="1"/>
    </xf>
    <xf numFmtId="49" fontId="12" fillId="0" borderId="1" xfId="0" applyNumberFormat="1" applyFont="1" applyFill="1" applyBorder="1" applyAlignment="1" applyProtection="1">
      <alignment horizontal="center" vertical="center"/>
    </xf>
    <xf numFmtId="0" fontId="12" fillId="0" borderId="0" xfId="0" applyFont="1" applyAlignment="1" applyProtection="1">
      <alignment horizontal="right" wrapText="1"/>
    </xf>
    <xf numFmtId="49" fontId="12" fillId="0" borderId="0" xfId="0" applyNumberFormat="1" applyFont="1" applyAlignment="1" applyProtection="1">
      <alignment horizontal="right"/>
    </xf>
    <xf numFmtId="3" fontId="4" fillId="0" borderId="1" xfId="1" applyNumberFormat="1" applyFont="1" applyBorder="1" applyAlignment="1">
      <alignment horizontal="right" vertical="center" wrapText="1"/>
    </xf>
    <xf numFmtId="3"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3" fontId="4" fillId="0" borderId="1" xfId="1" applyNumberFormat="1" applyFont="1" applyBorder="1" applyAlignment="1" applyProtection="1">
      <alignment horizontal="right" vertical="center"/>
      <protection locked="0"/>
    </xf>
    <xf numFmtId="3" fontId="12" fillId="0" borderId="1" xfId="0" applyNumberFormat="1" applyFont="1" applyFill="1" applyBorder="1" applyAlignment="1" applyProtection="1">
      <alignment horizontal="right" vertical="center"/>
    </xf>
    <xf numFmtId="166" fontId="12" fillId="0" borderId="1" xfId="0" applyNumberFormat="1" applyFont="1" applyBorder="1" applyAlignment="1" applyProtection="1">
      <alignment horizontal="center" vertical="center"/>
    </xf>
    <xf numFmtId="167" fontId="12" fillId="0" borderId="1" xfId="0" applyNumberFormat="1" applyFont="1" applyBorder="1" applyAlignment="1" applyProtection="1">
      <alignment horizontal="center" vertical="center"/>
    </xf>
    <xf numFmtId="0" fontId="18" fillId="0" borderId="0" xfId="0" applyFont="1" applyFill="1" applyAlignment="1" applyProtection="1">
      <alignment horizontal="right" vertical="center" wrapText="1"/>
    </xf>
    <xf numFmtId="0" fontId="18" fillId="0" borderId="0" xfId="0" applyFont="1" applyFill="1" applyAlignment="1" applyProtection="1">
      <alignment horizontal="center" vertical="center" wrapText="1"/>
    </xf>
    <xf numFmtId="1" fontId="16" fillId="0" borderId="1" xfId="0" applyNumberFormat="1" applyFont="1" applyFill="1" applyBorder="1" applyAlignment="1" applyProtection="1">
      <alignment horizontal="center" vertical="center"/>
    </xf>
    <xf numFmtId="166" fontId="12" fillId="0" borderId="1" xfId="0" applyNumberFormat="1" applyFont="1" applyFill="1" applyBorder="1" applyAlignment="1" applyProtection="1">
      <alignment horizontal="center" vertical="center"/>
    </xf>
    <xf numFmtId="167" fontId="12" fillId="0" borderId="1" xfId="0" applyNumberFormat="1" applyFont="1" applyFill="1" applyBorder="1" applyAlignment="1" applyProtection="1">
      <alignment horizontal="center" vertical="center"/>
    </xf>
    <xf numFmtId="1" fontId="12" fillId="0" borderId="1" xfId="0" applyNumberFormat="1" applyFont="1" applyFill="1" applyBorder="1" applyAlignment="1" applyProtection="1">
      <alignment horizontal="center" vertical="center"/>
    </xf>
    <xf numFmtId="1" fontId="12" fillId="0" borderId="1" xfId="0" applyNumberFormat="1" applyFont="1" applyBorder="1" applyAlignment="1" applyProtection="1">
      <alignment horizontal="center" vertical="center"/>
    </xf>
    <xf numFmtId="1" fontId="9" fillId="0" borderId="1" xfId="0" applyNumberFormat="1" applyFont="1" applyBorder="1" applyAlignment="1" applyProtection="1">
      <alignment horizontal="center" vertical="center" wrapText="1"/>
    </xf>
    <xf numFmtId="166" fontId="9" fillId="0" borderId="1" xfId="0" applyNumberFormat="1" applyFont="1" applyBorder="1" applyAlignment="1" applyProtection="1">
      <alignment horizontal="center" vertical="center" wrapText="1"/>
    </xf>
    <xf numFmtId="167" fontId="9" fillId="0" borderId="1" xfId="0" applyNumberFormat="1" applyFont="1" applyBorder="1" applyAlignment="1" applyProtection="1">
      <alignment horizontal="center" vertical="center" wrapText="1"/>
    </xf>
    <xf numFmtId="166" fontId="16" fillId="0" borderId="1" xfId="0" applyNumberFormat="1" applyFont="1" applyFill="1" applyBorder="1" applyAlignment="1" applyProtection="1">
      <alignment horizontal="center" vertical="center"/>
    </xf>
    <xf numFmtId="1" fontId="18" fillId="0" borderId="1" xfId="0" applyNumberFormat="1" applyFont="1" applyFill="1" applyBorder="1" applyAlignment="1" applyProtection="1">
      <alignment horizontal="center" vertical="center"/>
    </xf>
    <xf numFmtId="166" fontId="18" fillId="0" borderId="1" xfId="0" applyNumberFormat="1" applyFont="1" applyFill="1" applyBorder="1" applyAlignment="1" applyProtection="1">
      <alignment horizontal="center" vertical="center"/>
    </xf>
    <xf numFmtId="167" fontId="18" fillId="0" borderId="1" xfId="0" applyNumberFormat="1" applyFont="1" applyFill="1" applyBorder="1" applyAlignment="1" applyProtection="1">
      <alignment horizontal="center" vertical="center"/>
    </xf>
    <xf numFmtId="167" fontId="16" fillId="0" borderId="1" xfId="0" applyNumberFormat="1" applyFont="1" applyFill="1" applyBorder="1" applyAlignment="1" applyProtection="1">
      <alignment horizontal="center" vertical="center"/>
    </xf>
    <xf numFmtId="0" fontId="2" fillId="0" borderId="0" xfId="0" applyFont="1"/>
    <xf numFmtId="3" fontId="12" fillId="0" borderId="1" xfId="0" applyNumberFormat="1" applyFont="1" applyFill="1" applyBorder="1" applyAlignment="1" applyProtection="1">
      <alignment horizontal="right" vertical="center"/>
      <protection locked="0"/>
    </xf>
    <xf numFmtId="0" fontId="18" fillId="0" borderId="1" xfId="0" applyFont="1" applyFill="1" applyBorder="1" applyAlignment="1" applyProtection="1">
      <alignment horizontal="center" vertical="center" wrapText="1"/>
    </xf>
    <xf numFmtId="0" fontId="3" fillId="0" borderId="1" xfId="0" applyFont="1" applyBorder="1" applyAlignment="1">
      <alignment vertical="top" wrapText="1"/>
    </xf>
    <xf numFmtId="0" fontId="3" fillId="0" borderId="1" xfId="2" applyFont="1" applyFill="1" applyBorder="1" applyAlignment="1" applyProtection="1">
      <alignment horizontal="right" vertical="center" wrapText="1"/>
      <protection locked="0"/>
    </xf>
    <xf numFmtId="3" fontId="3" fillId="0" borderId="1" xfId="0" applyNumberFormat="1" applyFont="1" applyBorder="1" applyAlignment="1" applyProtection="1">
      <alignment horizontal="right" vertical="center"/>
      <protection locked="0"/>
    </xf>
    <xf numFmtId="3" fontId="3" fillId="0" borderId="1" xfId="0" applyNumberFormat="1" applyFont="1" applyBorder="1" applyAlignment="1" applyProtection="1">
      <alignment vertical="center"/>
      <protection locked="0"/>
    </xf>
    <xf numFmtId="0" fontId="9" fillId="0" borderId="1" xfId="0" applyFont="1" applyBorder="1" applyProtection="1">
      <protection locked="0"/>
    </xf>
    <xf numFmtId="3" fontId="4" fillId="0" borderId="1" xfId="0" applyNumberFormat="1" applyFont="1" applyBorder="1" applyAlignment="1" applyProtection="1">
      <alignment horizontal="right" vertical="center"/>
      <protection locked="0"/>
    </xf>
    <xf numFmtId="0" fontId="12" fillId="0"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Fill="1"/>
    <xf numFmtId="0" fontId="29" fillId="0" borderId="1" xfId="0" applyFont="1" applyBorder="1" applyAlignment="1">
      <alignment horizontal="center" vertical="top" wrapText="1"/>
    </xf>
    <xf numFmtId="0" fontId="9" fillId="0" borderId="9" xfId="0" applyFont="1" applyBorder="1" applyAlignment="1">
      <alignment vertical="top" wrapText="1"/>
    </xf>
    <xf numFmtId="0" fontId="9" fillId="0" borderId="1" xfId="0" applyFont="1" applyBorder="1" applyAlignment="1">
      <alignment vertical="top" wrapText="1"/>
    </xf>
    <xf numFmtId="0" fontId="0" fillId="0" borderId="0" xfId="0" applyAlignment="1">
      <alignment horizontal="center"/>
    </xf>
    <xf numFmtId="3" fontId="3" fillId="0" borderId="1" xfId="0" applyNumberFormat="1" applyFont="1" applyFill="1" applyBorder="1" applyAlignment="1">
      <alignment horizontal="center" wrapText="1"/>
    </xf>
    <xf numFmtId="0" fontId="3" fillId="0" borderId="0" xfId="0" applyFont="1" applyAlignment="1">
      <alignment horizontal="right" wrapText="1"/>
    </xf>
    <xf numFmtId="0" fontId="3" fillId="0" borderId="0" xfId="0" applyFont="1" applyAlignment="1">
      <alignment horizontal="center" wrapText="1"/>
    </xf>
    <xf numFmtId="0" fontId="20" fillId="0" borderId="1" xfId="0" applyFont="1" applyBorder="1" applyAlignment="1">
      <alignment vertical="center"/>
    </xf>
    <xf numFmtId="49" fontId="20" fillId="0" borderId="0" xfId="0" applyNumberFormat="1" applyFont="1" applyAlignment="1">
      <alignment horizontal="center" wrapText="1"/>
    </xf>
    <xf numFmtId="49" fontId="20" fillId="0" borderId="0" xfId="0" applyNumberFormat="1" applyFont="1" applyAlignment="1">
      <alignment wrapText="1"/>
    </xf>
    <xf numFmtId="49" fontId="34" fillId="0" borderId="1" xfId="0" applyNumberFormat="1" applyFont="1" applyBorder="1" applyAlignment="1">
      <alignment vertical="center" wrapText="1"/>
    </xf>
    <xf numFmtId="0" fontId="34" fillId="0" borderId="1" xfId="0" applyNumberFormat="1" applyFont="1" applyBorder="1" applyAlignment="1">
      <alignment vertical="center" wrapText="1"/>
    </xf>
    <xf numFmtId="3" fontId="3" fillId="0" borderId="1" xfId="1" applyNumberFormat="1" applyFont="1" applyBorder="1" applyAlignment="1">
      <alignment horizontal="right" vertical="center" wrapText="1"/>
    </xf>
    <xf numFmtId="1" fontId="0" fillId="0" borderId="0" xfId="0" applyNumberFormat="1"/>
    <xf numFmtId="0" fontId="0" fillId="0" borderId="1" xfId="0" applyBorder="1" applyAlignment="1">
      <alignment wrapText="1"/>
    </xf>
    <xf numFmtId="0" fontId="0" fillId="0" borderId="1" xfId="0" applyNumberFormat="1" applyBorder="1" applyAlignment="1">
      <alignment wrapText="1"/>
    </xf>
    <xf numFmtId="168" fontId="0" fillId="0" borderId="1" xfId="0" applyNumberFormat="1" applyBorder="1"/>
    <xf numFmtId="0" fontId="10" fillId="0" borderId="0" xfId="0" applyFont="1" applyAlignment="1">
      <alignment horizontal="center"/>
    </xf>
    <xf numFmtId="0" fontId="8" fillId="0" borderId="2" xfId="0" applyFont="1" applyBorder="1" applyAlignment="1">
      <alignment horizontal="center" vertical="top" wrapText="1"/>
    </xf>
    <xf numFmtId="0" fontId="8" fillId="0" borderId="10"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9"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9" fillId="0" borderId="0" xfId="0" applyFont="1" applyFill="1" applyAlignment="1"/>
    <xf numFmtId="0" fontId="3" fillId="0" borderId="0" xfId="0" applyFont="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167" fontId="3" fillId="0" borderId="1" xfId="0" applyNumberFormat="1" applyFont="1" applyFill="1" applyBorder="1" applyAlignment="1">
      <alignment horizontal="center" vertical="top" wrapText="1"/>
    </xf>
    <xf numFmtId="0" fontId="0" fillId="0" borderId="0" xfId="0" applyBorder="1"/>
    <xf numFmtId="3" fontId="0" fillId="0" borderId="1" xfId="0" applyNumberFormat="1" applyBorder="1" applyAlignment="1">
      <alignment horizontal="right"/>
    </xf>
    <xf numFmtId="0" fontId="3" fillId="0" borderId="0" xfId="0" applyFont="1" applyBorder="1" applyAlignment="1">
      <alignment horizontal="center" vertical="center" wrapText="1"/>
    </xf>
    <xf numFmtId="165" fontId="32" fillId="0" borderId="0" xfId="0" applyNumberFormat="1" applyFont="1" applyBorder="1" applyAlignment="1">
      <alignment wrapText="1"/>
    </xf>
    <xf numFmtId="3" fontId="3" fillId="0" borderId="0" xfId="0" applyNumberFormat="1" applyFont="1" applyFill="1" applyBorder="1" applyAlignment="1">
      <alignment horizontal="center" wrapText="1"/>
    </xf>
    <xf numFmtId="164" fontId="30" fillId="0" borderId="0" xfId="0" applyNumberFormat="1"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165" fontId="32" fillId="0" borderId="6" xfId="0" applyNumberFormat="1" applyFont="1" applyBorder="1" applyAlignment="1">
      <alignment wrapText="1"/>
    </xf>
    <xf numFmtId="165" fontId="31" fillId="0" borderId="16" xfId="0" applyNumberFormat="1" applyFont="1" applyFill="1" applyBorder="1" applyAlignment="1">
      <alignment wrapText="1"/>
    </xf>
    <xf numFmtId="0" fontId="0" fillId="4" borderId="0" xfId="0" applyFill="1"/>
    <xf numFmtId="0" fontId="0" fillId="5" borderId="0" xfId="0" applyFill="1"/>
    <xf numFmtId="3" fontId="0" fillId="0" borderId="0" xfId="0" applyNumberFormat="1" applyBorder="1" applyAlignment="1">
      <alignment horizontal="right"/>
    </xf>
    <xf numFmtId="0" fontId="29" fillId="0" borderId="0" xfId="0" applyFont="1" applyAlignment="1">
      <alignment horizontal="justify"/>
    </xf>
    <xf numFmtId="3" fontId="4" fillId="0" borderId="21" xfId="0" applyNumberFormat="1" applyFont="1" applyBorder="1" applyAlignment="1">
      <alignment horizontal="right"/>
    </xf>
    <xf numFmtId="0" fontId="0" fillId="7" borderId="0" xfId="0" applyFill="1"/>
    <xf numFmtId="0" fontId="29" fillId="0" borderId="0" xfId="0" applyFont="1"/>
    <xf numFmtId="0" fontId="39" fillId="0" borderId="0" xfId="0" applyFont="1"/>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wrapText="1"/>
    </xf>
    <xf numFmtId="3" fontId="4" fillId="0" borderId="23" xfId="0" applyNumberFormat="1" applyFont="1" applyBorder="1" applyAlignment="1">
      <alignment horizontal="right" wrapText="1"/>
    </xf>
    <xf numFmtId="0" fontId="3" fillId="0" borderId="23" xfId="0" applyFont="1" applyBorder="1" applyAlignment="1">
      <alignment horizontal="center" wrapText="1"/>
    </xf>
    <xf numFmtId="3" fontId="3" fillId="0" borderId="23" xfId="0" applyNumberFormat="1" applyFont="1" applyBorder="1" applyAlignment="1">
      <alignment horizontal="right" wrapText="1"/>
    </xf>
    <xf numFmtId="0" fontId="4" fillId="0" borderId="22" xfId="0" applyFont="1" applyBorder="1" applyAlignment="1">
      <alignment horizontal="justify" wrapText="1"/>
    </xf>
    <xf numFmtId="3" fontId="4" fillId="0" borderId="22" xfId="0" applyNumberFormat="1" applyFont="1" applyBorder="1" applyAlignment="1">
      <alignment horizontal="right"/>
    </xf>
    <xf numFmtId="0" fontId="3" fillId="0" borderId="20" xfId="0" applyFont="1" applyBorder="1" applyAlignment="1">
      <alignment horizontal="center"/>
    </xf>
    <xf numFmtId="0" fontId="3" fillId="0" borderId="21" xfId="0" applyFont="1" applyBorder="1" applyAlignment="1">
      <alignment horizontal="justify" wrapText="1"/>
    </xf>
    <xf numFmtId="3" fontId="3" fillId="0" borderId="21" xfId="0" applyNumberFormat="1" applyFont="1" applyBorder="1" applyAlignment="1">
      <alignment horizontal="right"/>
    </xf>
    <xf numFmtId="0" fontId="4" fillId="0" borderId="20" xfId="0" applyFont="1" applyBorder="1" applyAlignment="1">
      <alignment horizontal="center"/>
    </xf>
    <xf numFmtId="0" fontId="4" fillId="0" borderId="21" xfId="0" applyFont="1" applyBorder="1" applyAlignment="1">
      <alignment horizontal="justify" wrapText="1"/>
    </xf>
    <xf numFmtId="0" fontId="40" fillId="0" borderId="1" xfId="0" applyFont="1" applyBorder="1" applyAlignment="1">
      <alignment horizontal="center" vertical="top"/>
    </xf>
    <xf numFmtId="49" fontId="40" fillId="0" borderId="1" xfId="0" applyNumberFormat="1" applyFont="1" applyBorder="1" applyAlignment="1">
      <alignment horizontal="center" vertical="top"/>
    </xf>
    <xf numFmtId="0" fontId="3" fillId="0" borderId="1" xfId="2" applyFont="1" applyFill="1" applyBorder="1" applyAlignment="1">
      <alignment horizontal="left" vertical="top" wrapText="1"/>
    </xf>
    <xf numFmtId="0" fontId="3"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0" fontId="3" fillId="0" borderId="1" xfId="2" applyNumberFormat="1" applyFont="1" applyFill="1" applyBorder="1" applyAlignment="1">
      <alignment horizontal="left" vertical="top" wrapText="1"/>
    </xf>
    <xf numFmtId="0" fontId="3" fillId="0" borderId="1" xfId="0" applyFont="1" applyBorder="1" applyAlignment="1">
      <alignment horizontal="center" vertical="center" wrapText="1"/>
    </xf>
    <xf numFmtId="0" fontId="10" fillId="0" borderId="0" xfId="0" applyFont="1" applyFill="1" applyAlignment="1">
      <alignment horizontal="center" vertical="center" wrapText="1"/>
    </xf>
    <xf numFmtId="0" fontId="4" fillId="0" borderId="10" xfId="0" applyFont="1" applyBorder="1" applyAlignment="1">
      <alignment horizontal="left"/>
    </xf>
    <xf numFmtId="49" fontId="22" fillId="0" borderId="1" xfId="0" applyNumberFormat="1" applyFont="1" applyBorder="1" applyAlignment="1">
      <alignment vertical="center" wrapText="1"/>
    </xf>
    <xf numFmtId="3" fontId="18" fillId="5" borderId="1" xfId="0" applyNumberFormat="1" applyFont="1" applyFill="1" applyBorder="1" applyAlignment="1" applyProtection="1">
      <alignment horizontal="right" vertical="center"/>
      <protection locked="0"/>
    </xf>
    <xf numFmtId="0" fontId="39" fillId="0" borderId="0" xfId="0" applyFont="1" applyAlignment="1">
      <alignment wrapText="1"/>
    </xf>
    <xf numFmtId="0" fontId="3" fillId="0" borderId="19" xfId="0" applyFont="1" applyBorder="1" applyAlignment="1">
      <alignment horizontal="center" wrapText="1"/>
    </xf>
    <xf numFmtId="0" fontId="38" fillId="0" borderId="1" xfId="0" applyFont="1" applyBorder="1" applyAlignment="1">
      <alignment horizontal="center" wrapText="1"/>
    </xf>
    <xf numFmtId="0" fontId="38" fillId="6" borderId="1" xfId="0" applyFont="1" applyFill="1" applyBorder="1" applyAlignment="1">
      <alignment horizontal="center" wrapText="1"/>
    </xf>
    <xf numFmtId="0" fontId="38" fillId="0" borderId="1" xfId="0" applyFont="1" applyBorder="1" applyAlignment="1">
      <alignment horizontal="right" wrapText="1"/>
    </xf>
    <xf numFmtId="0" fontId="38" fillId="0" borderId="2" xfId="0" applyFont="1" applyBorder="1" applyAlignment="1">
      <alignment horizontal="center" wrapText="1"/>
    </xf>
    <xf numFmtId="0" fontId="41" fillId="0" borderId="2" xfId="0" applyFont="1" applyBorder="1" applyAlignment="1">
      <alignment wrapText="1"/>
    </xf>
    <xf numFmtId="0" fontId="3" fillId="0" borderId="3" xfId="0" applyFont="1" applyBorder="1" applyAlignment="1">
      <alignment horizontal="center" wrapText="1"/>
    </xf>
    <xf numFmtId="0" fontId="42" fillId="0" borderId="4" xfId="0" applyFont="1" applyBorder="1" applyAlignment="1">
      <alignment horizontal="center" wrapText="1"/>
    </xf>
    <xf numFmtId="3" fontId="4" fillId="0" borderId="5" xfId="0" applyNumberFormat="1" applyFont="1" applyBorder="1" applyAlignment="1">
      <alignment horizontal="right"/>
    </xf>
    <xf numFmtId="0" fontId="38" fillId="0" borderId="8" xfId="0" applyFont="1" applyBorder="1" applyAlignment="1">
      <alignment horizontal="center" wrapText="1"/>
    </xf>
    <xf numFmtId="3" fontId="38" fillId="0" borderId="1" xfId="0" applyNumberFormat="1" applyFont="1" applyBorder="1" applyAlignment="1">
      <alignment horizontal="right" wrapText="1"/>
    </xf>
    <xf numFmtId="0" fontId="42" fillId="0" borderId="22" xfId="0" applyFont="1" applyBorder="1" applyAlignment="1">
      <alignment horizontal="center" wrapText="1"/>
    </xf>
    <xf numFmtId="0" fontId="3" fillId="0" borderId="8" xfId="0" applyFont="1" applyBorder="1" applyAlignment="1">
      <alignment horizontal="left" wrapText="1"/>
    </xf>
    <xf numFmtId="0" fontId="43" fillId="0" borderId="1" xfId="0" applyFont="1" applyBorder="1" applyAlignment="1">
      <alignment wrapText="1"/>
    </xf>
    <xf numFmtId="4" fontId="38" fillId="0" borderId="2" xfId="0" applyNumberFormat="1" applyFont="1" applyBorder="1" applyAlignment="1">
      <alignment horizontal="right" wrapText="1"/>
    </xf>
    <xf numFmtId="3" fontId="38" fillId="0" borderId="8" xfId="0" applyNumberFormat="1" applyFont="1" applyBorder="1" applyAlignment="1">
      <alignment horizontal="right" wrapText="1"/>
    </xf>
    <xf numFmtId="3" fontId="38" fillId="6" borderId="1" xfId="0" applyNumberFormat="1" applyFont="1" applyFill="1" applyBorder="1" applyAlignment="1">
      <alignment horizontal="right" wrapText="1"/>
    </xf>
    <xf numFmtId="0" fontId="39" fillId="0" borderId="1" xfId="0" applyFont="1" applyBorder="1" applyAlignment="1">
      <alignment wrapText="1"/>
    </xf>
    <xf numFmtId="0" fontId="4" fillId="0" borderId="19" xfId="0" applyFont="1" applyBorder="1" applyAlignment="1">
      <alignment horizontal="center"/>
    </xf>
    <xf numFmtId="0" fontId="4" fillId="0" borderId="23" xfId="0" applyFont="1" applyBorder="1" applyAlignment="1">
      <alignment horizontal="center" wrapText="1"/>
    </xf>
    <xf numFmtId="0" fontId="3" fillId="0" borderId="25" xfId="0" applyFont="1" applyBorder="1" applyAlignment="1">
      <alignment horizontal="justify" vertical="center" wrapText="1"/>
    </xf>
    <xf numFmtId="0" fontId="30" fillId="7" borderId="0" xfId="0" applyFont="1" applyFill="1"/>
    <xf numFmtId="0" fontId="4" fillId="0" borderId="19" xfId="0" applyFont="1" applyBorder="1" applyAlignment="1">
      <alignment horizontal="center"/>
    </xf>
    <xf numFmtId="0" fontId="4" fillId="0" borderId="23" xfId="0" applyFont="1" applyBorder="1" applyAlignment="1">
      <alignment horizontal="center" wrapText="1"/>
    </xf>
    <xf numFmtId="3" fontId="39" fillId="0" borderId="7" xfId="0" applyNumberFormat="1" applyFont="1" applyBorder="1" applyAlignment="1">
      <alignment horizontal="right" vertical="center"/>
    </xf>
    <xf numFmtId="3" fontId="44" fillId="0" borderId="17" xfId="0" applyNumberFormat="1" applyFont="1" applyBorder="1" applyAlignment="1">
      <alignment horizontal="right" vertical="center"/>
    </xf>
    <xf numFmtId="3" fontId="39" fillId="0" borderId="1" xfId="0" applyNumberFormat="1" applyFont="1" applyFill="1" applyBorder="1" applyAlignment="1">
      <alignment horizontal="right" vertical="center" wrapText="1"/>
    </xf>
    <xf numFmtId="3" fontId="38" fillId="8" borderId="8" xfId="0" applyNumberFormat="1" applyFont="1" applyFill="1" applyBorder="1" applyAlignment="1">
      <alignment horizontal="right" wrapText="1"/>
    </xf>
    <xf numFmtId="3" fontId="38" fillId="8" borderId="1" xfId="0" applyNumberFormat="1" applyFont="1" applyFill="1" applyBorder="1" applyAlignment="1">
      <alignment horizontal="right" wrapText="1"/>
    </xf>
    <xf numFmtId="4" fontId="38" fillId="8" borderId="2" xfId="0" applyNumberFormat="1" applyFont="1" applyFill="1" applyBorder="1" applyAlignment="1">
      <alignment horizontal="right" wrapText="1"/>
    </xf>
    <xf numFmtId="0" fontId="3" fillId="0" borderId="1" xfId="0" applyFont="1" applyBorder="1" applyAlignment="1">
      <alignment horizontal="left" vertical="top"/>
    </xf>
    <xf numFmtId="167" fontId="3" fillId="0" borderId="1" xfId="0" applyNumberFormat="1"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9" xfId="0" applyFont="1" applyBorder="1" applyAlignment="1">
      <alignment horizontal="center"/>
    </xf>
    <xf numFmtId="0" fontId="6" fillId="0" borderId="0" xfId="0" applyFont="1" applyFill="1"/>
    <xf numFmtId="0" fontId="0" fillId="5" borderId="1" xfId="0" applyFill="1" applyBorder="1"/>
    <xf numFmtId="167" fontId="0" fillId="5" borderId="1" xfId="0" applyNumberFormat="1" applyFill="1" applyBorder="1"/>
    <xf numFmtId="0" fontId="4" fillId="0" borderId="21" xfId="0" applyFont="1" applyBorder="1" applyAlignment="1">
      <alignment horizontal="center" wrapText="1"/>
    </xf>
    <xf numFmtId="0" fontId="43" fillId="0" borderId="21" xfId="0" applyFont="1" applyBorder="1" applyAlignment="1">
      <alignment vertical="top" wrapText="1"/>
    </xf>
    <xf numFmtId="0" fontId="42" fillId="0" borderId="21" xfId="0" applyFont="1" applyBorder="1" applyAlignment="1">
      <alignment horizontal="center" vertical="top" wrapText="1"/>
    </xf>
    <xf numFmtId="0" fontId="4" fillId="0" borderId="21" xfId="0" applyFont="1" applyBorder="1" applyAlignment="1">
      <alignment horizontal="center" vertical="top" wrapText="1"/>
    </xf>
    <xf numFmtId="0" fontId="4" fillId="0" borderId="21" xfId="0" applyFont="1" applyBorder="1" applyAlignment="1">
      <alignment vertical="top" wrapText="1"/>
    </xf>
    <xf numFmtId="167" fontId="4" fillId="0" borderId="20" xfId="0" applyNumberFormat="1" applyFont="1" applyBorder="1" applyAlignment="1">
      <alignment horizontal="center" wrapText="1"/>
    </xf>
    <xf numFmtId="167" fontId="3" fillId="0" borderId="20" xfId="0" applyNumberFormat="1" applyFont="1" applyBorder="1" applyAlignment="1">
      <alignment horizontal="center" wrapText="1"/>
    </xf>
    <xf numFmtId="0" fontId="45" fillId="5" borderId="1" xfId="0" applyFont="1" applyFill="1" applyBorder="1" applyAlignment="1">
      <alignment horizontal="center"/>
    </xf>
    <xf numFmtId="0" fontId="3" fillId="0" borderId="22" xfId="0" applyFont="1" applyBorder="1" applyAlignment="1">
      <alignment wrapText="1"/>
    </xf>
    <xf numFmtId="0" fontId="3" fillId="0" borderId="21" xfId="0" applyFont="1" applyBorder="1" applyAlignment="1">
      <alignment wrapText="1"/>
    </xf>
    <xf numFmtId="0" fontId="43" fillId="0" borderId="21" xfId="0" applyFont="1" applyBorder="1" applyAlignment="1">
      <alignment wrapText="1"/>
    </xf>
    <xf numFmtId="0" fontId="46" fillId="0" borderId="0" xfId="0" applyFont="1" applyAlignment="1">
      <alignment horizontal="justify"/>
    </xf>
    <xf numFmtId="167" fontId="0" fillId="4" borderId="0" xfId="0" applyNumberFormat="1" applyFill="1"/>
    <xf numFmtId="167" fontId="12" fillId="0" borderId="0" xfId="0" applyNumberFormat="1" applyFont="1" applyAlignment="1" applyProtection="1">
      <alignment horizontal="right"/>
    </xf>
    <xf numFmtId="167" fontId="12" fillId="0" borderId="0" xfId="0" applyNumberFormat="1" applyFont="1" applyAlignment="1" applyProtection="1">
      <alignment horizontal="center"/>
    </xf>
    <xf numFmtId="167" fontId="26" fillId="0" borderId="1" xfId="0" applyNumberFormat="1" applyFont="1" applyBorder="1" applyAlignment="1" applyProtection="1">
      <alignment horizontal="center" vertical="center"/>
    </xf>
    <xf numFmtId="167" fontId="18" fillId="0" borderId="1" xfId="0" applyNumberFormat="1" applyFont="1" applyBorder="1" applyAlignment="1" applyProtection="1">
      <alignment horizontal="center" vertical="center"/>
    </xf>
    <xf numFmtId="166" fontId="12" fillId="0" borderId="0" xfId="0" applyNumberFormat="1" applyFont="1" applyAlignment="1" applyProtection="1">
      <alignment horizontal="right"/>
    </xf>
    <xf numFmtId="166" fontId="12" fillId="0" borderId="0" xfId="0" applyNumberFormat="1" applyFont="1" applyAlignment="1" applyProtection="1">
      <alignment horizontal="center"/>
    </xf>
    <xf numFmtId="166" fontId="26" fillId="0" borderId="1" xfId="0" applyNumberFormat="1" applyFont="1" applyBorder="1" applyAlignment="1" applyProtection="1">
      <alignment horizontal="center" vertical="center"/>
    </xf>
    <xf numFmtId="166" fontId="18" fillId="0" borderId="1" xfId="0" applyNumberFormat="1" applyFont="1" applyBorder="1" applyAlignment="1" applyProtection="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xf>
    <xf numFmtId="3" fontId="3" fillId="0" borderId="1" xfId="0" applyNumberFormat="1" applyFont="1" applyFill="1" applyBorder="1" applyAlignment="1">
      <alignment horizontal="right" wrapText="1"/>
    </xf>
    <xf numFmtId="0" fontId="3" fillId="0" borderId="0" xfId="0" applyFont="1"/>
    <xf numFmtId="0" fontId="4" fillId="0" borderId="0" xfId="0" applyFont="1" applyFill="1" applyAlignment="1">
      <alignment horizontal="center" vertical="center" wrapText="1"/>
    </xf>
    <xf numFmtId="165" fontId="47" fillId="0" borderId="1" xfId="0" applyNumberFormat="1" applyFont="1" applyBorder="1" applyAlignment="1">
      <alignment wrapText="1"/>
    </xf>
    <xf numFmtId="3" fontId="3" fillId="0" borderId="1" xfId="0" applyNumberFormat="1" applyFont="1" applyBorder="1" applyAlignment="1">
      <alignment horizontal="right"/>
    </xf>
    <xf numFmtId="3" fontId="3" fillId="0" borderId="0" xfId="0" applyNumberFormat="1" applyFont="1" applyBorder="1" applyAlignment="1">
      <alignment horizontal="right"/>
    </xf>
    <xf numFmtId="165" fontId="48" fillId="0" borderId="1" xfId="0" applyNumberFormat="1" applyFont="1" applyFill="1" applyBorder="1" applyAlignment="1">
      <alignment wrapText="1"/>
    </xf>
    <xf numFmtId="164" fontId="4" fillId="0" borderId="1" xfId="0" applyNumberFormat="1" applyFont="1" applyBorder="1" applyAlignment="1">
      <alignment vertical="center"/>
    </xf>
    <xf numFmtId="164" fontId="4" fillId="0" borderId="0" xfId="0" applyNumberFormat="1" applyFont="1" applyBorder="1" applyAlignment="1">
      <alignment vertical="center"/>
    </xf>
    <xf numFmtId="0" fontId="3" fillId="0" borderId="0" xfId="0" applyFont="1" applyBorder="1"/>
    <xf numFmtId="0" fontId="3" fillId="0" borderId="0" xfId="0" applyFont="1" applyFill="1"/>
    <xf numFmtId="0" fontId="6" fillId="3" borderId="0" xfId="0" applyFont="1" applyFill="1"/>
    <xf numFmtId="0" fontId="6" fillId="2" borderId="0" xfId="0" applyFont="1" applyFill="1"/>
    <xf numFmtId="0" fontId="3" fillId="2" borderId="0" xfId="0" applyFont="1" applyFill="1"/>
    <xf numFmtId="3" fontId="4" fillId="0" borderId="1" xfId="0" applyNumberFormat="1" applyFont="1" applyBorder="1" applyAlignment="1">
      <alignment vertical="center"/>
    </xf>
    <xf numFmtId="0" fontId="3" fillId="5" borderId="0" xfId="0" applyFont="1" applyFill="1"/>
    <xf numFmtId="0" fontId="13" fillId="0" borderId="0" xfId="0" applyFont="1" applyAlignment="1" applyProtection="1">
      <alignment horizontal="center" wrapText="1"/>
    </xf>
    <xf numFmtId="0" fontId="16" fillId="0" borderId="1" xfId="0" applyFont="1" applyFill="1" applyBorder="1" applyAlignment="1" applyProtection="1">
      <alignment horizontal="left" vertical="top" wrapText="1" indent="2"/>
      <protection hidden="1"/>
    </xf>
    <xf numFmtId="0" fontId="3"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49" fontId="49" fillId="0" borderId="1" xfId="0" applyNumberFormat="1" applyFont="1" applyBorder="1" applyAlignment="1">
      <alignment horizontal="center" vertical="center" textRotation="90"/>
    </xf>
    <xf numFmtId="49" fontId="49" fillId="0" borderId="1" xfId="0" applyNumberFormat="1" applyFont="1" applyBorder="1" applyAlignment="1">
      <alignment horizontal="center" vertical="center" textRotation="90" wrapText="1"/>
    </xf>
    <xf numFmtId="49" fontId="49" fillId="0" borderId="1" xfId="0" applyNumberFormat="1" applyFont="1" applyBorder="1" applyAlignment="1">
      <alignment horizontal="left" vertical="center" textRotation="90"/>
    </xf>
    <xf numFmtId="0" fontId="4" fillId="0" borderId="32" xfId="0" applyFont="1" applyFill="1" applyBorder="1" applyAlignment="1">
      <alignment horizontal="center" vertical="center" wrapText="1"/>
    </xf>
    <xf numFmtId="0" fontId="3" fillId="3" borderId="0" xfId="0" applyFont="1" applyFill="1"/>
    <xf numFmtId="3" fontId="4" fillId="0" borderId="1" xfId="0" applyNumberFormat="1" applyFont="1" applyBorder="1" applyAlignment="1">
      <alignment horizontal="right"/>
    </xf>
    <xf numFmtId="3" fontId="3" fillId="0" borderId="1" xfId="0" applyNumberFormat="1" applyFont="1" applyBorder="1" applyAlignment="1">
      <alignment horizontal="right" vertical="center" wrapText="1"/>
    </xf>
    <xf numFmtId="0" fontId="3" fillId="0" borderId="32" xfId="0" applyFont="1" applyBorder="1" applyAlignment="1"/>
    <xf numFmtId="0" fontId="3" fillId="0" borderId="1" xfId="0" applyFont="1" applyBorder="1"/>
    <xf numFmtId="3" fontId="3" fillId="0" borderId="1" xfId="0" applyNumberFormat="1" applyFont="1" applyBorder="1" applyAlignment="1">
      <alignment horizontal="center"/>
    </xf>
    <xf numFmtId="164" fontId="4" fillId="0" borderId="1" xfId="0" applyNumberFormat="1" applyFont="1" applyBorder="1" applyAlignment="1">
      <alignment horizontal="center" vertical="center"/>
    </xf>
    <xf numFmtId="3" fontId="4" fillId="0" borderId="0" xfId="0" applyNumberFormat="1" applyFont="1" applyBorder="1" applyAlignment="1">
      <alignment horizontal="right"/>
    </xf>
    <xf numFmtId="1" fontId="3" fillId="0" borderId="0" xfId="0" applyNumberFormat="1" applyFont="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47" fillId="0" borderId="6" xfId="0" applyNumberFormat="1" applyFont="1" applyBorder="1" applyAlignment="1">
      <alignment wrapText="1"/>
    </xf>
    <xf numFmtId="165" fontId="48" fillId="0" borderId="16" xfId="0" applyNumberFormat="1" applyFont="1" applyFill="1" applyBorder="1" applyAlignment="1">
      <alignment wrapText="1"/>
    </xf>
    <xf numFmtId="0" fontId="3" fillId="4" borderId="0" xfId="0" applyFont="1" applyFill="1"/>
    <xf numFmtId="0" fontId="4" fillId="0" borderId="0" xfId="0" applyFont="1" applyFill="1" applyAlignment="1">
      <alignment horizontal="left" vertical="center" wrapText="1"/>
    </xf>
    <xf numFmtId="3" fontId="3" fillId="0" borderId="7" xfId="0" applyNumberFormat="1" applyFont="1" applyBorder="1" applyAlignment="1">
      <alignment horizontal="right"/>
    </xf>
    <xf numFmtId="164" fontId="4" fillId="0" borderId="17" xfId="0" applyNumberFormat="1" applyFont="1" applyBorder="1" applyAlignment="1">
      <alignment horizontal="center" vertical="center"/>
    </xf>
    <xf numFmtId="3" fontId="4" fillId="0" borderId="18" xfId="0" applyNumberFormat="1" applyFont="1" applyBorder="1" applyAlignment="1">
      <alignment horizontal="right" vertical="center"/>
    </xf>
    <xf numFmtId="0" fontId="3" fillId="0" borderId="1" xfId="0" applyFont="1" applyBorder="1" applyAlignment="1">
      <alignment horizontal="center" vertical="center" wrapText="1"/>
    </xf>
    <xf numFmtId="0" fontId="6" fillId="0" borderId="0" xfId="0" applyFont="1" applyAlignment="1">
      <alignment wrapText="1"/>
    </xf>
    <xf numFmtId="167" fontId="50" fillId="0" borderId="1" xfId="0" applyNumberFormat="1" applyFont="1" applyBorder="1" applyAlignment="1" applyProtection="1">
      <alignment horizontal="center" vertical="center" wrapText="1"/>
    </xf>
    <xf numFmtId="166" fontId="50" fillId="0" borderId="1" xfId="0" applyNumberFormat="1" applyFont="1" applyBorder="1" applyAlignment="1" applyProtection="1">
      <alignment horizontal="center" vertical="center" wrapText="1"/>
    </xf>
    <xf numFmtId="0" fontId="3" fillId="0" borderId="0" xfId="0" applyFont="1" applyAlignment="1">
      <alignment horizontal="justify" wrapText="1"/>
    </xf>
    <xf numFmtId="0" fontId="6" fillId="0" borderId="0" xfId="0" applyFont="1" applyFill="1" applyAlignment="1">
      <alignment wrapText="1"/>
    </xf>
    <xf numFmtId="49" fontId="8" fillId="0" borderId="19" xfId="0" applyNumberFormat="1" applyFont="1" applyBorder="1" applyAlignment="1">
      <alignment horizontal="center" vertical="center" wrapText="1"/>
    </xf>
    <xf numFmtId="0" fontId="8" fillId="0" borderId="19" xfId="0" applyFont="1" applyBorder="1" applyAlignment="1">
      <alignment horizontal="center" vertical="center" wrapText="1"/>
    </xf>
    <xf numFmtId="166" fontId="4" fillId="0" borderId="19" xfId="0" applyNumberFormat="1" applyFont="1" applyBorder="1" applyAlignment="1">
      <alignment horizontal="left" vertical="center" wrapText="1"/>
    </xf>
    <xf numFmtId="0" fontId="4" fillId="0" borderId="19" xfId="0" applyFont="1" applyBorder="1" applyAlignment="1">
      <alignment vertical="top" wrapText="1"/>
    </xf>
    <xf numFmtId="3" fontId="8" fillId="0" borderId="19" xfId="0" applyNumberFormat="1" applyFont="1" applyBorder="1" applyProtection="1"/>
    <xf numFmtId="166" fontId="3" fillId="0" borderId="19" xfId="0" applyNumberFormat="1" applyFont="1" applyBorder="1" applyAlignment="1">
      <alignment horizontal="center" vertical="center" wrapText="1"/>
    </xf>
    <xf numFmtId="0" fontId="3" fillId="0" borderId="19" xfId="0" applyFont="1" applyBorder="1" applyAlignment="1">
      <alignment vertical="top" wrapText="1"/>
    </xf>
    <xf numFmtId="3" fontId="3" fillId="0" borderId="19" xfId="0" applyNumberFormat="1" applyFont="1" applyBorder="1" applyProtection="1"/>
    <xf numFmtId="0" fontId="3" fillId="0" borderId="19" xfId="0" applyFont="1" applyBorder="1" applyAlignment="1">
      <alignment horizontal="left" vertical="top" wrapText="1"/>
    </xf>
    <xf numFmtId="0" fontId="27" fillId="0" borderId="19" xfId="0" applyFont="1" applyBorder="1" applyAlignment="1">
      <alignment horizontal="left" vertical="top" wrapText="1"/>
    </xf>
    <xf numFmtId="3" fontId="4" fillId="0" borderId="19" xfId="0" applyNumberFormat="1" applyFont="1" applyBorder="1" applyProtection="1"/>
    <xf numFmtId="0" fontId="23" fillId="0" borderId="19" xfId="0" applyFont="1" applyBorder="1" applyAlignment="1">
      <alignment horizontal="left" vertical="top" wrapText="1"/>
    </xf>
    <xf numFmtId="3" fontId="9" fillId="0" borderId="19" xfId="0" applyNumberFormat="1" applyFont="1" applyBorder="1" applyProtection="1"/>
    <xf numFmtId="0" fontId="4" fillId="0" borderId="19" xfId="0" applyFont="1" applyBorder="1" applyAlignment="1">
      <alignment horizontal="left" vertical="top" wrapText="1"/>
    </xf>
    <xf numFmtId="166" fontId="23" fillId="0" borderId="19" xfId="0" applyNumberFormat="1" applyFont="1" applyBorder="1" applyAlignment="1">
      <alignment horizontal="center" vertical="center" wrapText="1"/>
    </xf>
    <xf numFmtId="0" fontId="23" fillId="0" borderId="19" xfId="0" applyFont="1" applyBorder="1" applyAlignment="1">
      <alignment vertical="top" wrapText="1"/>
    </xf>
    <xf numFmtId="0" fontId="3" fillId="0" borderId="19" xfId="0" applyFont="1" applyBorder="1" applyAlignment="1">
      <alignment horizontal="justify" vertical="top" wrapText="1"/>
    </xf>
    <xf numFmtId="3" fontId="8" fillId="0" borderId="19" xfId="0" applyNumberFormat="1" applyFont="1" applyBorder="1" applyProtection="1">
      <protection locked="0"/>
    </xf>
    <xf numFmtId="0" fontId="9" fillId="0" borderId="19" xfId="0" applyFont="1" applyFill="1" applyBorder="1" applyAlignment="1">
      <alignment horizontal="center" vertical="center" wrapText="1"/>
    </xf>
    <xf numFmtId="49" fontId="4" fillId="0" borderId="19" xfId="0" applyNumberFormat="1" applyFont="1" applyFill="1" applyBorder="1" applyAlignment="1">
      <alignment vertical="center" wrapText="1"/>
    </xf>
    <xf numFmtId="0" fontId="4" fillId="0" borderId="19" xfId="0" applyFont="1" applyFill="1" applyBorder="1" applyAlignment="1">
      <alignment vertical="top" wrapText="1"/>
    </xf>
    <xf numFmtId="3" fontId="4" fillId="0" borderId="19" xfId="1" applyNumberFormat="1" applyFont="1" applyFill="1" applyBorder="1" applyAlignment="1">
      <alignment vertical="center" wrapText="1"/>
    </xf>
    <xf numFmtId="49" fontId="9" fillId="0" borderId="19" xfId="0" applyNumberFormat="1" applyFont="1" applyFill="1" applyBorder="1" applyAlignment="1">
      <alignment vertical="center" wrapText="1"/>
    </xf>
    <xf numFmtId="0" fontId="9" fillId="0" borderId="19" xfId="0" applyFont="1" applyFill="1" applyBorder="1" applyAlignment="1">
      <alignment vertical="top" wrapText="1"/>
    </xf>
    <xf numFmtId="3" fontId="9" fillId="0" borderId="19" xfId="1" applyNumberFormat="1" applyFont="1" applyFill="1" applyBorder="1" applyAlignment="1">
      <alignment vertical="center" wrapText="1"/>
    </xf>
    <xf numFmtId="3" fontId="4" fillId="0" borderId="19" xfId="0" applyNumberFormat="1" applyFont="1" applyFill="1" applyBorder="1" applyAlignment="1">
      <alignment vertical="center"/>
    </xf>
    <xf numFmtId="3" fontId="3" fillId="0" borderId="19" xfId="1" applyNumberFormat="1" applyFont="1" applyFill="1" applyBorder="1" applyAlignment="1">
      <alignment vertical="center" wrapText="1"/>
    </xf>
    <xf numFmtId="0" fontId="43" fillId="0" borderId="19" xfId="0" applyFont="1" applyBorder="1" applyAlignment="1">
      <alignment horizontal="left" vertical="top" wrapText="1"/>
    </xf>
    <xf numFmtId="167" fontId="3" fillId="0" borderId="19" xfId="0" applyNumberFormat="1" applyFont="1" applyFill="1" applyBorder="1" applyAlignment="1">
      <alignment horizontal="center" vertical="top" wrapText="1"/>
    </xf>
    <xf numFmtId="3" fontId="3" fillId="0" borderId="19" xfId="0" applyNumberFormat="1" applyFont="1" applyBorder="1" applyAlignment="1">
      <alignment horizontal="right" vertical="top" wrapText="1"/>
    </xf>
    <xf numFmtId="167" fontId="12" fillId="0" borderId="19" xfId="0" applyNumberFormat="1" applyFont="1" applyFill="1" applyBorder="1" applyAlignment="1" applyProtection="1">
      <alignment horizontal="center" vertical="center"/>
    </xf>
    <xf numFmtId="0" fontId="42" fillId="0" borderId="19" xfId="0" applyFont="1" applyBorder="1" applyAlignment="1">
      <alignment horizontal="left" vertical="top" wrapText="1"/>
    </xf>
    <xf numFmtId="167" fontId="4" fillId="0" borderId="19" xfId="0" applyNumberFormat="1" applyFont="1" applyBorder="1" applyAlignment="1">
      <alignment horizontal="right" vertical="top" wrapText="1"/>
    </xf>
    <xf numFmtId="3" fontId="4" fillId="0" borderId="19" xfId="0" applyNumberFormat="1" applyFont="1" applyBorder="1" applyAlignment="1">
      <alignment horizontal="right" vertical="top" wrapText="1"/>
    </xf>
    <xf numFmtId="167" fontId="12" fillId="0" borderId="19" xfId="0" applyNumberFormat="1" applyFont="1" applyFill="1" applyBorder="1" applyAlignment="1" applyProtection="1">
      <alignment horizontal="center" vertical="center" wrapText="1"/>
    </xf>
    <xf numFmtId="49" fontId="3" fillId="0" borderId="0" xfId="0" applyNumberFormat="1" applyFont="1" applyAlignment="1">
      <alignment horizontal="justify"/>
    </xf>
    <xf numFmtId="49" fontId="3" fillId="0" borderId="19" xfId="0" applyNumberFormat="1" applyFont="1" applyBorder="1" applyAlignment="1">
      <alignment horizontal="left" vertical="top" wrapText="1"/>
    </xf>
    <xf numFmtId="49" fontId="0" fillId="4" borderId="0" xfId="0" applyNumberFormat="1" applyFill="1"/>
    <xf numFmtId="49" fontId="3" fillId="0" borderId="19" xfId="0" applyNumberFormat="1" applyFont="1" applyBorder="1" applyAlignment="1">
      <alignment horizontal="right" vertical="top" wrapText="1"/>
    </xf>
    <xf numFmtId="49" fontId="3" fillId="6" borderId="19" xfId="0" applyNumberFormat="1" applyFont="1" applyFill="1" applyBorder="1" applyAlignment="1">
      <alignment horizontal="right" vertical="top" wrapText="1"/>
    </xf>
    <xf numFmtId="0" fontId="6" fillId="0" borderId="0" xfId="0" applyFont="1" applyAlignment="1">
      <alignment vertical="distributed"/>
    </xf>
    <xf numFmtId="3" fontId="4" fillId="0" borderId="1" xfId="1" applyNumberFormat="1" applyFont="1" applyBorder="1" applyAlignment="1">
      <alignment horizontal="right" vertical="center"/>
    </xf>
    <xf numFmtId="3" fontId="4" fillId="5" borderId="1" xfId="0" applyNumberFormat="1" applyFont="1" applyFill="1" applyBorder="1"/>
    <xf numFmtId="167" fontId="4" fillId="0" borderId="19" xfId="0" applyNumberFormat="1" applyFont="1" applyFill="1" applyBorder="1" applyAlignment="1">
      <alignment horizontal="center" vertical="top" wrapText="1"/>
    </xf>
    <xf numFmtId="3" fontId="18" fillId="7" borderId="1" xfId="0" applyNumberFormat="1" applyFont="1" applyFill="1" applyBorder="1" applyAlignment="1" applyProtection="1">
      <alignment horizontal="right" vertical="center"/>
    </xf>
    <xf numFmtId="3" fontId="12" fillId="7" borderId="1" xfId="0" applyNumberFormat="1" applyFont="1" applyFill="1" applyBorder="1" applyAlignment="1" applyProtection="1">
      <alignment horizontal="right" vertical="center"/>
    </xf>
    <xf numFmtId="3" fontId="12" fillId="7" borderId="1" xfId="0" applyNumberFormat="1" applyFont="1" applyFill="1" applyBorder="1" applyAlignment="1" applyProtection="1">
      <alignment horizontal="right" vertical="center"/>
      <protection locked="0"/>
    </xf>
    <xf numFmtId="3" fontId="12" fillId="9" borderId="1" xfId="0" applyNumberFormat="1" applyFont="1" applyFill="1" applyBorder="1" applyAlignment="1" applyProtection="1">
      <alignment horizontal="right" vertical="center"/>
    </xf>
    <xf numFmtId="3" fontId="44" fillId="0" borderId="7" xfId="0" applyNumberFormat="1" applyFont="1" applyBorder="1" applyAlignment="1">
      <alignment horizontal="right" vertical="center"/>
    </xf>
    <xf numFmtId="3" fontId="18" fillId="8" borderId="1" xfId="0" applyNumberFormat="1" applyFont="1" applyFill="1" applyBorder="1" applyAlignment="1" applyProtection="1">
      <alignment horizontal="right" vertical="center"/>
    </xf>
    <xf numFmtId="3" fontId="18" fillId="5" borderId="1" xfId="0" applyNumberFormat="1" applyFont="1" applyFill="1" applyBorder="1" applyAlignment="1" applyProtection="1">
      <alignment horizontal="right" vertical="center"/>
    </xf>
    <xf numFmtId="0" fontId="4" fillId="0" borderId="19" xfId="0" applyFont="1" applyBorder="1" applyAlignment="1">
      <alignment horizontal="center" vertical="top" wrapText="1"/>
    </xf>
    <xf numFmtId="0" fontId="3" fillId="0" borderId="20" xfId="0" applyFont="1" applyBorder="1" applyAlignment="1">
      <alignment vertical="top" wrapText="1"/>
    </xf>
    <xf numFmtId="3" fontId="12" fillId="10" borderId="1" xfId="0" applyNumberFormat="1" applyFont="1" applyFill="1" applyBorder="1" applyAlignment="1" applyProtection="1">
      <alignment horizontal="right" vertical="center"/>
    </xf>
    <xf numFmtId="0" fontId="23" fillId="0" borderId="1" xfId="0" applyNumberFormat="1" applyFont="1" applyBorder="1" applyAlignment="1">
      <alignment horizontal="left" vertical="top" wrapText="1"/>
    </xf>
    <xf numFmtId="0" fontId="3" fillId="0" borderId="0" xfId="0" applyFont="1" applyAlignment="1">
      <alignment horizontal="left" vertical="top" wrapText="1"/>
    </xf>
    <xf numFmtId="3" fontId="18" fillId="0" borderId="0" xfId="0" applyNumberFormat="1" applyFont="1" applyProtection="1"/>
    <xf numFmtId="0" fontId="3" fillId="0" borderId="28" xfId="0" applyFont="1" applyBorder="1" applyAlignment="1">
      <alignment horizontal="center"/>
    </xf>
    <xf numFmtId="0" fontId="3" fillId="0" borderId="33" xfId="0" applyFont="1" applyBorder="1" applyAlignment="1">
      <alignment wrapText="1"/>
    </xf>
    <xf numFmtId="3" fontId="12" fillId="9" borderId="1" xfId="0" applyNumberFormat="1" applyFont="1" applyFill="1" applyBorder="1" applyAlignment="1" applyProtection="1">
      <alignment horizontal="right" vertical="center"/>
      <protection locked="0"/>
    </xf>
    <xf numFmtId="3" fontId="12" fillId="11" borderId="1" xfId="0" applyNumberFormat="1" applyFont="1" applyFill="1" applyBorder="1" applyAlignment="1" applyProtection="1">
      <alignment horizontal="right" vertical="center"/>
    </xf>
    <xf numFmtId="3" fontId="12" fillId="11" borderId="1" xfId="0" applyNumberFormat="1" applyFont="1" applyFill="1" applyBorder="1" applyAlignment="1" applyProtection="1">
      <alignment horizontal="right" vertical="center"/>
      <protection locked="0"/>
    </xf>
    <xf numFmtId="3" fontId="18" fillId="11" borderId="1" xfId="0" applyNumberFormat="1" applyFont="1" applyFill="1" applyBorder="1" applyAlignment="1" applyProtection="1">
      <alignment horizontal="right" vertical="center"/>
    </xf>
    <xf numFmtId="0" fontId="3" fillId="0" borderId="34" xfId="0" applyFont="1" applyBorder="1" applyAlignment="1">
      <alignment wrapText="1"/>
    </xf>
    <xf numFmtId="3" fontId="12" fillId="5" borderId="1" xfId="0" applyNumberFormat="1" applyFont="1" applyFill="1" applyBorder="1" applyAlignment="1" applyProtection="1">
      <alignment horizontal="right" vertical="center"/>
    </xf>
    <xf numFmtId="0" fontId="3" fillId="0" borderId="1" xfId="0" applyFont="1" applyBorder="1" applyAlignment="1">
      <alignment horizontal="center" vertical="center" wrapText="1"/>
    </xf>
    <xf numFmtId="0" fontId="10" fillId="0" borderId="0" xfId="0" applyFont="1" applyFill="1"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3" fontId="44" fillId="0" borderId="18" xfId="0" applyNumberFormat="1" applyFont="1" applyBorder="1" applyAlignment="1">
      <alignment horizontal="right" vertical="center"/>
    </xf>
    <xf numFmtId="49" fontId="19" fillId="0" borderId="1" xfId="0" applyNumberFormat="1" applyFont="1" applyBorder="1" applyAlignment="1">
      <alignment horizontal="center" vertical="distributed"/>
    </xf>
    <xf numFmtId="49" fontId="20" fillId="0" borderId="1" xfId="0" applyNumberFormat="1" applyFont="1" applyBorder="1" applyAlignment="1">
      <alignment horizontal="center" vertical="distributed"/>
    </xf>
    <xf numFmtId="3" fontId="3" fillId="5" borderId="1" xfId="0" applyNumberFormat="1" applyFont="1" applyFill="1" applyBorder="1" applyAlignment="1">
      <alignment horizontal="right"/>
    </xf>
    <xf numFmtId="3" fontId="3" fillId="5" borderId="0" xfId="0" applyNumberFormat="1" applyFont="1" applyFill="1"/>
    <xf numFmtId="0" fontId="3" fillId="0" borderId="21" xfId="0" applyFont="1" applyBorder="1" applyAlignment="1">
      <alignment vertical="top" wrapText="1"/>
    </xf>
    <xf numFmtId="0" fontId="3"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0" xfId="0" applyFont="1" applyBorder="1" applyAlignment="1">
      <alignment horizontal="center" vertical="center" wrapText="1"/>
    </xf>
    <xf numFmtId="3" fontId="12" fillId="5" borderId="1" xfId="0" applyNumberFormat="1" applyFont="1" applyFill="1" applyBorder="1" applyAlignment="1" applyProtection="1">
      <alignment horizontal="right" vertical="center"/>
      <protection locked="0"/>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165" fontId="48" fillId="0" borderId="0" xfId="0" applyNumberFormat="1" applyFont="1" applyFill="1" applyBorder="1" applyAlignment="1">
      <alignment wrapText="1"/>
    </xf>
    <xf numFmtId="165" fontId="48" fillId="0" borderId="0" xfId="0" applyNumberFormat="1" applyFont="1" applyFill="1" applyBorder="1" applyAlignment="1">
      <alignment horizontal="left" wrapText="1"/>
    </xf>
    <xf numFmtId="0" fontId="3" fillId="0" borderId="15" xfId="0" applyFont="1" applyBorder="1" applyAlignment="1">
      <alignment horizontal="center" vertical="center" wrapText="1"/>
    </xf>
    <xf numFmtId="3" fontId="4" fillId="0" borderId="17" xfId="0" applyNumberFormat="1" applyFont="1" applyBorder="1" applyAlignment="1">
      <alignment horizontal="right"/>
    </xf>
    <xf numFmtId="3" fontId="4" fillId="0" borderId="18" xfId="0" applyNumberFormat="1" applyFont="1" applyBorder="1" applyAlignment="1">
      <alignment horizontal="right"/>
    </xf>
    <xf numFmtId="3" fontId="3" fillId="0" borderId="7" xfId="0" applyNumberFormat="1" applyFont="1" applyBorder="1"/>
    <xf numFmtId="0" fontId="3" fillId="5" borderId="15" xfId="0" applyFont="1" applyFill="1" applyBorder="1" applyAlignment="1">
      <alignment horizontal="right" vertical="center" wrapText="1"/>
    </xf>
    <xf numFmtId="3" fontId="4" fillId="5" borderId="17" xfId="0" applyNumberFormat="1" applyFont="1" applyFill="1" applyBorder="1" applyAlignment="1">
      <alignment horizontal="right"/>
    </xf>
    <xf numFmtId="3" fontId="4" fillId="5" borderId="18" xfId="0" applyNumberFormat="1" applyFont="1" applyFill="1" applyBorder="1" applyAlignment="1">
      <alignment horizontal="right"/>
    </xf>
    <xf numFmtId="49" fontId="9" fillId="0" borderId="6" xfId="3" applyNumberFormat="1" applyFont="1" applyFill="1" applyBorder="1" applyAlignment="1">
      <alignment vertical="center" wrapText="1"/>
    </xf>
    <xf numFmtId="0" fontId="3" fillId="0" borderId="19" xfId="0" applyFont="1" applyFill="1" applyBorder="1" applyAlignment="1">
      <alignment vertical="top" wrapText="1"/>
    </xf>
    <xf numFmtId="49" fontId="0" fillId="0" borderId="0" xfId="0" applyNumberFormat="1"/>
    <xf numFmtId="3" fontId="3" fillId="0" borderId="8" xfId="0" applyNumberFormat="1" applyFont="1" applyBorder="1" applyAlignment="1">
      <alignment horizontal="right" vertical="center" wrapText="1"/>
    </xf>
    <xf numFmtId="0" fontId="3" fillId="0" borderId="24" xfId="0" applyFont="1" applyBorder="1" applyAlignment="1">
      <alignment horizontal="center"/>
    </xf>
    <xf numFmtId="0" fontId="3" fillId="0" borderId="1" xfId="0" applyFont="1" applyBorder="1" applyAlignment="1">
      <alignment horizontal="center"/>
    </xf>
    <xf numFmtId="0" fontId="43" fillId="0" borderId="0" xfId="0" applyFont="1"/>
    <xf numFmtId="0" fontId="43" fillId="0" borderId="0" xfId="0" applyFont="1" applyAlignment="1">
      <alignment horizontal="left"/>
    </xf>
    <xf numFmtId="0" fontId="43" fillId="0" borderId="1" xfId="0" applyFont="1" applyBorder="1" applyAlignment="1">
      <alignment horizontal="left"/>
    </xf>
    <xf numFmtId="0" fontId="43" fillId="0" borderId="1" xfId="0" applyFont="1" applyBorder="1" applyAlignment="1">
      <alignment horizontal="left" wrapText="1"/>
    </xf>
    <xf numFmtId="0" fontId="43" fillId="0" borderId="1" xfId="0" applyFont="1" applyBorder="1"/>
    <xf numFmtId="3" fontId="18" fillId="4" borderId="1" xfId="0" applyNumberFormat="1" applyFont="1" applyFill="1" applyBorder="1" applyAlignment="1" applyProtection="1">
      <alignment horizontal="right" vertical="center"/>
    </xf>
    <xf numFmtId="3" fontId="12" fillId="0" borderId="0" xfId="0" applyNumberFormat="1" applyFont="1" applyProtection="1"/>
    <xf numFmtId="0" fontId="3" fillId="0" borderId="0" xfId="0" applyFont="1" applyBorder="1" applyAlignment="1">
      <alignment horizontal="center"/>
    </xf>
    <xf numFmtId="0" fontId="3" fillId="0" borderId="29" xfId="0" applyFont="1" applyBorder="1" applyAlignment="1">
      <alignment wrapText="1"/>
    </xf>
    <xf numFmtId="3" fontId="51" fillId="0" borderId="1" xfId="0" applyNumberFormat="1" applyFont="1" applyBorder="1" applyAlignment="1" applyProtection="1">
      <alignment horizontal="right" vertical="center"/>
      <protection locked="0"/>
    </xf>
    <xf numFmtId="0" fontId="3" fillId="0" borderId="38" xfId="0" applyFont="1" applyBorder="1" applyAlignment="1">
      <alignment horizontal="center"/>
    </xf>
    <xf numFmtId="0" fontId="3" fillId="0" borderId="2" xfId="0" applyFont="1" applyBorder="1" applyAlignment="1">
      <alignment wrapText="1"/>
    </xf>
    <xf numFmtId="0" fontId="3" fillId="0" borderId="8" xfId="0" applyFont="1" applyBorder="1" applyAlignment="1">
      <alignment wrapText="1"/>
    </xf>
    <xf numFmtId="0" fontId="52" fillId="0" borderId="1" xfId="0" applyFont="1" applyBorder="1" applyAlignment="1">
      <alignment wrapText="1"/>
    </xf>
    <xf numFmtId="3" fontId="3" fillId="5" borderId="1"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0" fontId="3" fillId="0" borderId="14" xfId="0" applyFont="1" applyBorder="1" applyAlignment="1">
      <alignment horizontal="center" vertical="center" wrapText="1"/>
    </xf>
    <xf numFmtId="0" fontId="3" fillId="5" borderId="14" xfId="0" applyFont="1" applyFill="1" applyBorder="1" applyAlignment="1">
      <alignment horizontal="center" vertical="center" wrapText="1"/>
    </xf>
    <xf numFmtId="165" fontId="53" fillId="0" borderId="0" xfId="0" applyNumberFormat="1" applyFont="1" applyBorder="1" applyAlignment="1">
      <alignment horizontal="left" wrapText="1"/>
    </xf>
    <xf numFmtId="3" fontId="53" fillId="0" borderId="0" xfId="0" applyNumberFormat="1" applyFont="1" applyBorder="1" applyAlignment="1">
      <alignment horizontal="right"/>
    </xf>
    <xf numFmtId="0" fontId="54" fillId="0" borderId="0" xfId="0" applyFont="1" applyBorder="1"/>
    <xf numFmtId="165" fontId="54" fillId="0" borderId="0" xfId="0" applyNumberFormat="1" applyFont="1" applyBorder="1" applyAlignment="1">
      <alignment wrapText="1"/>
    </xf>
    <xf numFmtId="3" fontId="54" fillId="0" borderId="0" xfId="0" applyNumberFormat="1" applyFont="1" applyBorder="1" applyAlignment="1">
      <alignment horizontal="center"/>
    </xf>
    <xf numFmtId="0" fontId="53" fillId="0" borderId="0" xfId="0" applyFont="1" applyBorder="1" applyAlignment="1"/>
    <xf numFmtId="3" fontId="53" fillId="0" borderId="0" xfId="0" applyNumberFormat="1" applyFont="1" applyBorder="1"/>
    <xf numFmtId="0" fontId="54" fillId="0" borderId="0" xfId="0" applyFont="1"/>
    <xf numFmtId="165" fontId="53" fillId="0" borderId="0" xfId="0" applyNumberFormat="1" applyFont="1" applyFill="1" applyBorder="1" applyAlignment="1">
      <alignment horizontal="left" wrapText="1"/>
    </xf>
    <xf numFmtId="3" fontId="54" fillId="0" borderId="0" xfId="0" applyNumberFormat="1" applyFont="1"/>
    <xf numFmtId="165" fontId="4" fillId="0" borderId="0" xfId="0" applyNumberFormat="1" applyFont="1" applyFill="1" applyBorder="1" applyAlignment="1">
      <alignment horizontal="left" wrapText="1"/>
    </xf>
    <xf numFmtId="3" fontId="3" fillId="5" borderId="2" xfId="0" applyNumberFormat="1" applyFont="1" applyFill="1" applyBorder="1" applyAlignment="1">
      <alignment horizontal="right"/>
    </xf>
    <xf numFmtId="164" fontId="4" fillId="0" borderId="0" xfId="0" applyNumberFormat="1" applyFont="1" applyBorder="1" applyAlignment="1">
      <alignment horizontal="center" vertical="center"/>
    </xf>
    <xf numFmtId="3" fontId="4" fillId="0" borderId="2" xfId="0" applyNumberFormat="1" applyFont="1" applyBorder="1" applyAlignment="1">
      <alignment horizontal="right"/>
    </xf>
    <xf numFmtId="3" fontId="3" fillId="0" borderId="1" xfId="0" applyNumberFormat="1" applyFont="1" applyBorder="1"/>
    <xf numFmtId="3" fontId="4" fillId="0" borderId="1" xfId="0" applyNumberFormat="1" applyFont="1" applyBorder="1" applyAlignment="1">
      <alignment horizontal="center"/>
    </xf>
    <xf numFmtId="0" fontId="3" fillId="0" borderId="1" xfId="0" applyFont="1" applyBorder="1" applyAlignment="1">
      <alignment horizontal="center" vertical="center" wrapText="1"/>
    </xf>
    <xf numFmtId="0" fontId="9" fillId="0" borderId="0" xfId="0" applyFont="1" applyFill="1" applyAlignment="1">
      <alignment horizontal="right"/>
    </xf>
    <xf numFmtId="0" fontId="8" fillId="0" borderId="0" xfId="0" applyFont="1" applyFill="1" applyAlignment="1">
      <alignment horizontal="center" vertical="center" wrapText="1"/>
    </xf>
    <xf numFmtId="0" fontId="3" fillId="0" borderId="1" xfId="0" applyFont="1" applyBorder="1" applyAlignment="1">
      <alignment horizontal="center" wrapText="1"/>
    </xf>
    <xf numFmtId="0" fontId="8" fillId="0" borderId="19" xfId="0" applyFont="1" applyBorder="1" applyAlignment="1">
      <alignment horizontal="left"/>
    </xf>
    <xf numFmtId="0" fontId="8" fillId="0" borderId="0" xfId="0" applyFont="1" applyAlignment="1">
      <alignment horizontal="center" wrapText="1"/>
    </xf>
    <xf numFmtId="0" fontId="9" fillId="0" borderId="19" xfId="0" applyFont="1" applyFill="1" applyBorder="1" applyAlignment="1">
      <alignment horizontal="left" vertical="top" wrapText="1"/>
    </xf>
    <xf numFmtId="0" fontId="4" fillId="0" borderId="11" xfId="0" applyFont="1" applyBorder="1" applyAlignment="1">
      <alignment horizontal="center"/>
    </xf>
    <xf numFmtId="0" fontId="30" fillId="0" borderId="30" xfId="0" applyFont="1" applyBorder="1" applyAlignment="1">
      <alignment horizontal="center"/>
    </xf>
    <xf numFmtId="0" fontId="30" fillId="0" borderId="31" xfId="0" applyFont="1" applyBorder="1" applyAlignment="1">
      <alignment horizontal="center"/>
    </xf>
    <xf numFmtId="0" fontId="4" fillId="0" borderId="0" xfId="0" applyFont="1" applyAlignment="1">
      <alignment horizontal="center" wrapText="1"/>
    </xf>
    <xf numFmtId="0" fontId="4" fillId="0" borderId="1" xfId="0" applyFont="1" applyBorder="1" applyAlignment="1">
      <alignment horizontal="center" vertical="top" wrapText="1"/>
    </xf>
    <xf numFmtId="0" fontId="4" fillId="0" borderId="12" xfId="0" applyFont="1" applyBorder="1" applyAlignment="1">
      <alignment horizontal="center" vertical="top" wrapText="1"/>
    </xf>
    <xf numFmtId="0" fontId="4" fillId="0" borderId="29"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wrapText="1"/>
    </xf>
    <xf numFmtId="0" fontId="4" fillId="0" borderId="30" xfId="0" applyFont="1" applyBorder="1" applyAlignment="1">
      <alignment horizontal="center" wrapText="1"/>
    </xf>
    <xf numFmtId="0" fontId="4" fillId="0" borderId="31" xfId="0" applyFont="1" applyBorder="1" applyAlignment="1">
      <alignment horizontal="center" wrapText="1"/>
    </xf>
    <xf numFmtId="0" fontId="4" fillId="0" borderId="11" xfId="0" applyFont="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167" fontId="4" fillId="0" borderId="11" xfId="0" applyNumberFormat="1" applyFont="1" applyBorder="1" applyAlignment="1">
      <alignment horizontal="center" vertical="top" wrapText="1"/>
    </xf>
    <xf numFmtId="167" fontId="4" fillId="0" borderId="30" xfId="0" applyNumberFormat="1" applyFont="1" applyBorder="1" applyAlignment="1">
      <alignment horizontal="center" vertical="top" wrapText="1"/>
    </xf>
    <xf numFmtId="167" fontId="4" fillId="0" borderId="31" xfId="0" applyNumberFormat="1" applyFont="1" applyBorder="1" applyAlignment="1">
      <alignment horizontal="center" vertical="top" wrapText="1"/>
    </xf>
    <xf numFmtId="0" fontId="36" fillId="0" borderId="0" xfId="0" applyFont="1" applyAlignment="1">
      <alignment horizontal="center"/>
    </xf>
    <xf numFmtId="0" fontId="18"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protection hidden="1"/>
    </xf>
    <xf numFmtId="49" fontId="12" fillId="0" borderId="1" xfId="0" applyNumberFormat="1" applyFont="1" applyBorder="1" applyAlignment="1" applyProtection="1">
      <alignment horizontal="center" vertical="center" wrapText="1"/>
    </xf>
    <xf numFmtId="167" fontId="50" fillId="0" borderId="1" xfId="0" applyNumberFormat="1" applyFont="1" applyBorder="1" applyAlignment="1" applyProtection="1">
      <alignment horizontal="center"/>
    </xf>
    <xf numFmtId="0" fontId="9" fillId="0" borderId="0" xfId="0" applyFont="1" applyFill="1" applyAlignment="1" applyProtection="1">
      <alignment horizontal="right"/>
    </xf>
    <xf numFmtId="0" fontId="15" fillId="0" borderId="0" xfId="0" applyFont="1" applyAlignment="1" applyProtection="1">
      <alignment horizontal="center" wrapText="1"/>
    </xf>
    <xf numFmtId="0" fontId="3" fillId="0" borderId="0" xfId="0" applyFont="1" applyAlignment="1">
      <alignment horizontal="right"/>
    </xf>
    <xf numFmtId="0" fontId="6" fillId="0" borderId="0" xfId="0" applyFont="1" applyFill="1" applyAlignment="1">
      <alignment horizontal="center"/>
    </xf>
    <xf numFmtId="0" fontId="6" fillId="0" borderId="26" xfId="0" applyFont="1" applyFill="1" applyBorder="1" applyAlignment="1">
      <alignment horizontal="center"/>
    </xf>
    <xf numFmtId="0" fontId="4" fillId="0" borderId="23" xfId="0" applyFont="1" applyBorder="1" applyAlignment="1">
      <alignment horizontal="center" wrapText="1"/>
    </xf>
    <xf numFmtId="0" fontId="4" fillId="0" borderId="20" xfId="0" applyFont="1" applyBorder="1" applyAlignment="1">
      <alignment horizontal="center" wrapText="1"/>
    </xf>
    <xf numFmtId="49" fontId="4" fillId="0" borderId="19" xfId="0" applyNumberFormat="1" applyFont="1" applyBorder="1" applyAlignment="1">
      <alignment horizontal="center" wrapText="1"/>
    </xf>
    <xf numFmtId="0" fontId="4" fillId="0" borderId="19" xfId="0" applyFont="1" applyBorder="1" applyAlignment="1">
      <alignment horizontal="center" wrapText="1"/>
    </xf>
    <xf numFmtId="0" fontId="0" fillId="0" borderId="20" xfId="0" applyBorder="1" applyAlignment="1">
      <alignment horizontal="center" wrapText="1"/>
    </xf>
    <xf numFmtId="0" fontId="3" fillId="0" borderId="0" xfId="0" applyFont="1" applyAlignment="1">
      <alignment horizontal="right" wrapText="1"/>
    </xf>
    <xf numFmtId="0" fontId="6" fillId="0" borderId="0" xfId="0" applyFont="1" applyFill="1" applyAlignment="1">
      <alignment horizontal="center" wrapText="1"/>
    </xf>
    <xf numFmtId="0" fontId="6" fillId="0" borderId="26" xfId="0" applyFont="1" applyFill="1" applyBorder="1" applyAlignment="1">
      <alignment horizontal="center" wrapText="1"/>
    </xf>
    <xf numFmtId="0" fontId="0" fillId="0" borderId="19" xfId="0" applyBorder="1" applyAlignment="1">
      <alignment horizontal="center" wrapText="1"/>
    </xf>
    <xf numFmtId="0" fontId="4" fillId="0" borderId="0" xfId="0" applyFont="1" applyFill="1" applyAlignment="1">
      <alignment horizontal="center" vertical="center" wrapText="1"/>
    </xf>
    <xf numFmtId="0" fontId="4" fillId="0" borderId="2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right"/>
    </xf>
    <xf numFmtId="0" fontId="6" fillId="3" borderId="0" xfId="0" applyFont="1" applyFill="1" applyAlignment="1">
      <alignment horizontal="right"/>
    </xf>
    <xf numFmtId="0" fontId="6" fillId="0" borderId="0" xfId="0" applyFont="1" applyAlignment="1">
      <alignment horizontal="right"/>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Alignment="1">
      <alignment horizontal="center"/>
    </xf>
    <xf numFmtId="0" fontId="10" fillId="0" borderId="0" xfId="0" applyFont="1" applyAlignment="1">
      <alignment horizontal="center" wrapText="1"/>
    </xf>
    <xf numFmtId="0" fontId="8" fillId="0" borderId="2" xfId="0" applyFont="1" applyBorder="1" applyAlignment="1">
      <alignment horizontal="center" vertical="top" wrapText="1"/>
    </xf>
    <xf numFmtId="0" fontId="8" fillId="0" borderId="8" xfId="0" applyFont="1" applyBorder="1" applyAlignment="1">
      <alignment horizontal="center" vertical="top" wrapText="1"/>
    </xf>
    <xf numFmtId="3" fontId="3" fillId="0" borderId="11" xfId="0" applyNumberFormat="1" applyFont="1" applyBorder="1" applyAlignment="1">
      <alignment horizontal="center"/>
    </xf>
    <xf numFmtId="3" fontId="3" fillId="0" borderId="31" xfId="0" applyNumberFormat="1" applyFont="1" applyBorder="1" applyAlignment="1">
      <alignment horizontal="center"/>
    </xf>
    <xf numFmtId="164" fontId="4" fillId="0" borderId="11" xfId="0" applyNumberFormat="1" applyFont="1" applyBorder="1" applyAlignment="1">
      <alignment horizontal="center" vertical="center"/>
    </xf>
    <xf numFmtId="164" fontId="4" fillId="0" borderId="31" xfId="0" applyNumberFormat="1" applyFont="1" applyBorder="1" applyAlignment="1">
      <alignment horizontal="center" vertical="center"/>
    </xf>
    <xf numFmtId="0" fontId="4" fillId="0" borderId="11" xfId="0" applyFont="1" applyBorder="1" applyAlignment="1">
      <alignment horizontal="left"/>
    </xf>
    <xf numFmtId="0" fontId="53" fillId="0" borderId="31" xfId="0" applyFont="1" applyBorder="1" applyAlignment="1">
      <alignment horizontal="left"/>
    </xf>
    <xf numFmtId="0" fontId="4" fillId="5" borderId="0"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165" fontId="3" fillId="5" borderId="35" xfId="0" applyNumberFormat="1" applyFont="1" applyFill="1" applyBorder="1" applyAlignment="1">
      <alignment horizontal="left" wrapText="1"/>
    </xf>
    <xf numFmtId="165" fontId="3" fillId="5" borderId="31" xfId="0" applyNumberFormat="1" applyFont="1" applyFill="1" applyBorder="1" applyAlignment="1">
      <alignment horizontal="left" wrapText="1"/>
    </xf>
    <xf numFmtId="165" fontId="4" fillId="5" borderId="36" xfId="0" applyNumberFormat="1" applyFont="1" applyFill="1" applyBorder="1" applyAlignment="1">
      <alignment horizontal="left" wrapText="1"/>
    </xf>
    <xf numFmtId="165" fontId="4" fillId="5" borderId="37" xfId="0" applyNumberFormat="1" applyFont="1" applyFill="1" applyBorder="1" applyAlignment="1">
      <alignment horizontal="left" wrapText="1"/>
    </xf>
    <xf numFmtId="165" fontId="4" fillId="0" borderId="39" xfId="0" applyNumberFormat="1" applyFont="1" applyFill="1" applyBorder="1" applyAlignment="1">
      <alignment horizontal="left" wrapText="1"/>
    </xf>
    <xf numFmtId="165" fontId="4" fillId="0" borderId="10" xfId="0" applyNumberFormat="1" applyFont="1" applyFill="1" applyBorder="1" applyAlignment="1">
      <alignment horizontal="left"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3" fillId="0" borderId="35" xfId="0" applyNumberFormat="1" applyFont="1" applyBorder="1" applyAlignment="1">
      <alignment horizontal="left" wrapText="1"/>
    </xf>
    <xf numFmtId="165" fontId="3" fillId="0" borderId="31" xfId="0" applyNumberFormat="1" applyFont="1" applyBorder="1" applyAlignment="1">
      <alignment horizontal="left" wrapText="1"/>
    </xf>
    <xf numFmtId="165" fontId="4" fillId="0" borderId="36" xfId="0" applyNumberFormat="1" applyFont="1" applyFill="1" applyBorder="1" applyAlignment="1">
      <alignment horizontal="left" wrapText="1"/>
    </xf>
    <xf numFmtId="165" fontId="4" fillId="0" borderId="37" xfId="0" applyNumberFormat="1" applyFont="1" applyFill="1" applyBorder="1" applyAlignment="1">
      <alignment horizontal="left"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165" fontId="4" fillId="0" borderId="36" xfId="0" applyNumberFormat="1" applyFont="1" applyBorder="1" applyAlignment="1">
      <alignment horizontal="left" wrapText="1"/>
    </xf>
    <xf numFmtId="165" fontId="4" fillId="0" borderId="37" xfId="0" applyNumberFormat="1" applyFont="1" applyBorder="1" applyAlignment="1">
      <alignment horizontal="left" wrapText="1"/>
    </xf>
    <xf numFmtId="165" fontId="4" fillId="0" borderId="16" xfId="0" applyNumberFormat="1" applyFont="1" applyBorder="1" applyAlignment="1">
      <alignment horizontal="left" wrapText="1"/>
    </xf>
    <xf numFmtId="165" fontId="4" fillId="0" borderId="17" xfId="0" applyNumberFormat="1" applyFont="1" applyBorder="1" applyAlignment="1">
      <alignment horizontal="left" wrapText="1"/>
    </xf>
    <xf numFmtId="165" fontId="3" fillId="0" borderId="6" xfId="0" applyNumberFormat="1" applyFont="1" applyBorder="1" applyAlignment="1">
      <alignment horizontal="left" wrapText="1"/>
    </xf>
    <xf numFmtId="165" fontId="3" fillId="0" borderId="1" xfId="0" applyNumberFormat="1" applyFont="1" applyBorder="1" applyAlignment="1">
      <alignment horizontal="left" wrapText="1"/>
    </xf>
    <xf numFmtId="165" fontId="48" fillId="0" borderId="11" xfId="0" applyNumberFormat="1" applyFont="1" applyFill="1" applyBorder="1" applyAlignment="1">
      <alignment horizontal="left" wrapText="1"/>
    </xf>
    <xf numFmtId="165" fontId="48" fillId="0" borderId="31" xfId="0" applyNumberFormat="1" applyFont="1" applyFill="1" applyBorder="1" applyAlignment="1">
      <alignment horizontal="left" wrapText="1"/>
    </xf>
    <xf numFmtId="165" fontId="48" fillId="0" borderId="1" xfId="0" applyNumberFormat="1" applyFont="1" applyFill="1" applyBorder="1" applyAlignment="1">
      <alignment horizontal="left" wrapText="1"/>
    </xf>
    <xf numFmtId="0" fontId="4" fillId="0" borderId="32" xfId="0" applyFont="1" applyFill="1" applyBorder="1" applyAlignment="1">
      <alignment horizontal="center" vertical="center" wrapText="1"/>
    </xf>
    <xf numFmtId="0" fontId="3" fillId="0" borderId="0" xfId="0" applyFont="1" applyBorder="1" applyAlignment="1">
      <alignment horizontal="center" vertical="center" wrapText="1"/>
    </xf>
    <xf numFmtId="165" fontId="47" fillId="0" borderId="11" xfId="0" applyNumberFormat="1" applyFont="1" applyBorder="1" applyAlignment="1">
      <alignment horizontal="left" wrapText="1"/>
    </xf>
    <xf numFmtId="165" fontId="47" fillId="0" borderId="31" xfId="0" applyNumberFormat="1" applyFont="1" applyBorder="1" applyAlignment="1">
      <alignment horizontal="left" wrapText="1"/>
    </xf>
    <xf numFmtId="0" fontId="3" fillId="0" borderId="32" xfId="0" applyFont="1" applyBorder="1" applyAlignment="1"/>
    <xf numFmtId="0" fontId="3" fillId="0" borderId="0" xfId="0" applyFont="1" applyAlignment="1"/>
    <xf numFmtId="0" fontId="37" fillId="0" borderId="15" xfId="0" applyFont="1" applyBorder="1" applyAlignment="1">
      <alignment horizontal="center" wrapText="1"/>
    </xf>
    <xf numFmtId="0" fontId="37" fillId="0" borderId="18" xfId="0" applyFont="1" applyBorder="1" applyAlignment="1">
      <alignment horizontal="center" wrapText="1"/>
    </xf>
    <xf numFmtId="0" fontId="29" fillId="0" borderId="0" xfId="0" applyFont="1" applyAlignment="1">
      <alignment horizontal="right"/>
    </xf>
    <xf numFmtId="0" fontId="0" fillId="0" borderId="0" xfId="0" applyAlignment="1">
      <alignment horizontal="right"/>
    </xf>
    <xf numFmtId="0" fontId="0" fillId="0" borderId="0" xfId="0" applyAlignment="1"/>
    <xf numFmtId="0" fontId="36"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37" fillId="0" borderId="13" xfId="0" applyFont="1" applyBorder="1" applyAlignment="1">
      <alignment horizontal="center" wrapText="1"/>
    </xf>
    <xf numFmtId="0" fontId="37" fillId="0" borderId="16" xfId="0" applyFont="1" applyBorder="1" applyAlignment="1">
      <alignment horizontal="center" wrapText="1"/>
    </xf>
    <xf numFmtId="0" fontId="37" fillId="0" borderId="14" xfId="0" applyFont="1" applyBorder="1" applyAlignment="1">
      <alignment horizontal="center" wrapText="1"/>
    </xf>
    <xf numFmtId="0" fontId="37" fillId="0" borderId="17" xfId="0" applyFont="1" applyBorder="1" applyAlignment="1">
      <alignment horizontal="center" wrapText="1"/>
    </xf>
    <xf numFmtId="0" fontId="37" fillId="0" borderId="23" xfId="0" applyFont="1" applyBorder="1" applyAlignment="1">
      <alignment horizontal="center" wrapText="1"/>
    </xf>
    <xf numFmtId="0" fontId="37" fillId="0" borderId="20" xfId="0" applyFont="1" applyBorder="1" applyAlignment="1">
      <alignment horizontal="center" wrapText="1"/>
    </xf>
    <xf numFmtId="0" fontId="4" fillId="0" borderId="27" xfId="0" applyFont="1" applyBorder="1" applyAlignment="1">
      <alignment horizontal="center"/>
    </xf>
    <xf numFmtId="0" fontId="4" fillId="0" borderId="22" xfId="0" applyFont="1" applyBorder="1" applyAlignment="1">
      <alignment horizontal="center"/>
    </xf>
    <xf numFmtId="165" fontId="31" fillId="0" borderId="0" xfId="0" applyNumberFormat="1" applyFont="1" applyFill="1" applyBorder="1" applyAlignment="1">
      <alignment horizontal="left" wrapText="1"/>
    </xf>
    <xf numFmtId="0" fontId="5" fillId="0" borderId="0" xfId="0" applyFont="1" applyAlignment="1">
      <alignment horizontal="left" vertical="center" wrapText="1"/>
    </xf>
    <xf numFmtId="0" fontId="3" fillId="0" borderId="0" xfId="0" applyFont="1" applyAlignment="1">
      <alignment vertical="center" wrapText="1"/>
    </xf>
    <xf numFmtId="165" fontId="32" fillId="0" borderId="11" xfId="0" applyNumberFormat="1" applyFont="1" applyBorder="1" applyAlignment="1">
      <alignment horizontal="left" wrapText="1"/>
    </xf>
    <xf numFmtId="165" fontId="32" fillId="0" borderId="31" xfId="0" applyNumberFormat="1" applyFont="1" applyBorder="1" applyAlignment="1">
      <alignment horizontal="left" wrapText="1"/>
    </xf>
    <xf numFmtId="0" fontId="4" fillId="0" borderId="32" xfId="0" applyFont="1" applyBorder="1" applyAlignment="1">
      <alignment horizontal="left"/>
    </xf>
    <xf numFmtId="0" fontId="4" fillId="0" borderId="10" xfId="0" applyFont="1" applyBorder="1" applyAlignment="1">
      <alignment horizontal="left"/>
    </xf>
    <xf numFmtId="0" fontId="9" fillId="0" borderId="1" xfId="0" applyFont="1" applyBorder="1" applyAlignment="1">
      <alignment horizontal="center" vertical="center" wrapText="1"/>
    </xf>
    <xf numFmtId="0" fontId="8" fillId="0" borderId="29" xfId="0" applyFont="1" applyFill="1" applyBorder="1" applyAlignment="1">
      <alignment horizontal="center" vertical="center" wrapText="1"/>
    </xf>
    <xf numFmtId="0" fontId="10" fillId="0" borderId="0" xfId="0" applyFont="1" applyFill="1" applyAlignment="1">
      <alignment horizontal="center" vertical="center" wrapText="1"/>
    </xf>
    <xf numFmtId="0" fontId="0" fillId="0" borderId="29" xfId="0" applyBorder="1" applyAlignment="1"/>
    <xf numFmtId="0" fontId="4" fillId="0" borderId="31" xfId="0" applyFont="1" applyBorder="1" applyAlignment="1">
      <alignment horizontal="left"/>
    </xf>
  </cellXfs>
  <cellStyles count="4">
    <cellStyle name="Денежный" xfId="1" builtinId="4"/>
    <cellStyle name="Обычный" xfId="0" builtinId="0"/>
    <cellStyle name="Обычный 11" xfId="3"/>
    <cellStyle name="Обычный_Пр_1" xfId="2"/>
  </cellStyles>
  <dxfs count="2">
    <dxf>
      <font>
        <b val="0"/>
        <i val="0"/>
        <strike val="0"/>
        <condense val="0"/>
        <extend val="0"/>
        <outline val="0"/>
        <shadow val="0"/>
        <u val="none"/>
        <vertAlign val="baseline"/>
        <sz val="10"/>
        <color indexed="72"/>
        <name val="Arial"/>
        <scheme val="none"/>
      </font>
      <numFmt numFmtId="165" formatCode=";;"/>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indexed="72"/>
        <name val="Arial"/>
        <scheme val="none"/>
      </font>
      <numFmt numFmtId="167" formatCode="000"/>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ables/table1.xml><?xml version="1.0" encoding="utf-8"?>
<table xmlns="http://schemas.openxmlformats.org/spreadsheetml/2006/main" id="1" name="Список2" displayName="Список2" ref="A2:B169" insertRowShift="1"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sheetPr codeName="Лист1"/>
  <dimension ref="A1:K149"/>
  <sheetViews>
    <sheetView showGridLines="0" tabSelected="1" view="pageBreakPreview" topLeftCell="A134" zoomScaleSheetLayoutView="100" workbookViewId="0">
      <selection activeCell="K138" sqref="K138"/>
    </sheetView>
  </sheetViews>
  <sheetFormatPr defaultColWidth="9.140625" defaultRowHeight="15"/>
  <cols>
    <col min="1" max="1" width="5.140625" style="21" bestFit="1" customWidth="1"/>
    <col min="2" max="2" width="3" style="21" bestFit="1" customWidth="1"/>
    <col min="3" max="3" width="3.42578125" style="21" customWidth="1"/>
    <col min="4" max="4" width="6.85546875" style="21" bestFit="1" customWidth="1"/>
    <col min="5" max="5" width="3" style="21" customWidth="1"/>
    <col min="6" max="6" width="5.85546875" style="23" customWidth="1"/>
    <col min="7" max="7" width="4.85546875" style="21" bestFit="1" customWidth="1"/>
    <col min="8" max="8" width="43" style="1" customWidth="1"/>
    <col min="9" max="9" width="14.85546875" style="1" hidden="1" customWidth="1"/>
    <col min="10" max="10" width="14.28515625" style="1" hidden="1" customWidth="1"/>
    <col min="11" max="11" width="14" style="1" customWidth="1"/>
    <col min="12" max="16384" width="9.140625" style="1"/>
  </cols>
  <sheetData>
    <row r="1" spans="1:11" ht="15.75">
      <c r="F1" s="424" t="s">
        <v>627</v>
      </c>
      <c r="G1" s="424"/>
      <c r="H1" s="424"/>
      <c r="I1" s="424"/>
      <c r="J1" s="424"/>
      <c r="K1" s="424"/>
    </row>
    <row r="2" spans="1:11" ht="15.75">
      <c r="F2" s="424" t="s">
        <v>1051</v>
      </c>
      <c r="G2" s="424"/>
      <c r="H2" s="424"/>
      <c r="I2" s="424"/>
      <c r="J2" s="424"/>
      <c r="K2" s="424"/>
    </row>
    <row r="3" spans="1:11" ht="15.75">
      <c r="F3" s="424" t="s">
        <v>700</v>
      </c>
      <c r="G3" s="424"/>
      <c r="H3" s="424"/>
      <c r="I3" s="424"/>
      <c r="J3" s="424"/>
      <c r="K3" s="424"/>
    </row>
    <row r="4" spans="1:11" ht="15.75">
      <c r="F4" s="424" t="s">
        <v>2619</v>
      </c>
      <c r="G4" s="424"/>
      <c r="H4" s="424"/>
      <c r="I4" s="424"/>
      <c r="J4" s="424"/>
      <c r="K4" s="424"/>
    </row>
    <row r="5" spans="1:11" ht="15.75">
      <c r="F5" s="32"/>
      <c r="G5" s="33"/>
    </row>
    <row r="6" spans="1:11" ht="50.25" customHeight="1">
      <c r="A6" s="425" t="s">
        <v>2239</v>
      </c>
      <c r="B6" s="425"/>
      <c r="C6" s="425"/>
      <c r="D6" s="425"/>
      <c r="E6" s="425"/>
      <c r="F6" s="425"/>
      <c r="G6" s="425"/>
      <c r="H6" s="425"/>
      <c r="I6" s="425"/>
      <c r="J6" s="425"/>
      <c r="K6" s="425"/>
    </row>
    <row r="7" spans="1:11" ht="18" customHeight="1">
      <c r="F7" s="22"/>
      <c r="G7" s="5"/>
      <c r="H7" s="5"/>
    </row>
    <row r="8" spans="1:11" ht="18.75" hidden="1">
      <c r="F8" s="22"/>
      <c r="G8" s="5"/>
      <c r="H8" s="5"/>
    </row>
    <row r="9" spans="1:11" ht="15.75">
      <c r="A9" s="426" t="s">
        <v>1295</v>
      </c>
      <c r="B9" s="426"/>
      <c r="C9" s="426"/>
      <c r="D9" s="426"/>
      <c r="E9" s="426"/>
      <c r="F9" s="426"/>
      <c r="G9" s="426"/>
      <c r="H9" s="423" t="s">
        <v>950</v>
      </c>
      <c r="I9" s="423" t="s">
        <v>2754</v>
      </c>
      <c r="J9" s="423" t="s">
        <v>1122</v>
      </c>
      <c r="K9" s="423" t="s">
        <v>1085</v>
      </c>
    </row>
    <row r="10" spans="1:11" ht="126">
      <c r="A10" s="262" t="s">
        <v>19</v>
      </c>
      <c r="B10" s="262" t="s">
        <v>20</v>
      </c>
      <c r="C10" s="262" t="s">
        <v>38</v>
      </c>
      <c r="D10" s="263" t="s">
        <v>39</v>
      </c>
      <c r="E10" s="262" t="s">
        <v>933</v>
      </c>
      <c r="F10" s="264" t="s">
        <v>934</v>
      </c>
      <c r="G10" s="263" t="s">
        <v>72</v>
      </c>
      <c r="H10" s="423"/>
      <c r="I10" s="423"/>
      <c r="J10" s="423"/>
      <c r="K10" s="423"/>
    </row>
    <row r="11" spans="1:11" s="330" customFormat="1" ht="18.75" customHeight="1">
      <c r="A11" s="361" t="s">
        <v>73</v>
      </c>
      <c r="B11" s="361" t="s">
        <v>74</v>
      </c>
      <c r="C11" s="361" t="s">
        <v>75</v>
      </c>
      <c r="D11" s="361" t="s">
        <v>76</v>
      </c>
      <c r="E11" s="361" t="s">
        <v>75</v>
      </c>
      <c r="F11" s="361" t="s">
        <v>77</v>
      </c>
      <c r="G11" s="361" t="s">
        <v>73</v>
      </c>
      <c r="H11" s="24" t="s">
        <v>449</v>
      </c>
      <c r="I11" s="331">
        <v>165700000</v>
      </c>
      <c r="J11" s="331">
        <f>J12+J14+J16+J22+J25+J20+J31+J34+J39+J40</f>
        <v>5236000</v>
      </c>
      <c r="K11" s="331">
        <f>K12+K14+K16+K22+K25+K20+K31+K34+K39+K40</f>
        <v>170936000</v>
      </c>
    </row>
    <row r="12" spans="1:11" s="330" customFormat="1" ht="19.5" customHeight="1">
      <c r="A12" s="361" t="s">
        <v>73</v>
      </c>
      <c r="B12" s="361" t="s">
        <v>74</v>
      </c>
      <c r="C12" s="361" t="s">
        <v>267</v>
      </c>
      <c r="D12" s="361" t="s">
        <v>76</v>
      </c>
      <c r="E12" s="361" t="s">
        <v>75</v>
      </c>
      <c r="F12" s="361" t="s">
        <v>77</v>
      </c>
      <c r="G12" s="361" t="s">
        <v>73</v>
      </c>
      <c r="H12" s="24" t="s">
        <v>450</v>
      </c>
      <c r="I12" s="331">
        <v>78920000</v>
      </c>
      <c r="J12" s="72">
        <f>J13</f>
        <v>0</v>
      </c>
      <c r="K12" s="331">
        <f>K13</f>
        <v>78920000</v>
      </c>
    </row>
    <row r="13" spans="1:11" s="330" customFormat="1" ht="18.75" customHeight="1">
      <c r="A13" s="362" t="s">
        <v>78</v>
      </c>
      <c r="B13" s="362" t="s">
        <v>74</v>
      </c>
      <c r="C13" s="362" t="s">
        <v>267</v>
      </c>
      <c r="D13" s="362" t="s">
        <v>275</v>
      </c>
      <c r="E13" s="362" t="s">
        <v>267</v>
      </c>
      <c r="F13" s="362" t="s">
        <v>77</v>
      </c>
      <c r="G13" s="362" t="s">
        <v>279</v>
      </c>
      <c r="H13" s="7" t="s">
        <v>1509</v>
      </c>
      <c r="I13" s="74">
        <v>78920000</v>
      </c>
      <c r="J13" s="99"/>
      <c r="K13" s="74">
        <f>SUM(I13:J13)</f>
        <v>78920000</v>
      </c>
    </row>
    <row r="14" spans="1:11" s="330" customFormat="1" ht="47.25">
      <c r="A14" s="361" t="s">
        <v>73</v>
      </c>
      <c r="B14" s="361" t="s">
        <v>74</v>
      </c>
      <c r="C14" s="361" t="s">
        <v>2250</v>
      </c>
      <c r="D14" s="361" t="s">
        <v>76</v>
      </c>
      <c r="E14" s="361" t="s">
        <v>75</v>
      </c>
      <c r="F14" s="361" t="s">
        <v>77</v>
      </c>
      <c r="G14" s="361" t="s">
        <v>73</v>
      </c>
      <c r="H14" s="24" t="s">
        <v>2252</v>
      </c>
      <c r="I14" s="73">
        <v>8681000</v>
      </c>
      <c r="J14" s="72">
        <f>J15</f>
        <v>0</v>
      </c>
      <c r="K14" s="73">
        <f>K15</f>
        <v>8681000</v>
      </c>
    </row>
    <row r="15" spans="1:11" s="330" customFormat="1" ht="47.25">
      <c r="A15" s="362" t="s">
        <v>2575</v>
      </c>
      <c r="B15" s="362" t="s">
        <v>74</v>
      </c>
      <c r="C15" s="362" t="s">
        <v>2250</v>
      </c>
      <c r="D15" s="362" t="s">
        <v>275</v>
      </c>
      <c r="E15" s="362" t="s">
        <v>267</v>
      </c>
      <c r="F15" s="362" t="s">
        <v>77</v>
      </c>
      <c r="G15" s="362" t="s">
        <v>279</v>
      </c>
      <c r="H15" s="7" t="s">
        <v>2251</v>
      </c>
      <c r="I15" s="74">
        <v>8681000</v>
      </c>
      <c r="J15" s="74"/>
      <c r="K15" s="74">
        <f>SUM(I15:J15)</f>
        <v>8681000</v>
      </c>
    </row>
    <row r="16" spans="1:11" ht="21.75" customHeight="1">
      <c r="A16" s="27" t="s">
        <v>73</v>
      </c>
      <c r="B16" s="27" t="s">
        <v>74</v>
      </c>
      <c r="C16" s="27" t="s">
        <v>268</v>
      </c>
      <c r="D16" s="27" t="s">
        <v>76</v>
      </c>
      <c r="E16" s="27" t="s">
        <v>75</v>
      </c>
      <c r="F16" s="25" t="s">
        <v>77</v>
      </c>
      <c r="G16" s="25" t="s">
        <v>73</v>
      </c>
      <c r="H16" s="24" t="s">
        <v>881</v>
      </c>
      <c r="I16" s="72">
        <v>13541000</v>
      </c>
      <c r="J16" s="99">
        <f>J17+J18+J19</f>
        <v>0</v>
      </c>
      <c r="K16" s="72">
        <f>K17+K18+K19</f>
        <v>13541000</v>
      </c>
    </row>
    <row r="17" spans="1:11" ht="31.5">
      <c r="A17" s="28" t="s">
        <v>78</v>
      </c>
      <c r="B17" s="28" t="s">
        <v>74</v>
      </c>
      <c r="C17" s="28" t="s">
        <v>268</v>
      </c>
      <c r="D17" s="28" t="s">
        <v>275</v>
      </c>
      <c r="E17" s="28" t="s">
        <v>274</v>
      </c>
      <c r="F17" s="26" t="s">
        <v>77</v>
      </c>
      <c r="G17" s="26" t="s">
        <v>279</v>
      </c>
      <c r="H17" s="7" t="s">
        <v>233</v>
      </c>
      <c r="I17" s="74">
        <v>13086000</v>
      </c>
      <c r="J17" s="99"/>
      <c r="K17" s="74">
        <f t="shared" ref="K17:K19" si="0">SUM(I17:J17)</f>
        <v>13086000</v>
      </c>
    </row>
    <row r="18" spans="1:11" ht="22.5" customHeight="1">
      <c r="A18" s="28" t="s">
        <v>78</v>
      </c>
      <c r="B18" s="28" t="s">
        <v>74</v>
      </c>
      <c r="C18" s="28" t="s">
        <v>268</v>
      </c>
      <c r="D18" s="28" t="s">
        <v>276</v>
      </c>
      <c r="E18" s="28" t="s">
        <v>267</v>
      </c>
      <c r="F18" s="26" t="s">
        <v>77</v>
      </c>
      <c r="G18" s="26" t="s">
        <v>279</v>
      </c>
      <c r="H18" s="7" t="s">
        <v>629</v>
      </c>
      <c r="I18" s="74">
        <v>330000</v>
      </c>
      <c r="J18" s="99"/>
      <c r="K18" s="74">
        <f t="shared" si="0"/>
        <v>330000</v>
      </c>
    </row>
    <row r="19" spans="1:11" ht="31.5">
      <c r="A19" s="28" t="s">
        <v>78</v>
      </c>
      <c r="B19" s="28" t="s">
        <v>74</v>
      </c>
      <c r="C19" s="28" t="s">
        <v>268</v>
      </c>
      <c r="D19" s="28" t="s">
        <v>953</v>
      </c>
      <c r="E19" s="28" t="s">
        <v>274</v>
      </c>
      <c r="F19" s="26" t="s">
        <v>77</v>
      </c>
      <c r="G19" s="26" t="s">
        <v>279</v>
      </c>
      <c r="H19" s="7" t="s">
        <v>2253</v>
      </c>
      <c r="I19" s="74">
        <v>125000</v>
      </c>
      <c r="J19" s="72"/>
      <c r="K19" s="74">
        <f t="shared" si="0"/>
        <v>125000</v>
      </c>
    </row>
    <row r="20" spans="1:11" ht="31.5">
      <c r="A20" s="27" t="s">
        <v>73</v>
      </c>
      <c r="B20" s="27" t="s">
        <v>74</v>
      </c>
      <c r="C20" s="27" t="s">
        <v>2778</v>
      </c>
      <c r="D20" s="27" t="s">
        <v>76</v>
      </c>
      <c r="E20" s="27" t="s">
        <v>75</v>
      </c>
      <c r="F20" s="25" t="s">
        <v>77</v>
      </c>
      <c r="G20" s="25" t="s">
        <v>73</v>
      </c>
      <c r="H20" s="24" t="s">
        <v>2776</v>
      </c>
      <c r="I20" s="74"/>
      <c r="J20" s="72">
        <f>J21</f>
        <v>86000</v>
      </c>
      <c r="K20" s="73">
        <f>I20+J20</f>
        <v>86000</v>
      </c>
    </row>
    <row r="21" spans="1:11" ht="31.5">
      <c r="A21" s="28" t="s">
        <v>78</v>
      </c>
      <c r="B21" s="28" t="s">
        <v>74</v>
      </c>
      <c r="C21" s="28" t="s">
        <v>2778</v>
      </c>
      <c r="D21" s="28" t="s">
        <v>2779</v>
      </c>
      <c r="E21" s="28" t="s">
        <v>267</v>
      </c>
      <c r="F21" s="26" t="s">
        <v>77</v>
      </c>
      <c r="G21" s="26" t="s">
        <v>279</v>
      </c>
      <c r="H21" s="7" t="s">
        <v>2777</v>
      </c>
      <c r="I21" s="74"/>
      <c r="J21" s="118">
        <v>86000</v>
      </c>
      <c r="K21" s="74">
        <f>I21+J21</f>
        <v>86000</v>
      </c>
    </row>
    <row r="22" spans="1:11" ht="20.25" customHeight="1">
      <c r="A22" s="27" t="s">
        <v>73</v>
      </c>
      <c r="B22" s="27" t="s">
        <v>74</v>
      </c>
      <c r="C22" s="27" t="s">
        <v>269</v>
      </c>
      <c r="D22" s="27" t="s">
        <v>76</v>
      </c>
      <c r="E22" s="27" t="s">
        <v>75</v>
      </c>
      <c r="F22" s="25" t="s">
        <v>77</v>
      </c>
      <c r="G22" s="25" t="s">
        <v>73</v>
      </c>
      <c r="H22" s="24" t="s">
        <v>240</v>
      </c>
      <c r="I22" s="72">
        <v>4130000</v>
      </c>
      <c r="J22" s="102">
        <f>J23+J24</f>
        <v>500000</v>
      </c>
      <c r="K22" s="72">
        <f>K23+K24</f>
        <v>4630000</v>
      </c>
    </row>
    <row r="23" spans="1:11" ht="47.25">
      <c r="A23" s="28" t="s">
        <v>78</v>
      </c>
      <c r="B23" s="28" t="s">
        <v>74</v>
      </c>
      <c r="C23" s="28" t="s">
        <v>269</v>
      </c>
      <c r="D23" s="28" t="s">
        <v>276</v>
      </c>
      <c r="E23" s="28" t="s">
        <v>267</v>
      </c>
      <c r="F23" s="26" t="s">
        <v>77</v>
      </c>
      <c r="G23" s="26" t="s">
        <v>279</v>
      </c>
      <c r="H23" s="7" t="s">
        <v>1240</v>
      </c>
      <c r="I23" s="74">
        <v>4070000</v>
      </c>
      <c r="J23" s="99">
        <v>500000</v>
      </c>
      <c r="K23" s="74">
        <f t="shared" ref="K23:K24" si="1">SUM(I23:J23)</f>
        <v>4570000</v>
      </c>
    </row>
    <row r="24" spans="1:11" ht="61.5" customHeight="1">
      <c r="A24" s="28" t="s">
        <v>2066</v>
      </c>
      <c r="B24" s="28" t="s">
        <v>74</v>
      </c>
      <c r="C24" s="28" t="s">
        <v>269</v>
      </c>
      <c r="D24" s="28" t="s">
        <v>299</v>
      </c>
      <c r="E24" s="28" t="s">
        <v>267</v>
      </c>
      <c r="F24" s="26" t="s">
        <v>77</v>
      </c>
      <c r="G24" s="26" t="s">
        <v>279</v>
      </c>
      <c r="H24" s="7" t="s">
        <v>566</v>
      </c>
      <c r="I24" s="74">
        <v>60000</v>
      </c>
      <c r="J24" s="73"/>
      <c r="K24" s="74">
        <f t="shared" si="1"/>
        <v>60000</v>
      </c>
    </row>
    <row r="25" spans="1:11" ht="47.25">
      <c r="A25" s="27" t="s">
        <v>73</v>
      </c>
      <c r="B25" s="27" t="s">
        <v>74</v>
      </c>
      <c r="C25" s="27" t="s">
        <v>270</v>
      </c>
      <c r="D25" s="27" t="s">
        <v>76</v>
      </c>
      <c r="E25" s="27" t="s">
        <v>75</v>
      </c>
      <c r="F25" s="25" t="s">
        <v>77</v>
      </c>
      <c r="G25" s="25" t="s">
        <v>73</v>
      </c>
      <c r="H25" s="24" t="s">
        <v>798</v>
      </c>
      <c r="I25" s="73">
        <v>12151000</v>
      </c>
      <c r="J25" s="74">
        <f>J26+J28</f>
        <v>0</v>
      </c>
      <c r="K25" s="73">
        <f>K26+K28</f>
        <v>12151000</v>
      </c>
    </row>
    <row r="26" spans="1:11" ht="129.75" customHeight="1">
      <c r="A26" s="28" t="s">
        <v>73</v>
      </c>
      <c r="B26" s="28" t="s">
        <v>74</v>
      </c>
      <c r="C26" s="28" t="s">
        <v>270</v>
      </c>
      <c r="D26" s="28" t="s">
        <v>277</v>
      </c>
      <c r="E26" s="28" t="s">
        <v>75</v>
      </c>
      <c r="F26" s="26" t="s">
        <v>77</v>
      </c>
      <c r="G26" s="26" t="s">
        <v>280</v>
      </c>
      <c r="H26" s="7" t="s">
        <v>1045</v>
      </c>
      <c r="I26" s="74">
        <v>1000</v>
      </c>
      <c r="J26" s="74"/>
      <c r="K26" s="74">
        <f t="shared" ref="K26:K30" si="2">SUM(I26:J26)</f>
        <v>1000</v>
      </c>
    </row>
    <row r="27" spans="1:11" ht="114" customHeight="1">
      <c r="A27" s="28" t="s">
        <v>369</v>
      </c>
      <c r="B27" s="28" t="s">
        <v>74</v>
      </c>
      <c r="C27" s="28" t="s">
        <v>270</v>
      </c>
      <c r="D27" s="28" t="s">
        <v>1046</v>
      </c>
      <c r="E27" s="28" t="s">
        <v>268</v>
      </c>
      <c r="F27" s="26" t="s">
        <v>77</v>
      </c>
      <c r="G27" s="26" t="s">
        <v>280</v>
      </c>
      <c r="H27" s="170" t="s">
        <v>2601</v>
      </c>
      <c r="I27" s="74">
        <v>1000</v>
      </c>
      <c r="J27" s="118"/>
      <c r="K27" s="74">
        <f t="shared" si="2"/>
        <v>1000</v>
      </c>
    </row>
    <row r="28" spans="1:11" s="6" customFormat="1" ht="147" customHeight="1">
      <c r="A28" s="28" t="s">
        <v>73</v>
      </c>
      <c r="B28" s="28" t="s">
        <v>74</v>
      </c>
      <c r="C28" s="28" t="s">
        <v>270</v>
      </c>
      <c r="D28" s="28" t="s">
        <v>278</v>
      </c>
      <c r="E28" s="28" t="s">
        <v>75</v>
      </c>
      <c r="F28" s="26" t="s">
        <v>77</v>
      </c>
      <c r="G28" s="26" t="s">
        <v>280</v>
      </c>
      <c r="H28" s="7" t="s">
        <v>438</v>
      </c>
      <c r="I28" s="118">
        <v>12150000</v>
      </c>
      <c r="J28" s="118">
        <f>J29+J30</f>
        <v>0</v>
      </c>
      <c r="K28" s="74">
        <f t="shared" si="2"/>
        <v>12150000</v>
      </c>
    </row>
    <row r="29" spans="1:11" s="6" customFormat="1" ht="126">
      <c r="A29" s="28" t="s">
        <v>369</v>
      </c>
      <c r="B29" s="28" t="s">
        <v>74</v>
      </c>
      <c r="C29" s="28" t="s">
        <v>270</v>
      </c>
      <c r="D29" s="28" t="s">
        <v>2082</v>
      </c>
      <c r="E29" s="28" t="s">
        <v>2083</v>
      </c>
      <c r="F29" s="26" t="s">
        <v>77</v>
      </c>
      <c r="G29" s="26" t="s">
        <v>280</v>
      </c>
      <c r="H29" s="7" t="s">
        <v>2084</v>
      </c>
      <c r="I29" s="118">
        <v>7400000</v>
      </c>
      <c r="J29" s="118"/>
      <c r="K29" s="74">
        <f t="shared" si="2"/>
        <v>7400000</v>
      </c>
    </row>
    <row r="30" spans="1:11" s="6" customFormat="1" ht="63">
      <c r="A30" s="28" t="s">
        <v>369</v>
      </c>
      <c r="B30" s="28" t="s">
        <v>74</v>
      </c>
      <c r="C30" s="28" t="s">
        <v>270</v>
      </c>
      <c r="D30" s="28" t="s">
        <v>2254</v>
      </c>
      <c r="E30" s="28" t="s">
        <v>268</v>
      </c>
      <c r="F30" s="26" t="s">
        <v>77</v>
      </c>
      <c r="G30" s="26" t="s">
        <v>280</v>
      </c>
      <c r="H30" s="7" t="s">
        <v>2255</v>
      </c>
      <c r="I30" s="118">
        <v>4750000</v>
      </c>
      <c r="J30" s="118"/>
      <c r="K30" s="74">
        <f t="shared" si="2"/>
        <v>4750000</v>
      </c>
    </row>
    <row r="31" spans="1:11" s="6" customFormat="1" ht="31.5">
      <c r="A31" s="27" t="s">
        <v>73</v>
      </c>
      <c r="B31" s="27" t="s">
        <v>74</v>
      </c>
      <c r="C31" s="27" t="s">
        <v>271</v>
      </c>
      <c r="D31" s="27" t="s">
        <v>76</v>
      </c>
      <c r="E31" s="27" t="s">
        <v>75</v>
      </c>
      <c r="F31" s="25" t="s">
        <v>77</v>
      </c>
      <c r="G31" s="25" t="s">
        <v>73</v>
      </c>
      <c r="H31" s="24" t="s">
        <v>1090</v>
      </c>
      <c r="I31" s="73">
        <v>2897000</v>
      </c>
      <c r="J31" s="73">
        <f>J32+J33</f>
        <v>0</v>
      </c>
      <c r="K31" s="73">
        <f>K32+K33</f>
        <v>2897000</v>
      </c>
    </row>
    <row r="32" spans="1:11" ht="31.5">
      <c r="A32" s="28" t="s">
        <v>237</v>
      </c>
      <c r="B32" s="28" t="s">
        <v>74</v>
      </c>
      <c r="C32" s="28" t="s">
        <v>271</v>
      </c>
      <c r="D32" s="28" t="s">
        <v>277</v>
      </c>
      <c r="E32" s="28" t="s">
        <v>267</v>
      </c>
      <c r="F32" s="26" t="s">
        <v>77</v>
      </c>
      <c r="G32" s="26" t="s">
        <v>280</v>
      </c>
      <c r="H32" s="7" t="s">
        <v>64</v>
      </c>
      <c r="I32" s="74">
        <v>2890000</v>
      </c>
      <c r="J32" s="99"/>
      <c r="K32" s="74">
        <f t="shared" ref="K32:K33" si="3">SUM(I32:J32)</f>
        <v>2890000</v>
      </c>
    </row>
    <row r="33" spans="1:11" ht="51" customHeight="1">
      <c r="A33" s="28" t="s">
        <v>78</v>
      </c>
      <c r="B33" s="28" t="s">
        <v>74</v>
      </c>
      <c r="C33" s="28" t="s">
        <v>271</v>
      </c>
      <c r="D33" s="28" t="s">
        <v>59</v>
      </c>
      <c r="E33" s="28" t="s">
        <v>267</v>
      </c>
      <c r="F33" s="26" t="s">
        <v>77</v>
      </c>
      <c r="G33" s="26" t="s">
        <v>280</v>
      </c>
      <c r="H33" s="7" t="s">
        <v>2605</v>
      </c>
      <c r="I33" s="74">
        <v>7000</v>
      </c>
      <c r="J33" s="74"/>
      <c r="K33" s="74">
        <f t="shared" si="3"/>
        <v>7000</v>
      </c>
    </row>
    <row r="34" spans="1:11" ht="31.5">
      <c r="A34" s="27" t="s">
        <v>73</v>
      </c>
      <c r="B34" s="27" t="s">
        <v>74</v>
      </c>
      <c r="C34" s="27" t="s">
        <v>272</v>
      </c>
      <c r="D34" s="27" t="s">
        <v>76</v>
      </c>
      <c r="E34" s="27" t="s">
        <v>75</v>
      </c>
      <c r="F34" s="25" t="s">
        <v>77</v>
      </c>
      <c r="G34" s="25" t="s">
        <v>73</v>
      </c>
      <c r="H34" s="24" t="s">
        <v>1512</v>
      </c>
      <c r="I34" s="73">
        <v>40400000</v>
      </c>
      <c r="J34" s="73">
        <f t="shared" ref="J34" si="4">J35+J36</f>
        <v>3700000</v>
      </c>
      <c r="K34" s="73">
        <f>K35+K36</f>
        <v>44100000</v>
      </c>
    </row>
    <row r="35" spans="1:11" ht="126">
      <c r="A35" s="28" t="s">
        <v>73</v>
      </c>
      <c r="B35" s="28" t="s">
        <v>74</v>
      </c>
      <c r="C35" s="28" t="s">
        <v>272</v>
      </c>
      <c r="D35" s="28" t="s">
        <v>275</v>
      </c>
      <c r="E35" s="28" t="s">
        <v>75</v>
      </c>
      <c r="F35" s="26" t="s">
        <v>77</v>
      </c>
      <c r="G35" s="26" t="s">
        <v>73</v>
      </c>
      <c r="H35" s="7" t="s">
        <v>1524</v>
      </c>
      <c r="I35" s="74">
        <v>33000000</v>
      </c>
      <c r="J35" s="74">
        <v>3700000</v>
      </c>
      <c r="K35" s="74">
        <f t="shared" ref="K35:K36" si="5">SUM(I35:J35)</f>
        <v>36700000</v>
      </c>
    </row>
    <row r="36" spans="1:11" ht="78.75">
      <c r="A36" s="28" t="s">
        <v>73</v>
      </c>
      <c r="B36" s="28" t="s">
        <v>74</v>
      </c>
      <c r="C36" s="28" t="s">
        <v>272</v>
      </c>
      <c r="D36" s="28" t="s">
        <v>705</v>
      </c>
      <c r="E36" s="28" t="s">
        <v>75</v>
      </c>
      <c r="F36" s="26" t="s">
        <v>77</v>
      </c>
      <c r="G36" s="26" t="s">
        <v>1405</v>
      </c>
      <c r="H36" s="7" t="s">
        <v>2085</v>
      </c>
      <c r="I36" s="99">
        <v>7400000</v>
      </c>
      <c r="J36" s="99">
        <f>J37+J38</f>
        <v>0</v>
      </c>
      <c r="K36" s="74">
        <f t="shared" si="5"/>
        <v>7400000</v>
      </c>
    </row>
    <row r="37" spans="1:11" ht="63">
      <c r="A37" s="28" t="s">
        <v>369</v>
      </c>
      <c r="B37" s="28" t="s">
        <v>74</v>
      </c>
      <c r="C37" s="28" t="s">
        <v>272</v>
      </c>
      <c r="D37" s="28" t="s">
        <v>2086</v>
      </c>
      <c r="E37" s="28" t="s">
        <v>2083</v>
      </c>
      <c r="F37" s="26" t="s">
        <v>77</v>
      </c>
      <c r="G37" s="26" t="s">
        <v>1405</v>
      </c>
      <c r="H37" s="7" t="s">
        <v>1857</v>
      </c>
      <c r="I37" s="74">
        <v>5400000</v>
      </c>
      <c r="J37" s="99"/>
      <c r="K37" s="74">
        <f>SUM(I37:J37)</f>
        <v>5400000</v>
      </c>
    </row>
    <row r="38" spans="1:11" ht="49.5" customHeight="1">
      <c r="A38" s="28" t="s">
        <v>369</v>
      </c>
      <c r="B38" s="28" t="s">
        <v>74</v>
      </c>
      <c r="C38" s="28" t="s">
        <v>272</v>
      </c>
      <c r="D38" s="28" t="s">
        <v>2087</v>
      </c>
      <c r="E38" s="28" t="s">
        <v>268</v>
      </c>
      <c r="F38" s="26" t="s">
        <v>77</v>
      </c>
      <c r="G38" s="26" t="s">
        <v>1405</v>
      </c>
      <c r="H38" s="7" t="s">
        <v>2614</v>
      </c>
      <c r="I38" s="74">
        <v>2000000</v>
      </c>
      <c r="J38" s="99"/>
      <c r="K38" s="74">
        <f>I38+J38</f>
        <v>2000000</v>
      </c>
    </row>
    <row r="39" spans="1:11" ht="31.5">
      <c r="A39" s="27" t="s">
        <v>73</v>
      </c>
      <c r="B39" s="27" t="s">
        <v>74</v>
      </c>
      <c r="C39" s="27" t="s">
        <v>273</v>
      </c>
      <c r="D39" s="27" t="s">
        <v>76</v>
      </c>
      <c r="E39" s="27" t="s">
        <v>75</v>
      </c>
      <c r="F39" s="25" t="s">
        <v>77</v>
      </c>
      <c r="G39" s="25" t="s">
        <v>73</v>
      </c>
      <c r="H39" s="24" t="s">
        <v>65</v>
      </c>
      <c r="I39" s="73">
        <v>4980000</v>
      </c>
      <c r="J39" s="102">
        <v>950000</v>
      </c>
      <c r="K39" s="73">
        <f>I39+J39</f>
        <v>5930000</v>
      </c>
    </row>
    <row r="40" spans="1:11" ht="26.25" hidden="1" customHeight="1">
      <c r="A40" s="27" t="s">
        <v>73</v>
      </c>
      <c r="B40" s="27" t="s">
        <v>74</v>
      </c>
      <c r="C40" s="27" t="s">
        <v>1026</v>
      </c>
      <c r="D40" s="27" t="s">
        <v>76</v>
      </c>
      <c r="E40" s="27" t="s">
        <v>75</v>
      </c>
      <c r="F40" s="25" t="s">
        <v>77</v>
      </c>
      <c r="G40" s="25" t="s">
        <v>73</v>
      </c>
      <c r="H40" s="24" t="s">
        <v>1027</v>
      </c>
      <c r="I40" s="73">
        <v>0</v>
      </c>
      <c r="J40" s="102"/>
      <c r="K40" s="73">
        <v>0</v>
      </c>
    </row>
    <row r="41" spans="1:11" ht="22.5" customHeight="1">
      <c r="A41" s="27" t="s">
        <v>73</v>
      </c>
      <c r="B41" s="27" t="s">
        <v>266</v>
      </c>
      <c r="C41" s="27" t="s">
        <v>75</v>
      </c>
      <c r="D41" s="27" t="s">
        <v>76</v>
      </c>
      <c r="E41" s="27" t="s">
        <v>75</v>
      </c>
      <c r="F41" s="29" t="s">
        <v>77</v>
      </c>
      <c r="G41" s="29" t="s">
        <v>73</v>
      </c>
      <c r="H41" s="49" t="s">
        <v>1930</v>
      </c>
      <c r="I41" s="73">
        <v>1585770419.9000001</v>
      </c>
      <c r="J41" s="73">
        <f>J42</f>
        <v>-22875476.330000002</v>
      </c>
      <c r="K41" s="73">
        <f>K42</f>
        <v>1562894943.5700002</v>
      </c>
    </row>
    <row r="42" spans="1:11" ht="47.25">
      <c r="A42" s="27" t="s">
        <v>73</v>
      </c>
      <c r="B42" s="27" t="s">
        <v>266</v>
      </c>
      <c r="C42" s="27" t="s">
        <v>274</v>
      </c>
      <c r="D42" s="27" t="s">
        <v>76</v>
      </c>
      <c r="E42" s="27" t="s">
        <v>75</v>
      </c>
      <c r="F42" s="29" t="s">
        <v>77</v>
      </c>
      <c r="G42" s="29" t="s">
        <v>73</v>
      </c>
      <c r="H42" s="49" t="s">
        <v>304</v>
      </c>
      <c r="I42" s="73">
        <v>1585770419.9000001</v>
      </c>
      <c r="J42" s="73">
        <f>J43+J48+J90+J128</f>
        <v>-22875476.330000002</v>
      </c>
      <c r="K42" s="73">
        <f>I42+J42</f>
        <v>1562894943.5700002</v>
      </c>
    </row>
    <row r="43" spans="1:11" ht="47.25">
      <c r="A43" s="27" t="s">
        <v>1131</v>
      </c>
      <c r="B43" s="27" t="s">
        <v>266</v>
      </c>
      <c r="C43" s="27" t="s">
        <v>274</v>
      </c>
      <c r="D43" s="27" t="s">
        <v>277</v>
      </c>
      <c r="E43" s="27" t="s">
        <v>75</v>
      </c>
      <c r="F43" s="29" t="s">
        <v>77</v>
      </c>
      <c r="G43" s="29" t="s">
        <v>281</v>
      </c>
      <c r="H43" s="49" t="s">
        <v>2256</v>
      </c>
      <c r="I43" s="73">
        <v>379777000</v>
      </c>
      <c r="J43" s="73">
        <f>J44+J45+J46+J47</f>
        <v>0</v>
      </c>
      <c r="K43" s="73">
        <f>K44+K45+K46+K47</f>
        <v>379777000</v>
      </c>
    </row>
    <row r="44" spans="1:11" ht="46.5" customHeight="1">
      <c r="A44" s="28" t="s">
        <v>1131</v>
      </c>
      <c r="B44" s="28" t="s">
        <v>266</v>
      </c>
      <c r="C44" s="28" t="s">
        <v>274</v>
      </c>
      <c r="D44" s="28" t="s">
        <v>805</v>
      </c>
      <c r="E44" s="28" t="s">
        <v>268</v>
      </c>
      <c r="F44" s="30" t="s">
        <v>77</v>
      </c>
      <c r="G44" s="30" t="s">
        <v>281</v>
      </c>
      <c r="H44" s="31" t="s">
        <v>2056</v>
      </c>
      <c r="I44" s="74">
        <v>307590000</v>
      </c>
      <c r="J44" s="99"/>
      <c r="K44" s="74">
        <f t="shared" ref="K44:K46" si="6">SUM(I44:J44)</f>
        <v>307590000</v>
      </c>
    </row>
    <row r="45" spans="1:11" ht="47.25">
      <c r="A45" s="28" t="s">
        <v>1131</v>
      </c>
      <c r="B45" s="28" t="s">
        <v>266</v>
      </c>
      <c r="C45" s="28" t="s">
        <v>274</v>
      </c>
      <c r="D45" s="28" t="s">
        <v>805</v>
      </c>
      <c r="E45" s="28" t="s">
        <v>268</v>
      </c>
      <c r="F45" s="30" t="s">
        <v>77</v>
      </c>
      <c r="G45" s="30" t="s">
        <v>281</v>
      </c>
      <c r="H45" s="31" t="s">
        <v>2055</v>
      </c>
      <c r="I45" s="74">
        <v>3480000</v>
      </c>
      <c r="J45" s="99"/>
      <c r="K45" s="74">
        <f t="shared" si="6"/>
        <v>3480000</v>
      </c>
    </row>
    <row r="46" spans="1:11" ht="78.75">
      <c r="A46" s="28" t="s">
        <v>1131</v>
      </c>
      <c r="B46" s="28" t="s">
        <v>266</v>
      </c>
      <c r="C46" s="28" t="s">
        <v>274</v>
      </c>
      <c r="D46" s="28" t="s">
        <v>2054</v>
      </c>
      <c r="E46" s="28" t="s">
        <v>268</v>
      </c>
      <c r="F46" s="30" t="s">
        <v>77</v>
      </c>
      <c r="G46" s="30" t="s">
        <v>281</v>
      </c>
      <c r="H46" s="31" t="s">
        <v>2057</v>
      </c>
      <c r="I46" s="74">
        <v>64166000</v>
      </c>
      <c r="J46" s="99"/>
      <c r="K46" s="74">
        <f t="shared" si="6"/>
        <v>64166000</v>
      </c>
    </row>
    <row r="47" spans="1:11" ht="112.5" customHeight="1">
      <c r="A47" s="28" t="s">
        <v>1131</v>
      </c>
      <c r="B47" s="28" t="s">
        <v>266</v>
      </c>
      <c r="C47" s="28" t="s">
        <v>274</v>
      </c>
      <c r="D47" s="28" t="s">
        <v>2694</v>
      </c>
      <c r="E47" s="28" t="s">
        <v>268</v>
      </c>
      <c r="F47" s="30" t="s">
        <v>2695</v>
      </c>
      <c r="G47" s="30" t="s">
        <v>281</v>
      </c>
      <c r="H47" s="31" t="s">
        <v>2708</v>
      </c>
      <c r="I47" s="74">
        <v>4541000</v>
      </c>
      <c r="J47" s="99"/>
      <c r="K47" s="74">
        <v>4541000</v>
      </c>
    </row>
    <row r="48" spans="1:11" ht="63">
      <c r="A48" s="27" t="s">
        <v>73</v>
      </c>
      <c r="B48" s="27" t="s">
        <v>266</v>
      </c>
      <c r="C48" s="27" t="s">
        <v>274</v>
      </c>
      <c r="D48" s="27" t="s">
        <v>275</v>
      </c>
      <c r="E48" s="27" t="s">
        <v>75</v>
      </c>
      <c r="F48" s="29" t="s">
        <v>77</v>
      </c>
      <c r="G48" s="29" t="s">
        <v>281</v>
      </c>
      <c r="H48" s="49" t="s">
        <v>2058</v>
      </c>
      <c r="I48" s="73">
        <v>272818379.14999998</v>
      </c>
      <c r="J48" s="102">
        <f>SUM(J49:J89)</f>
        <v>-13057278.82</v>
      </c>
      <c r="K48" s="73">
        <f t="shared" ref="K48:K53" si="7">I48+J48</f>
        <v>259761100.32999998</v>
      </c>
    </row>
    <row r="49" spans="1:11" ht="47.25">
      <c r="A49" s="28" t="s">
        <v>2060</v>
      </c>
      <c r="B49" s="28" t="s">
        <v>266</v>
      </c>
      <c r="C49" s="28" t="s">
        <v>274</v>
      </c>
      <c r="D49" s="28" t="s">
        <v>2635</v>
      </c>
      <c r="E49" s="28" t="s">
        <v>268</v>
      </c>
      <c r="F49" s="30" t="s">
        <v>77</v>
      </c>
      <c r="G49" s="30" t="s">
        <v>281</v>
      </c>
      <c r="H49" s="31" t="s">
        <v>2735</v>
      </c>
      <c r="I49" s="74">
        <v>2597146</v>
      </c>
      <c r="J49" s="99"/>
      <c r="K49" s="74">
        <f t="shared" si="7"/>
        <v>2597146</v>
      </c>
    </row>
    <row r="50" spans="1:11" ht="78.75">
      <c r="A50" s="28" t="s">
        <v>2066</v>
      </c>
      <c r="B50" s="28" t="s">
        <v>2733</v>
      </c>
      <c r="C50" s="28" t="s">
        <v>274</v>
      </c>
      <c r="D50" s="28" t="s">
        <v>2734</v>
      </c>
      <c r="E50" s="28" t="s">
        <v>268</v>
      </c>
      <c r="F50" s="30" t="s">
        <v>77</v>
      </c>
      <c r="G50" s="30" t="s">
        <v>281</v>
      </c>
      <c r="H50" s="31" t="s">
        <v>2736</v>
      </c>
      <c r="I50" s="74">
        <v>1000000</v>
      </c>
      <c r="J50" s="99"/>
      <c r="K50" s="74">
        <f t="shared" si="7"/>
        <v>1000000</v>
      </c>
    </row>
    <row r="51" spans="1:11" ht="31.5">
      <c r="A51" s="28" t="s">
        <v>2060</v>
      </c>
      <c r="B51" s="28" t="s">
        <v>266</v>
      </c>
      <c r="C51" s="28" t="s">
        <v>274</v>
      </c>
      <c r="D51" s="28" t="s">
        <v>2063</v>
      </c>
      <c r="E51" s="28" t="s">
        <v>268</v>
      </c>
      <c r="F51" s="30" t="s">
        <v>77</v>
      </c>
      <c r="G51" s="30" t="s">
        <v>281</v>
      </c>
      <c r="H51" s="2" t="s">
        <v>706</v>
      </c>
      <c r="I51" s="74">
        <v>23403000</v>
      </c>
      <c r="J51" s="74"/>
      <c r="K51" s="74">
        <f t="shared" si="7"/>
        <v>23403000</v>
      </c>
    </row>
    <row r="52" spans="1:11" ht="47.25">
      <c r="A52" s="28" t="s">
        <v>2067</v>
      </c>
      <c r="B52" s="28" t="s">
        <v>266</v>
      </c>
      <c r="C52" s="28" t="s">
        <v>274</v>
      </c>
      <c r="D52" s="28" t="s">
        <v>2747</v>
      </c>
      <c r="E52" s="28" t="s">
        <v>268</v>
      </c>
      <c r="F52" s="30" t="s">
        <v>77</v>
      </c>
      <c r="G52" s="30" t="s">
        <v>281</v>
      </c>
      <c r="H52" s="2" t="s">
        <v>2092</v>
      </c>
      <c r="I52" s="74">
        <v>4175000</v>
      </c>
      <c r="J52" s="74"/>
      <c r="K52" s="74">
        <f t="shared" si="7"/>
        <v>4175000</v>
      </c>
    </row>
    <row r="53" spans="1:11" ht="47.25">
      <c r="A53" s="28" t="s">
        <v>2060</v>
      </c>
      <c r="B53" s="28" t="s">
        <v>266</v>
      </c>
      <c r="C53" s="28" t="s">
        <v>274</v>
      </c>
      <c r="D53" s="28" t="s">
        <v>2747</v>
      </c>
      <c r="E53" s="28" t="s">
        <v>268</v>
      </c>
      <c r="F53" s="30" t="s">
        <v>77</v>
      </c>
      <c r="G53" s="30" t="s">
        <v>281</v>
      </c>
      <c r="H53" s="2" t="s">
        <v>2092</v>
      </c>
      <c r="I53" s="74"/>
      <c r="J53" s="74">
        <v>1048304.81</v>
      </c>
      <c r="K53" s="74">
        <f t="shared" si="7"/>
        <v>1048304.81</v>
      </c>
    </row>
    <row r="54" spans="1:11" ht="78.75">
      <c r="A54" s="28" t="s">
        <v>2060</v>
      </c>
      <c r="B54" s="28" t="s">
        <v>266</v>
      </c>
      <c r="C54" s="28" t="s">
        <v>274</v>
      </c>
      <c r="D54" s="28" t="s">
        <v>2061</v>
      </c>
      <c r="E54" s="28" t="s">
        <v>268</v>
      </c>
      <c r="F54" s="30" t="s">
        <v>77</v>
      </c>
      <c r="G54" s="30" t="s">
        <v>281</v>
      </c>
      <c r="H54" s="2" t="s">
        <v>2230</v>
      </c>
      <c r="I54" s="74">
        <v>27000000</v>
      </c>
      <c r="J54" s="74">
        <v>-9700000</v>
      </c>
      <c r="K54" s="74">
        <f t="shared" ref="K54:K89" si="8">I54+J54</f>
        <v>17300000</v>
      </c>
    </row>
    <row r="55" spans="1:11" ht="78.75">
      <c r="A55" s="28" t="s">
        <v>2060</v>
      </c>
      <c r="B55" s="28" t="s">
        <v>266</v>
      </c>
      <c r="C55" s="28" t="s">
        <v>274</v>
      </c>
      <c r="D55" s="28" t="s">
        <v>2061</v>
      </c>
      <c r="E55" s="28" t="s">
        <v>268</v>
      </c>
      <c r="F55" s="30" t="s">
        <v>77</v>
      </c>
      <c r="G55" s="30" t="s">
        <v>281</v>
      </c>
      <c r="H55" s="2" t="s">
        <v>2220</v>
      </c>
      <c r="I55" s="74">
        <v>33436249</v>
      </c>
      <c r="J55" s="99"/>
      <c r="K55" s="74">
        <f t="shared" si="8"/>
        <v>33436249</v>
      </c>
    </row>
    <row r="56" spans="1:11" ht="47.25">
      <c r="A56" s="28" t="s">
        <v>2060</v>
      </c>
      <c r="B56" s="28" t="s">
        <v>266</v>
      </c>
      <c r="C56" s="28" t="s">
        <v>274</v>
      </c>
      <c r="D56" s="28" t="s">
        <v>2070</v>
      </c>
      <c r="E56" s="28" t="s">
        <v>268</v>
      </c>
      <c r="F56" s="30" t="s">
        <v>77</v>
      </c>
      <c r="G56" s="30" t="s">
        <v>281</v>
      </c>
      <c r="H56" s="2" t="s">
        <v>2241</v>
      </c>
      <c r="I56" s="74">
        <v>27563000</v>
      </c>
      <c r="J56" s="99">
        <v>-149000</v>
      </c>
      <c r="K56" s="74">
        <f t="shared" si="8"/>
        <v>27414000</v>
      </c>
    </row>
    <row r="57" spans="1:11" ht="78.75">
      <c r="A57" s="28" t="s">
        <v>2060</v>
      </c>
      <c r="B57" s="28" t="s">
        <v>266</v>
      </c>
      <c r="C57" s="28" t="s">
        <v>274</v>
      </c>
      <c r="D57" s="28" t="s">
        <v>2070</v>
      </c>
      <c r="E57" s="28" t="s">
        <v>268</v>
      </c>
      <c r="F57" s="30" t="s">
        <v>77</v>
      </c>
      <c r="G57" s="30" t="s">
        <v>281</v>
      </c>
      <c r="H57" s="2" t="s">
        <v>2242</v>
      </c>
      <c r="I57" s="74">
        <v>223402</v>
      </c>
      <c r="J57" s="99"/>
      <c r="K57" s="74">
        <f t="shared" si="8"/>
        <v>223402</v>
      </c>
    </row>
    <row r="58" spans="1:11" ht="126">
      <c r="A58" s="28" t="s">
        <v>2066</v>
      </c>
      <c r="B58" s="28" t="s">
        <v>266</v>
      </c>
      <c r="C58" s="28" t="s">
        <v>274</v>
      </c>
      <c r="D58" s="28" t="s">
        <v>2576</v>
      </c>
      <c r="E58" s="28" t="s">
        <v>268</v>
      </c>
      <c r="F58" s="30" t="s">
        <v>2737</v>
      </c>
      <c r="G58" s="30" t="s">
        <v>281</v>
      </c>
      <c r="H58" s="344" t="s">
        <v>2738</v>
      </c>
      <c r="I58" s="74">
        <v>20786396.25</v>
      </c>
      <c r="J58" s="74"/>
      <c r="K58" s="74">
        <f t="shared" si="8"/>
        <v>20786396.25</v>
      </c>
    </row>
    <row r="59" spans="1:11" ht="160.5" customHeight="1">
      <c r="A59" s="28" t="s">
        <v>2066</v>
      </c>
      <c r="B59" s="28" t="s">
        <v>266</v>
      </c>
      <c r="C59" s="28" t="s">
        <v>274</v>
      </c>
      <c r="D59" s="28" t="s">
        <v>2576</v>
      </c>
      <c r="E59" s="28" t="s">
        <v>268</v>
      </c>
      <c r="F59" s="30" t="s">
        <v>2577</v>
      </c>
      <c r="G59" s="30" t="s">
        <v>281</v>
      </c>
      <c r="H59" s="344" t="s">
        <v>2604</v>
      </c>
      <c r="I59" s="74">
        <v>8624112.120000001</v>
      </c>
      <c r="J59" s="74"/>
      <c r="K59" s="74">
        <f t="shared" si="8"/>
        <v>8624112.120000001</v>
      </c>
    </row>
    <row r="60" spans="1:11" ht="84.75" customHeight="1">
      <c r="A60" s="28" t="s">
        <v>2066</v>
      </c>
      <c r="B60" s="28" t="s">
        <v>266</v>
      </c>
      <c r="C60" s="28" t="s">
        <v>274</v>
      </c>
      <c r="D60" s="28" t="s">
        <v>2685</v>
      </c>
      <c r="E60" s="28" t="s">
        <v>268</v>
      </c>
      <c r="F60" s="30" t="s">
        <v>2737</v>
      </c>
      <c r="G60" s="30" t="s">
        <v>281</v>
      </c>
      <c r="H60" s="344" t="s">
        <v>2739</v>
      </c>
      <c r="I60" s="74">
        <v>16513936.779999999</v>
      </c>
      <c r="J60" s="74">
        <v>-4395944.63</v>
      </c>
      <c r="K60" s="74">
        <f t="shared" si="8"/>
        <v>12117992.149999999</v>
      </c>
    </row>
    <row r="61" spans="1:11" ht="109.15" customHeight="1">
      <c r="A61" s="28" t="s">
        <v>2066</v>
      </c>
      <c r="B61" s="28" t="s">
        <v>266</v>
      </c>
      <c r="C61" s="28" t="s">
        <v>274</v>
      </c>
      <c r="D61" s="28" t="s">
        <v>2685</v>
      </c>
      <c r="E61" s="28" t="s">
        <v>268</v>
      </c>
      <c r="F61" s="30" t="s">
        <v>2577</v>
      </c>
      <c r="G61" s="30" t="s">
        <v>281</v>
      </c>
      <c r="H61" s="344" t="s">
        <v>2686</v>
      </c>
      <c r="I61" s="74">
        <v>5812907</v>
      </c>
      <c r="J61" s="74"/>
      <c r="K61" s="74">
        <f t="shared" si="8"/>
        <v>5812907</v>
      </c>
    </row>
    <row r="62" spans="1:11" ht="55.15" customHeight="1">
      <c r="A62" s="28" t="s">
        <v>2066</v>
      </c>
      <c r="B62" s="28" t="s">
        <v>266</v>
      </c>
      <c r="C62" s="28" t="s">
        <v>274</v>
      </c>
      <c r="D62" s="28" t="s">
        <v>2069</v>
      </c>
      <c r="E62" s="28" t="s">
        <v>268</v>
      </c>
      <c r="F62" s="30" t="s">
        <v>2687</v>
      </c>
      <c r="G62" s="30" t="s">
        <v>281</v>
      </c>
      <c r="H62" s="344" t="s">
        <v>2688</v>
      </c>
      <c r="I62" s="74">
        <v>200000</v>
      </c>
      <c r="J62" s="74"/>
      <c r="K62" s="74">
        <v>200000</v>
      </c>
    </row>
    <row r="63" spans="1:11" ht="114" customHeight="1">
      <c r="A63" s="28" t="s">
        <v>2066</v>
      </c>
      <c r="B63" s="28" t="s">
        <v>266</v>
      </c>
      <c r="C63" s="28" t="s">
        <v>274</v>
      </c>
      <c r="D63" s="28" t="s">
        <v>2069</v>
      </c>
      <c r="E63" s="28" t="s">
        <v>268</v>
      </c>
      <c r="F63" s="30" t="s">
        <v>2689</v>
      </c>
      <c r="G63" s="30" t="s">
        <v>281</v>
      </c>
      <c r="H63" s="344" t="s">
        <v>2445</v>
      </c>
      <c r="I63" s="74">
        <v>134000</v>
      </c>
      <c r="J63" s="74"/>
      <c r="K63" s="74">
        <v>134000</v>
      </c>
    </row>
    <row r="64" spans="1:11" ht="46.9" customHeight="1">
      <c r="A64" s="28" t="s">
        <v>2066</v>
      </c>
      <c r="B64" s="28" t="s">
        <v>266</v>
      </c>
      <c r="C64" s="28" t="s">
        <v>274</v>
      </c>
      <c r="D64" s="28" t="s">
        <v>2069</v>
      </c>
      <c r="E64" s="28" t="s">
        <v>268</v>
      </c>
      <c r="F64" s="30" t="s">
        <v>2690</v>
      </c>
      <c r="G64" s="30" t="s">
        <v>281</v>
      </c>
      <c r="H64" s="344" t="s">
        <v>2691</v>
      </c>
      <c r="I64" s="74">
        <v>414518</v>
      </c>
      <c r="J64" s="74"/>
      <c r="K64" s="74">
        <f>I64+J64</f>
        <v>414518</v>
      </c>
    </row>
    <row r="65" spans="1:11" ht="46.9" customHeight="1">
      <c r="A65" s="28" t="s">
        <v>1131</v>
      </c>
      <c r="B65" s="28" t="s">
        <v>266</v>
      </c>
      <c r="C65" s="28" t="s">
        <v>274</v>
      </c>
      <c r="D65" s="28" t="s">
        <v>2069</v>
      </c>
      <c r="E65" s="28" t="s">
        <v>268</v>
      </c>
      <c r="F65" s="30" t="s">
        <v>2690</v>
      </c>
      <c r="G65" s="30" t="s">
        <v>281</v>
      </c>
      <c r="H65" s="344" t="s">
        <v>2691</v>
      </c>
      <c r="I65" s="74">
        <v>5805000</v>
      </c>
      <c r="J65" s="74"/>
      <c r="K65" s="74">
        <f>I65+J65</f>
        <v>5805000</v>
      </c>
    </row>
    <row r="66" spans="1:11" ht="97.5" customHeight="1">
      <c r="A66" s="28" t="s">
        <v>2060</v>
      </c>
      <c r="B66" s="28" t="s">
        <v>266</v>
      </c>
      <c r="C66" s="28" t="s">
        <v>274</v>
      </c>
      <c r="D66" s="28" t="s">
        <v>2636</v>
      </c>
      <c r="E66" s="28" t="s">
        <v>268</v>
      </c>
      <c r="F66" s="30" t="s">
        <v>77</v>
      </c>
      <c r="G66" s="30" t="s">
        <v>281</v>
      </c>
      <c r="H66" s="344" t="s">
        <v>2702</v>
      </c>
      <c r="I66" s="74">
        <v>300000</v>
      </c>
      <c r="J66" s="74"/>
      <c r="K66" s="74">
        <f>I66+J66</f>
        <v>300000</v>
      </c>
    </row>
    <row r="67" spans="1:11" ht="82.5" customHeight="1">
      <c r="A67" s="28" t="s">
        <v>2060</v>
      </c>
      <c r="B67" s="28" t="s">
        <v>266</v>
      </c>
      <c r="C67" s="28" t="s">
        <v>274</v>
      </c>
      <c r="D67" s="28" t="s">
        <v>2636</v>
      </c>
      <c r="E67" s="28" t="s">
        <v>268</v>
      </c>
      <c r="F67" s="30" t="s">
        <v>77</v>
      </c>
      <c r="G67" s="30" t="s">
        <v>281</v>
      </c>
      <c r="H67" s="344" t="s">
        <v>2277</v>
      </c>
      <c r="I67" s="74">
        <v>4968000</v>
      </c>
      <c r="J67" s="74"/>
      <c r="K67" s="74">
        <f t="shared" si="8"/>
        <v>4968000</v>
      </c>
    </row>
    <row r="68" spans="1:11" ht="45.75" customHeight="1">
      <c r="A68" s="28" t="s">
        <v>2066</v>
      </c>
      <c r="B68" s="28" t="s">
        <v>266</v>
      </c>
      <c r="C68" s="28" t="s">
        <v>274</v>
      </c>
      <c r="D68" s="28" t="s">
        <v>2069</v>
      </c>
      <c r="E68" s="28" t="s">
        <v>268</v>
      </c>
      <c r="F68" s="30" t="s">
        <v>2540</v>
      </c>
      <c r="G68" s="30" t="s">
        <v>281</v>
      </c>
      <c r="H68" s="169" t="s">
        <v>2228</v>
      </c>
      <c r="I68" s="74">
        <v>69750</v>
      </c>
      <c r="J68" s="99"/>
      <c r="K68" s="74">
        <f t="shared" si="8"/>
        <v>69750</v>
      </c>
    </row>
    <row r="69" spans="1:11" ht="54" customHeight="1">
      <c r="A69" s="28" t="s">
        <v>2062</v>
      </c>
      <c r="B69" s="28" t="s">
        <v>266</v>
      </c>
      <c r="C69" s="28" t="s">
        <v>274</v>
      </c>
      <c r="D69" s="28" t="s">
        <v>2069</v>
      </c>
      <c r="E69" s="28" t="s">
        <v>268</v>
      </c>
      <c r="F69" s="30" t="s">
        <v>2541</v>
      </c>
      <c r="G69" s="30" t="s">
        <v>281</v>
      </c>
      <c r="H69" s="169" t="s">
        <v>2229</v>
      </c>
      <c r="I69" s="74">
        <v>6400000</v>
      </c>
      <c r="J69" s="99"/>
      <c r="K69" s="74">
        <f t="shared" si="8"/>
        <v>6400000</v>
      </c>
    </row>
    <row r="70" spans="1:11" ht="25.5" customHeight="1">
      <c r="A70" s="28" t="s">
        <v>2065</v>
      </c>
      <c r="B70" s="28" t="s">
        <v>266</v>
      </c>
      <c r="C70" s="28" t="s">
        <v>274</v>
      </c>
      <c r="D70" s="28" t="s">
        <v>2069</v>
      </c>
      <c r="E70" s="28" t="s">
        <v>268</v>
      </c>
      <c r="F70" s="30" t="s">
        <v>2561</v>
      </c>
      <c r="G70" s="30" t="s">
        <v>281</v>
      </c>
      <c r="H70" s="2" t="s">
        <v>2225</v>
      </c>
      <c r="I70" s="74">
        <v>815000</v>
      </c>
      <c r="J70" s="99"/>
      <c r="K70" s="74">
        <f t="shared" si="8"/>
        <v>815000</v>
      </c>
    </row>
    <row r="71" spans="1:11" ht="48" customHeight="1">
      <c r="A71" s="28" t="s">
        <v>2062</v>
      </c>
      <c r="B71" s="28" t="s">
        <v>266</v>
      </c>
      <c r="C71" s="28" t="s">
        <v>274</v>
      </c>
      <c r="D71" s="28" t="s">
        <v>2069</v>
      </c>
      <c r="E71" s="28" t="s">
        <v>268</v>
      </c>
      <c r="F71" s="30" t="s">
        <v>2531</v>
      </c>
      <c r="G71" s="30" t="s">
        <v>281</v>
      </c>
      <c r="H71" s="31" t="s">
        <v>2221</v>
      </c>
      <c r="I71" s="74">
        <v>5845480</v>
      </c>
      <c r="J71" s="99"/>
      <c r="K71" s="74">
        <f t="shared" si="8"/>
        <v>5845480</v>
      </c>
    </row>
    <row r="72" spans="1:11" ht="48" customHeight="1">
      <c r="A72" s="28" t="s">
        <v>2062</v>
      </c>
      <c r="B72" s="28" t="s">
        <v>266</v>
      </c>
      <c r="C72" s="28" t="s">
        <v>274</v>
      </c>
      <c r="D72" s="28" t="s">
        <v>2069</v>
      </c>
      <c r="E72" s="28" t="s">
        <v>268</v>
      </c>
      <c r="F72" s="30" t="s">
        <v>2532</v>
      </c>
      <c r="G72" s="30" t="s">
        <v>281</v>
      </c>
      <c r="H72" s="2" t="s">
        <v>646</v>
      </c>
      <c r="I72" s="74">
        <v>130000</v>
      </c>
      <c r="J72" s="99"/>
      <c r="K72" s="74">
        <f t="shared" si="8"/>
        <v>130000</v>
      </c>
    </row>
    <row r="73" spans="1:11" ht="69" customHeight="1">
      <c r="A73" s="28" t="s">
        <v>2065</v>
      </c>
      <c r="B73" s="28" t="s">
        <v>266</v>
      </c>
      <c r="C73" s="28" t="s">
        <v>274</v>
      </c>
      <c r="D73" s="28" t="s">
        <v>2069</v>
      </c>
      <c r="E73" s="28" t="s">
        <v>268</v>
      </c>
      <c r="F73" s="30" t="s">
        <v>2536</v>
      </c>
      <c r="G73" s="30" t="s">
        <v>281</v>
      </c>
      <c r="H73" s="2" t="s">
        <v>2570</v>
      </c>
      <c r="I73" s="74">
        <v>5997750</v>
      </c>
      <c r="J73" s="99"/>
      <c r="K73" s="74">
        <f t="shared" si="8"/>
        <v>5997750</v>
      </c>
    </row>
    <row r="74" spans="1:11" ht="69" customHeight="1">
      <c r="A74" s="28" t="s">
        <v>369</v>
      </c>
      <c r="B74" s="28" t="s">
        <v>266</v>
      </c>
      <c r="C74" s="28" t="s">
        <v>274</v>
      </c>
      <c r="D74" s="28" t="s">
        <v>2069</v>
      </c>
      <c r="E74" s="28" t="s">
        <v>268</v>
      </c>
      <c r="F74" s="30" t="s">
        <v>2693</v>
      </c>
      <c r="G74" s="30" t="s">
        <v>281</v>
      </c>
      <c r="H74" s="169" t="s">
        <v>2692</v>
      </c>
      <c r="I74" s="74">
        <v>800000</v>
      </c>
      <c r="J74" s="99"/>
      <c r="K74" s="74">
        <v>800000</v>
      </c>
    </row>
    <row r="75" spans="1:11" ht="38.25" customHeight="1">
      <c r="A75" s="28" t="s">
        <v>2065</v>
      </c>
      <c r="B75" s="28" t="s">
        <v>266</v>
      </c>
      <c r="C75" s="28" t="s">
        <v>274</v>
      </c>
      <c r="D75" s="28" t="s">
        <v>2069</v>
      </c>
      <c r="E75" s="28" t="s">
        <v>268</v>
      </c>
      <c r="F75" s="30" t="s">
        <v>2647</v>
      </c>
      <c r="G75" s="30" t="s">
        <v>281</v>
      </c>
      <c r="H75" s="2" t="s">
        <v>2648</v>
      </c>
      <c r="I75" s="74">
        <v>7452000</v>
      </c>
      <c r="J75" s="99"/>
      <c r="K75" s="74">
        <f t="shared" si="8"/>
        <v>7452000</v>
      </c>
    </row>
    <row r="76" spans="1:11" ht="48" customHeight="1">
      <c r="A76" s="28" t="s">
        <v>2065</v>
      </c>
      <c r="B76" s="28" t="s">
        <v>266</v>
      </c>
      <c r="C76" s="28" t="s">
        <v>274</v>
      </c>
      <c r="D76" s="28" t="s">
        <v>2069</v>
      </c>
      <c r="E76" s="28" t="s">
        <v>268</v>
      </c>
      <c r="F76" s="30" t="s">
        <v>2538</v>
      </c>
      <c r="G76" s="30" t="s">
        <v>281</v>
      </c>
      <c r="H76" s="169" t="s">
        <v>2226</v>
      </c>
      <c r="I76" s="74">
        <v>2140000</v>
      </c>
      <c r="J76" s="99"/>
      <c r="K76" s="74">
        <f t="shared" si="8"/>
        <v>2140000</v>
      </c>
    </row>
    <row r="77" spans="1:11" ht="31.5">
      <c r="A77" s="28" t="s">
        <v>2062</v>
      </c>
      <c r="B77" s="28" t="s">
        <v>266</v>
      </c>
      <c r="C77" s="28" t="s">
        <v>274</v>
      </c>
      <c r="D77" s="28" t="s">
        <v>2069</v>
      </c>
      <c r="E77" s="28" t="s">
        <v>268</v>
      </c>
      <c r="F77" s="30" t="s">
        <v>2533</v>
      </c>
      <c r="G77" s="30" t="s">
        <v>281</v>
      </c>
      <c r="H77" s="2" t="s">
        <v>2222</v>
      </c>
      <c r="I77" s="74">
        <v>97439</v>
      </c>
      <c r="J77" s="74"/>
      <c r="K77" s="74">
        <f t="shared" si="8"/>
        <v>97439</v>
      </c>
    </row>
    <row r="78" spans="1:11" ht="47.25">
      <c r="A78" s="28" t="s">
        <v>2062</v>
      </c>
      <c r="B78" s="28" t="s">
        <v>266</v>
      </c>
      <c r="C78" s="28" t="s">
        <v>274</v>
      </c>
      <c r="D78" s="28" t="s">
        <v>2069</v>
      </c>
      <c r="E78" s="28" t="s">
        <v>268</v>
      </c>
      <c r="F78" s="30" t="s">
        <v>2534</v>
      </c>
      <c r="G78" s="30" t="s">
        <v>281</v>
      </c>
      <c r="H78" s="2" t="s">
        <v>2223</v>
      </c>
      <c r="I78" s="74">
        <v>20000</v>
      </c>
      <c r="J78" s="99"/>
      <c r="K78" s="74">
        <f t="shared" si="8"/>
        <v>20000</v>
      </c>
    </row>
    <row r="79" spans="1:11" ht="47.25">
      <c r="A79" s="28" t="s">
        <v>1131</v>
      </c>
      <c r="B79" s="28" t="s">
        <v>266</v>
      </c>
      <c r="C79" s="28" t="s">
        <v>274</v>
      </c>
      <c r="D79" s="28" t="s">
        <v>2069</v>
      </c>
      <c r="E79" s="28" t="s">
        <v>268</v>
      </c>
      <c r="F79" s="30" t="s">
        <v>2535</v>
      </c>
      <c r="G79" s="30" t="s">
        <v>281</v>
      </c>
      <c r="H79" s="2" t="s">
        <v>2224</v>
      </c>
      <c r="I79" s="74">
        <v>434000</v>
      </c>
      <c r="J79" s="99"/>
      <c r="K79" s="74">
        <f t="shared" si="8"/>
        <v>434000</v>
      </c>
    </row>
    <row r="80" spans="1:11" ht="47.25">
      <c r="A80" s="28" t="s">
        <v>2065</v>
      </c>
      <c r="B80" s="28" t="s">
        <v>266</v>
      </c>
      <c r="C80" s="28" t="s">
        <v>274</v>
      </c>
      <c r="D80" s="28" t="s">
        <v>2069</v>
      </c>
      <c r="E80" s="28" t="s">
        <v>268</v>
      </c>
      <c r="F80" s="30" t="s">
        <v>2537</v>
      </c>
      <c r="G80" s="30" t="s">
        <v>281</v>
      </c>
      <c r="H80" s="2" t="s">
        <v>2571</v>
      </c>
      <c r="I80" s="74">
        <v>39202000</v>
      </c>
      <c r="J80" s="99"/>
      <c r="K80" s="74">
        <f t="shared" si="8"/>
        <v>39202000</v>
      </c>
    </row>
    <row r="81" spans="1:11" ht="78.75">
      <c r="A81" s="28" t="s">
        <v>2065</v>
      </c>
      <c r="B81" s="28" t="s">
        <v>266</v>
      </c>
      <c r="C81" s="28" t="s">
        <v>274</v>
      </c>
      <c r="D81" s="28" t="s">
        <v>2069</v>
      </c>
      <c r="E81" s="28" t="s">
        <v>268</v>
      </c>
      <c r="F81" s="30" t="s">
        <v>2643</v>
      </c>
      <c r="G81" s="30" t="s">
        <v>281</v>
      </c>
      <c r="H81" s="2" t="s">
        <v>2644</v>
      </c>
      <c r="I81" s="74">
        <v>1167071</v>
      </c>
      <c r="J81" s="99"/>
      <c r="K81" s="74">
        <f t="shared" si="8"/>
        <v>1167071</v>
      </c>
    </row>
    <row r="82" spans="1:11" ht="81.75" customHeight="1">
      <c r="A82" s="28" t="s">
        <v>2065</v>
      </c>
      <c r="B82" s="28" t="s">
        <v>266</v>
      </c>
      <c r="C82" s="28" t="s">
        <v>274</v>
      </c>
      <c r="D82" s="28" t="s">
        <v>2069</v>
      </c>
      <c r="E82" s="28" t="s">
        <v>268</v>
      </c>
      <c r="F82" s="30" t="s">
        <v>2539</v>
      </c>
      <c r="G82" s="30" t="s">
        <v>281</v>
      </c>
      <c r="H82" s="169" t="s">
        <v>2227</v>
      </c>
      <c r="I82" s="74">
        <v>493000</v>
      </c>
      <c r="J82" s="99"/>
      <c r="K82" s="74">
        <f t="shared" si="8"/>
        <v>493000</v>
      </c>
    </row>
    <row r="83" spans="1:11" ht="70.5" customHeight="1">
      <c r="A83" s="28" t="s">
        <v>2065</v>
      </c>
      <c r="B83" s="28" t="s">
        <v>266</v>
      </c>
      <c r="C83" s="28" t="s">
        <v>274</v>
      </c>
      <c r="D83" s="28" t="s">
        <v>2069</v>
      </c>
      <c r="E83" s="28" t="s">
        <v>268</v>
      </c>
      <c r="F83" s="30" t="s">
        <v>2645</v>
      </c>
      <c r="G83" s="30" t="s">
        <v>281</v>
      </c>
      <c r="H83" s="169" t="s">
        <v>2646</v>
      </c>
      <c r="I83" s="74">
        <v>1640390</v>
      </c>
      <c r="J83" s="99"/>
      <c r="K83" s="74">
        <f t="shared" si="8"/>
        <v>1640390</v>
      </c>
    </row>
    <row r="84" spans="1:11" ht="39.75" customHeight="1">
      <c r="A84" s="28" t="s">
        <v>2062</v>
      </c>
      <c r="B84" s="28" t="s">
        <v>266</v>
      </c>
      <c r="C84" s="28" t="s">
        <v>274</v>
      </c>
      <c r="D84" s="28" t="s">
        <v>2069</v>
      </c>
      <c r="E84" s="28" t="s">
        <v>268</v>
      </c>
      <c r="F84" s="30" t="s">
        <v>2651</v>
      </c>
      <c r="G84" s="30" t="s">
        <v>281</v>
      </c>
      <c r="H84" s="169" t="s">
        <v>2652</v>
      </c>
      <c r="I84" s="74">
        <v>12486467</v>
      </c>
      <c r="J84" s="99"/>
      <c r="K84" s="74">
        <f t="shared" si="8"/>
        <v>12486467</v>
      </c>
    </row>
    <row r="85" spans="1:11" ht="38.25" customHeight="1">
      <c r="A85" s="28" t="s">
        <v>2062</v>
      </c>
      <c r="B85" s="28" t="s">
        <v>266</v>
      </c>
      <c r="C85" s="28" t="s">
        <v>274</v>
      </c>
      <c r="D85" s="28" t="s">
        <v>2069</v>
      </c>
      <c r="E85" s="28" t="s">
        <v>268</v>
      </c>
      <c r="F85" s="30" t="s">
        <v>2649</v>
      </c>
      <c r="G85" s="30" t="s">
        <v>281</v>
      </c>
      <c r="H85" s="169" t="s">
        <v>2650</v>
      </c>
      <c r="I85" s="74">
        <v>608365</v>
      </c>
      <c r="J85" s="99"/>
      <c r="K85" s="74">
        <f t="shared" si="8"/>
        <v>608365</v>
      </c>
    </row>
    <row r="86" spans="1:11" ht="65.25" customHeight="1">
      <c r="A86" s="28" t="s">
        <v>2067</v>
      </c>
      <c r="B86" s="28" t="s">
        <v>266</v>
      </c>
      <c r="C86" s="28" t="s">
        <v>274</v>
      </c>
      <c r="D86" s="28" t="s">
        <v>2069</v>
      </c>
      <c r="E86" s="28" t="s">
        <v>268</v>
      </c>
      <c r="F86" s="30" t="s">
        <v>2748</v>
      </c>
      <c r="G86" s="30" t="s">
        <v>281</v>
      </c>
      <c r="H86" s="169" t="s">
        <v>2749</v>
      </c>
      <c r="I86" s="74">
        <v>3993000</v>
      </c>
      <c r="J86" s="99"/>
      <c r="K86" s="74">
        <f t="shared" si="8"/>
        <v>3993000</v>
      </c>
    </row>
    <row r="87" spans="1:11" ht="82.5" customHeight="1">
      <c r="A87" s="28" t="s">
        <v>2062</v>
      </c>
      <c r="B87" s="28" t="s">
        <v>266</v>
      </c>
      <c r="C87" s="28" t="s">
        <v>274</v>
      </c>
      <c r="D87" s="28" t="s">
        <v>2069</v>
      </c>
      <c r="E87" s="28" t="s">
        <v>268</v>
      </c>
      <c r="F87" s="30" t="s">
        <v>2758</v>
      </c>
      <c r="G87" s="30" t="s">
        <v>281</v>
      </c>
      <c r="H87" s="169" t="s">
        <v>2759</v>
      </c>
      <c r="I87" s="74"/>
      <c r="J87" s="99">
        <v>109361</v>
      </c>
      <c r="K87" s="74">
        <f t="shared" si="8"/>
        <v>109361</v>
      </c>
    </row>
    <row r="88" spans="1:11" ht="77.25" customHeight="1">
      <c r="A88" s="28" t="s">
        <v>2065</v>
      </c>
      <c r="B88" s="28" t="s">
        <v>266</v>
      </c>
      <c r="C88" s="28" t="s">
        <v>274</v>
      </c>
      <c r="D88" s="28" t="s">
        <v>2069</v>
      </c>
      <c r="E88" s="28" t="s">
        <v>268</v>
      </c>
      <c r="F88" s="30" t="s">
        <v>2742</v>
      </c>
      <c r="G88" s="30" t="s">
        <v>281</v>
      </c>
      <c r="H88" s="169" t="s">
        <v>2743</v>
      </c>
      <c r="I88" s="74">
        <v>70000</v>
      </c>
      <c r="J88" s="99"/>
      <c r="K88" s="74">
        <f t="shared" si="8"/>
        <v>70000</v>
      </c>
    </row>
    <row r="89" spans="1:11" ht="33" customHeight="1">
      <c r="A89" s="28" t="s">
        <v>2066</v>
      </c>
      <c r="B89" s="28" t="s">
        <v>266</v>
      </c>
      <c r="C89" s="28" t="s">
        <v>274</v>
      </c>
      <c r="D89" s="28" t="s">
        <v>2069</v>
      </c>
      <c r="E89" s="28" t="s">
        <v>268</v>
      </c>
      <c r="F89" s="30" t="s">
        <v>2756</v>
      </c>
      <c r="G89" s="30" t="s">
        <v>281</v>
      </c>
      <c r="H89" s="169" t="s">
        <v>2757</v>
      </c>
      <c r="I89" s="74"/>
      <c r="J89" s="99">
        <v>30000</v>
      </c>
      <c r="K89" s="74">
        <f t="shared" si="8"/>
        <v>30000</v>
      </c>
    </row>
    <row r="90" spans="1:11" s="3" customFormat="1" ht="47.25">
      <c r="A90" s="27" t="s">
        <v>73</v>
      </c>
      <c r="B90" s="27" t="s">
        <v>266</v>
      </c>
      <c r="C90" s="27" t="s">
        <v>274</v>
      </c>
      <c r="D90" s="27" t="s">
        <v>276</v>
      </c>
      <c r="E90" s="27" t="s">
        <v>75</v>
      </c>
      <c r="F90" s="29" t="s">
        <v>77</v>
      </c>
      <c r="G90" s="29" t="s">
        <v>281</v>
      </c>
      <c r="H90" s="49" t="s">
        <v>319</v>
      </c>
      <c r="I90" s="73">
        <v>827310465</v>
      </c>
      <c r="J90" s="102">
        <f>SUM(J91:J127)</f>
        <v>-5416910</v>
      </c>
      <c r="K90" s="73">
        <f>I90+J90</f>
        <v>821893555</v>
      </c>
    </row>
    <row r="91" spans="1:11" s="3" customFormat="1" ht="63">
      <c r="A91" s="28" t="s">
        <v>2067</v>
      </c>
      <c r="B91" s="28" t="s">
        <v>266</v>
      </c>
      <c r="C91" s="28" t="s">
        <v>274</v>
      </c>
      <c r="D91" s="28" t="s">
        <v>2077</v>
      </c>
      <c r="E91" s="28" t="s">
        <v>268</v>
      </c>
      <c r="F91" s="30" t="s">
        <v>77</v>
      </c>
      <c r="G91" s="30" t="s">
        <v>281</v>
      </c>
      <c r="H91" s="7" t="s">
        <v>2244</v>
      </c>
      <c r="I91" s="74">
        <v>33167000</v>
      </c>
      <c r="J91" s="99">
        <v>-6424000</v>
      </c>
      <c r="K91" s="74">
        <f>SUM(I91:J91)</f>
        <v>26743000</v>
      </c>
    </row>
    <row r="92" spans="1:11" s="3" customFormat="1" ht="63">
      <c r="A92" s="28" t="s">
        <v>2066</v>
      </c>
      <c r="B92" s="28" t="s">
        <v>266</v>
      </c>
      <c r="C92" s="28" t="s">
        <v>274</v>
      </c>
      <c r="D92" s="28" t="s">
        <v>2072</v>
      </c>
      <c r="E92" s="28" t="s">
        <v>268</v>
      </c>
      <c r="F92" s="30" t="s">
        <v>77</v>
      </c>
      <c r="G92" s="30" t="s">
        <v>281</v>
      </c>
      <c r="H92" s="7" t="s">
        <v>2245</v>
      </c>
      <c r="I92" s="74">
        <v>2600000</v>
      </c>
      <c r="J92" s="99">
        <v>120000</v>
      </c>
      <c r="K92" s="74">
        <f>SUM(I92:J92)</f>
        <v>2720000</v>
      </c>
    </row>
    <row r="93" spans="1:11" s="3" customFormat="1" ht="110.25">
      <c r="A93" s="28" t="s">
        <v>2067</v>
      </c>
      <c r="B93" s="28" t="s">
        <v>266</v>
      </c>
      <c r="C93" s="28" t="s">
        <v>274</v>
      </c>
      <c r="D93" s="28" t="s">
        <v>2076</v>
      </c>
      <c r="E93" s="28" t="s">
        <v>268</v>
      </c>
      <c r="F93" s="30" t="s">
        <v>77</v>
      </c>
      <c r="G93" s="30" t="s">
        <v>281</v>
      </c>
      <c r="H93" s="7" t="s">
        <v>2232</v>
      </c>
      <c r="I93" s="74">
        <v>4137000</v>
      </c>
      <c r="J93" s="98">
        <v>7483</v>
      </c>
      <c r="K93" s="74">
        <f>SUM(I93:J93)</f>
        <v>4144483</v>
      </c>
    </row>
    <row r="94" spans="1:11" s="3" customFormat="1" ht="78.75">
      <c r="A94" s="28" t="s">
        <v>2067</v>
      </c>
      <c r="B94" s="28" t="s">
        <v>266</v>
      </c>
      <c r="C94" s="28" t="s">
        <v>274</v>
      </c>
      <c r="D94" s="28" t="s">
        <v>2587</v>
      </c>
      <c r="E94" s="28" t="s">
        <v>268</v>
      </c>
      <c r="F94" s="30" t="s">
        <v>77</v>
      </c>
      <c r="G94" s="30" t="s">
        <v>281</v>
      </c>
      <c r="H94" s="7" t="s">
        <v>2588</v>
      </c>
      <c r="I94" s="74">
        <v>14000</v>
      </c>
      <c r="J94" s="98"/>
      <c r="K94" s="74">
        <f>SUM(I94:J94)</f>
        <v>14000</v>
      </c>
    </row>
    <row r="95" spans="1:11" s="3" customFormat="1" ht="47.25">
      <c r="A95" s="28" t="s">
        <v>1131</v>
      </c>
      <c r="B95" s="28" t="s">
        <v>266</v>
      </c>
      <c r="C95" s="28" t="s">
        <v>274</v>
      </c>
      <c r="D95" s="28" t="s">
        <v>2071</v>
      </c>
      <c r="E95" s="28" t="s">
        <v>268</v>
      </c>
      <c r="F95" s="30" t="s">
        <v>77</v>
      </c>
      <c r="G95" s="30" t="s">
        <v>281</v>
      </c>
      <c r="H95" s="7" t="s">
        <v>1032</v>
      </c>
      <c r="I95" s="74">
        <v>884000</v>
      </c>
      <c r="J95" s="98"/>
      <c r="K95" s="74">
        <f t="shared" ref="K95:K127" si="9">SUM(I95:J95)</f>
        <v>884000</v>
      </c>
    </row>
    <row r="96" spans="1:11" s="3" customFormat="1" ht="79.5" customHeight="1">
      <c r="A96" s="28" t="s">
        <v>2065</v>
      </c>
      <c r="B96" s="28" t="s">
        <v>266</v>
      </c>
      <c r="C96" s="28" t="s">
        <v>274</v>
      </c>
      <c r="D96" s="28" t="s">
        <v>2074</v>
      </c>
      <c r="E96" s="28" t="s">
        <v>268</v>
      </c>
      <c r="F96" s="30" t="s">
        <v>77</v>
      </c>
      <c r="G96" s="30" t="s">
        <v>281</v>
      </c>
      <c r="H96" s="7" t="s">
        <v>2231</v>
      </c>
      <c r="I96" s="74">
        <v>400000</v>
      </c>
      <c r="J96" s="99"/>
      <c r="K96" s="74">
        <f t="shared" ref="K96:K122" si="10">SUM(I96:J96)</f>
        <v>400000</v>
      </c>
    </row>
    <row r="97" spans="1:11" s="3" customFormat="1" ht="47.25">
      <c r="A97" s="28" t="s">
        <v>2067</v>
      </c>
      <c r="B97" s="28" t="s">
        <v>266</v>
      </c>
      <c r="C97" s="28" t="s">
        <v>274</v>
      </c>
      <c r="D97" s="28" t="s">
        <v>2078</v>
      </c>
      <c r="E97" s="28" t="s">
        <v>268</v>
      </c>
      <c r="F97" s="30" t="s">
        <v>77</v>
      </c>
      <c r="G97" s="30" t="s">
        <v>281</v>
      </c>
      <c r="H97" s="7" t="s">
        <v>444</v>
      </c>
      <c r="I97" s="74">
        <v>28361000</v>
      </c>
      <c r="J97" s="99"/>
      <c r="K97" s="74">
        <f t="shared" si="10"/>
        <v>28361000</v>
      </c>
    </row>
    <row r="98" spans="1:11" s="3" customFormat="1" ht="47.25">
      <c r="A98" s="28" t="s">
        <v>2065</v>
      </c>
      <c r="B98" s="28" t="s">
        <v>266</v>
      </c>
      <c r="C98" s="28" t="s">
        <v>274</v>
      </c>
      <c r="D98" s="28" t="s">
        <v>2079</v>
      </c>
      <c r="E98" s="28" t="s">
        <v>268</v>
      </c>
      <c r="F98" s="30" t="s">
        <v>2550</v>
      </c>
      <c r="G98" s="30" t="s">
        <v>281</v>
      </c>
      <c r="H98" s="7" t="s">
        <v>2602</v>
      </c>
      <c r="I98" s="74">
        <v>290243000</v>
      </c>
      <c r="J98" s="74">
        <v>-153000</v>
      </c>
      <c r="K98" s="74">
        <f t="shared" si="10"/>
        <v>290090000</v>
      </c>
    </row>
    <row r="99" spans="1:11" s="3" customFormat="1" ht="47.25">
      <c r="A99" s="28" t="s">
        <v>2065</v>
      </c>
      <c r="B99" s="28" t="s">
        <v>266</v>
      </c>
      <c r="C99" s="28" t="s">
        <v>274</v>
      </c>
      <c r="D99" s="28" t="s">
        <v>2079</v>
      </c>
      <c r="E99" s="28" t="s">
        <v>268</v>
      </c>
      <c r="F99" s="30" t="s">
        <v>2551</v>
      </c>
      <c r="G99" s="30" t="s">
        <v>281</v>
      </c>
      <c r="H99" s="7" t="s">
        <v>2243</v>
      </c>
      <c r="I99" s="74">
        <v>28150000</v>
      </c>
      <c r="J99" s="99">
        <v>-2527300</v>
      </c>
      <c r="K99" s="74">
        <f t="shared" si="10"/>
        <v>25622700</v>
      </c>
    </row>
    <row r="100" spans="1:11" s="3" customFormat="1" ht="110.25">
      <c r="A100" s="28" t="s">
        <v>2065</v>
      </c>
      <c r="B100" s="28" t="s">
        <v>266</v>
      </c>
      <c r="C100" s="28" t="s">
        <v>274</v>
      </c>
      <c r="D100" s="28" t="s">
        <v>2079</v>
      </c>
      <c r="E100" s="28" t="s">
        <v>268</v>
      </c>
      <c r="F100" s="30" t="s">
        <v>2542</v>
      </c>
      <c r="G100" s="30" t="s">
        <v>281</v>
      </c>
      <c r="H100" s="7" t="s">
        <v>2238</v>
      </c>
      <c r="I100" s="74">
        <v>2252000</v>
      </c>
      <c r="J100" s="99"/>
      <c r="K100" s="74">
        <f t="shared" si="10"/>
        <v>2252000</v>
      </c>
    </row>
    <row r="101" spans="1:11" s="3" customFormat="1" ht="63">
      <c r="A101" s="28" t="s">
        <v>2067</v>
      </c>
      <c r="B101" s="28" t="s">
        <v>266</v>
      </c>
      <c r="C101" s="28" t="s">
        <v>274</v>
      </c>
      <c r="D101" s="28" t="s">
        <v>2079</v>
      </c>
      <c r="E101" s="28" t="s">
        <v>268</v>
      </c>
      <c r="F101" s="30" t="s">
        <v>2545</v>
      </c>
      <c r="G101" s="30" t="s">
        <v>281</v>
      </c>
      <c r="H101" s="170" t="s">
        <v>505</v>
      </c>
      <c r="I101" s="74">
        <v>24200</v>
      </c>
      <c r="J101" s="99"/>
      <c r="K101" s="74">
        <f t="shared" si="10"/>
        <v>24200</v>
      </c>
    </row>
    <row r="102" spans="1:11" s="3" customFormat="1" ht="63">
      <c r="A102" s="28" t="s">
        <v>2065</v>
      </c>
      <c r="B102" s="28" t="s">
        <v>266</v>
      </c>
      <c r="C102" s="28" t="s">
        <v>274</v>
      </c>
      <c r="D102" s="28" t="s">
        <v>2079</v>
      </c>
      <c r="E102" s="28" t="s">
        <v>268</v>
      </c>
      <c r="F102" s="30" t="s">
        <v>2556</v>
      </c>
      <c r="G102" s="30" t="s">
        <v>281</v>
      </c>
      <c r="H102" s="171" t="s">
        <v>2574</v>
      </c>
      <c r="I102" s="74">
        <v>112000</v>
      </c>
      <c r="J102" s="99"/>
      <c r="K102" s="74">
        <f t="shared" si="10"/>
        <v>112000</v>
      </c>
    </row>
    <row r="103" spans="1:11" s="3" customFormat="1" ht="94.5">
      <c r="A103" s="28" t="s">
        <v>2067</v>
      </c>
      <c r="B103" s="28" t="s">
        <v>266</v>
      </c>
      <c r="C103" s="28" t="s">
        <v>274</v>
      </c>
      <c r="D103" s="28" t="s">
        <v>2079</v>
      </c>
      <c r="E103" s="28" t="s">
        <v>268</v>
      </c>
      <c r="F103" s="30" t="s">
        <v>2544</v>
      </c>
      <c r="G103" s="30" t="s">
        <v>281</v>
      </c>
      <c r="H103" s="7" t="s">
        <v>868</v>
      </c>
      <c r="I103" s="74">
        <v>46843000</v>
      </c>
      <c r="J103" s="99">
        <v>3579900</v>
      </c>
      <c r="K103" s="74">
        <f t="shared" si="10"/>
        <v>50422900</v>
      </c>
    </row>
    <row r="104" spans="1:11" s="3" customFormat="1" ht="47.25">
      <c r="A104" s="167">
        <v>950</v>
      </c>
      <c r="B104" s="168" t="s">
        <v>266</v>
      </c>
      <c r="C104" s="168" t="s">
        <v>274</v>
      </c>
      <c r="D104" s="168" t="s">
        <v>2079</v>
      </c>
      <c r="E104" s="168" t="s">
        <v>268</v>
      </c>
      <c r="F104" s="168" t="s">
        <v>2552</v>
      </c>
      <c r="G104" s="168" t="s">
        <v>281</v>
      </c>
      <c r="H104" s="7" t="s">
        <v>708</v>
      </c>
      <c r="I104" s="74">
        <v>2075000</v>
      </c>
      <c r="J104" s="99">
        <v>243800</v>
      </c>
      <c r="K104" s="74">
        <f t="shared" si="10"/>
        <v>2318800</v>
      </c>
    </row>
    <row r="105" spans="1:11" s="3" customFormat="1" ht="47.25">
      <c r="A105" s="28" t="s">
        <v>2067</v>
      </c>
      <c r="B105" s="28" t="s">
        <v>266</v>
      </c>
      <c r="C105" s="28" t="s">
        <v>274</v>
      </c>
      <c r="D105" s="28" t="s">
        <v>2079</v>
      </c>
      <c r="E105" s="28" t="s">
        <v>268</v>
      </c>
      <c r="F105" s="30" t="s">
        <v>2553</v>
      </c>
      <c r="G105" s="30" t="s">
        <v>281</v>
      </c>
      <c r="H105" s="7" t="s">
        <v>1617</v>
      </c>
      <c r="I105" s="74">
        <v>12259000</v>
      </c>
      <c r="J105" s="99">
        <v>928000</v>
      </c>
      <c r="K105" s="74">
        <f t="shared" si="10"/>
        <v>13187000</v>
      </c>
    </row>
    <row r="106" spans="1:11" s="3" customFormat="1" ht="31.5">
      <c r="A106" s="28" t="s">
        <v>2065</v>
      </c>
      <c r="B106" s="28" t="s">
        <v>266</v>
      </c>
      <c r="C106" s="28" t="s">
        <v>274</v>
      </c>
      <c r="D106" s="28" t="s">
        <v>2079</v>
      </c>
      <c r="E106" s="28" t="s">
        <v>268</v>
      </c>
      <c r="F106" s="30" t="s">
        <v>2554</v>
      </c>
      <c r="G106" s="30" t="s">
        <v>281</v>
      </c>
      <c r="H106" s="7" t="s">
        <v>1091</v>
      </c>
      <c r="I106" s="74">
        <v>3100000</v>
      </c>
      <c r="J106" s="99">
        <v>700000</v>
      </c>
      <c r="K106" s="74">
        <f t="shared" si="10"/>
        <v>3800000</v>
      </c>
    </row>
    <row r="107" spans="1:11" s="3" customFormat="1" ht="47.25">
      <c r="A107" s="28" t="s">
        <v>2066</v>
      </c>
      <c r="B107" s="28" t="s">
        <v>266</v>
      </c>
      <c r="C107" s="28" t="s">
        <v>274</v>
      </c>
      <c r="D107" s="28" t="s">
        <v>2079</v>
      </c>
      <c r="E107" s="28" t="s">
        <v>268</v>
      </c>
      <c r="F107" s="30" t="s">
        <v>2558</v>
      </c>
      <c r="G107" s="30" t="s">
        <v>281</v>
      </c>
      <c r="H107" s="7" t="s">
        <v>1479</v>
      </c>
      <c r="I107" s="74">
        <v>202521</v>
      </c>
      <c r="J107" s="99">
        <v>14583</v>
      </c>
      <c r="K107" s="74">
        <f t="shared" si="10"/>
        <v>217104</v>
      </c>
    </row>
    <row r="108" spans="1:11" s="3" customFormat="1" ht="15.75">
      <c r="A108" s="28" t="s">
        <v>2067</v>
      </c>
      <c r="B108" s="28" t="s">
        <v>266</v>
      </c>
      <c r="C108" s="28" t="s">
        <v>274</v>
      </c>
      <c r="D108" s="28" t="s">
        <v>2079</v>
      </c>
      <c r="E108" s="28" t="s">
        <v>268</v>
      </c>
      <c r="F108" s="30" t="s">
        <v>2547</v>
      </c>
      <c r="G108" s="30" t="s">
        <v>281</v>
      </c>
      <c r="H108" s="7" t="s">
        <v>336</v>
      </c>
      <c r="I108" s="74">
        <v>39163268</v>
      </c>
      <c r="J108" s="99"/>
      <c r="K108" s="74">
        <f t="shared" si="10"/>
        <v>39163268</v>
      </c>
    </row>
    <row r="109" spans="1:11" s="3" customFormat="1" ht="126">
      <c r="A109" s="28" t="s">
        <v>2067</v>
      </c>
      <c r="B109" s="28" t="s">
        <v>266</v>
      </c>
      <c r="C109" s="28" t="s">
        <v>274</v>
      </c>
      <c r="D109" s="28" t="s">
        <v>2079</v>
      </c>
      <c r="E109" s="28" t="s">
        <v>268</v>
      </c>
      <c r="F109" s="30" t="s">
        <v>2546</v>
      </c>
      <c r="G109" s="30" t="s">
        <v>281</v>
      </c>
      <c r="H109" s="7" t="s">
        <v>2068</v>
      </c>
      <c r="I109" s="74">
        <v>45453001</v>
      </c>
      <c r="J109" s="99"/>
      <c r="K109" s="74">
        <f t="shared" si="10"/>
        <v>45453001</v>
      </c>
    </row>
    <row r="110" spans="1:11" s="3" customFormat="1" ht="31.5">
      <c r="A110" s="28" t="s">
        <v>2067</v>
      </c>
      <c r="B110" s="28" t="s">
        <v>266</v>
      </c>
      <c r="C110" s="28" t="s">
        <v>274</v>
      </c>
      <c r="D110" s="28" t="s">
        <v>2079</v>
      </c>
      <c r="E110" s="28" t="s">
        <v>268</v>
      </c>
      <c r="F110" s="30" t="s">
        <v>2557</v>
      </c>
      <c r="G110" s="30" t="s">
        <v>281</v>
      </c>
      <c r="H110" s="7" t="s">
        <v>288</v>
      </c>
      <c r="I110" s="74">
        <v>3811507</v>
      </c>
      <c r="J110" s="99"/>
      <c r="K110" s="74">
        <f t="shared" si="10"/>
        <v>3811507</v>
      </c>
    </row>
    <row r="111" spans="1:11" s="3" customFormat="1" ht="47.25">
      <c r="A111" s="28" t="s">
        <v>2067</v>
      </c>
      <c r="B111" s="28" t="s">
        <v>266</v>
      </c>
      <c r="C111" s="28" t="s">
        <v>274</v>
      </c>
      <c r="D111" s="28" t="s">
        <v>2079</v>
      </c>
      <c r="E111" s="28" t="s">
        <v>268</v>
      </c>
      <c r="F111" s="30" t="s">
        <v>2562</v>
      </c>
      <c r="G111" s="30" t="s">
        <v>281</v>
      </c>
      <c r="H111" s="7" t="s">
        <v>1092</v>
      </c>
      <c r="I111" s="74">
        <v>30530000</v>
      </c>
      <c r="J111" s="99"/>
      <c r="K111" s="74">
        <f t="shared" si="10"/>
        <v>30530000</v>
      </c>
    </row>
    <row r="112" spans="1:11" s="3" customFormat="1" ht="78.75">
      <c r="A112" s="28" t="s">
        <v>2067</v>
      </c>
      <c r="B112" s="28" t="s">
        <v>266</v>
      </c>
      <c r="C112" s="28" t="s">
        <v>274</v>
      </c>
      <c r="D112" s="28" t="s">
        <v>2079</v>
      </c>
      <c r="E112" s="28" t="s">
        <v>268</v>
      </c>
      <c r="F112" s="30" t="s">
        <v>2563</v>
      </c>
      <c r="G112" s="30" t="s">
        <v>281</v>
      </c>
      <c r="H112" s="7" t="s">
        <v>2235</v>
      </c>
      <c r="I112" s="74">
        <v>24823000</v>
      </c>
      <c r="J112" s="99">
        <v>-2000000</v>
      </c>
      <c r="K112" s="74">
        <f t="shared" si="10"/>
        <v>22823000</v>
      </c>
    </row>
    <row r="113" spans="1:11" s="3" customFormat="1" ht="31.5">
      <c r="A113" s="28" t="s">
        <v>2065</v>
      </c>
      <c r="B113" s="28" t="s">
        <v>266</v>
      </c>
      <c r="C113" s="28" t="s">
        <v>274</v>
      </c>
      <c r="D113" s="28" t="s">
        <v>2079</v>
      </c>
      <c r="E113" s="28" t="s">
        <v>268</v>
      </c>
      <c r="F113" s="30" t="s">
        <v>2548</v>
      </c>
      <c r="G113" s="30" t="s">
        <v>281</v>
      </c>
      <c r="H113" s="7" t="s">
        <v>214</v>
      </c>
      <c r="I113" s="74">
        <v>1987061</v>
      </c>
      <c r="J113" s="99">
        <v>-110000</v>
      </c>
      <c r="K113" s="74">
        <f t="shared" si="10"/>
        <v>1877061</v>
      </c>
    </row>
    <row r="114" spans="1:11" s="3" customFormat="1" ht="94.5">
      <c r="A114" s="28" t="s">
        <v>2065</v>
      </c>
      <c r="B114" s="28" t="s">
        <v>266</v>
      </c>
      <c r="C114" s="28" t="s">
        <v>274</v>
      </c>
      <c r="D114" s="28" t="s">
        <v>2079</v>
      </c>
      <c r="E114" s="28" t="s">
        <v>268</v>
      </c>
      <c r="F114" s="30" t="s">
        <v>2549</v>
      </c>
      <c r="G114" s="30" t="s">
        <v>281</v>
      </c>
      <c r="H114" s="7" t="s">
        <v>2572</v>
      </c>
      <c r="I114" s="74">
        <v>1812000</v>
      </c>
      <c r="J114" s="99"/>
      <c r="K114" s="74">
        <f t="shared" si="10"/>
        <v>1812000</v>
      </c>
    </row>
    <row r="115" spans="1:11" s="3" customFormat="1" ht="47.25">
      <c r="A115" s="28" t="s">
        <v>2065</v>
      </c>
      <c r="B115" s="28" t="s">
        <v>266</v>
      </c>
      <c r="C115" s="28" t="s">
        <v>274</v>
      </c>
      <c r="D115" s="28" t="s">
        <v>2079</v>
      </c>
      <c r="E115" s="28" t="s">
        <v>268</v>
      </c>
      <c r="F115" s="30" t="s">
        <v>2555</v>
      </c>
      <c r="G115" s="30" t="s">
        <v>281</v>
      </c>
      <c r="H115" s="7" t="s">
        <v>2573</v>
      </c>
      <c r="I115" s="74">
        <v>155691000</v>
      </c>
      <c r="J115" s="99">
        <v>-1600000</v>
      </c>
      <c r="K115" s="74">
        <f t="shared" si="10"/>
        <v>154091000</v>
      </c>
    </row>
    <row r="116" spans="1:11" s="3" customFormat="1" ht="78.75">
      <c r="A116" s="28" t="s">
        <v>2067</v>
      </c>
      <c r="B116" s="28" t="s">
        <v>266</v>
      </c>
      <c r="C116" s="28" t="s">
        <v>274</v>
      </c>
      <c r="D116" s="28" t="s">
        <v>2079</v>
      </c>
      <c r="E116" s="28" t="s">
        <v>268</v>
      </c>
      <c r="F116" s="30" t="s">
        <v>2543</v>
      </c>
      <c r="G116" s="30" t="s">
        <v>281</v>
      </c>
      <c r="H116" s="7" t="s">
        <v>2236</v>
      </c>
      <c r="I116" s="74">
        <v>6119000</v>
      </c>
      <c r="J116" s="99"/>
      <c r="K116" s="74">
        <f t="shared" si="10"/>
        <v>6119000</v>
      </c>
    </row>
    <row r="117" spans="1:11" s="3" customFormat="1" ht="94.5">
      <c r="A117" s="28" t="s">
        <v>2065</v>
      </c>
      <c r="B117" s="28" t="s">
        <v>266</v>
      </c>
      <c r="C117" s="28" t="s">
        <v>274</v>
      </c>
      <c r="D117" s="28" t="s">
        <v>2079</v>
      </c>
      <c r="E117" s="28" t="s">
        <v>268</v>
      </c>
      <c r="F117" s="30" t="s">
        <v>2585</v>
      </c>
      <c r="G117" s="30" t="s">
        <v>281</v>
      </c>
      <c r="H117" s="7" t="s">
        <v>2586</v>
      </c>
      <c r="I117" s="74">
        <v>7364000</v>
      </c>
      <c r="J117" s="99">
        <v>1803624</v>
      </c>
      <c r="K117" s="74">
        <f t="shared" si="10"/>
        <v>9167624</v>
      </c>
    </row>
    <row r="118" spans="1:11" s="3" customFormat="1" ht="94.5">
      <c r="A118" s="28" t="s">
        <v>2067</v>
      </c>
      <c r="B118" s="28" t="s">
        <v>266</v>
      </c>
      <c r="C118" s="28" t="s">
        <v>274</v>
      </c>
      <c r="D118" s="28" t="s">
        <v>2079</v>
      </c>
      <c r="E118" s="28" t="s">
        <v>268</v>
      </c>
      <c r="F118" s="30" t="s">
        <v>2589</v>
      </c>
      <c r="G118" s="30" t="s">
        <v>281</v>
      </c>
      <c r="H118" s="7" t="s">
        <v>2590</v>
      </c>
      <c r="I118" s="74">
        <v>700000</v>
      </c>
      <c r="J118" s="99"/>
      <c r="K118" s="74">
        <f t="shared" si="10"/>
        <v>700000</v>
      </c>
    </row>
    <row r="119" spans="1:11" s="3" customFormat="1" ht="157.5">
      <c r="A119" s="28" t="s">
        <v>2067</v>
      </c>
      <c r="B119" s="28" t="s">
        <v>266</v>
      </c>
      <c r="C119" s="28" t="s">
        <v>274</v>
      </c>
      <c r="D119" s="28" t="s">
        <v>2079</v>
      </c>
      <c r="E119" s="28" t="s">
        <v>268</v>
      </c>
      <c r="F119" s="30" t="s">
        <v>2591</v>
      </c>
      <c r="G119" s="30" t="s">
        <v>281</v>
      </c>
      <c r="H119" s="7" t="s">
        <v>2592</v>
      </c>
      <c r="I119" s="74">
        <v>4011000</v>
      </c>
      <c r="J119" s="99"/>
      <c r="K119" s="74">
        <f t="shared" si="10"/>
        <v>4011000</v>
      </c>
    </row>
    <row r="120" spans="1:11" s="3" customFormat="1" ht="155.25" customHeight="1">
      <c r="A120" s="28" t="s">
        <v>2067</v>
      </c>
      <c r="B120" s="28" t="s">
        <v>266</v>
      </c>
      <c r="C120" s="28" t="s">
        <v>274</v>
      </c>
      <c r="D120" s="28" t="s">
        <v>2079</v>
      </c>
      <c r="E120" s="28" t="s">
        <v>268</v>
      </c>
      <c r="F120" s="30" t="s">
        <v>2593</v>
      </c>
      <c r="G120" s="30" t="s">
        <v>281</v>
      </c>
      <c r="H120" s="7" t="s">
        <v>2594</v>
      </c>
      <c r="I120" s="74">
        <v>350000</v>
      </c>
      <c r="J120" s="99"/>
      <c r="K120" s="74">
        <f t="shared" si="10"/>
        <v>350000</v>
      </c>
    </row>
    <row r="121" spans="1:11" s="3" customFormat="1" ht="81.75" customHeight="1">
      <c r="A121" s="28" t="s">
        <v>2744</v>
      </c>
      <c r="B121" s="28" t="s">
        <v>266</v>
      </c>
      <c r="C121" s="28" t="s">
        <v>274</v>
      </c>
      <c r="D121" s="28" t="s">
        <v>2079</v>
      </c>
      <c r="E121" s="28" t="s">
        <v>268</v>
      </c>
      <c r="F121" s="30" t="s">
        <v>2745</v>
      </c>
      <c r="G121" s="30" t="s">
        <v>281</v>
      </c>
      <c r="H121" s="7" t="s">
        <v>2746</v>
      </c>
      <c r="I121" s="74">
        <v>62860</v>
      </c>
      <c r="J121" s="99"/>
      <c r="K121" s="74">
        <f t="shared" si="10"/>
        <v>62860</v>
      </c>
    </row>
    <row r="122" spans="1:11" s="3" customFormat="1" ht="63">
      <c r="A122" s="28" t="s">
        <v>2065</v>
      </c>
      <c r="B122" s="28" t="s">
        <v>266</v>
      </c>
      <c r="C122" s="28" t="s">
        <v>274</v>
      </c>
      <c r="D122" s="28" t="s">
        <v>2080</v>
      </c>
      <c r="E122" s="28" t="s">
        <v>268</v>
      </c>
      <c r="F122" s="30" t="s">
        <v>77</v>
      </c>
      <c r="G122" s="30" t="s">
        <v>281</v>
      </c>
      <c r="H122" s="7" t="s">
        <v>1618</v>
      </c>
      <c r="I122" s="74">
        <v>25460047</v>
      </c>
      <c r="J122" s="99"/>
      <c r="K122" s="74">
        <f t="shared" si="10"/>
        <v>25460047</v>
      </c>
    </row>
    <row r="123" spans="1:11" s="3" customFormat="1" ht="110.25">
      <c r="A123" s="28" t="s">
        <v>2065</v>
      </c>
      <c r="B123" s="28" t="s">
        <v>266</v>
      </c>
      <c r="C123" s="28" t="s">
        <v>274</v>
      </c>
      <c r="D123" s="28" t="s">
        <v>2073</v>
      </c>
      <c r="E123" s="28" t="s">
        <v>268</v>
      </c>
      <c r="F123" s="30" t="s">
        <v>77</v>
      </c>
      <c r="G123" s="30" t="s">
        <v>281</v>
      </c>
      <c r="H123" s="7" t="s">
        <v>2237</v>
      </c>
      <c r="I123" s="74">
        <v>2155000</v>
      </c>
      <c r="J123" s="99"/>
      <c r="K123" s="74">
        <f t="shared" si="9"/>
        <v>2155000</v>
      </c>
    </row>
    <row r="124" spans="1:11" s="3" customFormat="1" ht="127.5" customHeight="1">
      <c r="A124" s="28" t="s">
        <v>2067</v>
      </c>
      <c r="B124" s="28" t="s">
        <v>266</v>
      </c>
      <c r="C124" s="28" t="s">
        <v>274</v>
      </c>
      <c r="D124" s="28" t="s">
        <v>2075</v>
      </c>
      <c r="E124" s="28" t="s">
        <v>268</v>
      </c>
      <c r="F124" s="30" t="s">
        <v>77</v>
      </c>
      <c r="G124" s="30" t="s">
        <v>281</v>
      </c>
      <c r="H124" s="7" t="s">
        <v>2233</v>
      </c>
      <c r="I124" s="74">
        <v>513000</v>
      </c>
      <c r="J124" s="99"/>
      <c r="K124" s="74">
        <f t="shared" si="9"/>
        <v>513000</v>
      </c>
    </row>
    <row r="125" spans="1:11" s="3" customFormat="1" ht="78.75">
      <c r="A125" s="28" t="s">
        <v>2067</v>
      </c>
      <c r="B125" s="28" t="s">
        <v>266</v>
      </c>
      <c r="C125" s="28" t="s">
        <v>274</v>
      </c>
      <c r="D125" s="28" t="s">
        <v>2488</v>
      </c>
      <c r="E125" s="28" t="s">
        <v>268</v>
      </c>
      <c r="F125" s="30" t="s">
        <v>77</v>
      </c>
      <c r="G125" s="30" t="s">
        <v>281</v>
      </c>
      <c r="H125" s="7" t="s">
        <v>2595</v>
      </c>
      <c r="I125" s="74">
        <v>5584000</v>
      </c>
      <c r="J125" s="99"/>
      <c r="K125" s="74">
        <f t="shared" si="9"/>
        <v>5584000</v>
      </c>
    </row>
    <row r="126" spans="1:11" s="3" customFormat="1" ht="110.25">
      <c r="A126" s="28" t="s">
        <v>2067</v>
      </c>
      <c r="B126" s="28" t="s">
        <v>266</v>
      </c>
      <c r="C126" s="28" t="s">
        <v>274</v>
      </c>
      <c r="D126" s="28" t="s">
        <v>2567</v>
      </c>
      <c r="E126" s="28" t="s">
        <v>268</v>
      </c>
      <c r="F126" s="30" t="s">
        <v>77</v>
      </c>
      <c r="G126" s="30" t="s">
        <v>281</v>
      </c>
      <c r="H126" s="7" t="s">
        <v>2234</v>
      </c>
      <c r="I126" s="74">
        <v>15272000</v>
      </c>
      <c r="J126" s="98"/>
      <c r="K126" s="74">
        <f t="shared" si="9"/>
        <v>15272000</v>
      </c>
    </row>
    <row r="127" spans="1:11" s="3" customFormat="1" ht="94.5">
      <c r="A127" s="28" t="s">
        <v>2067</v>
      </c>
      <c r="B127" s="28" t="s">
        <v>266</v>
      </c>
      <c r="C127" s="28" t="s">
        <v>274</v>
      </c>
      <c r="D127" s="28" t="s">
        <v>2567</v>
      </c>
      <c r="E127" s="28" t="s">
        <v>268</v>
      </c>
      <c r="F127" s="30" t="s">
        <v>77</v>
      </c>
      <c r="G127" s="30" t="s">
        <v>281</v>
      </c>
      <c r="H127" s="7" t="s">
        <v>2603</v>
      </c>
      <c r="I127" s="74">
        <v>1625000</v>
      </c>
      <c r="J127" s="99"/>
      <c r="K127" s="74">
        <f t="shared" si="9"/>
        <v>1625000</v>
      </c>
    </row>
    <row r="128" spans="1:11" s="3" customFormat="1" ht="17.25" customHeight="1">
      <c r="A128" s="27" t="s">
        <v>73</v>
      </c>
      <c r="B128" s="27" t="s">
        <v>266</v>
      </c>
      <c r="C128" s="27" t="s">
        <v>274</v>
      </c>
      <c r="D128" s="27" t="s">
        <v>953</v>
      </c>
      <c r="E128" s="27" t="s">
        <v>75</v>
      </c>
      <c r="F128" s="29" t="s">
        <v>77</v>
      </c>
      <c r="G128" s="29" t="s">
        <v>281</v>
      </c>
      <c r="H128" s="49" t="s">
        <v>320</v>
      </c>
      <c r="I128" s="75">
        <v>105864575.75000001</v>
      </c>
      <c r="J128" s="102">
        <f>SUM(J129:J148)</f>
        <v>-4401287.5100000007</v>
      </c>
      <c r="K128" s="102">
        <f>SUM(K129:K148)</f>
        <v>101463288.24000001</v>
      </c>
    </row>
    <row r="129" spans="1:11" s="3" customFormat="1" ht="99.75" customHeight="1">
      <c r="A129" s="28" t="s">
        <v>1131</v>
      </c>
      <c r="B129" s="28" t="s">
        <v>266</v>
      </c>
      <c r="C129" s="28" t="s">
        <v>274</v>
      </c>
      <c r="D129" s="28" t="s">
        <v>2631</v>
      </c>
      <c r="E129" s="28" t="s">
        <v>268</v>
      </c>
      <c r="F129" s="30" t="s">
        <v>2632</v>
      </c>
      <c r="G129" s="30" t="s">
        <v>281</v>
      </c>
      <c r="H129" s="7" t="s">
        <v>900</v>
      </c>
      <c r="I129" s="74">
        <v>159500</v>
      </c>
      <c r="J129" s="100"/>
      <c r="K129" s="74">
        <f t="shared" ref="K129:K135" si="11">I129+J129</f>
        <v>159500</v>
      </c>
    </row>
    <row r="130" spans="1:11" s="3" customFormat="1" ht="75" customHeight="1">
      <c r="A130" s="28" t="s">
        <v>2060</v>
      </c>
      <c r="B130" s="28" t="s">
        <v>266</v>
      </c>
      <c r="C130" s="28" t="s">
        <v>274</v>
      </c>
      <c r="D130" s="28" t="s">
        <v>2122</v>
      </c>
      <c r="E130" s="28" t="s">
        <v>268</v>
      </c>
      <c r="F130" s="30" t="s">
        <v>2698</v>
      </c>
      <c r="G130" s="30" t="s">
        <v>281</v>
      </c>
      <c r="H130" s="7" t="s">
        <v>2699</v>
      </c>
      <c r="I130" s="74">
        <v>1009690</v>
      </c>
      <c r="J130" s="100"/>
      <c r="K130" s="74">
        <f t="shared" si="11"/>
        <v>1009690</v>
      </c>
    </row>
    <row r="131" spans="1:11" s="3" customFormat="1" ht="70.5" customHeight="1">
      <c r="A131" s="28" t="s">
        <v>2060</v>
      </c>
      <c r="B131" s="28" t="s">
        <v>266</v>
      </c>
      <c r="C131" s="28" t="s">
        <v>274</v>
      </c>
      <c r="D131" s="28" t="s">
        <v>2122</v>
      </c>
      <c r="E131" s="28" t="s">
        <v>268</v>
      </c>
      <c r="F131" s="30" t="s">
        <v>2637</v>
      </c>
      <c r="G131" s="30" t="s">
        <v>281</v>
      </c>
      <c r="H131" s="345" t="s">
        <v>2638</v>
      </c>
      <c r="I131" s="74">
        <v>300000</v>
      </c>
      <c r="J131" s="100"/>
      <c r="K131" s="74">
        <f t="shared" si="11"/>
        <v>300000</v>
      </c>
    </row>
    <row r="132" spans="1:11" s="3" customFormat="1" ht="66.599999999999994" customHeight="1">
      <c r="A132" s="28" t="s">
        <v>2060</v>
      </c>
      <c r="B132" s="28" t="s">
        <v>266</v>
      </c>
      <c r="C132" s="28" t="s">
        <v>274</v>
      </c>
      <c r="D132" s="28" t="s">
        <v>2122</v>
      </c>
      <c r="E132" s="28" t="s">
        <v>268</v>
      </c>
      <c r="F132" s="30" t="s">
        <v>2700</v>
      </c>
      <c r="G132" s="30" t="s">
        <v>281</v>
      </c>
      <c r="H132" s="7" t="s">
        <v>2701</v>
      </c>
      <c r="I132" s="74">
        <v>34146643</v>
      </c>
      <c r="J132" s="100">
        <v>200000</v>
      </c>
      <c r="K132" s="74">
        <f t="shared" si="11"/>
        <v>34346643</v>
      </c>
    </row>
    <row r="133" spans="1:11" s="3" customFormat="1" ht="47.25">
      <c r="A133" s="28" t="s">
        <v>2060</v>
      </c>
      <c r="B133" s="28" t="s">
        <v>266</v>
      </c>
      <c r="C133" s="28" t="s">
        <v>274</v>
      </c>
      <c r="D133" s="28" t="s">
        <v>2122</v>
      </c>
      <c r="E133" s="28" t="s">
        <v>268</v>
      </c>
      <c r="F133" s="30" t="s">
        <v>2599</v>
      </c>
      <c r="G133" s="30" t="s">
        <v>281</v>
      </c>
      <c r="H133" s="7" t="s">
        <v>2582</v>
      </c>
      <c r="I133" s="74">
        <v>5060200</v>
      </c>
      <c r="J133" s="100">
        <v>25900</v>
      </c>
      <c r="K133" s="74">
        <f t="shared" si="11"/>
        <v>5086100</v>
      </c>
    </row>
    <row r="134" spans="1:11" s="3" customFormat="1" ht="47.25">
      <c r="A134" s="28" t="s">
        <v>2060</v>
      </c>
      <c r="B134" s="28" t="s">
        <v>266</v>
      </c>
      <c r="C134" s="28" t="s">
        <v>274</v>
      </c>
      <c r="D134" s="28" t="s">
        <v>2122</v>
      </c>
      <c r="E134" s="28" t="s">
        <v>268</v>
      </c>
      <c r="F134" s="30" t="s">
        <v>2600</v>
      </c>
      <c r="G134" s="30" t="s">
        <v>281</v>
      </c>
      <c r="H134" s="7" t="s">
        <v>2583</v>
      </c>
      <c r="I134" s="74">
        <v>7044224</v>
      </c>
      <c r="J134" s="100"/>
      <c r="K134" s="74">
        <f t="shared" si="11"/>
        <v>7044224</v>
      </c>
    </row>
    <row r="135" spans="1:11" s="3" customFormat="1" ht="81.599999999999994" customHeight="1">
      <c r="A135" s="28" t="s">
        <v>2066</v>
      </c>
      <c r="B135" s="28" t="s">
        <v>266</v>
      </c>
      <c r="C135" s="28" t="s">
        <v>274</v>
      </c>
      <c r="D135" s="28" t="s">
        <v>2122</v>
      </c>
      <c r="E135" s="28" t="s">
        <v>268</v>
      </c>
      <c r="F135" s="30" t="s">
        <v>2584</v>
      </c>
      <c r="G135" s="30" t="s">
        <v>281</v>
      </c>
      <c r="H135" s="7" t="s">
        <v>2578</v>
      </c>
      <c r="I135" s="74">
        <v>15833449.120000001</v>
      </c>
      <c r="J135" s="100"/>
      <c r="K135" s="74">
        <f t="shared" si="11"/>
        <v>15833449.120000001</v>
      </c>
    </row>
    <row r="136" spans="1:11" s="3" customFormat="1" ht="63">
      <c r="A136" s="28" t="s">
        <v>2066</v>
      </c>
      <c r="B136" s="28" t="s">
        <v>266</v>
      </c>
      <c r="C136" s="28" t="s">
        <v>274</v>
      </c>
      <c r="D136" s="28" t="s">
        <v>2122</v>
      </c>
      <c r="E136" s="28" t="s">
        <v>268</v>
      </c>
      <c r="F136" s="30" t="s">
        <v>2596</v>
      </c>
      <c r="G136" s="30" t="s">
        <v>281</v>
      </c>
      <c r="H136" s="7" t="s">
        <v>2579</v>
      </c>
      <c r="I136" s="74">
        <v>792000</v>
      </c>
      <c r="J136" s="100"/>
      <c r="K136" s="74">
        <f t="shared" ref="K136:K137" si="12">I136+J136</f>
        <v>792000</v>
      </c>
    </row>
    <row r="137" spans="1:11" s="3" customFormat="1" ht="47.25">
      <c r="A137" s="28" t="s">
        <v>2066</v>
      </c>
      <c r="B137" s="28" t="s">
        <v>266</v>
      </c>
      <c r="C137" s="28" t="s">
        <v>274</v>
      </c>
      <c r="D137" s="28" t="s">
        <v>2122</v>
      </c>
      <c r="E137" s="28" t="s">
        <v>268</v>
      </c>
      <c r="F137" s="30" t="s">
        <v>2597</v>
      </c>
      <c r="G137" s="30" t="s">
        <v>281</v>
      </c>
      <c r="H137" s="7" t="s">
        <v>2580</v>
      </c>
      <c r="I137" s="74">
        <v>144500</v>
      </c>
      <c r="J137" s="100">
        <v>478158</v>
      </c>
      <c r="K137" s="74">
        <f t="shared" si="12"/>
        <v>622658</v>
      </c>
    </row>
    <row r="138" spans="1:11" s="3" customFormat="1" ht="173.25" customHeight="1">
      <c r="A138" s="28" t="s">
        <v>2066</v>
      </c>
      <c r="B138" s="28" t="s">
        <v>266</v>
      </c>
      <c r="C138" s="28" t="s">
        <v>274</v>
      </c>
      <c r="D138" s="28" t="s">
        <v>2122</v>
      </c>
      <c r="E138" s="28" t="s">
        <v>268</v>
      </c>
      <c r="F138" s="30" t="s">
        <v>2598</v>
      </c>
      <c r="G138" s="30" t="s">
        <v>281</v>
      </c>
      <c r="H138" s="7" t="s">
        <v>2581</v>
      </c>
      <c r="I138" s="74">
        <v>238013</v>
      </c>
      <c r="J138" s="100"/>
      <c r="K138" s="74">
        <f t="shared" ref="K138:K146" si="13">I138+J138</f>
        <v>238013</v>
      </c>
    </row>
    <row r="139" spans="1:11" s="3" customFormat="1" ht="144" customHeight="1">
      <c r="A139" s="28" t="s">
        <v>2066</v>
      </c>
      <c r="B139" s="28" t="s">
        <v>266</v>
      </c>
      <c r="C139" s="28" t="s">
        <v>274</v>
      </c>
      <c r="D139" s="28" t="s">
        <v>2122</v>
      </c>
      <c r="E139" s="28" t="s">
        <v>268</v>
      </c>
      <c r="F139" s="30" t="s">
        <v>2629</v>
      </c>
      <c r="G139" s="30" t="s">
        <v>281</v>
      </c>
      <c r="H139" s="345" t="s">
        <v>2630</v>
      </c>
      <c r="I139" s="74">
        <v>75563</v>
      </c>
      <c r="J139" s="100"/>
      <c r="K139" s="74">
        <f t="shared" si="13"/>
        <v>75563</v>
      </c>
    </row>
    <row r="140" spans="1:11" s="3" customFormat="1" ht="87.75" customHeight="1">
      <c r="A140" s="28" t="s">
        <v>2062</v>
      </c>
      <c r="B140" s="28" t="s">
        <v>266</v>
      </c>
      <c r="C140" s="28" t="s">
        <v>274</v>
      </c>
      <c r="D140" s="28" t="s">
        <v>2122</v>
      </c>
      <c r="E140" s="28" t="s">
        <v>268</v>
      </c>
      <c r="F140" s="30" t="s">
        <v>2633</v>
      </c>
      <c r="G140" s="30" t="s">
        <v>281</v>
      </c>
      <c r="H140" s="7" t="s">
        <v>2634</v>
      </c>
      <c r="I140" s="74">
        <v>200000</v>
      </c>
      <c r="J140" s="100">
        <v>-100000</v>
      </c>
      <c r="K140" s="74">
        <f t="shared" si="13"/>
        <v>100000</v>
      </c>
    </row>
    <row r="141" spans="1:11" s="3" customFormat="1" ht="131.25" customHeight="1">
      <c r="A141" s="28" t="s">
        <v>2060</v>
      </c>
      <c r="B141" s="28" t="s">
        <v>266</v>
      </c>
      <c r="C141" s="28" t="s">
        <v>274</v>
      </c>
      <c r="D141" s="28" t="s">
        <v>2122</v>
      </c>
      <c r="E141" s="28" t="s">
        <v>268</v>
      </c>
      <c r="F141" s="30" t="s">
        <v>2639</v>
      </c>
      <c r="G141" s="30" t="s">
        <v>281</v>
      </c>
      <c r="H141" s="345" t="s">
        <v>2640</v>
      </c>
      <c r="I141" s="74">
        <v>99990</v>
      </c>
      <c r="J141" s="100"/>
      <c r="K141" s="74">
        <f t="shared" si="13"/>
        <v>99990</v>
      </c>
    </row>
    <row r="142" spans="1:11" s="3" customFormat="1" ht="71.25" customHeight="1">
      <c r="A142" s="28" t="s">
        <v>2060</v>
      </c>
      <c r="B142" s="28" t="s">
        <v>266</v>
      </c>
      <c r="C142" s="28" t="s">
        <v>274</v>
      </c>
      <c r="D142" s="28" t="s">
        <v>2122</v>
      </c>
      <c r="E142" s="28" t="s">
        <v>268</v>
      </c>
      <c r="F142" s="30" t="s">
        <v>2641</v>
      </c>
      <c r="G142" s="30" t="s">
        <v>281</v>
      </c>
      <c r="H142" s="7" t="s">
        <v>2642</v>
      </c>
      <c r="I142" s="74">
        <v>1258830</v>
      </c>
      <c r="J142" s="100"/>
      <c r="K142" s="74">
        <f t="shared" si="13"/>
        <v>1258830</v>
      </c>
    </row>
    <row r="143" spans="1:11" s="3" customFormat="1" ht="46.5" customHeight="1">
      <c r="A143" s="28" t="s">
        <v>2066</v>
      </c>
      <c r="B143" s="28" t="s">
        <v>266</v>
      </c>
      <c r="C143" s="28" t="s">
        <v>274</v>
      </c>
      <c r="D143" s="28" t="s">
        <v>2122</v>
      </c>
      <c r="E143" s="28" t="s">
        <v>268</v>
      </c>
      <c r="F143" s="30" t="s">
        <v>2740</v>
      </c>
      <c r="G143" s="30" t="s">
        <v>281</v>
      </c>
      <c r="H143" s="7" t="s">
        <v>2741</v>
      </c>
      <c r="I143" s="74">
        <v>36750675.590000004</v>
      </c>
      <c r="J143" s="100">
        <v>-5466276.2300000004</v>
      </c>
      <c r="K143" s="74">
        <f t="shared" si="13"/>
        <v>31284399.360000003</v>
      </c>
    </row>
    <row r="144" spans="1:11" s="3" customFormat="1" ht="100.5" customHeight="1">
      <c r="A144" s="28" t="s">
        <v>2062</v>
      </c>
      <c r="B144" s="28" t="s">
        <v>266</v>
      </c>
      <c r="C144" s="28" t="s">
        <v>274</v>
      </c>
      <c r="D144" s="28" t="s">
        <v>2773</v>
      </c>
      <c r="E144" s="28" t="s">
        <v>268</v>
      </c>
      <c r="F144" s="30" t="s">
        <v>77</v>
      </c>
      <c r="G144" s="30" t="s">
        <v>281</v>
      </c>
      <c r="H144" s="7" t="s">
        <v>2772</v>
      </c>
      <c r="I144" s="74"/>
      <c r="J144" s="100">
        <v>45880</v>
      </c>
      <c r="K144" s="74">
        <f t="shared" si="13"/>
        <v>45880</v>
      </c>
    </row>
    <row r="145" spans="1:11" s="3" customFormat="1" ht="97.5" customHeight="1">
      <c r="A145" s="28" t="s">
        <v>2062</v>
      </c>
      <c r="B145" s="28" t="s">
        <v>266</v>
      </c>
      <c r="C145" s="28" t="s">
        <v>274</v>
      </c>
      <c r="D145" s="28" t="s">
        <v>2750</v>
      </c>
      <c r="E145" s="28" t="s">
        <v>268</v>
      </c>
      <c r="F145" s="30" t="s">
        <v>77</v>
      </c>
      <c r="G145" s="30" t="s">
        <v>281</v>
      </c>
      <c r="H145" s="7" t="s">
        <v>2751</v>
      </c>
      <c r="I145" s="74">
        <v>100000</v>
      </c>
      <c r="J145" s="100"/>
      <c r="K145" s="74">
        <f t="shared" si="13"/>
        <v>100000</v>
      </c>
    </row>
    <row r="146" spans="1:11" s="3" customFormat="1" ht="97.5" customHeight="1">
      <c r="A146" s="28" t="s">
        <v>2062</v>
      </c>
      <c r="B146" s="28" t="s">
        <v>266</v>
      </c>
      <c r="C146" s="28" t="s">
        <v>274</v>
      </c>
      <c r="D146" s="28" t="s">
        <v>2752</v>
      </c>
      <c r="E146" s="28" t="s">
        <v>268</v>
      </c>
      <c r="F146" s="30" t="s">
        <v>77</v>
      </c>
      <c r="G146" s="30" t="s">
        <v>281</v>
      </c>
      <c r="H146" s="7" t="s">
        <v>2753</v>
      </c>
      <c r="I146" s="74">
        <v>50000</v>
      </c>
      <c r="J146" s="100"/>
      <c r="K146" s="74">
        <f t="shared" si="13"/>
        <v>50000</v>
      </c>
    </row>
    <row r="147" spans="1:11" s="3" customFormat="1" ht="78.75">
      <c r="A147" s="28" t="s">
        <v>1131</v>
      </c>
      <c r="B147" s="28" t="s">
        <v>266</v>
      </c>
      <c r="C147" s="28" t="s">
        <v>274</v>
      </c>
      <c r="D147" s="28" t="s">
        <v>2081</v>
      </c>
      <c r="E147" s="28" t="s">
        <v>268</v>
      </c>
      <c r="F147" s="30" t="s">
        <v>2559</v>
      </c>
      <c r="G147" s="30" t="s">
        <v>281</v>
      </c>
      <c r="H147" s="7" t="s">
        <v>308</v>
      </c>
      <c r="I147" s="74">
        <v>240000</v>
      </c>
      <c r="J147" s="101"/>
      <c r="K147" s="74">
        <f>SUM(I147:J147)</f>
        <v>240000</v>
      </c>
    </row>
    <row r="148" spans="1:11" s="3" customFormat="1" ht="113.25" customHeight="1">
      <c r="A148" s="28" t="s">
        <v>1131</v>
      </c>
      <c r="B148" s="28" t="s">
        <v>266</v>
      </c>
      <c r="C148" s="28" t="s">
        <v>274</v>
      </c>
      <c r="D148" s="28" t="s">
        <v>2081</v>
      </c>
      <c r="E148" s="28" t="s">
        <v>268</v>
      </c>
      <c r="F148" s="30" t="s">
        <v>2696</v>
      </c>
      <c r="G148" s="30" t="s">
        <v>281</v>
      </c>
      <c r="H148" s="172" t="s">
        <v>2697</v>
      </c>
      <c r="I148" s="74">
        <v>2361298.04</v>
      </c>
      <c r="J148" s="397">
        <v>415050.72</v>
      </c>
      <c r="K148" s="74">
        <f>SUM(I148:J148)</f>
        <v>2776348.76</v>
      </c>
    </row>
    <row r="149" spans="1:11" s="3" customFormat="1" ht="15.75">
      <c r="A149" s="28"/>
      <c r="B149" s="28"/>
      <c r="C149" s="28"/>
      <c r="D149" s="28"/>
      <c r="E149" s="28"/>
      <c r="F149" s="30"/>
      <c r="G149" s="30"/>
      <c r="H149" s="24" t="s">
        <v>1130</v>
      </c>
      <c r="I149" s="73">
        <v>1751470419.9000001</v>
      </c>
      <c r="J149" s="73">
        <f>J11+J41</f>
        <v>-17639476.330000002</v>
      </c>
      <c r="K149" s="73">
        <f>K11+K41</f>
        <v>1733830943.5700002</v>
      </c>
    </row>
  </sheetData>
  <sheetProtection selectLockedCells="1" selectUnlockedCells="1"/>
  <customSheetViews>
    <customSheetView guid="{91923F83-3A6B-4204-9891-178562AB34F1}" showPageBreaks="1" fitToPage="1" printArea="1" view="pageBreakPreview" showRuler="0" topLeftCell="A39">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1"/>
      <headerFooter alignWithMargins="0">
        <oddFooter>&amp;C&amp;P</oddFooter>
      </headerFooter>
    </customSheetView>
    <customSheetView guid="{66DBF0AC-E9A0-482F-9E41-1928B6CA83DC}" showPageBreaks="1" fitToPage="1" view="pageBreakPreview" showRuler="0" topLeftCell="A117">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2"/>
      <headerFooter alignWithMargins="0">
        <oddFooter>&amp;C&amp;P</oddFooter>
      </headerFooter>
    </customSheetView>
    <customSheetView guid="{A5E41FC9-89B1-40D2-B587-57BC4C5E4715}"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3"/>
      <headerFooter alignWithMargins="0">
        <oddFooter>&amp;C&amp;P</oddFooter>
      </headerFooter>
    </customSheetView>
    <customSheetView guid="{F3607253-7816-4CF7-9CFD-2ADFFAD916F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4"/>
      <headerFooter alignWithMargins="0">
        <oddFooter>&amp;C&amp;P</oddFooter>
      </headerFooter>
    </customSheetView>
    <customSheetView guid="{B3311466-F005-49F1-A579-3E6CECE305A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5"/>
      <headerFooter alignWithMargins="0">
        <oddFooter>&amp;C&amp;P</oddFooter>
      </headerFooter>
    </customSheetView>
    <customSheetView guid="{E5662E33-D4B0-43EA-9B06-C8DA9DFDBEF6}" showPageBreaks="1" fitToPage="1" printArea="1" view="pageBreakPreview" showRuler="0">
      <selection activeCell="H42" sqref="H42"/>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6"/>
      <headerFooter alignWithMargins="0">
        <oddFooter>&amp;C&amp;P</oddFooter>
      </headerFooter>
    </customSheetView>
  </customSheetViews>
  <mergeCells count="10">
    <mergeCell ref="J9:J10"/>
    <mergeCell ref="K9:K10"/>
    <mergeCell ref="F1:K1"/>
    <mergeCell ref="F2:K2"/>
    <mergeCell ref="F3:K3"/>
    <mergeCell ref="F4:K4"/>
    <mergeCell ref="A6:K6"/>
    <mergeCell ref="H9:H10"/>
    <mergeCell ref="A9:G9"/>
    <mergeCell ref="I9:I10"/>
  </mergeCells>
  <phoneticPr fontId="0" type="noConversion"/>
  <pageMargins left="0.70866141732283472" right="0.70866141732283472" top="0.74803149606299213" bottom="0.74803149606299213" header="0.31496062992125984" footer="0.31496062992125984"/>
  <pageSetup paperSize="9" scale="95" fitToHeight="0" orientation="portrait" r:id="rId7"/>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codeName="Лист15"/>
  <dimension ref="A1:E15"/>
  <sheetViews>
    <sheetView showGridLines="0" view="pageBreakPreview" zoomScale="115" zoomScaleSheetLayoutView="115" workbookViewId="0">
      <selection activeCell="A4" sqref="A4:E4"/>
    </sheetView>
  </sheetViews>
  <sheetFormatPr defaultColWidth="9.140625" defaultRowHeight="15"/>
  <cols>
    <col min="1" max="1" width="34.7109375" style="252" customWidth="1"/>
    <col min="2" max="2" width="11.42578125" style="252" customWidth="1"/>
    <col min="3" max="3" width="13" style="252" customWidth="1"/>
    <col min="4" max="4" width="12.140625" style="252" customWidth="1"/>
    <col min="5" max="5" width="12.85546875" style="252" customWidth="1"/>
    <col min="6" max="7" width="9.140625" style="252"/>
    <col min="8" max="8" width="43.42578125" style="252" customWidth="1"/>
    <col min="9" max="16384" width="9.140625" style="252"/>
  </cols>
  <sheetData>
    <row r="1" spans="1:5" ht="15.75">
      <c r="A1" s="424" t="s">
        <v>2302</v>
      </c>
      <c r="B1" s="424"/>
      <c r="C1" s="424"/>
      <c r="D1" s="424"/>
      <c r="E1" s="470"/>
    </row>
    <row r="2" spans="1:5" ht="15.75">
      <c r="A2" s="424" t="s">
        <v>1051</v>
      </c>
      <c r="B2" s="424"/>
      <c r="C2" s="424"/>
      <c r="D2" s="424"/>
      <c r="E2" s="471"/>
    </row>
    <row r="3" spans="1:5" ht="15.75">
      <c r="A3" s="424" t="s">
        <v>700</v>
      </c>
      <c r="B3" s="424"/>
      <c r="C3" s="424"/>
      <c r="D3" s="424"/>
      <c r="E3" s="471"/>
    </row>
    <row r="4" spans="1:5" ht="15.75">
      <c r="A4" s="424" t="s">
        <v>2623</v>
      </c>
      <c r="B4" s="424"/>
      <c r="C4" s="424"/>
      <c r="D4" s="424"/>
      <c r="E4" s="471"/>
    </row>
    <row r="5" spans="1:5">
      <c r="A5" s="240"/>
      <c r="B5" s="240"/>
      <c r="C5" s="240"/>
      <c r="D5" s="1"/>
      <c r="E5" s="253"/>
    </row>
    <row r="6" spans="1:5">
      <c r="A6" s="1"/>
      <c r="B6" s="1"/>
      <c r="C6" s="1"/>
      <c r="D6" s="1"/>
      <c r="E6" s="253"/>
    </row>
    <row r="7" spans="1:5" ht="43.5" customHeight="1">
      <c r="A7" s="466" t="s">
        <v>2300</v>
      </c>
      <c r="B7" s="466"/>
      <c r="C7" s="466"/>
      <c r="D7" s="466"/>
      <c r="E7" s="476"/>
    </row>
    <row r="8" spans="1:5" ht="15.75">
      <c r="A8" s="243"/>
      <c r="B8" s="243"/>
      <c r="C8" s="243"/>
      <c r="D8" s="243"/>
      <c r="E8" s="254"/>
    </row>
    <row r="9" spans="1:5" ht="35.25" customHeight="1">
      <c r="A9" s="467" t="s">
        <v>1627</v>
      </c>
      <c r="B9" s="467"/>
      <c r="C9" s="467"/>
      <c r="D9" s="467"/>
      <c r="E9" s="467"/>
    </row>
    <row r="10" spans="1:5" ht="33.75" customHeight="1">
      <c r="A10" s="472" t="s">
        <v>1628</v>
      </c>
      <c r="B10" s="474" t="s">
        <v>2483</v>
      </c>
      <c r="C10" s="475"/>
      <c r="D10" s="474" t="s">
        <v>2484</v>
      </c>
      <c r="E10" s="475"/>
    </row>
    <row r="11" spans="1:5" ht="122.25" customHeight="1">
      <c r="A11" s="473"/>
      <c r="B11" s="238" t="s">
        <v>2110</v>
      </c>
      <c r="C11" s="238" t="s">
        <v>2111</v>
      </c>
      <c r="D11" s="238" t="s">
        <v>2110</v>
      </c>
      <c r="E11" s="238" t="s">
        <v>2111</v>
      </c>
    </row>
    <row r="12" spans="1:5" ht="30.75" customHeight="1">
      <c r="A12" s="244" t="s">
        <v>1377</v>
      </c>
      <c r="B12" s="245">
        <f>929000+C12</f>
        <v>1049000</v>
      </c>
      <c r="C12" s="241">
        <v>120000</v>
      </c>
      <c r="D12" s="245">
        <f>1074000+E12</f>
        <v>1204000</v>
      </c>
      <c r="E12" s="245">
        <v>130000</v>
      </c>
    </row>
    <row r="13" spans="1:5" ht="31.5">
      <c r="A13" s="244" t="s">
        <v>634</v>
      </c>
      <c r="B13" s="245">
        <f>71000+C13</f>
        <v>351000</v>
      </c>
      <c r="C13" s="241">
        <v>280000</v>
      </c>
      <c r="D13" s="245">
        <f>246000+E13</f>
        <v>550000</v>
      </c>
      <c r="E13" s="245">
        <v>304000</v>
      </c>
    </row>
    <row r="14" spans="1:5" ht="28.5" customHeight="1">
      <c r="A14" s="247" t="s">
        <v>1130</v>
      </c>
      <c r="B14" s="255">
        <f>B12+B13</f>
        <v>1400000</v>
      </c>
      <c r="C14" s="255">
        <f>C12+C13</f>
        <v>400000</v>
      </c>
      <c r="D14" s="255">
        <f>D12+D13</f>
        <v>1754000</v>
      </c>
      <c r="E14" s="255">
        <f>E12+E13</f>
        <v>434000</v>
      </c>
    </row>
    <row r="15" spans="1:5" ht="15.75">
      <c r="A15" s="256"/>
      <c r="B15" s="256"/>
      <c r="C15" s="256"/>
      <c r="D15" s="256"/>
      <c r="E15" s="256"/>
    </row>
  </sheetData>
  <mergeCells count="9">
    <mergeCell ref="A1:E1"/>
    <mergeCell ref="A2:E2"/>
    <mergeCell ref="A3:E3"/>
    <mergeCell ref="A4:E4"/>
    <mergeCell ref="A10:A11"/>
    <mergeCell ref="B10:C10"/>
    <mergeCell ref="D10:E10"/>
    <mergeCell ref="A9:E9"/>
    <mergeCell ref="A7:E7"/>
  </mergeCells>
  <phoneticPr fontId="33"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codeName="Лист11">
    <pageSetUpPr fitToPage="1"/>
  </sheetPr>
  <dimension ref="A1:C19"/>
  <sheetViews>
    <sheetView view="pageBreakPreview" zoomScaleSheetLayoutView="100" workbookViewId="0">
      <selection activeCell="A4" sqref="A4:C4"/>
    </sheetView>
  </sheetViews>
  <sheetFormatPr defaultRowHeight="12.75"/>
  <cols>
    <col min="1" max="1" width="4.140625" bestFit="1" customWidth="1"/>
    <col min="2" max="2" width="65.28515625" customWidth="1"/>
    <col min="3" max="3" width="22.28515625" customWidth="1"/>
  </cols>
  <sheetData>
    <row r="1" spans="1:3" ht="15.75">
      <c r="A1" s="424" t="s">
        <v>1626</v>
      </c>
      <c r="B1" s="424"/>
      <c r="C1" s="424"/>
    </row>
    <row r="2" spans="1:3" ht="15.75">
      <c r="A2" s="424" t="s">
        <v>1051</v>
      </c>
      <c r="B2" s="424"/>
      <c r="C2" s="424"/>
    </row>
    <row r="3" spans="1:3" ht="15.75">
      <c r="A3" s="424" t="s">
        <v>700</v>
      </c>
      <c r="B3" s="424"/>
      <c r="C3" s="424"/>
    </row>
    <row r="4" spans="1:3" ht="15.75">
      <c r="A4" s="424" t="s">
        <v>2215</v>
      </c>
      <c r="B4" s="424"/>
      <c r="C4" s="424"/>
    </row>
    <row r="6" spans="1:3" ht="44.25" customHeight="1">
      <c r="A6" s="477" t="s">
        <v>25</v>
      </c>
      <c r="B6" s="477"/>
      <c r="C6" s="477"/>
    </row>
    <row r="7" spans="1:3" ht="10.5" customHeight="1">
      <c r="A7" s="123"/>
    </row>
    <row r="8" spans="1:3" ht="15.75">
      <c r="A8" s="124" t="s">
        <v>1185</v>
      </c>
      <c r="B8" s="478" t="s">
        <v>952</v>
      </c>
      <c r="C8" s="125" t="s">
        <v>1186</v>
      </c>
    </row>
    <row r="9" spans="1:3" ht="15.75">
      <c r="A9" s="126" t="s">
        <v>1187</v>
      </c>
      <c r="B9" s="479"/>
      <c r="C9" s="127" t="s">
        <v>1188</v>
      </c>
    </row>
    <row r="10" spans="1:3" ht="18.75">
      <c r="A10" s="128">
        <v>1</v>
      </c>
      <c r="B10" s="107" t="s">
        <v>1189</v>
      </c>
      <c r="C10" s="129">
        <v>950</v>
      </c>
    </row>
    <row r="11" spans="1:3" ht="18.75">
      <c r="A11" s="128">
        <v>2</v>
      </c>
      <c r="B11" s="107" t="s">
        <v>1017</v>
      </c>
      <c r="C11" s="129">
        <v>952</v>
      </c>
    </row>
    <row r="12" spans="1:3" ht="18.75">
      <c r="A12" s="128">
        <v>3</v>
      </c>
      <c r="B12" s="107" t="s">
        <v>1018</v>
      </c>
      <c r="C12" s="129">
        <v>953</v>
      </c>
    </row>
    <row r="13" spans="1:3" ht="19.5" customHeight="1">
      <c r="A13" s="128">
        <v>4</v>
      </c>
      <c r="B13" s="108" t="s">
        <v>1190</v>
      </c>
      <c r="C13" s="130">
        <v>954</v>
      </c>
    </row>
    <row r="14" spans="1:3" ht="18.75">
      <c r="A14" s="128">
        <v>5</v>
      </c>
      <c r="B14" s="107" t="s">
        <v>1684</v>
      </c>
      <c r="C14" s="129">
        <v>955</v>
      </c>
    </row>
    <row r="15" spans="1:3" ht="31.5">
      <c r="A15" s="128">
        <v>6</v>
      </c>
      <c r="B15" s="107" t="s">
        <v>1238</v>
      </c>
      <c r="C15" s="129">
        <v>956</v>
      </c>
    </row>
    <row r="16" spans="1:3" ht="31.5">
      <c r="A16" s="128">
        <v>7</v>
      </c>
      <c r="B16" s="107" t="s">
        <v>1191</v>
      </c>
      <c r="C16" s="129">
        <v>957</v>
      </c>
    </row>
    <row r="17" spans="1:3" ht="31.5">
      <c r="A17" s="128">
        <v>8</v>
      </c>
      <c r="B17" s="107" t="s">
        <v>1192</v>
      </c>
      <c r="C17" s="129">
        <v>958</v>
      </c>
    </row>
    <row r="18" spans="1:3" ht="18.75">
      <c r="A18" s="128">
        <v>9</v>
      </c>
      <c r="B18" s="107" t="s">
        <v>1193</v>
      </c>
      <c r="C18" s="129">
        <v>974</v>
      </c>
    </row>
    <row r="19" spans="1:3" ht="18.75">
      <c r="A19" s="128">
        <v>10</v>
      </c>
      <c r="B19" s="108" t="s">
        <v>1515</v>
      </c>
      <c r="C19" s="106">
        <v>982</v>
      </c>
    </row>
  </sheetData>
  <mergeCells count="6">
    <mergeCell ref="A6:C6"/>
    <mergeCell ref="B8:B9"/>
    <mergeCell ref="A1:C1"/>
    <mergeCell ref="A2:C2"/>
    <mergeCell ref="A3:C3"/>
    <mergeCell ref="A4:C4"/>
  </mergeCells>
  <phoneticPr fontId="33" type="noConversion"/>
  <pageMargins left="0.78740157480314965" right="0.39370078740157483" top="0.39370078740157483" bottom="0.39370078740157483" header="0.19685039370078741" footer="0.19685039370078741"/>
  <pageSetup paperSize="9" fitToHeight="0"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codeName="Лист37"/>
  <dimension ref="A1:D23"/>
  <sheetViews>
    <sheetView showGridLines="0" workbookViewId="0">
      <selection sqref="A1:D1"/>
    </sheetView>
  </sheetViews>
  <sheetFormatPr defaultColWidth="9.140625" defaultRowHeight="12.75"/>
  <cols>
    <col min="1" max="1" width="50.42578125" style="146" customWidth="1"/>
    <col min="2" max="2" width="18" style="146" customWidth="1"/>
    <col min="3" max="3" width="18.5703125" style="146" customWidth="1"/>
    <col min="4" max="4" width="0.28515625" style="146" customWidth="1"/>
    <col min="5" max="16384" width="9.140625" style="146"/>
  </cols>
  <sheetData>
    <row r="1" spans="1:4" ht="15.75">
      <c r="A1" s="469" t="s">
        <v>2667</v>
      </c>
      <c r="B1" s="469"/>
      <c r="C1" s="469"/>
      <c r="D1" s="469"/>
    </row>
    <row r="2" spans="1:4" ht="15.75">
      <c r="A2" s="469" t="s">
        <v>1051</v>
      </c>
      <c r="B2" s="469"/>
      <c r="C2" s="469"/>
      <c r="D2" s="469"/>
    </row>
    <row r="3" spans="1:4" ht="15.75">
      <c r="A3" s="469" t="s">
        <v>700</v>
      </c>
      <c r="B3" s="469"/>
      <c r="C3" s="469"/>
      <c r="D3" s="469"/>
    </row>
    <row r="4" spans="1:4" ht="15.75">
      <c r="A4" s="469" t="s">
        <v>2671</v>
      </c>
      <c r="B4" s="469"/>
      <c r="C4" s="469"/>
      <c r="D4" s="469"/>
    </row>
    <row r="5" spans="1:4" ht="15.75">
      <c r="A5" s="367"/>
      <c r="B5" s="367"/>
      <c r="C5" s="367"/>
      <c r="D5" s="242"/>
    </row>
    <row r="6" spans="1:4" ht="15.75">
      <c r="A6" s="242"/>
      <c r="B6" s="242"/>
      <c r="C6" s="242"/>
      <c r="D6" s="242"/>
    </row>
    <row r="7" spans="1:4" ht="38.25" customHeight="1">
      <c r="A7" s="466" t="s">
        <v>2299</v>
      </c>
      <c r="B7" s="466"/>
      <c r="C7" s="466"/>
      <c r="D7" s="466"/>
    </row>
    <row r="8" spans="1:4" ht="15.75">
      <c r="A8" s="368"/>
      <c r="B8" s="368"/>
      <c r="C8" s="368"/>
      <c r="D8" s="368"/>
    </row>
    <row r="9" spans="1:4" ht="34.5" customHeight="1">
      <c r="A9" s="467" t="s">
        <v>1627</v>
      </c>
      <c r="B9" s="467"/>
      <c r="C9" s="467"/>
      <c r="D9" s="468"/>
    </row>
    <row r="10" spans="1:4" ht="78.75">
      <c r="A10" s="366" t="s">
        <v>1628</v>
      </c>
      <c r="B10" s="366" t="s">
        <v>2110</v>
      </c>
      <c r="C10" s="366" t="s">
        <v>2111</v>
      </c>
      <c r="D10" s="369"/>
    </row>
    <row r="11" spans="1:4" ht="15.75">
      <c r="A11" s="244" t="s">
        <v>1377</v>
      </c>
      <c r="B11" s="245">
        <f>1670000+C11</f>
        <v>1830000</v>
      </c>
      <c r="C11" s="241">
        <v>160000</v>
      </c>
      <c r="D11" s="246"/>
    </row>
    <row r="12" spans="1:4" ht="15.75">
      <c r="A12" s="244" t="s">
        <v>634</v>
      </c>
      <c r="B12" s="245">
        <f>1810000+C12</f>
        <v>2184000</v>
      </c>
      <c r="C12" s="241">
        <v>374000</v>
      </c>
      <c r="D12" s="246"/>
    </row>
    <row r="13" spans="1:4" ht="15.75">
      <c r="A13" s="247" t="s">
        <v>1130</v>
      </c>
      <c r="B13" s="248">
        <f>SUM(B11:B12)</f>
        <v>4014000</v>
      </c>
      <c r="C13" s="248">
        <f>SUM(C11:C12)</f>
        <v>534000</v>
      </c>
      <c r="D13" s="249"/>
    </row>
    <row r="14" spans="1:4" ht="15.75">
      <c r="A14" s="373"/>
      <c r="B14" s="249"/>
      <c r="C14" s="249"/>
      <c r="D14" s="249"/>
    </row>
    <row r="15" spans="1:4" ht="61.5" customHeight="1">
      <c r="A15" s="467" t="s">
        <v>2707</v>
      </c>
      <c r="B15" s="467"/>
      <c r="C15" s="467"/>
      <c r="D15" s="468"/>
    </row>
    <row r="16" spans="1:4" ht="15.75">
      <c r="A16" s="371" t="s">
        <v>1628</v>
      </c>
      <c r="B16" s="474" t="s">
        <v>2110</v>
      </c>
      <c r="C16" s="475"/>
      <c r="D16" s="372"/>
    </row>
    <row r="17" spans="1:4" ht="15.75">
      <c r="A17" s="244" t="s">
        <v>2672</v>
      </c>
      <c r="B17" s="480">
        <v>335000</v>
      </c>
      <c r="C17" s="481"/>
      <c r="D17" s="246"/>
    </row>
    <row r="18" spans="1:4" ht="15.75">
      <c r="A18" s="244" t="s">
        <v>2673</v>
      </c>
      <c r="B18" s="480">
        <v>1462000</v>
      </c>
      <c r="C18" s="481"/>
      <c r="D18" s="246"/>
    </row>
    <row r="19" spans="1:4" ht="15.75">
      <c r="A19" s="247" t="s">
        <v>1130</v>
      </c>
      <c r="B19" s="482">
        <f>SUM(B17:C18)</f>
        <v>1797000</v>
      </c>
      <c r="C19" s="483"/>
      <c r="D19" s="249"/>
    </row>
    <row r="20" spans="1:4" ht="15.75">
      <c r="A20" s="373"/>
      <c r="B20" s="249"/>
      <c r="C20" s="249"/>
      <c r="D20" s="249"/>
    </row>
    <row r="21" spans="1:4" ht="0.75" customHeight="1">
      <c r="A21" s="373"/>
      <c r="B21" s="249"/>
      <c r="C21" s="249"/>
      <c r="D21" s="249"/>
    </row>
    <row r="22" spans="1:4" ht="15.75" hidden="1">
      <c r="A22" s="373"/>
      <c r="B22" s="249"/>
      <c r="C22" s="249"/>
      <c r="D22" s="249"/>
    </row>
    <row r="23" spans="1:4" ht="15.75" hidden="1">
      <c r="A23" s="242"/>
      <c r="B23" s="242"/>
      <c r="C23" s="242"/>
      <c r="D23" s="242"/>
    </row>
  </sheetData>
  <mergeCells count="11">
    <mergeCell ref="B16:C16"/>
    <mergeCell ref="B17:C17"/>
    <mergeCell ref="B18:C18"/>
    <mergeCell ref="B19:C19"/>
    <mergeCell ref="A9:D9"/>
    <mergeCell ref="A15:D15"/>
    <mergeCell ref="A1:D1"/>
    <mergeCell ref="A2:D2"/>
    <mergeCell ref="A3:D3"/>
    <mergeCell ref="A4:D4"/>
    <mergeCell ref="A7:D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Лист16"/>
  <dimension ref="A1:K107"/>
  <sheetViews>
    <sheetView showGridLines="0" view="pageBreakPreview" topLeftCell="A86" zoomScaleSheetLayoutView="100" workbookViewId="0">
      <selection activeCell="A106" sqref="A106:B106"/>
    </sheetView>
  </sheetViews>
  <sheetFormatPr defaultColWidth="9.140625" defaultRowHeight="15.75"/>
  <cols>
    <col min="1" max="1" width="4.140625" style="242" customWidth="1"/>
    <col min="2" max="2" width="56.28515625" style="242" customWidth="1"/>
    <col min="3" max="3" width="13" style="242" hidden="1" customWidth="1"/>
    <col min="4" max="4" width="12" style="242" hidden="1" customWidth="1"/>
    <col min="5" max="5" width="27.28515625" style="242" customWidth="1"/>
    <col min="6" max="7" width="9.140625" style="242"/>
    <col min="8" max="8" width="43.42578125" style="242" customWidth="1"/>
    <col min="9" max="16384" width="9.140625" style="242"/>
  </cols>
  <sheetData>
    <row r="1" spans="1:5">
      <c r="B1" s="469" t="s">
        <v>2053</v>
      </c>
      <c r="C1" s="469"/>
      <c r="D1" s="469"/>
      <c r="E1" s="469"/>
    </row>
    <row r="2" spans="1:5">
      <c r="B2" s="469" t="s">
        <v>1051</v>
      </c>
      <c r="C2" s="469"/>
      <c r="D2" s="469"/>
      <c r="E2" s="469"/>
    </row>
    <row r="3" spans="1:5">
      <c r="B3" s="469" t="s">
        <v>700</v>
      </c>
      <c r="C3" s="469"/>
      <c r="D3" s="469"/>
      <c r="E3" s="469"/>
    </row>
    <row r="4" spans="1:5" ht="14.25" customHeight="1">
      <c r="B4" s="469" t="s">
        <v>2623</v>
      </c>
      <c r="C4" s="469"/>
      <c r="D4" s="469"/>
      <c r="E4" s="469"/>
    </row>
    <row r="5" spans="1:5" ht="9.75" customHeight="1">
      <c r="B5" s="260"/>
      <c r="C5" s="260"/>
      <c r="D5" s="260"/>
    </row>
    <row r="6" spans="1:5" ht="0.75" customHeight="1"/>
    <row r="7" spans="1:5" ht="34.5" customHeight="1">
      <c r="A7" s="466" t="s">
        <v>2301</v>
      </c>
      <c r="B7" s="466"/>
      <c r="C7" s="466"/>
      <c r="D7" s="466"/>
      <c r="E7" s="466"/>
    </row>
    <row r="8" spans="1:5" ht="15.75" hidden="1" customHeight="1">
      <c r="A8" s="467" t="s">
        <v>9</v>
      </c>
      <c r="B8" s="467"/>
      <c r="C8" s="467"/>
      <c r="D8" s="467"/>
      <c r="E8" s="467"/>
    </row>
    <row r="9" spans="1:5" ht="15.75" hidden="1" customHeight="1">
      <c r="A9" s="423" t="s">
        <v>7</v>
      </c>
      <c r="B9" s="423"/>
      <c r="C9" s="259" t="s">
        <v>1601</v>
      </c>
      <c r="D9" s="259" t="s">
        <v>615</v>
      </c>
      <c r="E9" s="259" t="s">
        <v>1085</v>
      </c>
    </row>
    <row r="10" spans="1:5" hidden="1">
      <c r="A10" s="270">
        <v>1</v>
      </c>
      <c r="B10" s="244" t="s">
        <v>10</v>
      </c>
      <c r="C10" s="271"/>
      <c r="D10" s="110"/>
      <c r="E10" s="271">
        <f>C10+D10</f>
        <v>0</v>
      </c>
    </row>
    <row r="11" spans="1:5" hidden="1">
      <c r="A11" s="509" t="s">
        <v>1130</v>
      </c>
      <c r="B11" s="510"/>
      <c r="C11" s="272"/>
      <c r="D11" s="272">
        <f>D10</f>
        <v>0</v>
      </c>
      <c r="E11" s="272">
        <f>E10</f>
        <v>0</v>
      </c>
    </row>
    <row r="12" spans="1:5" hidden="1"/>
    <row r="13" spans="1:5" ht="15.75" hidden="1" customHeight="1">
      <c r="A13" s="467" t="s">
        <v>11</v>
      </c>
      <c r="B13" s="467"/>
      <c r="C13" s="467"/>
      <c r="D13" s="467"/>
      <c r="E13" s="467"/>
    </row>
    <row r="14" spans="1:5" ht="15.75" hidden="1" customHeight="1">
      <c r="A14" s="423" t="s">
        <v>7</v>
      </c>
      <c r="B14" s="423"/>
      <c r="C14" s="259" t="s">
        <v>1601</v>
      </c>
      <c r="D14" s="259" t="s">
        <v>615</v>
      </c>
      <c r="E14" s="259" t="s">
        <v>1085</v>
      </c>
    </row>
    <row r="15" spans="1:5" hidden="1">
      <c r="A15" s="270">
        <v>1</v>
      </c>
      <c r="B15" s="244" t="s">
        <v>10</v>
      </c>
      <c r="C15" s="110"/>
      <c r="D15" s="110"/>
      <c r="E15" s="271">
        <f>C15+D15</f>
        <v>0</v>
      </c>
    </row>
    <row r="16" spans="1:5" hidden="1">
      <c r="A16" s="511" t="s">
        <v>1130</v>
      </c>
      <c r="B16" s="511"/>
      <c r="C16" s="272"/>
      <c r="D16" s="272">
        <f>D15</f>
        <v>0</v>
      </c>
      <c r="E16" s="272">
        <f>E15</f>
        <v>0</v>
      </c>
    </row>
    <row r="17" spans="1:11" ht="15.75" hidden="1" customHeight="1">
      <c r="A17" s="512"/>
      <c r="B17" s="512"/>
      <c r="C17" s="512"/>
      <c r="D17" s="512"/>
      <c r="E17" s="512"/>
    </row>
    <row r="18" spans="1:11" hidden="1">
      <c r="A18" s="513"/>
      <c r="B18" s="513"/>
      <c r="C18" s="138"/>
      <c r="D18" s="138"/>
      <c r="E18" s="138"/>
    </row>
    <row r="19" spans="1:11" ht="36.75" customHeight="1" thickBot="1">
      <c r="A19" s="468" t="s">
        <v>2162</v>
      </c>
      <c r="B19" s="468"/>
      <c r="C19" s="468"/>
      <c r="D19" s="468"/>
      <c r="E19" s="468"/>
    </row>
    <row r="20" spans="1:11" ht="31.5">
      <c r="A20" s="495" t="s">
        <v>1628</v>
      </c>
      <c r="B20" s="496"/>
      <c r="C20" s="405" t="s">
        <v>2755</v>
      </c>
      <c r="D20" s="405" t="s">
        <v>615</v>
      </c>
      <c r="E20" s="375" t="s">
        <v>2790</v>
      </c>
    </row>
    <row r="21" spans="1:11" ht="19.5" customHeight="1">
      <c r="A21" s="507" t="s">
        <v>8</v>
      </c>
      <c r="B21" s="508"/>
      <c r="C21" s="245">
        <v>69750</v>
      </c>
      <c r="D21" s="245"/>
      <c r="E21" s="281">
        <f>C21+D21</f>
        <v>69750</v>
      </c>
    </row>
    <row r="22" spans="1:11" ht="23.25" customHeight="1" thickBot="1">
      <c r="A22" s="505" t="s">
        <v>1130</v>
      </c>
      <c r="B22" s="506"/>
      <c r="C22" s="376">
        <f>C21</f>
        <v>69750</v>
      </c>
      <c r="D22" s="376">
        <f>D21</f>
        <v>0</v>
      </c>
      <c r="E22" s="377">
        <f>C22+D22</f>
        <v>69750</v>
      </c>
    </row>
    <row r="23" spans="1:11" ht="12" customHeight="1">
      <c r="A23" s="407"/>
      <c r="B23" s="407">
        <v>1</v>
      </c>
      <c r="C23" s="408"/>
      <c r="D23" s="408"/>
      <c r="E23" s="408"/>
    </row>
    <row r="24" spans="1:11" ht="18.75" customHeight="1" thickBot="1">
      <c r="A24" s="468" t="s">
        <v>2461</v>
      </c>
      <c r="B24" s="468"/>
      <c r="C24" s="468"/>
      <c r="D24" s="468"/>
      <c r="E24" s="468"/>
    </row>
    <row r="25" spans="1:11" ht="31.5">
      <c r="A25" s="495" t="s">
        <v>1628</v>
      </c>
      <c r="B25" s="496"/>
      <c r="C25" s="405" t="s">
        <v>2755</v>
      </c>
      <c r="D25" s="405" t="s">
        <v>615</v>
      </c>
      <c r="E25" s="375" t="s">
        <v>2792</v>
      </c>
      <c r="K25" s="274"/>
    </row>
    <row r="26" spans="1:11" hidden="1">
      <c r="A26" s="501" t="s">
        <v>2191</v>
      </c>
      <c r="B26" s="502"/>
      <c r="C26" s="268">
        <v>0</v>
      </c>
      <c r="D26" s="268"/>
      <c r="E26" s="281">
        <f t="shared" ref="E26:E30" si="0">C26+D26</f>
        <v>0</v>
      </c>
      <c r="K26" s="274"/>
    </row>
    <row r="27" spans="1:11">
      <c r="A27" s="501" t="s">
        <v>634</v>
      </c>
      <c r="B27" s="502"/>
      <c r="C27" s="268">
        <v>4988719</v>
      </c>
      <c r="D27" s="268"/>
      <c r="E27" s="281">
        <f t="shared" si="0"/>
        <v>4988719</v>
      </c>
      <c r="K27" s="274"/>
    </row>
    <row r="28" spans="1:11">
      <c r="A28" s="501" t="s">
        <v>8</v>
      </c>
      <c r="B28" s="502"/>
      <c r="C28" s="268">
        <v>55505</v>
      </c>
      <c r="D28" s="268"/>
      <c r="E28" s="281">
        <f t="shared" si="0"/>
        <v>55505</v>
      </c>
      <c r="K28" s="274"/>
    </row>
    <row r="29" spans="1:11" ht="17.25" customHeight="1">
      <c r="A29" s="507" t="s">
        <v>10</v>
      </c>
      <c r="B29" s="508"/>
      <c r="C29" s="268">
        <v>17342995</v>
      </c>
      <c r="D29" s="245"/>
      <c r="E29" s="281">
        <f t="shared" si="0"/>
        <v>17342995</v>
      </c>
      <c r="K29" s="274"/>
    </row>
    <row r="30" spans="1:11" ht="16.5" thickBot="1">
      <c r="A30" s="505" t="s">
        <v>1130</v>
      </c>
      <c r="B30" s="506"/>
      <c r="C30" s="376">
        <v>22387219</v>
      </c>
      <c r="D30" s="376">
        <f>SUM(D26:D29)</f>
        <v>0</v>
      </c>
      <c r="E30" s="377">
        <f t="shared" si="0"/>
        <v>22387219</v>
      </c>
    </row>
    <row r="31" spans="1:11" ht="9" hidden="1" customHeight="1">
      <c r="A31" s="409"/>
      <c r="B31" s="410"/>
      <c r="C31" s="411"/>
      <c r="D31" s="411"/>
      <c r="E31" s="411"/>
    </row>
    <row r="32" spans="1:11" ht="55.5" customHeight="1" thickBot="1">
      <c r="A32" s="468" t="s">
        <v>2464</v>
      </c>
      <c r="B32" s="468"/>
      <c r="C32" s="468"/>
      <c r="D32" s="468"/>
      <c r="E32" s="468"/>
    </row>
    <row r="33" spans="1:5" ht="31.5">
      <c r="A33" s="495" t="s">
        <v>1628</v>
      </c>
      <c r="B33" s="496"/>
      <c r="C33" s="405" t="s">
        <v>2755</v>
      </c>
      <c r="D33" s="405" t="s">
        <v>615</v>
      </c>
      <c r="E33" s="375" t="s">
        <v>2793</v>
      </c>
    </row>
    <row r="34" spans="1:5">
      <c r="A34" s="497" t="s">
        <v>10</v>
      </c>
      <c r="B34" s="498"/>
      <c r="C34" s="245">
        <v>27000000</v>
      </c>
      <c r="D34" s="245">
        <v>-9700000</v>
      </c>
      <c r="E34" s="281">
        <f t="shared" ref="E34:E35" si="1">C34+D34</f>
        <v>17300000</v>
      </c>
    </row>
    <row r="35" spans="1:5" ht="22.5" customHeight="1" thickBot="1">
      <c r="A35" s="503" t="s">
        <v>1130</v>
      </c>
      <c r="B35" s="504"/>
      <c r="C35" s="376">
        <f>C34</f>
        <v>27000000</v>
      </c>
      <c r="D35" s="376">
        <f>D34</f>
        <v>-9700000</v>
      </c>
      <c r="E35" s="377">
        <f t="shared" si="1"/>
        <v>17300000</v>
      </c>
    </row>
    <row r="36" spans="1:5" ht="3" customHeight="1">
      <c r="A36" s="412"/>
      <c r="B36" s="412"/>
      <c r="C36" s="409"/>
      <c r="D36" s="409"/>
      <c r="E36" s="413"/>
    </row>
    <row r="37" spans="1:5" hidden="1">
      <c r="A37" s="409"/>
      <c r="B37" s="409"/>
      <c r="C37" s="409"/>
      <c r="D37" s="409"/>
      <c r="E37" s="409"/>
    </row>
    <row r="38" spans="1:5" ht="53.25" customHeight="1" thickBot="1">
      <c r="A38" s="468" t="s">
        <v>2607</v>
      </c>
      <c r="B38" s="468"/>
      <c r="C38" s="468"/>
      <c r="D38" s="468"/>
      <c r="E38" s="468"/>
    </row>
    <row r="39" spans="1:5" ht="31.5">
      <c r="A39" s="495" t="s">
        <v>1628</v>
      </c>
      <c r="B39" s="496"/>
      <c r="C39" s="405" t="s">
        <v>2755</v>
      </c>
      <c r="D39" s="405" t="s">
        <v>615</v>
      </c>
      <c r="E39" s="375" t="s">
        <v>2791</v>
      </c>
    </row>
    <row r="40" spans="1:5">
      <c r="A40" s="497" t="s">
        <v>10</v>
      </c>
      <c r="B40" s="498"/>
      <c r="C40" s="245">
        <v>25363000</v>
      </c>
      <c r="D40" s="245">
        <v>-149000</v>
      </c>
      <c r="E40" s="378">
        <f>SUM(C40:D40)</f>
        <v>25214000</v>
      </c>
    </row>
    <row r="41" spans="1:5">
      <c r="A41" s="497" t="s">
        <v>8</v>
      </c>
      <c r="B41" s="498"/>
      <c r="C41" s="245">
        <v>2200000</v>
      </c>
      <c r="D41" s="245"/>
      <c r="E41" s="378">
        <f>SUM(C41:D41)</f>
        <v>2200000</v>
      </c>
    </row>
    <row r="42" spans="1:5" ht="16.5" thickBot="1">
      <c r="A42" s="499" t="s">
        <v>1130</v>
      </c>
      <c r="B42" s="500"/>
      <c r="C42" s="376">
        <v>27563000</v>
      </c>
      <c r="D42" s="376">
        <f t="shared" ref="D42:E42" si="2">SUM(D40:D41)</f>
        <v>-149000</v>
      </c>
      <c r="E42" s="377">
        <f t="shared" si="2"/>
        <v>27414000</v>
      </c>
    </row>
    <row r="43" spans="1:5" ht="9" customHeight="1">
      <c r="A43" s="414"/>
      <c r="B43" s="414"/>
      <c r="C43" s="414"/>
      <c r="D43" s="414"/>
      <c r="E43" s="414"/>
    </row>
    <row r="44" spans="1:5" ht="63" customHeight="1" thickBot="1">
      <c r="A44" s="468" t="s">
        <v>2653</v>
      </c>
      <c r="B44" s="468"/>
      <c r="C44" s="468"/>
      <c r="D44" s="468"/>
      <c r="E44" s="468"/>
    </row>
    <row r="45" spans="1:5" ht="31.5">
      <c r="A45" s="495" t="s">
        <v>1628</v>
      </c>
      <c r="B45" s="496"/>
      <c r="C45" s="405" t="s">
        <v>2755</v>
      </c>
      <c r="D45" s="405" t="s">
        <v>615</v>
      </c>
      <c r="E45" s="375" t="s">
        <v>2794</v>
      </c>
    </row>
    <row r="46" spans="1:5">
      <c r="A46" s="497" t="s">
        <v>1377</v>
      </c>
      <c r="B46" s="498"/>
      <c r="C46" s="245">
        <v>404586</v>
      </c>
      <c r="D46" s="245"/>
      <c r="E46" s="378">
        <f>SUM(C46:D46)</f>
        <v>404586</v>
      </c>
    </row>
    <row r="47" spans="1:5">
      <c r="A47" s="497" t="s">
        <v>8</v>
      </c>
      <c r="B47" s="498"/>
      <c r="C47" s="245">
        <v>1754558</v>
      </c>
      <c r="D47" s="245"/>
      <c r="E47" s="378">
        <f>SUM(C47:D47)</f>
        <v>1754558</v>
      </c>
    </row>
    <row r="48" spans="1:5">
      <c r="A48" s="497" t="s">
        <v>633</v>
      </c>
      <c r="B48" s="498"/>
      <c r="C48" s="245">
        <v>6420141</v>
      </c>
      <c r="D48" s="245"/>
      <c r="E48" s="378">
        <f>SUM(C48:D48)</f>
        <v>6420141</v>
      </c>
    </row>
    <row r="49" spans="1:5" ht="16.5" thickBot="1">
      <c r="A49" s="499" t="s">
        <v>1130</v>
      </c>
      <c r="B49" s="500"/>
      <c r="C49" s="376">
        <v>8579285</v>
      </c>
      <c r="D49" s="376">
        <f>SUM(D46:D48)</f>
        <v>0</v>
      </c>
      <c r="E49" s="377">
        <f>SUM(E46:E48)</f>
        <v>8579285</v>
      </c>
    </row>
    <row r="50" spans="1:5" ht="9.75" customHeight="1">
      <c r="A50" s="415"/>
      <c r="B50" s="415"/>
      <c r="C50" s="408"/>
      <c r="D50" s="408"/>
      <c r="E50" s="408"/>
    </row>
    <row r="51" spans="1:5" ht="36.75" customHeight="1" thickBot="1">
      <c r="A51" s="468" t="s">
        <v>2679</v>
      </c>
      <c r="B51" s="468"/>
      <c r="C51" s="468"/>
      <c r="D51" s="468"/>
      <c r="E51" s="468"/>
    </row>
    <row r="52" spans="1:5" ht="31.5">
      <c r="A52" s="495" t="s">
        <v>1628</v>
      </c>
      <c r="B52" s="496"/>
      <c r="C52" s="405" t="s">
        <v>2755</v>
      </c>
      <c r="D52" s="405" t="s">
        <v>615</v>
      </c>
      <c r="E52" s="375" t="s">
        <v>2795</v>
      </c>
    </row>
    <row r="53" spans="1:5">
      <c r="A53" s="497" t="s">
        <v>633</v>
      </c>
      <c r="B53" s="498"/>
      <c r="C53" s="245">
        <v>5778126.9000000004</v>
      </c>
      <c r="D53" s="245"/>
      <c r="E53" s="378">
        <f>SUM(C53:D53)</f>
        <v>5778126.9000000004</v>
      </c>
    </row>
    <row r="54" spans="1:5" ht="16.5" thickBot="1">
      <c r="A54" s="499" t="s">
        <v>1130</v>
      </c>
      <c r="B54" s="500"/>
      <c r="C54" s="376">
        <v>5778126.9000000004</v>
      </c>
      <c r="D54" s="376">
        <f>SUM(D53:D53)</f>
        <v>0</v>
      </c>
      <c r="E54" s="377">
        <f>SUM(E53:E53)</f>
        <v>5778126.9000000004</v>
      </c>
    </row>
    <row r="55" spans="1:5" ht="48" customHeight="1" thickBot="1">
      <c r="A55" s="468" t="s">
        <v>2676</v>
      </c>
      <c r="B55" s="468"/>
      <c r="C55" s="468"/>
      <c r="D55" s="468"/>
      <c r="E55" s="468"/>
    </row>
    <row r="56" spans="1:5" ht="31.5">
      <c r="A56" s="495" t="s">
        <v>1628</v>
      </c>
      <c r="B56" s="496"/>
      <c r="C56" s="405" t="s">
        <v>2755</v>
      </c>
      <c r="D56" s="405" t="s">
        <v>615</v>
      </c>
      <c r="E56" s="375" t="s">
        <v>2796</v>
      </c>
    </row>
    <row r="57" spans="1:5">
      <c r="A57" s="497" t="s">
        <v>634</v>
      </c>
      <c r="B57" s="498"/>
      <c r="C57" s="245">
        <v>223402</v>
      </c>
      <c r="D57" s="245"/>
      <c r="E57" s="281">
        <f>C57+D57</f>
        <v>223402</v>
      </c>
    </row>
    <row r="58" spans="1:5" ht="22.5" customHeight="1" thickBot="1">
      <c r="A58" s="503" t="s">
        <v>1130</v>
      </c>
      <c r="B58" s="504"/>
      <c r="C58" s="376">
        <v>223402</v>
      </c>
      <c r="D58" s="376">
        <f>D57</f>
        <v>0</v>
      </c>
      <c r="E58" s="377">
        <f>C58+D58</f>
        <v>223402</v>
      </c>
    </row>
    <row r="59" spans="1:5" ht="6.75" customHeight="1">
      <c r="A59" s="414"/>
      <c r="B59" s="414"/>
      <c r="C59" s="414"/>
      <c r="D59" s="416"/>
      <c r="E59" s="416"/>
    </row>
    <row r="60" spans="1:5" ht="37.5" customHeight="1" thickBot="1">
      <c r="A60" s="468" t="s">
        <v>2677</v>
      </c>
      <c r="B60" s="468"/>
      <c r="C60" s="468"/>
      <c r="D60" s="468"/>
      <c r="E60" s="468"/>
    </row>
    <row r="61" spans="1:5" ht="31.5">
      <c r="A61" s="495" t="s">
        <v>1628</v>
      </c>
      <c r="B61" s="496"/>
      <c r="C61" s="405" t="s">
        <v>2755</v>
      </c>
      <c r="D61" s="405" t="s">
        <v>615</v>
      </c>
      <c r="E61" s="375" t="s">
        <v>2797</v>
      </c>
    </row>
    <row r="62" spans="1:5">
      <c r="A62" s="497" t="s">
        <v>10</v>
      </c>
      <c r="B62" s="498"/>
      <c r="C62" s="245">
        <v>1258830</v>
      </c>
      <c r="D62" s="245"/>
      <c r="E62" s="281">
        <f t="shared" ref="E62:E63" si="3">C62+D62</f>
        <v>1258830</v>
      </c>
    </row>
    <row r="63" spans="1:5" ht="16.5" thickBot="1">
      <c r="A63" s="503" t="s">
        <v>1130</v>
      </c>
      <c r="B63" s="504"/>
      <c r="C63" s="376">
        <v>1258830</v>
      </c>
      <c r="D63" s="376">
        <f>D62</f>
        <v>0</v>
      </c>
      <c r="E63" s="377">
        <f t="shared" si="3"/>
        <v>1258830</v>
      </c>
    </row>
    <row r="64" spans="1:5" ht="5.25" customHeight="1"/>
    <row r="65" spans="1:5" ht="45" customHeight="1" thickBot="1">
      <c r="A65" s="486" t="s">
        <v>2678</v>
      </c>
      <c r="B65" s="486"/>
      <c r="C65" s="486"/>
      <c r="D65" s="486"/>
      <c r="E65" s="486"/>
    </row>
    <row r="66" spans="1:5" ht="31.5">
      <c r="A66" s="487" t="s">
        <v>1628</v>
      </c>
      <c r="B66" s="488"/>
      <c r="C66" s="406" t="s">
        <v>2755</v>
      </c>
      <c r="D66" s="406" t="s">
        <v>615</v>
      </c>
      <c r="E66" s="379" t="s">
        <v>2796</v>
      </c>
    </row>
    <row r="67" spans="1:5">
      <c r="A67" s="497" t="s">
        <v>8</v>
      </c>
      <c r="B67" s="498"/>
      <c r="C67" s="402">
        <v>1097146</v>
      </c>
      <c r="D67" s="363">
        <v>456797</v>
      </c>
      <c r="E67" s="281">
        <f t="shared" ref="E67:E68" si="4">C67+D67</f>
        <v>1553943</v>
      </c>
    </row>
    <row r="68" spans="1:5">
      <c r="A68" s="489" t="s">
        <v>10</v>
      </c>
      <c r="B68" s="490"/>
      <c r="C68" s="363">
        <v>1500000</v>
      </c>
      <c r="D68" s="363">
        <v>591508</v>
      </c>
      <c r="E68" s="281">
        <f t="shared" si="4"/>
        <v>2091508</v>
      </c>
    </row>
    <row r="69" spans="1:5" ht="16.5" thickBot="1">
      <c r="A69" s="491" t="s">
        <v>1130</v>
      </c>
      <c r="B69" s="492"/>
      <c r="C69" s="380">
        <v>2597146</v>
      </c>
      <c r="D69" s="380">
        <f>D67+D68</f>
        <v>1048305</v>
      </c>
      <c r="E69" s="381">
        <f t="shared" ref="E69" si="5">C69+D69</f>
        <v>3645451</v>
      </c>
    </row>
    <row r="70" spans="1:5" ht="2.25" customHeight="1">
      <c r="A70" s="414"/>
      <c r="B70" s="414"/>
      <c r="C70" s="414"/>
      <c r="D70" s="414"/>
      <c r="E70" s="414"/>
    </row>
    <row r="71" spans="1:5" ht="6" customHeight="1">
      <c r="A71" s="414"/>
      <c r="B71" s="414"/>
      <c r="C71" s="414"/>
      <c r="D71" s="414"/>
      <c r="E71" s="414"/>
    </row>
    <row r="72" spans="1:5" ht="51" customHeight="1" thickBot="1">
      <c r="A72" s="486" t="s">
        <v>2683</v>
      </c>
      <c r="B72" s="486"/>
      <c r="C72" s="486"/>
      <c r="D72" s="486"/>
      <c r="E72" s="486"/>
    </row>
    <row r="73" spans="1:5" ht="31.5">
      <c r="A73" s="487" t="s">
        <v>1628</v>
      </c>
      <c r="B73" s="488"/>
      <c r="C73" s="406" t="s">
        <v>2755</v>
      </c>
      <c r="D73" s="406" t="s">
        <v>615</v>
      </c>
      <c r="E73" s="379" t="s">
        <v>2796</v>
      </c>
    </row>
    <row r="74" spans="1:5">
      <c r="A74" s="489" t="s">
        <v>10</v>
      </c>
      <c r="B74" s="490"/>
      <c r="C74" s="363">
        <v>800000</v>
      </c>
      <c r="D74" s="363"/>
      <c r="E74" s="281">
        <f t="shared" ref="E74" si="6">C74+D74</f>
        <v>800000</v>
      </c>
    </row>
    <row r="75" spans="1:5" ht="16.5" thickBot="1">
      <c r="A75" s="491" t="s">
        <v>1130</v>
      </c>
      <c r="B75" s="492"/>
      <c r="C75" s="380">
        <v>800000</v>
      </c>
      <c r="D75" s="380">
        <f>D74</f>
        <v>0</v>
      </c>
      <c r="E75" s="381">
        <f>E74</f>
        <v>800000</v>
      </c>
    </row>
    <row r="76" spans="1:5" ht="10.5" customHeight="1">
      <c r="A76" s="414"/>
      <c r="B76" s="414"/>
      <c r="C76" s="414"/>
      <c r="D76" s="414"/>
      <c r="E76" s="414"/>
    </row>
    <row r="77" spans="1:5" ht="93.75" customHeight="1" thickBot="1">
      <c r="A77" s="486" t="s">
        <v>2703</v>
      </c>
      <c r="B77" s="486"/>
      <c r="C77" s="486"/>
      <c r="D77" s="486"/>
      <c r="E77" s="486"/>
    </row>
    <row r="78" spans="1:5" ht="31.5">
      <c r="A78" s="487" t="s">
        <v>1628</v>
      </c>
      <c r="B78" s="488"/>
      <c r="C78" s="406" t="s">
        <v>2755</v>
      </c>
      <c r="D78" s="406" t="s">
        <v>615</v>
      </c>
      <c r="E78" s="379" t="s">
        <v>2798</v>
      </c>
    </row>
    <row r="79" spans="1:5">
      <c r="A79" s="489" t="s">
        <v>634</v>
      </c>
      <c r="B79" s="490"/>
      <c r="C79" s="363">
        <v>130884</v>
      </c>
      <c r="D79" s="363"/>
      <c r="E79" s="281">
        <f t="shared" ref="E79" si="7">C79+D79</f>
        <v>130884</v>
      </c>
    </row>
    <row r="80" spans="1:5" ht="16.5" thickBot="1">
      <c r="A80" s="491" t="s">
        <v>1130</v>
      </c>
      <c r="B80" s="492"/>
      <c r="C80" s="380">
        <v>130884</v>
      </c>
      <c r="D80" s="380">
        <f>D79</f>
        <v>0</v>
      </c>
      <c r="E80" s="381">
        <f>E79</f>
        <v>130884</v>
      </c>
    </row>
    <row r="81" spans="1:5">
      <c r="A81" s="256"/>
      <c r="B81" s="256"/>
      <c r="C81" s="256"/>
      <c r="D81" s="364"/>
      <c r="E81" s="364"/>
    </row>
    <row r="82" spans="1:5" ht="66" customHeight="1" thickBot="1">
      <c r="A82" s="486" t="s">
        <v>2784</v>
      </c>
      <c r="B82" s="486"/>
      <c r="C82" s="486"/>
      <c r="D82" s="486"/>
      <c r="E82" s="486"/>
    </row>
    <row r="83" spans="1:5" ht="31.5">
      <c r="A83" s="487" t="s">
        <v>1628</v>
      </c>
      <c r="B83" s="488"/>
      <c r="C83" s="406" t="s">
        <v>2755</v>
      </c>
      <c r="D83" s="406" t="s">
        <v>615</v>
      </c>
      <c r="E83" s="379" t="s">
        <v>2796</v>
      </c>
    </row>
    <row r="84" spans="1:5">
      <c r="A84" s="489" t="s">
        <v>1377</v>
      </c>
      <c r="B84" s="490"/>
      <c r="C84" s="363">
        <v>267000</v>
      </c>
      <c r="D84" s="363"/>
      <c r="E84" s="281">
        <f>D84+C84</f>
        <v>267000</v>
      </c>
    </row>
    <row r="85" spans="1:5" ht="15.75" customHeight="1">
      <c r="A85" s="489" t="s">
        <v>634</v>
      </c>
      <c r="B85" s="490"/>
      <c r="C85" s="418">
        <v>484000</v>
      </c>
      <c r="D85" s="418"/>
      <c r="E85" s="281">
        <f>D85+C85</f>
        <v>484000</v>
      </c>
    </row>
    <row r="86" spans="1:5" ht="16.5" thickBot="1">
      <c r="A86" s="491" t="s">
        <v>1130</v>
      </c>
      <c r="B86" s="492"/>
      <c r="C86" s="380">
        <f>C84+C85</f>
        <v>751000</v>
      </c>
      <c r="D86" s="380">
        <f t="shared" ref="D86:E86" si="8">D84+D85</f>
        <v>0</v>
      </c>
      <c r="E86" s="380">
        <f t="shared" si="8"/>
        <v>751000</v>
      </c>
    </row>
    <row r="87" spans="1:5">
      <c r="A87" s="256"/>
      <c r="B87" s="256"/>
      <c r="C87" s="256"/>
      <c r="D87" s="364"/>
      <c r="E87" s="364"/>
    </row>
    <row r="88" spans="1:5" ht="16.5" thickBot="1">
      <c r="A88" s="468" t="s">
        <v>2785</v>
      </c>
      <c r="B88" s="468"/>
      <c r="C88" s="468"/>
      <c r="D88" s="468"/>
      <c r="E88" s="468"/>
    </row>
    <row r="89" spans="1:5" ht="31.5">
      <c r="A89" s="495" t="s">
        <v>1628</v>
      </c>
      <c r="B89" s="496"/>
      <c r="C89" s="405" t="s">
        <v>2755</v>
      </c>
      <c r="D89" s="405" t="s">
        <v>615</v>
      </c>
      <c r="E89" s="375" t="s">
        <v>2798</v>
      </c>
    </row>
    <row r="90" spans="1:5">
      <c r="A90" s="497" t="s">
        <v>2673</v>
      </c>
      <c r="B90" s="498"/>
      <c r="C90" s="245">
        <v>3161293.58</v>
      </c>
      <c r="D90" s="245"/>
      <c r="E90" s="378">
        <f>SUM(C90:D90)</f>
        <v>3161293.58</v>
      </c>
    </row>
    <row r="91" spans="1:5">
      <c r="A91" s="497" t="s">
        <v>8</v>
      </c>
      <c r="B91" s="498"/>
      <c r="C91" s="245">
        <v>16951925.329999998</v>
      </c>
      <c r="D91" s="245"/>
      <c r="E91" s="378">
        <f>SUM(C91:D91)</f>
        <v>16951925.329999998</v>
      </c>
    </row>
    <row r="92" spans="1:5">
      <c r="A92" s="497" t="s">
        <v>633</v>
      </c>
      <c r="B92" s="498"/>
      <c r="C92" s="245">
        <v>673177.34</v>
      </c>
      <c r="D92" s="245"/>
      <c r="E92" s="378">
        <f>SUM(C92:D92)</f>
        <v>673177.34</v>
      </c>
    </row>
    <row r="93" spans="1:5" ht="16.5" thickBot="1">
      <c r="A93" s="499" t="s">
        <v>1130</v>
      </c>
      <c r="B93" s="500"/>
      <c r="C93" s="376">
        <v>20786396.249999996</v>
      </c>
      <c r="D93" s="376">
        <f>SUM(D90:D92)</f>
        <v>0</v>
      </c>
      <c r="E93" s="376">
        <f>SUM(E90:E92)</f>
        <v>20786396.249999996</v>
      </c>
    </row>
    <row r="94" spans="1:5" ht="5.25" customHeight="1">
      <c r="A94" s="417"/>
      <c r="B94" s="417"/>
      <c r="C94" s="273"/>
      <c r="D94" s="273"/>
      <c r="E94" s="273"/>
    </row>
    <row r="95" spans="1:5" ht="34.5" customHeight="1" thickBot="1">
      <c r="A95" s="468" t="s">
        <v>2786</v>
      </c>
      <c r="B95" s="468"/>
      <c r="C95" s="468"/>
      <c r="D95" s="468"/>
      <c r="E95" s="468"/>
    </row>
    <row r="96" spans="1:5" ht="31.5">
      <c r="A96" s="495" t="s">
        <v>1628</v>
      </c>
      <c r="B96" s="496"/>
      <c r="C96" s="405" t="s">
        <v>2755</v>
      </c>
      <c r="D96" s="405" t="s">
        <v>615</v>
      </c>
      <c r="E96" s="375" t="s">
        <v>2799</v>
      </c>
    </row>
    <row r="97" spans="1:5">
      <c r="A97" s="497" t="s">
        <v>2673</v>
      </c>
      <c r="B97" s="498"/>
      <c r="C97" s="385">
        <v>2326000.44</v>
      </c>
      <c r="D97" s="385">
        <v>235994.6</v>
      </c>
      <c r="E97" s="378">
        <f>SUM(C97:D97)</f>
        <v>2561995.04</v>
      </c>
    </row>
    <row r="98" spans="1:5">
      <c r="A98" s="497" t="s">
        <v>8</v>
      </c>
      <c r="B98" s="498"/>
      <c r="C98" s="245">
        <v>13646038.949999999</v>
      </c>
      <c r="D98" s="245">
        <v>-5466276.2300000004</v>
      </c>
      <c r="E98" s="378">
        <f>SUM(C98:D98)</f>
        <v>8179762.7199999988</v>
      </c>
    </row>
    <row r="99" spans="1:5">
      <c r="A99" s="497" t="s">
        <v>633</v>
      </c>
      <c r="B99" s="498"/>
      <c r="C99" s="245">
        <v>541897.39</v>
      </c>
      <c r="D99" s="245">
        <v>834337</v>
      </c>
      <c r="E99" s="378">
        <f>SUM(C99:D99)</f>
        <v>1376234.3900000001</v>
      </c>
    </row>
    <row r="100" spans="1:5" ht="16.5" thickBot="1">
      <c r="A100" s="499" t="s">
        <v>1130</v>
      </c>
      <c r="B100" s="500"/>
      <c r="C100" s="376">
        <v>16513936.779999999</v>
      </c>
      <c r="D100" s="376">
        <f>SUM(D97:D99)</f>
        <v>-4395944.6300000008</v>
      </c>
      <c r="E100" s="376">
        <f>SUM(E97:E99)</f>
        <v>12117992.149999999</v>
      </c>
    </row>
    <row r="101" spans="1:5" ht="1.5" customHeight="1">
      <c r="A101" s="415"/>
      <c r="B101" s="415"/>
      <c r="C101" s="408"/>
      <c r="D101" s="408"/>
      <c r="E101" s="408"/>
    </row>
    <row r="102" spans="1:5" ht="37.5" customHeight="1" thickBot="1">
      <c r="A102" s="468" t="s">
        <v>2787</v>
      </c>
      <c r="B102" s="468"/>
      <c r="C102" s="468"/>
      <c r="D102" s="468"/>
      <c r="E102" s="468"/>
    </row>
    <row r="103" spans="1:5" ht="31.5">
      <c r="A103" s="495" t="s">
        <v>1628</v>
      </c>
      <c r="B103" s="496"/>
      <c r="C103" s="405" t="s">
        <v>2755</v>
      </c>
      <c r="D103" s="405" t="s">
        <v>615</v>
      </c>
      <c r="E103" s="375" t="s">
        <v>2482</v>
      </c>
    </row>
    <row r="104" spans="1:5">
      <c r="A104" s="497" t="s">
        <v>2673</v>
      </c>
      <c r="B104" s="498"/>
      <c r="C104" s="385">
        <v>1000000</v>
      </c>
      <c r="D104" s="385"/>
      <c r="E104" s="378">
        <f>SUM(C104:D104)</f>
        <v>1000000</v>
      </c>
    </row>
    <row r="105" spans="1:5" ht="15.75" customHeight="1">
      <c r="A105" s="493" t="s">
        <v>1130</v>
      </c>
      <c r="B105" s="494"/>
      <c r="C105" s="420">
        <v>1000000</v>
      </c>
      <c r="D105" s="420">
        <f>SUM(D102:D104)</f>
        <v>0</v>
      </c>
      <c r="E105" s="420">
        <f>SUM(E102:E104)</f>
        <v>1000000</v>
      </c>
    </row>
    <row r="106" spans="1:5">
      <c r="A106" s="484" t="s">
        <v>2529</v>
      </c>
      <c r="B106" s="485"/>
      <c r="C106" s="421">
        <f>C22+C30+C35+C42+C49+C54+C58+C63+C69+C75+C80+C93+C100+C104+C86</f>
        <v>135438975.93000001</v>
      </c>
      <c r="D106" s="421">
        <f>D22+D30+D35+D42+D49+D54+D58+D63+D69+D75+D80+D93+D100+D104+D86</f>
        <v>-13196639.630000001</v>
      </c>
      <c r="E106" s="421">
        <f>E22+E30+E35+E42+E49+E54+E58+E63+E69+E75+E80+E93+E100+E104+E86</f>
        <v>122242336.30000001</v>
      </c>
    </row>
    <row r="107" spans="1:5" ht="2.25" hidden="1" customHeight="1"/>
  </sheetData>
  <mergeCells count="86">
    <mergeCell ref="A54:B54"/>
    <mergeCell ref="A51:E51"/>
    <mergeCell ref="A52:B52"/>
    <mergeCell ref="A53:B53"/>
    <mergeCell ref="A65:E65"/>
    <mergeCell ref="A55:E55"/>
    <mergeCell ref="A56:B56"/>
    <mergeCell ref="A57:B57"/>
    <mergeCell ref="A58:B58"/>
    <mergeCell ref="A60:E60"/>
    <mergeCell ref="A66:B66"/>
    <mergeCell ref="A68:B68"/>
    <mergeCell ref="A69:B69"/>
    <mergeCell ref="A61:B61"/>
    <mergeCell ref="A62:B62"/>
    <mergeCell ref="A63:B63"/>
    <mergeCell ref="A67:B67"/>
    <mergeCell ref="A44:E44"/>
    <mergeCell ref="A45:B45"/>
    <mergeCell ref="A46:B46"/>
    <mergeCell ref="A47:B47"/>
    <mergeCell ref="A49:B49"/>
    <mergeCell ref="A48:B48"/>
    <mergeCell ref="A8:E8"/>
    <mergeCell ref="A7:E7"/>
    <mergeCell ref="B1:E1"/>
    <mergeCell ref="B2:E2"/>
    <mergeCell ref="B3:E3"/>
    <mergeCell ref="B4:E4"/>
    <mergeCell ref="A26:B26"/>
    <mergeCell ref="A27:B27"/>
    <mergeCell ref="A9:B9"/>
    <mergeCell ref="A20:B20"/>
    <mergeCell ref="A11:B11"/>
    <mergeCell ref="A16:B16"/>
    <mergeCell ref="A17:E17"/>
    <mergeCell ref="A13:E13"/>
    <mergeCell ref="A18:B18"/>
    <mergeCell ref="A19:E19"/>
    <mergeCell ref="A14:B14"/>
    <mergeCell ref="A22:B22"/>
    <mergeCell ref="A21:B21"/>
    <mergeCell ref="A24:E24"/>
    <mergeCell ref="A25:B25"/>
    <mergeCell ref="A72:E72"/>
    <mergeCell ref="A73:B73"/>
    <mergeCell ref="A74:B74"/>
    <mergeCell ref="A75:B75"/>
    <mergeCell ref="A28:B28"/>
    <mergeCell ref="A32:E32"/>
    <mergeCell ref="A33:B33"/>
    <mergeCell ref="A34:B34"/>
    <mergeCell ref="A35:B35"/>
    <mergeCell ref="A30:B30"/>
    <mergeCell ref="A29:B29"/>
    <mergeCell ref="A39:B39"/>
    <mergeCell ref="A40:B40"/>
    <mergeCell ref="A42:B42"/>
    <mergeCell ref="A41:B41"/>
    <mergeCell ref="A38:E38"/>
    <mergeCell ref="A98:B98"/>
    <mergeCell ref="A77:E77"/>
    <mergeCell ref="A78:B78"/>
    <mergeCell ref="A79:B79"/>
    <mergeCell ref="A80:B80"/>
    <mergeCell ref="A92:B92"/>
    <mergeCell ref="A97:B97"/>
    <mergeCell ref="A93:B93"/>
    <mergeCell ref="A95:E95"/>
    <mergeCell ref="A96:B96"/>
    <mergeCell ref="A106:B106"/>
    <mergeCell ref="A82:E82"/>
    <mergeCell ref="A83:B83"/>
    <mergeCell ref="A84:B84"/>
    <mergeCell ref="A86:B86"/>
    <mergeCell ref="A85:B85"/>
    <mergeCell ref="A105:B105"/>
    <mergeCell ref="A102:E102"/>
    <mergeCell ref="A103:B103"/>
    <mergeCell ref="A104:B104"/>
    <mergeCell ref="A100:B100"/>
    <mergeCell ref="A99:B99"/>
    <mergeCell ref="A88:E88"/>
    <mergeCell ref="A89:B89"/>
    <mergeCell ref="A90:B90"/>
    <mergeCell ref="A91:B91"/>
  </mergeCells>
  <phoneticPr fontId="33" type="noConversion"/>
  <pageMargins left="0.70866141732283472" right="0.70866141732283472" top="0.74803149606299213" bottom="0.74803149606299213" header="0.31496062992125984" footer="0.31496062992125984"/>
  <pageSetup paperSize="9" scale="69" fitToHeight="0" orientation="portrait" r:id="rId1"/>
  <headerFooter alignWithMargins="0">
    <oddFooter>&amp;C&amp;P</oddFooter>
  </headerFooter>
  <rowBreaks count="1" manualBreakCount="1">
    <brk id="58" max="4" man="1"/>
  </rowBreaks>
</worksheet>
</file>

<file path=xl/worksheets/sheet14.xml><?xml version="1.0" encoding="utf-8"?>
<worksheet xmlns="http://schemas.openxmlformats.org/spreadsheetml/2006/main" xmlns:r="http://schemas.openxmlformats.org/officeDocument/2006/relationships">
  <sheetPr codeName="Лист17"/>
  <dimension ref="A1:D31"/>
  <sheetViews>
    <sheetView showGridLines="0" view="pageBreakPreview" zoomScaleSheetLayoutView="100" workbookViewId="0">
      <selection activeCell="B4" sqref="B4:D4"/>
    </sheetView>
  </sheetViews>
  <sheetFormatPr defaultColWidth="9.140625" defaultRowHeight="15.75"/>
  <cols>
    <col min="1" max="1" width="4.140625" style="266" customWidth="1"/>
    <col min="2" max="2" width="55.140625" style="266" customWidth="1"/>
    <col min="3" max="4" width="13.5703125" style="266" customWidth="1"/>
    <col min="5" max="7" width="9.140625" style="266"/>
    <col min="8" max="8" width="43.42578125" style="266" customWidth="1"/>
    <col min="9" max="16384" width="9.140625" style="266"/>
  </cols>
  <sheetData>
    <row r="1" spans="1:4">
      <c r="A1" s="242"/>
      <c r="B1" s="469" t="s">
        <v>2038</v>
      </c>
      <c r="C1" s="469"/>
      <c r="D1" s="454"/>
    </row>
    <row r="2" spans="1:4">
      <c r="A2" s="242"/>
      <c r="B2" s="469" t="s">
        <v>1051</v>
      </c>
      <c r="C2" s="469"/>
      <c r="D2" s="454"/>
    </row>
    <row r="3" spans="1:4">
      <c r="A3" s="242"/>
      <c r="B3" s="469" t="s">
        <v>700</v>
      </c>
      <c r="C3" s="469"/>
      <c r="D3" s="454"/>
    </row>
    <row r="4" spans="1:4">
      <c r="A4" s="242"/>
      <c r="B4" s="469" t="s">
        <v>2623</v>
      </c>
      <c r="C4" s="469"/>
      <c r="D4" s="454"/>
    </row>
    <row r="5" spans="1:4" ht="6.75" customHeight="1">
      <c r="A5" s="242"/>
      <c r="B5" s="260"/>
      <c r="C5" s="242"/>
      <c r="D5" s="242"/>
    </row>
    <row r="6" spans="1:4" hidden="1">
      <c r="A6" s="242"/>
      <c r="B6" s="242"/>
      <c r="C6" s="242"/>
      <c r="D6" s="242"/>
    </row>
    <row r="7" spans="1:4" ht="48.75" customHeight="1">
      <c r="A7" s="466" t="s">
        <v>2528</v>
      </c>
      <c r="B7" s="466"/>
      <c r="C7" s="466"/>
      <c r="D7" s="476"/>
    </row>
    <row r="8" spans="1:4" ht="60" customHeight="1">
      <c r="A8" s="467" t="s">
        <v>2123</v>
      </c>
      <c r="B8" s="467"/>
      <c r="C8" s="467"/>
      <c r="D8" s="467"/>
    </row>
    <row r="9" spans="1:4" ht="31.5">
      <c r="A9" s="423" t="s">
        <v>1628</v>
      </c>
      <c r="B9" s="423"/>
      <c r="C9" s="284" t="s">
        <v>2483</v>
      </c>
      <c r="D9" s="284" t="s">
        <v>2484</v>
      </c>
    </row>
    <row r="10" spans="1:4">
      <c r="A10" s="514" t="s">
        <v>10</v>
      </c>
      <c r="B10" s="515"/>
      <c r="C10" s="245">
        <v>10400000</v>
      </c>
      <c r="D10" s="245">
        <v>6200000</v>
      </c>
    </row>
    <row r="11" spans="1:4">
      <c r="A11" s="509" t="s">
        <v>1130</v>
      </c>
      <c r="B11" s="510"/>
      <c r="C11" s="267">
        <f>C10</f>
        <v>10400000</v>
      </c>
      <c r="D11" s="267">
        <f>D10</f>
        <v>6200000</v>
      </c>
    </row>
    <row r="12" spans="1:4" ht="12.75" customHeight="1">
      <c r="A12" s="512" t="s">
        <v>2461</v>
      </c>
      <c r="B12" s="512"/>
      <c r="C12" s="512"/>
      <c r="D12" s="512"/>
    </row>
    <row r="13" spans="1:4" ht="27.75" customHeight="1">
      <c r="A13" s="467"/>
      <c r="B13" s="467"/>
      <c r="C13" s="467"/>
      <c r="D13" s="467"/>
    </row>
    <row r="14" spans="1:4" ht="31.5">
      <c r="A14" s="423" t="s">
        <v>1628</v>
      </c>
      <c r="B14" s="423"/>
      <c r="C14" s="284" t="s">
        <v>2483</v>
      </c>
      <c r="D14" s="284" t="s">
        <v>2484</v>
      </c>
    </row>
    <row r="15" spans="1:4">
      <c r="A15" s="514" t="s">
        <v>2191</v>
      </c>
      <c r="B15" s="515"/>
      <c r="C15" s="268">
        <v>1000000</v>
      </c>
      <c r="D15" s="268">
        <v>1500000</v>
      </c>
    </row>
    <row r="16" spans="1:4">
      <c r="A16" s="514" t="s">
        <v>8</v>
      </c>
      <c r="B16" s="515"/>
      <c r="C16" s="268">
        <v>500000</v>
      </c>
      <c r="D16" s="268">
        <v>500000</v>
      </c>
    </row>
    <row r="17" spans="1:4">
      <c r="A17" s="514" t="s">
        <v>2192</v>
      </c>
      <c r="B17" s="515"/>
      <c r="C17" s="245">
        <v>1500000</v>
      </c>
      <c r="D17" s="245">
        <v>1500000</v>
      </c>
    </row>
    <row r="18" spans="1:4">
      <c r="A18" s="514" t="s">
        <v>10</v>
      </c>
      <c r="B18" s="515"/>
      <c r="C18" s="245">
        <v>18000000</v>
      </c>
      <c r="D18" s="245">
        <v>19500000</v>
      </c>
    </row>
    <row r="19" spans="1:4">
      <c r="A19" s="511" t="s">
        <v>1130</v>
      </c>
      <c r="B19" s="511"/>
      <c r="C19" s="73">
        <f>SUM(C15:C18)</f>
        <v>21000000</v>
      </c>
      <c r="D19" s="73">
        <f>SUM(D15:D18)</f>
        <v>23000000</v>
      </c>
    </row>
    <row r="20" spans="1:4">
      <c r="A20" s="512"/>
      <c r="B20" s="512"/>
      <c r="C20" s="512"/>
      <c r="D20" s="516"/>
    </row>
    <row r="21" spans="1:4" ht="51" customHeight="1">
      <c r="A21" s="467" t="s">
        <v>2465</v>
      </c>
      <c r="B21" s="467"/>
      <c r="C21" s="467"/>
      <c r="D21" s="467"/>
    </row>
    <row r="22" spans="1:4" ht="31.5">
      <c r="A22" s="423" t="s">
        <v>1628</v>
      </c>
      <c r="B22" s="423"/>
      <c r="C22" s="284" t="s">
        <v>2483</v>
      </c>
      <c r="D22" s="284" t="s">
        <v>2484</v>
      </c>
    </row>
    <row r="23" spans="1:4">
      <c r="A23" s="514" t="s">
        <v>10</v>
      </c>
      <c r="B23" s="515"/>
      <c r="C23" s="245">
        <v>1000000</v>
      </c>
      <c r="D23" s="245">
        <v>2793765</v>
      </c>
    </row>
    <row r="24" spans="1:4">
      <c r="A24" s="509" t="s">
        <v>1130</v>
      </c>
      <c r="B24" s="510"/>
      <c r="C24" s="267">
        <f>C23</f>
        <v>1000000</v>
      </c>
      <c r="D24" s="267">
        <f>D23</f>
        <v>2793765</v>
      </c>
    </row>
    <row r="25" spans="1:4">
      <c r="A25" s="265"/>
      <c r="B25" s="265"/>
      <c r="C25" s="265"/>
      <c r="D25" s="269"/>
    </row>
    <row r="26" spans="1:4">
      <c r="A26" s="512" t="s">
        <v>2466</v>
      </c>
      <c r="B26" s="512"/>
      <c r="C26" s="512"/>
      <c r="D26" s="512"/>
    </row>
    <row r="27" spans="1:4" ht="54.75" customHeight="1">
      <c r="A27" s="467"/>
      <c r="B27" s="467"/>
      <c r="C27" s="467"/>
      <c r="D27" s="467"/>
    </row>
    <row r="28" spans="1:4" ht="31.5">
      <c r="A28" s="423" t="s">
        <v>1628</v>
      </c>
      <c r="B28" s="423"/>
      <c r="C28" s="284" t="s">
        <v>2483</v>
      </c>
      <c r="D28" s="284" t="s">
        <v>2484</v>
      </c>
    </row>
    <row r="29" spans="1:4">
      <c r="A29" s="514" t="s">
        <v>1377</v>
      </c>
      <c r="B29" s="515"/>
      <c r="C29" s="268">
        <v>1424800</v>
      </c>
      <c r="D29" s="268">
        <v>0</v>
      </c>
    </row>
    <row r="30" spans="1:4">
      <c r="A30" s="511" t="s">
        <v>1130</v>
      </c>
      <c r="B30" s="511"/>
      <c r="C30" s="73">
        <f>SUM(C29:C29)</f>
        <v>1424800</v>
      </c>
      <c r="D30" s="73">
        <f>SUM(D29:D29)</f>
        <v>0</v>
      </c>
    </row>
    <row r="31" spans="1:4" ht="15.75" customHeight="1">
      <c r="A31" s="511" t="s">
        <v>2204</v>
      </c>
      <c r="B31" s="511"/>
      <c r="C31" s="332">
        <f>C11+C19+C24+C30</f>
        <v>33824800</v>
      </c>
      <c r="D31" s="332">
        <f>D11+D19+D24+D30</f>
        <v>31993765</v>
      </c>
    </row>
  </sheetData>
  <mergeCells count="26">
    <mergeCell ref="A8:D8"/>
    <mergeCell ref="A14:B14"/>
    <mergeCell ref="A9:B9"/>
    <mergeCell ref="A20:D20"/>
    <mergeCell ref="A19:B19"/>
    <mergeCell ref="A10:B10"/>
    <mergeCell ref="A12:D13"/>
    <mergeCell ref="A15:B15"/>
    <mergeCell ref="A16:B16"/>
    <mergeCell ref="A18:B18"/>
    <mergeCell ref="A11:B11"/>
    <mergeCell ref="A17:B17"/>
    <mergeCell ref="B1:D1"/>
    <mergeCell ref="B2:D2"/>
    <mergeCell ref="B3:D3"/>
    <mergeCell ref="B4:D4"/>
    <mergeCell ref="A7:D7"/>
    <mergeCell ref="A31:B31"/>
    <mergeCell ref="A22:B22"/>
    <mergeCell ref="A23:B23"/>
    <mergeCell ref="A24:B24"/>
    <mergeCell ref="A21:D21"/>
    <mergeCell ref="A30:B30"/>
    <mergeCell ref="A26:D27"/>
    <mergeCell ref="A28:B28"/>
    <mergeCell ref="A29:B29"/>
  </mergeCells>
  <phoneticPr fontId="33"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codeName="Лист18"/>
  <dimension ref="A1:D17"/>
  <sheetViews>
    <sheetView view="pageBreakPreview" zoomScaleSheetLayoutView="100" workbookViewId="0">
      <selection activeCell="A4" sqref="A4:D4"/>
    </sheetView>
  </sheetViews>
  <sheetFormatPr defaultRowHeight="12.75" outlineLevelCol="1"/>
  <cols>
    <col min="1" max="1" width="64" customWidth="1"/>
    <col min="2" max="2" width="12.85546875" hidden="1" customWidth="1" outlineLevel="1"/>
    <col min="3" max="3" width="13.28515625" hidden="1" customWidth="1" outlineLevel="1"/>
    <col min="4" max="4" width="18" customWidth="1" collapsed="1"/>
    <col min="8" max="8" width="43.42578125" customWidth="1"/>
  </cols>
  <sheetData>
    <row r="1" spans="1:4" ht="15.75">
      <c r="A1" s="424" t="s">
        <v>2037</v>
      </c>
      <c r="B1" s="424"/>
      <c r="C1" s="424"/>
      <c r="D1" s="424"/>
    </row>
    <row r="2" spans="1:4" ht="15.75">
      <c r="A2" s="424" t="s">
        <v>1051</v>
      </c>
      <c r="B2" s="424"/>
      <c r="C2" s="424"/>
      <c r="D2" s="424"/>
    </row>
    <row r="3" spans="1:4" ht="15.75">
      <c r="A3" s="424" t="s">
        <v>700</v>
      </c>
      <c r="B3" s="424"/>
      <c r="C3" s="424"/>
      <c r="D3" s="424"/>
    </row>
    <row r="4" spans="1:4" ht="15.75">
      <c r="A4" s="424" t="s">
        <v>2623</v>
      </c>
      <c r="B4" s="424"/>
      <c r="C4" s="424"/>
      <c r="D4" s="424"/>
    </row>
    <row r="5" spans="1:4">
      <c r="A5" s="109"/>
      <c r="B5" s="109"/>
      <c r="C5" s="109"/>
    </row>
    <row r="7" spans="1:4" ht="49.5" customHeight="1">
      <c r="A7" s="425" t="s">
        <v>2463</v>
      </c>
      <c r="B7" s="425"/>
      <c r="C7" s="425"/>
      <c r="D7" s="425"/>
    </row>
    <row r="8" spans="1:4" ht="49.5" customHeight="1">
      <c r="A8" s="5"/>
      <c r="B8" s="5"/>
      <c r="C8" s="5"/>
    </row>
    <row r="9" spans="1:4" ht="38.25" customHeight="1">
      <c r="A9" s="425" t="s">
        <v>720</v>
      </c>
      <c r="B9" s="425"/>
      <c r="C9" s="425"/>
      <c r="D9" s="425"/>
    </row>
    <row r="10" spans="1:4" ht="18.75">
      <c r="A10" s="22"/>
      <c r="B10" s="22"/>
      <c r="C10" s="22"/>
    </row>
    <row r="11" spans="1:4" ht="19.5" thickBot="1">
      <c r="A11" s="22"/>
      <c r="B11" s="22"/>
      <c r="C11" s="22"/>
    </row>
    <row r="12" spans="1:4" ht="31.5">
      <c r="A12" s="142" t="s">
        <v>1628</v>
      </c>
      <c r="B12" s="143" t="s">
        <v>2530</v>
      </c>
      <c r="C12" s="143" t="s">
        <v>615</v>
      </c>
      <c r="D12" s="284" t="s">
        <v>2482</v>
      </c>
    </row>
    <row r="13" spans="1:4" ht="15.75">
      <c r="A13" s="144" t="s">
        <v>1377</v>
      </c>
      <c r="B13" s="205">
        <v>59000</v>
      </c>
      <c r="C13" s="205"/>
      <c r="D13" s="203">
        <f>B13+C13</f>
        <v>59000</v>
      </c>
    </row>
    <row r="14" spans="1:4" ht="15.75">
      <c r="A14" s="144" t="s">
        <v>633</v>
      </c>
      <c r="B14" s="205">
        <v>59000</v>
      </c>
      <c r="C14" s="205"/>
      <c r="D14" s="203">
        <f t="shared" ref="D14:D17" si="0">B14+C14</f>
        <v>59000</v>
      </c>
    </row>
    <row r="15" spans="1:4" ht="15.75">
      <c r="A15" s="144" t="s">
        <v>8</v>
      </c>
      <c r="B15" s="205">
        <v>388000</v>
      </c>
      <c r="C15" s="205"/>
      <c r="D15" s="203">
        <f t="shared" si="0"/>
        <v>388000</v>
      </c>
    </row>
    <row r="16" spans="1:4" ht="15.75">
      <c r="A16" s="144" t="s">
        <v>634</v>
      </c>
      <c r="B16" s="205">
        <v>194000</v>
      </c>
      <c r="C16" s="205"/>
      <c r="D16" s="203">
        <f t="shared" si="0"/>
        <v>194000</v>
      </c>
    </row>
    <row r="17" spans="1:4" ht="16.5" thickBot="1">
      <c r="A17" s="145" t="s">
        <v>1130</v>
      </c>
      <c r="B17" s="204">
        <v>700000</v>
      </c>
      <c r="C17" s="204">
        <f>SUM(C13:C16)</f>
        <v>0</v>
      </c>
      <c r="D17" s="338">
        <f t="shared" si="0"/>
        <v>700000</v>
      </c>
    </row>
  </sheetData>
  <mergeCells count="6">
    <mergeCell ref="A7:D7"/>
    <mergeCell ref="A9:D9"/>
    <mergeCell ref="A1:D1"/>
    <mergeCell ref="A2:D2"/>
    <mergeCell ref="A3:D3"/>
    <mergeCell ref="A4:D4"/>
  </mergeCells>
  <phoneticPr fontId="33" type="noConversion"/>
  <pageMargins left="0.70866141732283472" right="0.70866141732283472" top="0.74803149606299213" bottom="0.74803149606299213" header="0.31496062992125984" footer="0.31496062992125984"/>
  <pageSetup paperSize="9" scale="82"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codeName="Лист19"/>
  <dimension ref="A1:E17"/>
  <sheetViews>
    <sheetView showGridLines="0" view="pageBreakPreview" zoomScale="115" zoomScaleSheetLayoutView="115" workbookViewId="0">
      <selection activeCell="A9" sqref="A9:E9"/>
    </sheetView>
  </sheetViews>
  <sheetFormatPr defaultColWidth="9.140625" defaultRowHeight="15.75"/>
  <cols>
    <col min="1" max="1" width="59" style="279" customWidth="1"/>
    <col min="2" max="3" width="0" style="279" hidden="1" customWidth="1"/>
    <col min="4" max="4" width="14.85546875" style="279" customWidth="1"/>
    <col min="5" max="5" width="14.42578125" style="279" customWidth="1"/>
    <col min="6" max="7" width="9.140625" style="279"/>
    <col min="8" max="8" width="43.42578125" style="279" customWidth="1"/>
    <col min="9" max="16384" width="9.140625" style="279"/>
  </cols>
  <sheetData>
    <row r="1" spans="1:5">
      <c r="A1" s="469" t="s">
        <v>2040</v>
      </c>
      <c r="B1" s="469"/>
      <c r="C1" s="469"/>
      <c r="D1" s="469"/>
      <c r="E1" s="454"/>
    </row>
    <row r="2" spans="1:5">
      <c r="A2" s="469" t="s">
        <v>1051</v>
      </c>
      <c r="B2" s="469"/>
      <c r="C2" s="469"/>
      <c r="D2" s="469"/>
      <c r="E2" s="454"/>
    </row>
    <row r="3" spans="1:5">
      <c r="A3" s="469" t="s">
        <v>700</v>
      </c>
      <c r="B3" s="469"/>
      <c r="C3" s="469"/>
      <c r="D3" s="469"/>
      <c r="E3" s="454"/>
    </row>
    <row r="4" spans="1:5">
      <c r="A4" s="469" t="s">
        <v>2623</v>
      </c>
      <c r="B4" s="469"/>
      <c r="C4" s="469"/>
      <c r="D4" s="469"/>
      <c r="E4" s="454"/>
    </row>
    <row r="5" spans="1:5">
      <c r="A5" s="260"/>
      <c r="B5" s="260"/>
      <c r="C5" s="260"/>
      <c r="D5" s="242"/>
      <c r="E5" s="256"/>
    </row>
    <row r="6" spans="1:5">
      <c r="A6" s="242"/>
      <c r="B6" s="242"/>
      <c r="C6" s="242"/>
      <c r="D6" s="242"/>
      <c r="E6" s="256"/>
    </row>
    <row r="7" spans="1:5" ht="42" customHeight="1">
      <c r="A7" s="466" t="s">
        <v>2462</v>
      </c>
      <c r="B7" s="466"/>
      <c r="C7" s="466"/>
      <c r="D7" s="466"/>
      <c r="E7" s="476"/>
    </row>
    <row r="8" spans="1:5">
      <c r="A8" s="261"/>
      <c r="B8" s="261"/>
      <c r="C8" s="261"/>
      <c r="D8" s="242"/>
      <c r="E8" s="256"/>
    </row>
    <row r="9" spans="1:5" ht="32.25" customHeight="1">
      <c r="A9" s="466" t="s">
        <v>720</v>
      </c>
      <c r="B9" s="466"/>
      <c r="C9" s="466"/>
      <c r="D9" s="466"/>
      <c r="E9" s="517"/>
    </row>
    <row r="10" spans="1:5" ht="16.5" thickBot="1">
      <c r="A10" s="280"/>
      <c r="B10" s="280"/>
      <c r="C10" s="280"/>
      <c r="D10" s="242"/>
      <c r="E10" s="256"/>
    </row>
    <row r="11" spans="1:5" ht="16.5" hidden="1" thickBot="1">
      <c r="A11" s="280"/>
      <c r="B11" s="280"/>
      <c r="C11" s="280"/>
      <c r="D11" s="242"/>
      <c r="E11" s="256"/>
    </row>
    <row r="12" spans="1:5" ht="47.25">
      <c r="A12" s="275" t="s">
        <v>1628</v>
      </c>
      <c r="B12" s="276" t="s">
        <v>1573</v>
      </c>
      <c r="C12" s="276" t="s">
        <v>615</v>
      </c>
      <c r="D12" s="284" t="s">
        <v>2483</v>
      </c>
      <c r="E12" s="284" t="s">
        <v>2484</v>
      </c>
    </row>
    <row r="13" spans="1:5">
      <c r="A13" s="277" t="s">
        <v>1377</v>
      </c>
      <c r="B13" s="110"/>
      <c r="C13" s="110"/>
      <c r="D13" s="281">
        <v>60000</v>
      </c>
      <c r="E13" s="281">
        <v>60000</v>
      </c>
    </row>
    <row r="14" spans="1:5">
      <c r="A14" s="277" t="s">
        <v>633</v>
      </c>
      <c r="B14" s="110"/>
      <c r="C14" s="110"/>
      <c r="D14" s="281">
        <v>60000</v>
      </c>
      <c r="E14" s="281">
        <v>60000</v>
      </c>
    </row>
    <row r="15" spans="1:5">
      <c r="A15" s="277" t="s">
        <v>8</v>
      </c>
      <c r="B15" s="110"/>
      <c r="C15" s="110"/>
      <c r="D15" s="281">
        <v>388000</v>
      </c>
      <c r="E15" s="281">
        <v>388000</v>
      </c>
    </row>
    <row r="16" spans="1:5">
      <c r="A16" s="277" t="s">
        <v>634</v>
      </c>
      <c r="B16" s="110"/>
      <c r="C16" s="110"/>
      <c r="D16" s="281">
        <v>194000</v>
      </c>
      <c r="E16" s="281">
        <v>194000</v>
      </c>
    </row>
    <row r="17" spans="1:5" ht="16.5" thickBot="1">
      <c r="A17" s="278" t="s">
        <v>1130</v>
      </c>
      <c r="B17" s="282">
        <f>SUM(B13:B16)</f>
        <v>0</v>
      </c>
      <c r="C17" s="282">
        <f>SUM(C13:C16)</f>
        <v>0</v>
      </c>
      <c r="D17" s="283">
        <f>SUM(D13:D16)</f>
        <v>702000</v>
      </c>
      <c r="E17" s="283">
        <f>SUM(E13:E16)</f>
        <v>702000</v>
      </c>
    </row>
  </sheetData>
  <mergeCells count="6">
    <mergeCell ref="A7:E7"/>
    <mergeCell ref="A9:E9"/>
    <mergeCell ref="A1:E1"/>
    <mergeCell ref="A2:E2"/>
    <mergeCell ref="A3:E3"/>
    <mergeCell ref="A4:E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codeName="Лист20"/>
  <dimension ref="A1:E24"/>
  <sheetViews>
    <sheetView view="pageBreakPreview" zoomScaleSheetLayoutView="100" workbookViewId="0">
      <selection activeCell="A4" sqref="A4:E4"/>
    </sheetView>
  </sheetViews>
  <sheetFormatPr defaultColWidth="9.140625" defaultRowHeight="12.75" outlineLevelCol="1"/>
  <cols>
    <col min="1" max="1" width="4.42578125" style="146" customWidth="1"/>
    <col min="2" max="2" width="43.28515625" style="146" customWidth="1"/>
    <col min="3" max="3" width="11.7109375" style="146" hidden="1" customWidth="1" outlineLevel="1"/>
    <col min="4" max="4" width="12.7109375" style="146" hidden="1" customWidth="1" outlineLevel="1"/>
    <col min="5" max="5" width="17.5703125" style="146" customWidth="1" collapsed="1"/>
    <col min="6" max="16384" width="9.140625" style="146"/>
  </cols>
  <sheetData>
    <row r="1" spans="1:5" ht="18.75">
      <c r="A1" s="520" t="s">
        <v>2205</v>
      </c>
      <c r="B1" s="521"/>
      <c r="C1" s="521"/>
      <c r="D1" s="522"/>
      <c r="E1" s="522"/>
    </row>
    <row r="2" spans="1:5" ht="18.75">
      <c r="A2" s="520" t="s">
        <v>1051</v>
      </c>
      <c r="B2" s="521"/>
      <c r="C2" s="521"/>
      <c r="D2" s="522"/>
      <c r="E2" s="522"/>
    </row>
    <row r="3" spans="1:5" ht="18.75">
      <c r="A3" s="520" t="s">
        <v>700</v>
      </c>
      <c r="B3" s="521"/>
      <c r="C3" s="521"/>
      <c r="D3" s="522"/>
      <c r="E3" s="522"/>
    </row>
    <row r="4" spans="1:5" ht="18.75">
      <c r="A4" s="520" t="s">
        <v>2217</v>
      </c>
      <c r="B4" s="521"/>
      <c r="C4" s="521"/>
      <c r="D4" s="522"/>
      <c r="E4" s="522"/>
    </row>
    <row r="5" spans="1:5" ht="18.75">
      <c r="A5" s="149"/>
      <c r="B5"/>
      <c r="C5"/>
      <c r="D5" s="105"/>
      <c r="E5" s="105"/>
    </row>
    <row r="6" spans="1:5" ht="59.25" customHeight="1">
      <c r="A6" s="523" t="s">
        <v>2121</v>
      </c>
      <c r="B6" s="524"/>
      <c r="C6" s="524"/>
      <c r="D6" s="525"/>
      <c r="E6" s="525"/>
    </row>
    <row r="7" spans="1:5" ht="19.5" thickBot="1">
      <c r="A7" s="149"/>
      <c r="B7"/>
      <c r="C7"/>
      <c r="D7" s="105"/>
      <c r="E7" s="105"/>
    </row>
    <row r="8" spans="1:5" ht="12.75" customHeight="1">
      <c r="A8" s="526" t="s">
        <v>2044</v>
      </c>
      <c r="B8" s="528" t="s">
        <v>2045</v>
      </c>
      <c r="C8" s="518" t="s">
        <v>2046</v>
      </c>
      <c r="D8" s="518" t="s">
        <v>1122</v>
      </c>
      <c r="E8" s="518" t="s">
        <v>1085</v>
      </c>
    </row>
    <row r="9" spans="1:5" ht="13.5" customHeight="1" thickBot="1">
      <c r="A9" s="527"/>
      <c r="B9" s="529"/>
      <c r="C9" s="519"/>
      <c r="D9" s="519"/>
      <c r="E9" s="519"/>
    </row>
    <row r="10" spans="1:5" ht="47.25" customHeight="1">
      <c r="A10" s="188">
        <v>1</v>
      </c>
      <c r="B10" s="191" t="s">
        <v>2179</v>
      </c>
      <c r="C10" s="194">
        <f>605000+337500+45000+120400</f>
        <v>1107900</v>
      </c>
      <c r="D10" s="206"/>
      <c r="E10" s="194">
        <f>SUM(C10:D10)</f>
        <v>1107900</v>
      </c>
    </row>
    <row r="11" spans="1:5" ht="51.75" customHeight="1">
      <c r="A11" s="188">
        <v>2</v>
      </c>
      <c r="B11" s="191" t="s">
        <v>2196</v>
      </c>
      <c r="C11" s="194">
        <v>1386000</v>
      </c>
      <c r="D11" s="206"/>
      <c r="E11" s="194">
        <f t="shared" ref="E11:E23" si="0">SUM(C11:D11)</f>
        <v>1386000</v>
      </c>
    </row>
    <row r="12" spans="1:5" ht="49.5" customHeight="1">
      <c r="A12" s="188">
        <v>3</v>
      </c>
      <c r="B12" s="192" t="s">
        <v>2182</v>
      </c>
      <c r="C12" s="189">
        <f>8300+56000+24000</f>
        <v>88300</v>
      </c>
      <c r="D12" s="207"/>
      <c r="E12" s="194">
        <f t="shared" si="0"/>
        <v>88300</v>
      </c>
    </row>
    <row r="13" spans="1:5" ht="61.5" customHeight="1">
      <c r="A13" s="181">
        <v>4</v>
      </c>
      <c r="B13" s="45" t="s">
        <v>2164</v>
      </c>
      <c r="C13" s="195">
        <v>600000</v>
      </c>
      <c r="D13" s="207">
        <v>1200000</v>
      </c>
      <c r="E13" s="194">
        <f t="shared" si="0"/>
        <v>1800000</v>
      </c>
    </row>
    <row r="14" spans="1:5" ht="33" customHeight="1">
      <c r="A14" s="180">
        <v>5</v>
      </c>
      <c r="B14" s="45" t="s">
        <v>2165</v>
      </c>
      <c r="C14" s="189">
        <v>40503750</v>
      </c>
      <c r="D14" s="207">
        <v>1054000</v>
      </c>
      <c r="E14" s="194">
        <f t="shared" si="0"/>
        <v>41557750</v>
      </c>
    </row>
    <row r="15" spans="1:5" ht="48" customHeight="1">
      <c r="A15" s="180">
        <v>6</v>
      </c>
      <c r="B15" s="45" t="s">
        <v>2193</v>
      </c>
      <c r="C15" s="189">
        <v>300000</v>
      </c>
      <c r="D15" s="207"/>
      <c r="E15" s="194">
        <f t="shared" si="0"/>
        <v>300000</v>
      </c>
    </row>
    <row r="16" spans="1:5" ht="63.75" customHeight="1">
      <c r="A16" s="180">
        <v>7</v>
      </c>
      <c r="B16" s="45" t="s">
        <v>2176</v>
      </c>
      <c r="C16" s="189">
        <v>350000</v>
      </c>
      <c r="D16" s="207"/>
      <c r="E16" s="194">
        <f t="shared" si="0"/>
        <v>350000</v>
      </c>
    </row>
    <row r="17" spans="1:5" ht="36" customHeight="1">
      <c r="A17" s="180">
        <v>8</v>
      </c>
      <c r="B17" s="192" t="s">
        <v>2177</v>
      </c>
      <c r="C17" s="189">
        <f>723000+464500+2201390</f>
        <v>3388890</v>
      </c>
      <c r="D17" s="207"/>
      <c r="E17" s="194">
        <f t="shared" si="0"/>
        <v>3388890</v>
      </c>
    </row>
    <row r="18" spans="1:5" ht="53.25" customHeight="1">
      <c r="A18" s="180">
        <v>9</v>
      </c>
      <c r="B18" s="45" t="s">
        <v>2180</v>
      </c>
      <c r="C18" s="189">
        <v>700000</v>
      </c>
      <c r="D18" s="207"/>
      <c r="E18" s="194">
        <f t="shared" si="0"/>
        <v>700000</v>
      </c>
    </row>
    <row r="19" spans="1:5" ht="47.25">
      <c r="A19" s="180">
        <v>10</v>
      </c>
      <c r="B19" s="45" t="s">
        <v>2183</v>
      </c>
      <c r="C19" s="189">
        <v>400000</v>
      </c>
      <c r="D19" s="207"/>
      <c r="E19" s="194">
        <f t="shared" si="0"/>
        <v>400000</v>
      </c>
    </row>
    <row r="20" spans="1:5" ht="62.25" customHeight="1">
      <c r="A20" s="182">
        <v>11</v>
      </c>
      <c r="B20" s="192" t="s">
        <v>2184</v>
      </c>
      <c r="C20" s="189">
        <v>450000</v>
      </c>
      <c r="D20" s="207"/>
      <c r="E20" s="194">
        <f t="shared" si="0"/>
        <v>450000</v>
      </c>
    </row>
    <row r="21" spans="1:5" ht="33" customHeight="1">
      <c r="A21" s="180">
        <v>12</v>
      </c>
      <c r="B21" s="45" t="s">
        <v>2213</v>
      </c>
      <c r="C21" s="189">
        <v>11111</v>
      </c>
      <c r="D21" s="207"/>
      <c r="E21" s="194">
        <f t="shared" si="0"/>
        <v>11111</v>
      </c>
    </row>
    <row r="22" spans="1:5" ht="64.5" customHeight="1">
      <c r="A22" s="180">
        <v>13</v>
      </c>
      <c r="B22" s="192" t="s">
        <v>2212</v>
      </c>
      <c r="C22" s="189"/>
      <c r="D22" s="207">
        <v>1000000</v>
      </c>
      <c r="E22" s="194">
        <f t="shared" si="0"/>
        <v>1000000</v>
      </c>
    </row>
    <row r="23" spans="1:5" ht="0.75" customHeight="1" thickBot="1">
      <c r="A23" s="183"/>
      <c r="B23" s="184"/>
      <c r="C23" s="193"/>
      <c r="D23" s="208"/>
      <c r="E23" s="194">
        <f t="shared" si="0"/>
        <v>0</v>
      </c>
    </row>
    <row r="24" spans="1:5" ht="16.5" thickBot="1">
      <c r="A24" s="185"/>
      <c r="B24" s="186" t="s">
        <v>1130</v>
      </c>
      <c r="C24" s="187">
        <f>SUM(C10:C23)</f>
        <v>49285951</v>
      </c>
      <c r="D24" s="187">
        <f>SUM(D10:D23)</f>
        <v>3254000</v>
      </c>
      <c r="E24" s="187">
        <f>SUM(E10:E23)</f>
        <v>52539951</v>
      </c>
    </row>
  </sheetData>
  <mergeCells count="10">
    <mergeCell ref="D8:D9"/>
    <mergeCell ref="E8:E9"/>
    <mergeCell ref="A1:E1"/>
    <mergeCell ref="A2:E2"/>
    <mergeCell ref="A3:E3"/>
    <mergeCell ref="A4:E4"/>
    <mergeCell ref="A6:E6"/>
    <mergeCell ref="A8:A9"/>
    <mergeCell ref="B8:B9"/>
    <mergeCell ref="C8:C9"/>
  </mergeCells>
  <pageMargins left="0.70866141732283472" right="0.39370078740157483" top="0.74803149606299213" bottom="0.74803149606299213" header="0.31496062992125984" footer="0.31496062992125984"/>
  <pageSetup paperSize="9"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Лист21"/>
  <dimension ref="A1:D19"/>
  <sheetViews>
    <sheetView view="pageBreakPreview" zoomScale="115" zoomScaleSheetLayoutView="115" workbookViewId="0">
      <selection activeCell="A4" sqref="A4:D4"/>
    </sheetView>
  </sheetViews>
  <sheetFormatPr defaultColWidth="9.140625" defaultRowHeight="12.75"/>
  <cols>
    <col min="1" max="1" width="4.42578125" style="146" customWidth="1"/>
    <col min="2" max="2" width="49.5703125" style="146" customWidth="1"/>
    <col min="3" max="4" width="15" style="146" customWidth="1"/>
    <col min="5" max="16384" width="9.140625" style="146"/>
  </cols>
  <sheetData>
    <row r="1" spans="1:4" ht="18.75">
      <c r="A1" s="520" t="s">
        <v>2206</v>
      </c>
      <c r="B1" s="521"/>
      <c r="C1" s="521"/>
      <c r="D1" s="522"/>
    </row>
    <row r="2" spans="1:4" ht="18.75">
      <c r="A2" s="520" t="s">
        <v>1051</v>
      </c>
      <c r="B2" s="521"/>
      <c r="C2" s="521"/>
      <c r="D2" s="522"/>
    </row>
    <row r="3" spans="1:4" ht="18.75">
      <c r="A3" s="520" t="s">
        <v>700</v>
      </c>
      <c r="B3" s="521"/>
      <c r="C3" s="521"/>
      <c r="D3" s="522"/>
    </row>
    <row r="4" spans="1:4" ht="18.75">
      <c r="A4" s="520" t="s">
        <v>2218</v>
      </c>
      <c r="B4" s="521"/>
      <c r="C4" s="521"/>
      <c r="D4" s="522"/>
    </row>
    <row r="5" spans="1:4" ht="18.75">
      <c r="A5" s="149"/>
      <c r="B5"/>
      <c r="C5"/>
      <c r="D5"/>
    </row>
    <row r="6" spans="1:4" ht="40.5" customHeight="1">
      <c r="A6" s="523" t="s">
        <v>2118</v>
      </c>
      <c r="B6" s="524"/>
      <c r="C6" s="524"/>
      <c r="D6" s="525"/>
    </row>
    <row r="7" spans="1:4" ht="19.5" thickBot="1">
      <c r="A7" s="149"/>
      <c r="B7"/>
      <c r="C7"/>
      <c r="D7"/>
    </row>
    <row r="8" spans="1:4" ht="12.75" customHeight="1">
      <c r="A8" s="530" t="s">
        <v>2044</v>
      </c>
      <c r="B8" s="530" t="s">
        <v>2045</v>
      </c>
      <c r="C8" s="530" t="s">
        <v>2119</v>
      </c>
      <c r="D8" s="530" t="s">
        <v>2120</v>
      </c>
    </row>
    <row r="9" spans="1:4" ht="13.5" customHeight="1" thickBot="1">
      <c r="A9" s="531"/>
      <c r="B9" s="531"/>
      <c r="C9" s="531"/>
      <c r="D9" s="531"/>
    </row>
    <row r="10" spans="1:4" ht="31.5" hidden="1">
      <c r="A10" s="188">
        <v>1</v>
      </c>
      <c r="B10" s="191" t="s">
        <v>2179</v>
      </c>
      <c r="C10" s="194">
        <v>0</v>
      </c>
      <c r="D10" s="194">
        <v>0</v>
      </c>
    </row>
    <row r="11" spans="1:4" ht="47.25">
      <c r="A11" s="181">
        <v>1</v>
      </c>
      <c r="B11" s="191" t="s">
        <v>2196</v>
      </c>
      <c r="C11" s="195">
        <v>1386000</v>
      </c>
      <c r="D11" s="195">
        <v>1386000</v>
      </c>
    </row>
    <row r="12" spans="1:4" ht="47.25" hidden="1">
      <c r="A12" s="180">
        <v>3</v>
      </c>
      <c r="B12" s="192" t="s">
        <v>2182</v>
      </c>
      <c r="C12" s="189">
        <v>0</v>
      </c>
      <c r="D12" s="189">
        <v>0</v>
      </c>
    </row>
    <row r="13" spans="1:4" ht="31.5">
      <c r="A13" s="180">
        <v>2</v>
      </c>
      <c r="B13" s="45" t="s">
        <v>2193</v>
      </c>
      <c r="C13" s="189">
        <v>300000</v>
      </c>
      <c r="D13" s="189">
        <v>300000</v>
      </c>
    </row>
    <row r="14" spans="1:4" ht="47.25">
      <c r="A14" s="180">
        <v>3</v>
      </c>
      <c r="B14" s="45" t="s">
        <v>2176</v>
      </c>
      <c r="C14" s="189">
        <v>350000</v>
      </c>
      <c r="D14" s="189">
        <v>0</v>
      </c>
    </row>
    <row r="15" spans="1:4" ht="16.5" thickBot="1">
      <c r="A15" s="180">
        <v>4</v>
      </c>
      <c r="B15" s="192" t="s">
        <v>2177</v>
      </c>
      <c r="C15" s="189">
        <v>1696300</v>
      </c>
      <c r="D15" s="189">
        <v>611200</v>
      </c>
    </row>
    <row r="16" spans="1:4" ht="32.25" hidden="1" thickBot="1">
      <c r="A16" s="180">
        <v>8</v>
      </c>
      <c r="B16" s="45" t="s">
        <v>2180</v>
      </c>
      <c r="C16" s="189">
        <v>0</v>
      </c>
      <c r="D16" s="189">
        <v>0</v>
      </c>
    </row>
    <row r="17" spans="1:4" ht="47.25" hidden="1">
      <c r="A17" s="180">
        <v>9</v>
      </c>
      <c r="B17" s="45" t="s">
        <v>2183</v>
      </c>
      <c r="C17" s="189"/>
      <c r="D17" s="189"/>
    </row>
    <row r="18" spans="1:4" ht="48" hidden="1" thickBot="1">
      <c r="A18" s="182">
        <v>10</v>
      </c>
      <c r="B18" s="192" t="s">
        <v>2184</v>
      </c>
      <c r="C18" s="189"/>
      <c r="D18" s="189"/>
    </row>
    <row r="19" spans="1:4" ht="16.5" thickBot="1">
      <c r="A19" s="179"/>
      <c r="B19" s="190" t="s">
        <v>1130</v>
      </c>
      <c r="C19" s="161">
        <f>SUM(C10:C18)</f>
        <v>3732300</v>
      </c>
      <c r="D19" s="161">
        <f>SUM(D10:D18)</f>
        <v>2297200</v>
      </c>
    </row>
  </sheetData>
  <mergeCells count="9">
    <mergeCell ref="D8:D9"/>
    <mergeCell ref="A1:D1"/>
    <mergeCell ref="A2:D2"/>
    <mergeCell ref="A3:D3"/>
    <mergeCell ref="A4:D4"/>
    <mergeCell ref="A6:D6"/>
    <mergeCell ref="A8:A9"/>
    <mergeCell ref="B8:B9"/>
    <mergeCell ref="C8:C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codeName="Лист22"/>
  <dimension ref="A1:C16"/>
  <sheetViews>
    <sheetView view="pageBreakPreview" zoomScaleSheetLayoutView="100" workbookViewId="0">
      <selection activeCell="C14" sqref="C14"/>
    </sheetView>
  </sheetViews>
  <sheetFormatPr defaultColWidth="9.140625" defaultRowHeight="12.75"/>
  <cols>
    <col min="1" max="1" width="17" style="151" bestFit="1" customWidth="1"/>
    <col min="2" max="2" width="45.7109375" style="151" customWidth="1"/>
    <col min="3" max="3" width="24" style="151" customWidth="1"/>
    <col min="4" max="16384" width="9.140625" style="151"/>
  </cols>
  <sheetData>
    <row r="1" spans="1:3" ht="18.75">
      <c r="A1" s="520" t="s">
        <v>2043</v>
      </c>
      <c r="B1" s="521"/>
      <c r="C1" s="521"/>
    </row>
    <row r="2" spans="1:3" ht="18.75">
      <c r="A2" s="520" t="s">
        <v>1051</v>
      </c>
      <c r="B2" s="521"/>
      <c r="C2" s="521"/>
    </row>
    <row r="3" spans="1:3" ht="18.75">
      <c r="A3" s="520" t="s">
        <v>700</v>
      </c>
      <c r="B3" s="521"/>
      <c r="C3" s="521"/>
    </row>
    <row r="4" spans="1:3" ht="18.75">
      <c r="A4" s="520" t="s">
        <v>2218</v>
      </c>
      <c r="B4" s="521"/>
      <c r="C4" s="521"/>
    </row>
    <row r="5" spans="1:3" ht="18.75">
      <c r="A5" s="149"/>
      <c r="B5"/>
      <c r="C5"/>
    </row>
    <row r="6" spans="1:3" ht="22.5" customHeight="1">
      <c r="A6" s="523" t="s">
        <v>2049</v>
      </c>
      <c r="B6" s="523"/>
      <c r="C6" s="523"/>
    </row>
    <row r="7" spans="1:3" ht="19.5" thickBot="1">
      <c r="A7" s="152"/>
      <c r="B7" s="153"/>
      <c r="C7" s="152"/>
    </row>
    <row r="8" spans="1:3" ht="45.75" customHeight="1" thickBot="1">
      <c r="A8" s="198" t="s">
        <v>2047</v>
      </c>
      <c r="B8" s="198" t="s">
        <v>952</v>
      </c>
      <c r="C8" s="198" t="s">
        <v>2203</v>
      </c>
    </row>
    <row r="9" spans="1:3" ht="32.25" thickBot="1">
      <c r="A9" s="198">
        <v>953</v>
      </c>
      <c r="B9" s="156" t="s">
        <v>1018</v>
      </c>
      <c r="C9" s="157">
        <f>C10</f>
        <v>758141021</v>
      </c>
    </row>
    <row r="10" spans="1:3" ht="65.25" customHeight="1" thickBot="1">
      <c r="A10" s="158"/>
      <c r="B10" s="199" t="s">
        <v>2200</v>
      </c>
      <c r="C10" s="159">
        <v>758141021</v>
      </c>
    </row>
    <row r="11" spans="1:3" ht="32.25" thickBot="1">
      <c r="A11" s="197">
        <v>954</v>
      </c>
      <c r="B11" s="160" t="s">
        <v>1190</v>
      </c>
      <c r="C11" s="161">
        <f>C12</f>
        <v>250641233</v>
      </c>
    </row>
    <row r="12" spans="1:3" ht="63.75" thickBot="1">
      <c r="A12" s="162"/>
      <c r="B12" s="163" t="s">
        <v>2201</v>
      </c>
      <c r="C12" s="164">
        <v>250641233</v>
      </c>
    </row>
    <row r="13" spans="1:3" ht="48" thickBot="1">
      <c r="A13" s="165">
        <v>956</v>
      </c>
      <c r="B13" s="166" t="s">
        <v>1238</v>
      </c>
      <c r="C13" s="150">
        <f>C14+C15</f>
        <v>115474108</v>
      </c>
    </row>
    <row r="14" spans="1:3" ht="63.75" thickBot="1">
      <c r="A14" s="162"/>
      <c r="B14" s="163" t="s">
        <v>2202</v>
      </c>
      <c r="C14" s="164">
        <f>-C15+115474108</f>
        <v>101822800</v>
      </c>
    </row>
    <row r="15" spans="1:3" ht="32.25" thickBot="1">
      <c r="A15" s="165"/>
      <c r="B15" s="163" t="s">
        <v>2199</v>
      </c>
      <c r="C15" s="164">
        <v>13651308</v>
      </c>
    </row>
    <row r="16" spans="1:3" s="200" customFormat="1" ht="16.5" thickBot="1">
      <c r="A16" s="532" t="s">
        <v>1130</v>
      </c>
      <c r="B16" s="533"/>
      <c r="C16" s="150">
        <f>C13+C11+C9</f>
        <v>1124256362</v>
      </c>
    </row>
  </sheetData>
  <mergeCells count="6">
    <mergeCell ref="A16:B16"/>
    <mergeCell ref="A6:C6"/>
    <mergeCell ref="A1:C1"/>
    <mergeCell ref="A2:C2"/>
    <mergeCell ref="A3:C3"/>
    <mergeCell ref="A4:C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3"/>
  <dimension ref="A1:E121"/>
  <sheetViews>
    <sheetView showGridLines="0" view="pageBreakPreview" topLeftCell="A50" zoomScaleSheetLayoutView="100" workbookViewId="0">
      <selection activeCell="A70" sqref="A70:E79"/>
    </sheetView>
  </sheetViews>
  <sheetFormatPr defaultColWidth="11.85546875" defaultRowHeight="15.75"/>
  <cols>
    <col min="1" max="1" width="10.7109375" style="13" customWidth="1"/>
    <col min="2" max="2" width="37.85546875" style="9" customWidth="1"/>
    <col min="3" max="3" width="15.42578125" style="3" hidden="1" customWidth="1"/>
    <col min="4" max="4" width="15.85546875" style="3" hidden="1" customWidth="1"/>
    <col min="5" max="5" width="17.85546875" style="3" customWidth="1"/>
    <col min="6" max="7" width="11.85546875" style="3"/>
    <col min="8" max="8" width="43.42578125" style="3" customWidth="1"/>
    <col min="9" max="16384" width="11.85546875" style="3"/>
  </cols>
  <sheetData>
    <row r="1" spans="1:5" s="9" customFormat="1" ht="16.5" customHeight="1">
      <c r="A1" s="424" t="s">
        <v>5</v>
      </c>
      <c r="B1" s="424"/>
      <c r="C1" s="424"/>
      <c r="D1" s="424"/>
      <c r="E1" s="424"/>
    </row>
    <row r="2" spans="1:5" s="9" customFormat="1" ht="16.5" customHeight="1">
      <c r="A2" s="424" t="s">
        <v>1051</v>
      </c>
      <c r="B2" s="424"/>
      <c r="C2" s="424"/>
      <c r="D2" s="424"/>
      <c r="E2" s="424"/>
    </row>
    <row r="3" spans="1:5" s="9" customFormat="1" ht="15" customHeight="1">
      <c r="A3" s="424" t="s">
        <v>700</v>
      </c>
      <c r="B3" s="424"/>
      <c r="C3" s="424"/>
      <c r="D3" s="424"/>
      <c r="E3" s="424"/>
    </row>
    <row r="4" spans="1:5" s="9" customFormat="1" ht="15" customHeight="1">
      <c r="A4" s="424" t="s">
        <v>2620</v>
      </c>
      <c r="B4" s="424"/>
      <c r="C4" s="424"/>
      <c r="D4" s="424"/>
      <c r="E4" s="424"/>
    </row>
    <row r="5" spans="1:5" s="9" customFormat="1">
      <c r="A5" s="10"/>
      <c r="B5" s="8"/>
    </row>
    <row r="6" spans="1:5" s="9" customFormat="1" ht="58.5" customHeight="1">
      <c r="A6" s="428" t="s">
        <v>2240</v>
      </c>
      <c r="B6" s="428"/>
      <c r="C6" s="428"/>
      <c r="D6" s="428"/>
      <c r="E6" s="428"/>
    </row>
    <row r="7" spans="1:5" s="9" customFormat="1" ht="16.5" thickBot="1">
      <c r="A7" s="11"/>
    </row>
    <row r="8" spans="1:5" s="12" customFormat="1" ht="16.5" thickBot="1">
      <c r="A8" s="290" t="s">
        <v>951</v>
      </c>
      <c r="B8" s="291" t="s">
        <v>952</v>
      </c>
      <c r="C8" s="291" t="s">
        <v>2755</v>
      </c>
      <c r="D8" s="291" t="s">
        <v>1122</v>
      </c>
      <c r="E8" s="291" t="s">
        <v>1085</v>
      </c>
    </row>
    <row r="9" spans="1:5" s="4" customFormat="1" ht="32.25" thickBot="1">
      <c r="A9" s="292">
        <v>100</v>
      </c>
      <c r="B9" s="293" t="s">
        <v>431</v>
      </c>
      <c r="C9" s="294">
        <f>SUM(C11:C21)</f>
        <v>79331408</v>
      </c>
      <c r="D9" s="294">
        <f>D11+D13+D14+D19+D21</f>
        <v>834541</v>
      </c>
      <c r="E9" s="294">
        <f>SUM(E10:E21)</f>
        <v>80165949</v>
      </c>
    </row>
    <row r="10" spans="1:5" s="4" customFormat="1" ht="15.75" hidden="1" customHeight="1" thickBot="1">
      <c r="A10" s="295">
        <v>101</v>
      </c>
      <c r="B10" s="296" t="s">
        <v>763</v>
      </c>
      <c r="C10" s="297">
        <f>SUMIF(Пр_4!$C9:$C761,102,Пр_4!G9:G761)</f>
        <v>1277397</v>
      </c>
      <c r="D10" s="297">
        <f>SUMIF(Пр_4!C10:C762,101,Пр_4!H10:H762)</f>
        <v>0</v>
      </c>
      <c r="E10" s="297">
        <f>SUMIF(Пр_4!C10:C762,101,Пр_4!I10:I762)</f>
        <v>0</v>
      </c>
    </row>
    <row r="11" spans="1:5" s="4" customFormat="1" ht="63.75" thickBot="1">
      <c r="A11" s="295">
        <v>102</v>
      </c>
      <c r="B11" s="298" t="s">
        <v>733</v>
      </c>
      <c r="C11" s="297">
        <f>SUMIF(Пр_4!C10:C762,102,Пр_4!G10:G762)</f>
        <v>1277397</v>
      </c>
      <c r="D11" s="297">
        <f>SUMIF(Пр_4!C7:C784,102,Пр_4!H7:H784)</f>
        <v>0</v>
      </c>
      <c r="E11" s="297">
        <f>SUMIF(Пр_4!$C10:$C762,102,Пр_4!I10:I762)</f>
        <v>1277397</v>
      </c>
    </row>
    <row r="12" spans="1:5" s="4" customFormat="1" ht="95.25" hidden="1" thickBot="1">
      <c r="A12" s="295">
        <v>103</v>
      </c>
      <c r="B12" s="298" t="s">
        <v>647</v>
      </c>
      <c r="C12" s="297">
        <f>SUMIF(Пр_4!$C11:$C767,1032,Пр_4!G11:G767)</f>
        <v>0</v>
      </c>
      <c r="D12" s="297">
        <f>SUMIF(Пр_4!B11:B762,103,Пр_4!H11:H762)</f>
        <v>0</v>
      </c>
      <c r="E12" s="297">
        <f>SUMIF(Пр_4!C11:C762,103,Пр_4!I11:I762)</f>
        <v>0</v>
      </c>
    </row>
    <row r="13" spans="1:5" ht="95.25" thickBot="1">
      <c r="A13" s="295">
        <v>104</v>
      </c>
      <c r="B13" s="298" t="s">
        <v>339</v>
      </c>
      <c r="C13" s="297">
        <f>SUMIF(Пр_4!C10:C762,104,Пр_4!G10:G762)</f>
        <v>30048995</v>
      </c>
      <c r="D13" s="297">
        <f>SUMIF(Пр_4!C9:C786,104,Пр_4!H9:H786)</f>
        <v>1373158</v>
      </c>
      <c r="E13" s="297">
        <f>SUMIF(Пр_4!C10:C762,104,Пр_4!I10:I762)</f>
        <v>31422153</v>
      </c>
    </row>
    <row r="14" spans="1:5" ht="79.5" thickBot="1">
      <c r="A14" s="295">
        <v>106</v>
      </c>
      <c r="B14" s="298" t="s">
        <v>45</v>
      </c>
      <c r="C14" s="297">
        <f>SUMIF(Пр_4!C10:C762,106,Пр_4!G10:G762)</f>
        <v>15212213</v>
      </c>
      <c r="D14" s="297">
        <f>SUMIF(Пр_4!C10:C787,106,Пр_4!H10:H787)</f>
        <v>0</v>
      </c>
      <c r="E14" s="297">
        <f>SUMIF(Пр_4!C10:C762,106,Пр_4!I10:I762)</f>
        <v>15212213</v>
      </c>
    </row>
    <row r="15" spans="1:5" ht="32.25" hidden="1" thickBot="1">
      <c r="A15" s="295">
        <v>107</v>
      </c>
      <c r="B15" s="298" t="s">
        <v>55</v>
      </c>
      <c r="C15" s="297">
        <f>SUMIF(Пр_4!C10:C762,107,Пр_4!G10:G762)</f>
        <v>0</v>
      </c>
      <c r="D15" s="297">
        <f>SUMIF(Пр_4!C10:C762,107,Пр_4!H10:H762)</f>
        <v>0</v>
      </c>
      <c r="E15" s="297">
        <f>SUMIF(Пр_4!C10:C762,107,Пр_4!I10:I762)</f>
        <v>0</v>
      </c>
    </row>
    <row r="16" spans="1:5" s="4" customFormat="1" ht="32.25" hidden="1" thickBot="1">
      <c r="A16" s="295">
        <v>108</v>
      </c>
      <c r="B16" s="298" t="s">
        <v>1523</v>
      </c>
      <c r="C16" s="297">
        <f>SUMIF(Пр_4!C10:C762,108,Пр_4!G10:G762)</f>
        <v>0</v>
      </c>
      <c r="D16" s="297">
        <f>SUMIF(Пр_4!C10:C762,108,Пр_4!H10:H762)</f>
        <v>0</v>
      </c>
      <c r="E16" s="297">
        <f>SUMIF(Пр_4!C10:C762,108,Пр_4!I10:I762)</f>
        <v>0</v>
      </c>
    </row>
    <row r="17" spans="1:5" ht="15.75" hidden="1" customHeight="1" thickBot="1">
      <c r="A17" s="295">
        <v>109</v>
      </c>
      <c r="B17" s="298" t="s">
        <v>824</v>
      </c>
      <c r="C17" s="297">
        <f>SUMIF(Пр_4!C10:C762,109,Пр_4!G10:G762)</f>
        <v>0</v>
      </c>
      <c r="D17" s="297">
        <f>SUMIF(Пр_4!C10:C762,109,Пр_4!H10:H762)</f>
        <v>0</v>
      </c>
      <c r="E17" s="297">
        <f>SUMIF(Пр_4!C10:C762,109,Пр_4!I10:I762)</f>
        <v>0</v>
      </c>
    </row>
    <row r="18" spans="1:5" ht="16.5" hidden="1" thickBot="1">
      <c r="A18" s="295">
        <v>110</v>
      </c>
      <c r="B18" s="298" t="s">
        <v>825</v>
      </c>
      <c r="C18" s="297">
        <f>SUMIF(Пр_4!C10:C762,110,Пр_4!G10:G762)</f>
        <v>0</v>
      </c>
      <c r="D18" s="297">
        <f>SUMIF(Пр_4!C10:C762,110,Пр_4!H10:H762)</f>
        <v>0</v>
      </c>
      <c r="E18" s="297">
        <f>SUMIF(Пр_4!C10:C762,110,Пр_4!I10:I762)</f>
        <v>0</v>
      </c>
    </row>
    <row r="19" spans="1:5" s="4" customFormat="1" ht="17.25" customHeight="1" thickBot="1">
      <c r="A19" s="295">
        <v>111</v>
      </c>
      <c r="B19" s="298" t="s">
        <v>820</v>
      </c>
      <c r="C19" s="297">
        <f>SUMIF(Пр_4!C10:C762,111,Пр_4!G10:G762)</f>
        <v>3000000</v>
      </c>
      <c r="D19" s="297">
        <f>SUMIF(Пр_4!C10:C762,111,Пр_4!H10:H762)</f>
        <v>-800000</v>
      </c>
      <c r="E19" s="297">
        <f>SUMIF(Пр_4!C10:C762,111,Пр_4!I10:I762)</f>
        <v>2200000</v>
      </c>
    </row>
    <row r="20" spans="1:5" ht="48" hidden="1" thickBot="1">
      <c r="A20" s="295">
        <v>112</v>
      </c>
      <c r="B20" s="298" t="s">
        <v>1513</v>
      </c>
      <c r="C20" s="297">
        <f>SUMIF(Пр_4!C10:C762,112,Пр_4!G10:G762)</f>
        <v>0</v>
      </c>
      <c r="D20" s="297">
        <f>SUMIF(Пр_4!C10:C762,112,Пр_4!H10:H762)</f>
        <v>0</v>
      </c>
      <c r="E20" s="297">
        <f>SUMIF(Пр_4!C10:C762,112,Пр_4!I10:I762)</f>
        <v>0</v>
      </c>
    </row>
    <row r="21" spans="1:5" ht="32.25" thickBot="1">
      <c r="A21" s="295">
        <v>113</v>
      </c>
      <c r="B21" s="298" t="s">
        <v>821</v>
      </c>
      <c r="C21" s="297">
        <f>SUMIF(Пр_4!C10:C962,113,Пр_4!G10:G962)</f>
        <v>29792803</v>
      </c>
      <c r="D21" s="297">
        <f>SUMIF(Пр_4!C10:C784,113,Пр_4!H10:H784)</f>
        <v>261383</v>
      </c>
      <c r="E21" s="297">
        <f>SUMIF(Пр_4!C10:C881,113,Пр_4!I10:I881)</f>
        <v>30054186</v>
      </c>
    </row>
    <row r="22" spans="1:5" ht="16.5" thickBot="1">
      <c r="A22" s="292">
        <v>200</v>
      </c>
      <c r="B22" s="299" t="s">
        <v>46</v>
      </c>
      <c r="C22" s="294">
        <f>SUM(C23:C31)</f>
        <v>884000</v>
      </c>
      <c r="D22" s="294">
        <f>SUM(D23:D31)</f>
        <v>0</v>
      </c>
      <c r="E22" s="294">
        <f>SUM(E23:E31)</f>
        <v>884000</v>
      </c>
    </row>
    <row r="23" spans="1:5" ht="32.25" hidden="1" thickBot="1">
      <c r="A23" s="295">
        <v>201</v>
      </c>
      <c r="B23" s="298" t="s">
        <v>1103</v>
      </c>
      <c r="C23" s="297">
        <f>SUMIF(Пр_4!C10:C762,201,Пр_4!G10:G762)</f>
        <v>0</v>
      </c>
      <c r="D23" s="297">
        <f>SUMIF(Пр_4!C10:C762,201,Пр_4!H10:H762)</f>
        <v>0</v>
      </c>
      <c r="E23" s="297">
        <f>SUMIF(Пр_4!C10:C762,201,Пр_4!I10:I762)</f>
        <v>0</v>
      </c>
    </row>
    <row r="24" spans="1:5" s="4" customFormat="1" ht="48" hidden="1" thickBot="1">
      <c r="A24" s="295">
        <v>202</v>
      </c>
      <c r="B24" s="298" t="s">
        <v>698</v>
      </c>
      <c r="C24" s="297">
        <f>SUMIF(Пр_4!C10:C762,202,Пр_4!G10:G762)</f>
        <v>0</v>
      </c>
      <c r="D24" s="297">
        <f>SUMIF(Пр_4!C10:C762,202,Пр_4!H10:H762)</f>
        <v>0</v>
      </c>
      <c r="E24" s="297">
        <f>SUMIF(Пр_4!C10:C762,202,Пр_4!I10:I762)</f>
        <v>0</v>
      </c>
    </row>
    <row r="25" spans="1:5" s="4" customFormat="1" ht="32.25" thickBot="1">
      <c r="A25" s="295">
        <v>203</v>
      </c>
      <c r="B25" s="298" t="s">
        <v>133</v>
      </c>
      <c r="C25" s="297">
        <f>SUMIF(Пр_4!C10:C762,203,Пр_4!G10:G762)</f>
        <v>884000</v>
      </c>
      <c r="D25" s="297">
        <f>SUMIF(Пр_4!C10:C762,203,Пр_4!H10:H762)</f>
        <v>0</v>
      </c>
      <c r="E25" s="297">
        <f>SUMIF(Пр_4!C10:C762,203,Пр_4!I10:I762)</f>
        <v>884000</v>
      </c>
    </row>
    <row r="26" spans="1:5" ht="32.25" hidden="1" thickBot="1">
      <c r="A26" s="295">
        <v>204</v>
      </c>
      <c r="B26" s="298" t="s">
        <v>235</v>
      </c>
      <c r="C26" s="297">
        <f>SUMIF(Пр_4!C10:C762,204,Пр_4!G10:G762)</f>
        <v>0</v>
      </c>
      <c r="D26" s="297">
        <f>SUMIF(Пр_4!C10:C762,204,Пр_4!H10:H762)</f>
        <v>0</v>
      </c>
      <c r="E26" s="297">
        <f>SUMIF(Пр_4!C10:C762,204,Пр_4!I10:I762)</f>
        <v>0</v>
      </c>
    </row>
    <row r="27" spans="1:5" ht="48" hidden="1" thickBot="1">
      <c r="A27" s="295">
        <v>205</v>
      </c>
      <c r="B27" s="298" t="s">
        <v>782</v>
      </c>
      <c r="C27" s="297">
        <f>SUMIF(Пр_4!C10:C762,205,Пр_4!G10:G762)</f>
        <v>0</v>
      </c>
      <c r="D27" s="297">
        <f>SUMIF(Пр_4!C10:C762,205,Пр_4!H10:H762)</f>
        <v>0</v>
      </c>
      <c r="E27" s="297">
        <f>SUMIF(Пр_4!C10:C762,205,Пр_4!I10:I762)</f>
        <v>0</v>
      </c>
    </row>
    <row r="28" spans="1:5" ht="16.5" hidden="1" thickBot="1">
      <c r="A28" s="295">
        <v>206</v>
      </c>
      <c r="B28" s="298" t="s">
        <v>1408</v>
      </c>
      <c r="C28" s="297">
        <f>SUMIF(Пр_4!C10:C762,206,Пр_4!G10:G762)</f>
        <v>0</v>
      </c>
      <c r="D28" s="297">
        <f>SUMIF(Пр_4!C10:C762,206,Пр_4!H10:H762)</f>
        <v>0</v>
      </c>
      <c r="E28" s="297">
        <f>SUMIF(Пр_4!C10:C762,206,Пр_4!I10:I762)</f>
        <v>0</v>
      </c>
    </row>
    <row r="29" spans="1:5" s="4" customFormat="1" ht="48" hidden="1" thickBot="1">
      <c r="A29" s="295">
        <v>207</v>
      </c>
      <c r="B29" s="298" t="s">
        <v>910</v>
      </c>
      <c r="C29" s="297">
        <f>SUMIF(Пр_4!C10:C762,207,Пр_4!G10:G762)</f>
        <v>0</v>
      </c>
      <c r="D29" s="297">
        <f>SUMIF(Пр_4!C10:C762,207,Пр_4!H10:H762)</f>
        <v>0</v>
      </c>
      <c r="E29" s="297">
        <f>SUMIF(Пр_4!C10:C762,207,Пр_4!I10:I762)</f>
        <v>0</v>
      </c>
    </row>
    <row r="30" spans="1:5" ht="32.25" hidden="1" thickBot="1">
      <c r="A30" s="295">
        <v>208</v>
      </c>
      <c r="B30" s="298" t="s">
        <v>331</v>
      </c>
      <c r="C30" s="297">
        <f>SUMIF(Пр_4!C10:C762,208,Пр_4!G10:G762)</f>
        <v>0</v>
      </c>
      <c r="D30" s="297">
        <f>SUMIF(Пр_4!C10:C762,208,Пр_4!H10:H762)</f>
        <v>0</v>
      </c>
      <c r="E30" s="297">
        <f>SUMIF(Пр_4!C10:C762,208,Пр_4!I10:I762)</f>
        <v>0</v>
      </c>
    </row>
    <row r="31" spans="1:5" ht="32.25" hidden="1" thickBot="1">
      <c r="A31" s="295">
        <v>209</v>
      </c>
      <c r="B31" s="298" t="s">
        <v>332</v>
      </c>
      <c r="C31" s="297">
        <f>SUMIF(Пр_4!C10:C762,209,Пр_4!G10:G762)</f>
        <v>0</v>
      </c>
      <c r="D31" s="297">
        <f>SUMIF(Пр_4!C10:C762,209,Пр_4!H10:H762)</f>
        <v>0</v>
      </c>
      <c r="E31" s="297">
        <f>SUMIF(Пр_4!C10:C762,209,Пр_4!I10:I762)</f>
        <v>0</v>
      </c>
    </row>
    <row r="32" spans="1:5" ht="63.75" thickBot="1">
      <c r="A32" s="292">
        <v>300</v>
      </c>
      <c r="B32" s="299" t="s">
        <v>1</v>
      </c>
      <c r="C32" s="300">
        <f>SUM(C33:C44)</f>
        <v>419750</v>
      </c>
      <c r="D32" s="300">
        <f>SUM(D33:D44)</f>
        <v>0</v>
      </c>
      <c r="E32" s="300">
        <f>SUM(E33:E44)</f>
        <v>419750</v>
      </c>
    </row>
    <row r="33" spans="1:5" ht="16.5" hidden="1" thickBot="1">
      <c r="A33" s="295">
        <v>303</v>
      </c>
      <c r="B33" s="298" t="s">
        <v>334</v>
      </c>
      <c r="C33" s="297">
        <f>SUMIF(Пр_4!C10:C762,303,Пр_4!G10:G762)</f>
        <v>0</v>
      </c>
      <c r="D33" s="297">
        <f>SUMIF(Пр_4!C10:C762,303,Пр_4!H10:H762)</f>
        <v>0</v>
      </c>
      <c r="E33" s="297">
        <f>SUMIF(Пр_4!C10:C762,303,Пр_4!I10:I762)</f>
        <v>0</v>
      </c>
    </row>
    <row r="34" spans="1:5" s="4" customFormat="1" ht="16.5" hidden="1" thickBot="1">
      <c r="A34" s="295">
        <v>304</v>
      </c>
      <c r="B34" s="298" t="s">
        <v>137</v>
      </c>
      <c r="C34" s="297">
        <f>SUMIF(Пр_4!C10:C762,304,Пр_4!G10:G762)</f>
        <v>0</v>
      </c>
      <c r="D34" s="297">
        <f>SUMIF(Пр_4!C10:C762,304,Пр_4!H10:H762)</f>
        <v>0</v>
      </c>
      <c r="E34" s="297">
        <f>SUMIF(Пр_4!C10:C762,304,Пр_4!I10:I762)</f>
        <v>0</v>
      </c>
    </row>
    <row r="35" spans="1:5" ht="16.5" hidden="1" thickBot="1">
      <c r="A35" s="295">
        <v>305</v>
      </c>
      <c r="B35" s="298" t="s">
        <v>1536</v>
      </c>
      <c r="C35" s="297">
        <f>SUMIF(Пр_4!C10:C762,305,Пр_4!G10:G762)</f>
        <v>0</v>
      </c>
      <c r="D35" s="297">
        <f>SUMIF(Пр_4!C10:C762,305,Пр_4!H10:H762)</f>
        <v>0</v>
      </c>
      <c r="E35" s="297">
        <f>SUMIF(Пр_4!C10:C762,305,Пр_4!I10:I762)</f>
        <v>0</v>
      </c>
    </row>
    <row r="36" spans="1:5" ht="16.5" hidden="1" thickBot="1">
      <c r="A36" s="295">
        <v>306</v>
      </c>
      <c r="B36" s="298" t="s">
        <v>1615</v>
      </c>
      <c r="C36" s="297">
        <f>SUMIF(Пр_4!C10:C762,306,Пр_4!G10:G762)</f>
        <v>0</v>
      </c>
      <c r="D36" s="297">
        <f>SUMIF(Пр_4!C10:C762,306,Пр_4!H10:H762)</f>
        <v>0</v>
      </c>
      <c r="E36" s="297">
        <f>SUMIF(Пр_4!C10:C762,306,Пр_4!I10:I762)</f>
        <v>0</v>
      </c>
    </row>
    <row r="37" spans="1:5" ht="16.5" hidden="1" thickBot="1">
      <c r="A37" s="295">
        <v>307</v>
      </c>
      <c r="B37" s="298" t="s">
        <v>1616</v>
      </c>
      <c r="C37" s="297">
        <f>SUMIF(Пр_4!C10:C762,307,Пр_4!G10:G762)</f>
        <v>0</v>
      </c>
      <c r="D37" s="297">
        <f>SUMIF(Пр_4!C10:C762,307,Пр_4!H10:H762)</f>
        <v>0</v>
      </c>
      <c r="E37" s="297">
        <f>SUMIF(Пр_4!C10:C762,307,Пр_4!I10:I762)</f>
        <v>0</v>
      </c>
    </row>
    <row r="38" spans="1:5" s="4" customFormat="1" ht="48" hidden="1" thickBot="1">
      <c r="A38" s="295">
        <v>308</v>
      </c>
      <c r="B38" s="298" t="s">
        <v>1510</v>
      </c>
      <c r="C38" s="297">
        <f>SUMIF(Пр_4!C10:C762,308,Пр_4!G10:G762)</f>
        <v>0</v>
      </c>
      <c r="D38" s="297">
        <f>SUMIF(Пр_4!C10:C762,308,Пр_4!H10:H762)</f>
        <v>0</v>
      </c>
      <c r="E38" s="297">
        <f>SUMIF(Пр_4!C10:C762,308,Пр_4!I10:I762)</f>
        <v>0</v>
      </c>
    </row>
    <row r="39" spans="1:5" ht="79.5" thickBot="1">
      <c r="A39" s="295">
        <v>309</v>
      </c>
      <c r="B39" s="298" t="s">
        <v>378</v>
      </c>
      <c r="C39" s="297">
        <f>SUMIF(Пр_4!C10:C762,309,Пр_4!G10:G762)</f>
        <v>419750</v>
      </c>
      <c r="D39" s="297">
        <f>SUMIF(Пр_4!C10:C762,309,Пр_4!H10:H762)</f>
        <v>0</v>
      </c>
      <c r="E39" s="297">
        <f>SUMIF(Пр_4!C10:C762,309,Пр_4!I10:I762)</f>
        <v>419750</v>
      </c>
    </row>
    <row r="40" spans="1:5" ht="32.25" hidden="1" thickBot="1">
      <c r="A40" s="295">
        <v>310</v>
      </c>
      <c r="B40" s="298" t="s">
        <v>379</v>
      </c>
      <c r="C40" s="297">
        <f>SUMIF(Пр_4!C10:C762,310,Пр_4!G10:G762)</f>
        <v>0</v>
      </c>
      <c r="D40" s="297">
        <f>SUMIF(Пр_4!C10:C762,310,Пр_4!H10:H762)</f>
        <v>0</v>
      </c>
      <c r="E40" s="297">
        <f>SUMIF(Пр_4!C10:C762,310,Пр_4!I10:I762)</f>
        <v>0</v>
      </c>
    </row>
    <row r="41" spans="1:5" ht="16.5" hidden="1" thickBot="1">
      <c r="A41" s="295">
        <v>311</v>
      </c>
      <c r="B41" s="298" t="s">
        <v>777</v>
      </c>
      <c r="C41" s="297">
        <f>SUMIF(Пр_4!C10:C762,311,Пр_4!G10:G762)</f>
        <v>0</v>
      </c>
      <c r="D41" s="297">
        <f>SUMIF(Пр_4!C10:C762,311,Пр_4!H10:H762)</f>
        <v>0</v>
      </c>
      <c r="E41" s="297">
        <f>SUMIF(Пр_4!C10:C762,311,Пр_4!I10:I762)</f>
        <v>0</v>
      </c>
    </row>
    <row r="42" spans="1:5" ht="63.75" hidden="1" thickBot="1">
      <c r="A42" s="295">
        <v>312</v>
      </c>
      <c r="B42" s="298" t="s">
        <v>380</v>
      </c>
      <c r="C42" s="297">
        <f>SUMIF(Пр_4!C10:C762,312,Пр_4!G10:G762)</f>
        <v>0</v>
      </c>
      <c r="D42" s="297">
        <f>SUMIF(Пр_4!C10:C762,312,Пр_4!H10:H762)</f>
        <v>0</v>
      </c>
      <c r="E42" s="297">
        <f>SUMIF(Пр_4!C10:C762,312,Пр_4!I10:I762)</f>
        <v>0</v>
      </c>
    </row>
    <row r="43" spans="1:5" ht="63.75" hidden="1" thickBot="1">
      <c r="A43" s="295">
        <v>313</v>
      </c>
      <c r="B43" s="298" t="s">
        <v>778</v>
      </c>
      <c r="C43" s="297">
        <f>SUMIF(Пр_4!C10:C762,313,Пр_4!G10:G762)</f>
        <v>0</v>
      </c>
      <c r="D43" s="297">
        <f>SUMIF(Пр_4!C10:C762,313,Пр_4!H10:H762)</f>
        <v>0</v>
      </c>
      <c r="E43" s="297">
        <f>SUMIF(Пр_4!C10:C762,313,Пр_4!I10:I762)</f>
        <v>0</v>
      </c>
    </row>
    <row r="44" spans="1:5" ht="48" hidden="1" thickBot="1">
      <c r="A44" s="295">
        <v>314</v>
      </c>
      <c r="B44" s="298" t="s">
        <v>859</v>
      </c>
      <c r="C44" s="297">
        <f>SUMIF(Пр_4!C10:C762,314,Пр_4!G10:G762)</f>
        <v>0</v>
      </c>
      <c r="D44" s="297">
        <f>SUMIF(Пр_4!C10:C762,314,Пр_4!H10:H762)</f>
        <v>0</v>
      </c>
      <c r="E44" s="297">
        <f>SUMIF(Пр_4!C10:C762,314,Пр_4!I10:I762)</f>
        <v>0</v>
      </c>
    </row>
    <row r="45" spans="1:5" ht="32.25" thickBot="1">
      <c r="A45" s="292">
        <v>400</v>
      </c>
      <c r="B45" s="299" t="s">
        <v>381</v>
      </c>
      <c r="C45" s="300">
        <f>SUM(C46:C57)</f>
        <v>92966897</v>
      </c>
      <c r="D45" s="300">
        <f>D47+D50+D53+D54+D57</f>
        <v>-9740639</v>
      </c>
      <c r="E45" s="300">
        <f>SUM(E46:E57)</f>
        <v>83226258</v>
      </c>
    </row>
    <row r="46" spans="1:5" ht="16.5" hidden="1" thickBot="1">
      <c r="A46" s="295">
        <v>401</v>
      </c>
      <c r="B46" s="301" t="s">
        <v>1665</v>
      </c>
      <c r="C46" s="297">
        <f>SUMIF(Пр_4!C10:C762,401,Пр_4!G10:G762)</f>
        <v>0</v>
      </c>
      <c r="D46" s="297">
        <f>SUMIF(Пр_4!C10:C762,401,Пр_4!H10:H762)</f>
        <v>0</v>
      </c>
      <c r="E46" s="297">
        <f>SUMIF(Пр_4!C10:C762,401,Пр_4!I10:I762)</f>
        <v>0</v>
      </c>
    </row>
    <row r="47" spans="1:5" ht="16.5" thickBot="1">
      <c r="A47" s="295">
        <v>402</v>
      </c>
      <c r="B47" s="296" t="s">
        <v>224</v>
      </c>
      <c r="C47" s="302">
        <f>SUMIF(Пр_4!C10:C762,402,Пр_4!G10:G762)</f>
        <v>5367584</v>
      </c>
      <c r="D47" s="302">
        <f>SUMIF(Пр_4!C10:C762,402,Пр_4!H10:H762)</f>
        <v>0</v>
      </c>
      <c r="E47" s="302">
        <f>SUMIF(Пр_4!C10:C762,402,Пр_4!I10:I762)</f>
        <v>5367584</v>
      </c>
    </row>
    <row r="48" spans="1:5" ht="32.25" hidden="1" thickBot="1">
      <c r="A48" s="295">
        <v>403</v>
      </c>
      <c r="B48" s="298" t="s">
        <v>1400</v>
      </c>
      <c r="C48" s="302">
        <f>SUMIF(Пр_4!C10:C762,403,Пр_4!G10:G762)</f>
        <v>0</v>
      </c>
      <c r="D48" s="302">
        <f>SUMIF(Пр_4!C10:C762,403,Пр_4!H10:H762)</f>
        <v>0</v>
      </c>
      <c r="E48" s="302">
        <f>SUMIF(Пр_4!C10:C762,403,Пр_4!I10:I762)</f>
        <v>0</v>
      </c>
    </row>
    <row r="49" spans="1:5" ht="32.25" hidden="1" thickBot="1">
      <c r="A49" s="295">
        <v>404</v>
      </c>
      <c r="B49" s="298" t="s">
        <v>1401</v>
      </c>
      <c r="C49" s="302">
        <f>SUMIF(Пр_4!C10:C762,404,Пр_4!G10:G762)</f>
        <v>0</v>
      </c>
      <c r="D49" s="302">
        <f>SUMIF(Пр_4!C10:C762,404,Пр_4!H10:H762)</f>
        <v>0</v>
      </c>
      <c r="E49" s="302">
        <f>SUMIF(Пр_4!C10:C762,404,Пр_4!I10:I762)</f>
        <v>0</v>
      </c>
    </row>
    <row r="50" spans="1:5" ht="16.5" thickBot="1">
      <c r="A50" s="295">
        <v>405</v>
      </c>
      <c r="B50" s="298" t="s">
        <v>1883</v>
      </c>
      <c r="C50" s="302">
        <f>SUMIF(Пр_4!C10:C762,405,Пр_4!G10:G762)</f>
        <v>1300000</v>
      </c>
      <c r="D50" s="302">
        <f>SUMIF(Пр_4!C10:C762,405,Пр_4!H10:H762)</f>
        <v>0</v>
      </c>
      <c r="E50" s="302">
        <f>SUMIF(Пр_4!C10:C762,405,Пр_4!I10:I762)</f>
        <v>1300000</v>
      </c>
    </row>
    <row r="51" spans="1:5" ht="16.5" hidden="1" thickBot="1">
      <c r="A51" s="295">
        <v>406</v>
      </c>
      <c r="B51" s="298" t="s">
        <v>1402</v>
      </c>
      <c r="C51" s="302">
        <f>SUMIF(Пр_4!C10:C762,406,Пр_4!G10:G762)</f>
        <v>0</v>
      </c>
      <c r="D51" s="302">
        <f>SUMIF(Пр_4!C10:C762,406,Пр_4!H10:H762)</f>
        <v>0</v>
      </c>
      <c r="E51" s="302">
        <f>SUMIF(Пр_4!C10:C762,406,Пр_4!I10:I762)</f>
        <v>0</v>
      </c>
    </row>
    <row r="52" spans="1:5" ht="16.5" hidden="1" thickBot="1">
      <c r="A52" s="295">
        <v>407</v>
      </c>
      <c r="B52" s="298" t="s">
        <v>1403</v>
      </c>
      <c r="C52" s="302">
        <f>SUMIF(Пр_4!C10:C762,407,Пр_4!G10:G762)</f>
        <v>0</v>
      </c>
      <c r="D52" s="302">
        <f>SUMIF(Пр_4!C10:C762,407,Пр_4!H10:H762)</f>
        <v>0</v>
      </c>
      <c r="E52" s="302">
        <f>SUMIF(Пр_4!C10:C762,407,Пр_4!I10:I762)</f>
        <v>0</v>
      </c>
    </row>
    <row r="53" spans="1:5" ht="16.5" thickBot="1">
      <c r="A53" s="295">
        <v>408</v>
      </c>
      <c r="B53" s="298" t="s">
        <v>1884</v>
      </c>
      <c r="C53" s="302">
        <f>SUMIF(Пр_4!C10:C762,408,Пр_4!G10:G762)</f>
        <v>16636200</v>
      </c>
      <c r="D53" s="302">
        <f>SUMIF(Пр_4!C10:C762,408,Пр_4!H10:H762)</f>
        <v>0</v>
      </c>
      <c r="E53" s="302">
        <f>SUMIF(Пр_4!C10:C762,408,Пр_4!I10:I762)</f>
        <v>16636200</v>
      </c>
    </row>
    <row r="54" spans="1:5" ht="16.5" thickBot="1">
      <c r="A54" s="295">
        <v>409</v>
      </c>
      <c r="B54" s="298" t="s">
        <v>370</v>
      </c>
      <c r="C54" s="302">
        <f>SUMIF(Пр_4!C10:C762,409,Пр_4!G10:G762)</f>
        <v>66128224</v>
      </c>
      <c r="D54" s="302">
        <f>SUMIF(Пр_4!C10:C762,409,Пр_4!H10:H762)</f>
        <v>-9700000</v>
      </c>
      <c r="E54" s="302">
        <f>SUMIF(Пр_4!C10:C762,409,Пр_4!I10:I762)</f>
        <v>56428224</v>
      </c>
    </row>
    <row r="55" spans="1:5" ht="16.5" hidden="1" thickBot="1">
      <c r="A55" s="295">
        <v>410</v>
      </c>
      <c r="B55" s="298" t="s">
        <v>445</v>
      </c>
      <c r="C55" s="302">
        <f>SUMIF(Пр_4!C10:C762,1410,Пр_4!G10:G762)</f>
        <v>0</v>
      </c>
      <c r="D55" s="302">
        <f>SUMIF(Пр_4!C10:C762,1410,Пр_4!H10:H762)</f>
        <v>0</v>
      </c>
      <c r="E55" s="302">
        <f>SUMIF(Пр_4!C10:C762,1410,Пр_4!I10:I762)</f>
        <v>0</v>
      </c>
    </row>
    <row r="56" spans="1:5" ht="32.25" hidden="1" thickBot="1">
      <c r="A56" s="295">
        <v>411</v>
      </c>
      <c r="B56" s="298" t="s">
        <v>1404</v>
      </c>
      <c r="C56" s="302">
        <f>SUMIF(Пр_4!C10:C762,411,Пр_4!G10:G762)</f>
        <v>0</v>
      </c>
      <c r="D56" s="302">
        <f>SUMIF(Пр_4!C10:C762,411,Пр_4!H10:H762)</f>
        <v>0</v>
      </c>
      <c r="E56" s="302">
        <f>SUMIF(Пр_4!C10:C762,411,Пр_4!I10:I762)</f>
        <v>0</v>
      </c>
    </row>
    <row r="57" spans="1:5" ht="32.25" thickBot="1">
      <c r="A57" s="295">
        <v>412</v>
      </c>
      <c r="B57" s="298" t="s">
        <v>861</v>
      </c>
      <c r="C57" s="302">
        <f>SUMIF(Пр_4!C10:C762,412,Пр_4!G10:G762)</f>
        <v>3534889</v>
      </c>
      <c r="D57" s="302">
        <f>SUMIF(Пр_4!C10:C762,412,Пр_4!H10:H762)</f>
        <v>-40639</v>
      </c>
      <c r="E57" s="302">
        <f>SUMIF(Пр_4!C10:C762,412,Пр_4!I10:I762)</f>
        <v>3494250</v>
      </c>
    </row>
    <row r="58" spans="1:5" ht="32.25" thickBot="1">
      <c r="A58" s="292">
        <v>500</v>
      </c>
      <c r="B58" s="299" t="s">
        <v>827</v>
      </c>
      <c r="C58" s="300">
        <f>SUM(C59:C63)</f>
        <v>203427218.63999999</v>
      </c>
      <c r="D58" s="300">
        <f>D59+D60+D63</f>
        <v>-9435321.3599999994</v>
      </c>
      <c r="E58" s="300">
        <f>SUM(E59:E63)</f>
        <v>193991897.28</v>
      </c>
    </row>
    <row r="59" spans="1:5" ht="16.5" thickBot="1">
      <c r="A59" s="295">
        <v>501</v>
      </c>
      <c r="B59" s="298" t="s">
        <v>557</v>
      </c>
      <c r="C59" s="302">
        <f>SUMIF(Пр_4!C10:C762,501,Пр_4!G10:G762)</f>
        <v>125800430.62</v>
      </c>
      <c r="D59" s="302">
        <f>SUMIF(Пр_4!C10:C762,501,Пр_4!H10:H762)</f>
        <v>-9862221.3599999994</v>
      </c>
      <c r="E59" s="302">
        <f>SUMIF(Пр_4!C10:C762,501,Пр_4!I10:I762)</f>
        <v>115938209.26000001</v>
      </c>
    </row>
    <row r="60" spans="1:5" ht="16.5" thickBot="1">
      <c r="A60" s="295">
        <v>502</v>
      </c>
      <c r="B60" s="298" t="s">
        <v>558</v>
      </c>
      <c r="C60" s="302">
        <f>SUMIF(Пр_4!C10:C762,502,Пр_4!G10:G762)</f>
        <v>69852992.329999998</v>
      </c>
      <c r="D60" s="302">
        <f>SUMIF(Пр_4!C10:C762,502,Пр_4!H10:H762)</f>
        <v>133600</v>
      </c>
      <c r="E60" s="302">
        <f>SUMIF(Пр_4!C10:C762,502,Пр_4!I10:I762)</f>
        <v>69986592.329999998</v>
      </c>
    </row>
    <row r="61" spans="1:5" ht="16.5" hidden="1" thickBot="1">
      <c r="A61" s="295">
        <v>503</v>
      </c>
      <c r="B61" s="296" t="s">
        <v>335</v>
      </c>
      <c r="C61" s="302">
        <f>SUMIF(Пр_4!C10:C762,503,Пр_4!G10:G762)</f>
        <v>0</v>
      </c>
      <c r="D61" s="302">
        <f>SUMIF(Пр_4!C10:C762,503,Пр_4!H10:H762)</f>
        <v>0</v>
      </c>
      <c r="E61" s="302">
        <f>SUMIF(Пр_4!C10:C762,503,Пр_4!I10:I762)</f>
        <v>0</v>
      </c>
    </row>
    <row r="62" spans="1:5" ht="48" hidden="1" thickBot="1">
      <c r="A62" s="295">
        <v>504</v>
      </c>
      <c r="B62" s="298" t="s">
        <v>702</v>
      </c>
      <c r="C62" s="302">
        <f>SUMIF(Пр_4!C10:C762,504,Пр_4!G10:G762)</f>
        <v>0</v>
      </c>
      <c r="D62" s="302">
        <f>SUMIF(Пр_4!C10:C762,504,Пр_4!H10:H762)</f>
        <v>0</v>
      </c>
      <c r="E62" s="302">
        <f>SUMIF(Пр_4!C10:C762,504,Пр_4!I10:I762)</f>
        <v>0</v>
      </c>
    </row>
    <row r="63" spans="1:5" ht="32.25" customHeight="1" thickBot="1">
      <c r="A63" s="295">
        <v>505</v>
      </c>
      <c r="B63" s="298" t="s">
        <v>765</v>
      </c>
      <c r="C63" s="302">
        <f>SUMIF(Пр_4!C10:C762,505,Пр_4!G10:G762)</f>
        <v>7773795.6899999995</v>
      </c>
      <c r="D63" s="302">
        <f>SUMIF(Пр_4!C10:C762,505,Пр_4!H10:H762)</f>
        <v>293300</v>
      </c>
      <c r="E63" s="302">
        <f>SUMIF(Пр_4!C10:C762,505,Пр_4!I10:I762)</f>
        <v>8067095.6899999995</v>
      </c>
    </row>
    <row r="64" spans="1:5" ht="32.25" thickBot="1">
      <c r="A64" s="292">
        <v>600</v>
      </c>
      <c r="B64" s="303" t="s">
        <v>567</v>
      </c>
      <c r="C64" s="300">
        <f>SUM(C65:C69)</f>
        <v>5000</v>
      </c>
      <c r="D64" s="300">
        <f>SUM(D65:D69)</f>
        <v>0</v>
      </c>
      <c r="E64" s="300">
        <f>SUM(E65:E69)</f>
        <v>5000</v>
      </c>
    </row>
    <row r="65" spans="1:5" ht="16.5" hidden="1" thickBot="1">
      <c r="A65" s="295">
        <v>601</v>
      </c>
      <c r="B65" s="296" t="s">
        <v>568</v>
      </c>
      <c r="C65" s="302">
        <f>SUMIF(Пр_4!C10:C762,601,Пр_4!G10:G762)</f>
        <v>0</v>
      </c>
      <c r="D65" s="302">
        <f>SUMIF(Пр_4!C10:C762,601,Пр_4!H10:H762)</f>
        <v>0</v>
      </c>
      <c r="E65" s="302">
        <f>SUMIF(Пр_4!C10:C762,601,Пр_4!I10:I762)</f>
        <v>0</v>
      </c>
    </row>
    <row r="66" spans="1:5" ht="32.25" hidden="1" thickBot="1">
      <c r="A66" s="295">
        <v>602</v>
      </c>
      <c r="B66" s="298" t="s">
        <v>1681</v>
      </c>
      <c r="C66" s="302">
        <f>SUMIF(Пр_4!C10:C762,602,Пр_4!G10:G762)</f>
        <v>0</v>
      </c>
      <c r="D66" s="302">
        <f>SUMIF(Пр_4!C10:C762,602,Пр_4!H10:H762)</f>
        <v>0</v>
      </c>
      <c r="E66" s="302">
        <f>SUMIF(Пр_4!C10:C762,602,Пр_4!I10:I762)</f>
        <v>0</v>
      </c>
    </row>
    <row r="67" spans="1:5" ht="48" hidden="1" thickBot="1">
      <c r="A67" s="295">
        <v>603</v>
      </c>
      <c r="B67" s="298" t="s">
        <v>1682</v>
      </c>
      <c r="C67" s="302">
        <f>SUMIF(Пр_4!C10:C762,603,Пр_4!G10:G762)</f>
        <v>0</v>
      </c>
      <c r="D67" s="302">
        <f>SUMIF(Пр_4!C10:C762,603,Пр_4!H10:H762)</f>
        <v>0</v>
      </c>
      <c r="E67" s="302">
        <f>SUMIF(Пр_4!C10:C762,603,Пр_4!I10:I762)</f>
        <v>0</v>
      </c>
    </row>
    <row r="68" spans="1:5" ht="48" hidden="1" thickBot="1">
      <c r="A68" s="295">
        <v>604</v>
      </c>
      <c r="B68" s="298" t="s">
        <v>1889</v>
      </c>
      <c r="C68" s="302">
        <f>SUMIF(Пр_4!C10:C762,604,Пр_4!G10:G762)</f>
        <v>0</v>
      </c>
      <c r="D68" s="302">
        <f>SUMIF(Пр_4!C10:C762,604,Пр_4!H10:H762)</f>
        <v>0</v>
      </c>
      <c r="E68" s="302">
        <f>SUMIF(Пр_4!C10:C762,604,Пр_4!I10:I762)</f>
        <v>0</v>
      </c>
    </row>
    <row r="69" spans="1:5" ht="32.25" thickBot="1">
      <c r="A69" s="295">
        <v>605</v>
      </c>
      <c r="B69" s="298" t="s">
        <v>510</v>
      </c>
      <c r="C69" s="302">
        <f>SUMIF(Пр_4!C10:C762,605,Пр_4!G10:G762)</f>
        <v>5000</v>
      </c>
      <c r="D69" s="302">
        <f>SUMIF(Пр_4!C10:C762,605,Пр_4!H10:H762)</f>
        <v>0</v>
      </c>
      <c r="E69" s="302">
        <f>SUMIF(Пр_4!C10:C762,605,Пр_4!I10:I762)</f>
        <v>5000</v>
      </c>
    </row>
    <row r="70" spans="1:5" ht="16.5" thickBot="1">
      <c r="A70" s="292">
        <v>700</v>
      </c>
      <c r="B70" s="303" t="s">
        <v>1683</v>
      </c>
      <c r="C70" s="300">
        <f>SUM(C71:C79)</f>
        <v>952507684</v>
      </c>
      <c r="D70" s="300">
        <f>D71+D72+D77+D79</f>
        <v>2066428</v>
      </c>
      <c r="E70" s="300">
        <f>SUM(E71:E79)</f>
        <v>954574112</v>
      </c>
    </row>
    <row r="71" spans="1:5" ht="16.5" thickBot="1">
      <c r="A71" s="295">
        <v>701</v>
      </c>
      <c r="B71" s="298" t="s">
        <v>37</v>
      </c>
      <c r="C71" s="302">
        <f>SUMIF(Пр_4!C10:C762,701,Пр_4!G10:G762)</f>
        <v>338060887.38</v>
      </c>
      <c r="D71" s="302">
        <f>SUMIF(Пр_4!C10:C762,701,Пр_4!H10:H762)</f>
        <v>2224391</v>
      </c>
      <c r="E71" s="302">
        <f>SUMIF(Пр_4!C10:C762,701,Пр_4!I10:I762)</f>
        <v>340285278.38</v>
      </c>
    </row>
    <row r="72" spans="1:5" ht="16.5" thickBot="1">
      <c r="A72" s="295">
        <v>702</v>
      </c>
      <c r="B72" s="298" t="s">
        <v>85</v>
      </c>
      <c r="C72" s="302">
        <f>SUMIF(Пр_4!C10:C762,702,Пр_4!G10:G762)</f>
        <v>535596381.62</v>
      </c>
      <c r="D72" s="302">
        <f>SUMIF(Пр_4!C10:C762,702,Пр_4!H10:H762)</f>
        <v>-1855856</v>
      </c>
      <c r="E72" s="302">
        <f>SUMIF(Пр_4!C10:C762,702,Пр_4!I10:I762)</f>
        <v>533740525.62</v>
      </c>
    </row>
    <row r="73" spans="1:5" ht="32.25" hidden="1" thickBot="1">
      <c r="A73" s="295">
        <v>703</v>
      </c>
      <c r="B73" s="298" t="s">
        <v>1890</v>
      </c>
      <c r="C73" s="302">
        <f>SUMIF(Пр_4!C10:C762,703,Пр_4!G10:G762)</f>
        <v>0</v>
      </c>
      <c r="D73" s="302">
        <f>SUMIF(Пр_4!C10:C762,703,Пр_4!H10:H762)</f>
        <v>0</v>
      </c>
      <c r="E73" s="302">
        <f>SUMIF(Пр_4!C10:C762,703,Пр_4!I10:I762)</f>
        <v>0</v>
      </c>
    </row>
    <row r="74" spans="1:5" ht="32.25" hidden="1" thickBot="1">
      <c r="A74" s="295">
        <v>704</v>
      </c>
      <c r="B74" s="298" t="s">
        <v>377</v>
      </c>
      <c r="C74" s="302">
        <f>SUMIF(Пр_4!C10:C762,704,Пр_4!G10:G762)</f>
        <v>0</v>
      </c>
      <c r="D74" s="302">
        <f>SUMIF(Пр_4!C10:C762,704,Пр_4!H10:H762)</f>
        <v>0</v>
      </c>
      <c r="E74" s="302">
        <f>SUMIF(Пр_4!C10:C762,704,Пр_4!I10:I762)</f>
        <v>0</v>
      </c>
    </row>
    <row r="75" spans="1:5" ht="48" hidden="1" thickBot="1">
      <c r="A75" s="295">
        <v>705</v>
      </c>
      <c r="B75" s="298" t="s">
        <v>1047</v>
      </c>
      <c r="C75" s="302">
        <f>SUMIF(Пр_4!C10:C762,705,Пр_4!G10:G762)</f>
        <v>0</v>
      </c>
      <c r="D75" s="302">
        <f>SUMIF(Пр_4!C10:C762,705,Пр_4!H10:H762)</f>
        <v>0</v>
      </c>
      <c r="E75" s="302">
        <f>SUMIF(Пр_4!C10:C762,705,Пр_4!I10:I762)</f>
        <v>0</v>
      </c>
    </row>
    <row r="76" spans="1:5" ht="32.25" hidden="1" thickBot="1">
      <c r="A76" s="304">
        <v>706</v>
      </c>
      <c r="B76" s="305" t="s">
        <v>1048</v>
      </c>
      <c r="C76" s="302">
        <f>SUMIF(Пр_4!C10:C762,706,Пр_4!G10:G762)</f>
        <v>0</v>
      </c>
      <c r="D76" s="302">
        <f>SUMIF(Пр_4!C10:C762,706,Пр_4!H10:H762)</f>
        <v>0</v>
      </c>
      <c r="E76" s="302">
        <f>SUMIF(Пр_4!C10:C762,706,Пр_4!I10:I762)</f>
        <v>0</v>
      </c>
    </row>
    <row r="77" spans="1:5" ht="32.25" thickBot="1">
      <c r="A77" s="295">
        <v>707</v>
      </c>
      <c r="B77" s="298" t="s">
        <v>809</v>
      </c>
      <c r="C77" s="302">
        <f>SUMIF(Пр_4!C10:C762,707,Пр_4!G10:G762)</f>
        <v>23301682</v>
      </c>
      <c r="D77" s="302">
        <f>SUMIF(Пр_4!C10:C762,707,Пр_4!H10:H762)</f>
        <v>575000</v>
      </c>
      <c r="E77" s="302">
        <f>SUMIF(Пр_4!C10:C762,707,Пр_4!I10:I762)</f>
        <v>23876682</v>
      </c>
    </row>
    <row r="78" spans="1:5" ht="32.25" hidden="1" thickBot="1">
      <c r="A78" s="295">
        <v>708</v>
      </c>
      <c r="B78" s="298" t="s">
        <v>572</v>
      </c>
      <c r="C78" s="302">
        <f>SUMIF(Пр_4!C10:C762,708,Пр_4!G10:G762)</f>
        <v>0</v>
      </c>
      <c r="D78" s="302">
        <f>SUMIF(Пр_4!C10:C762,708,Пр_4!H10:H762)</f>
        <v>0</v>
      </c>
      <c r="E78" s="302">
        <f>SUMIF(Пр_4!C10:C762,708,Пр_4!I10:I762)</f>
        <v>0</v>
      </c>
    </row>
    <row r="79" spans="1:5" ht="32.25" thickBot="1">
      <c r="A79" s="295">
        <v>709</v>
      </c>
      <c r="B79" s="298" t="s">
        <v>58</v>
      </c>
      <c r="C79" s="302">
        <f>SUMIF(Пр_4!C10:C762,709,Пр_4!G10:G762)</f>
        <v>55548733</v>
      </c>
      <c r="D79" s="302">
        <f>SUMIF(Пр_4!C10:C762,709,Пр_4!H10:H762)</f>
        <v>1122893</v>
      </c>
      <c r="E79" s="302">
        <f>SUMIF(Пр_4!C10:C762,709,Пр_4!I10:I762)</f>
        <v>56671626</v>
      </c>
    </row>
    <row r="80" spans="1:5" ht="32.25" thickBot="1">
      <c r="A80" s="292">
        <v>800</v>
      </c>
      <c r="B80" s="303" t="s">
        <v>1300</v>
      </c>
      <c r="C80" s="300">
        <f>SUM(C81:C84)</f>
        <v>113716590</v>
      </c>
      <c r="D80" s="300">
        <f>D81+D84</f>
        <v>352203</v>
      </c>
      <c r="E80" s="300">
        <f>SUM(E81:E84)</f>
        <v>114068793</v>
      </c>
    </row>
    <row r="81" spans="1:5" ht="16.5" thickBot="1">
      <c r="A81" s="295">
        <v>801</v>
      </c>
      <c r="B81" s="298" t="s">
        <v>392</v>
      </c>
      <c r="C81" s="302">
        <f>SUMIF(Пр_4!C10:C762,801,Пр_4!G10:G762)</f>
        <v>98002755</v>
      </c>
      <c r="D81" s="302">
        <f>SUMIF(Пр_4!C10:C762,801,Пр_4!H10:H762)</f>
        <v>203963</v>
      </c>
      <c r="E81" s="302">
        <f>SUMIF(Пр_4!C10:C762,801,Пр_4!I10:I762)</f>
        <v>98206718</v>
      </c>
    </row>
    <row r="82" spans="1:5" ht="16.5" hidden="1" thickBot="1">
      <c r="A82" s="295">
        <v>802</v>
      </c>
      <c r="B82" s="298" t="s">
        <v>340</v>
      </c>
      <c r="C82" s="302">
        <f>SUMIF(Пр_4!C10:C762,802,Пр_4!G10:G762)</f>
        <v>0</v>
      </c>
      <c r="D82" s="302">
        <f>SUMIF(Пр_4!C10:C762,802,Пр_4!H10:H762)</f>
        <v>0</v>
      </c>
      <c r="E82" s="302">
        <f>SUMIF(Пр_4!C10:C762,802,Пр_4!I10:I762)</f>
        <v>0</v>
      </c>
    </row>
    <row r="83" spans="1:5" ht="32.25" hidden="1" thickBot="1">
      <c r="A83" s="295">
        <v>803</v>
      </c>
      <c r="B83" s="298" t="s">
        <v>1301</v>
      </c>
      <c r="C83" s="302">
        <f>SUMIF(Пр_4!C10:C762,803,Пр_4!G10:G762)</f>
        <v>0</v>
      </c>
      <c r="D83" s="302">
        <f>SUMIF(Пр_4!C10:C762,803,Пр_4!H10:H762)</f>
        <v>0</v>
      </c>
      <c r="E83" s="302">
        <f>SUMIF(Пр_4!C10:C762,803,Пр_4!I10:I762)</f>
        <v>0</v>
      </c>
    </row>
    <row r="84" spans="1:5" ht="32.25" thickBot="1">
      <c r="A84" s="295">
        <v>804</v>
      </c>
      <c r="B84" s="298" t="s">
        <v>1319</v>
      </c>
      <c r="C84" s="302">
        <f>SUMIF(Пр_4!C10:C762,804,Пр_4!G10:G762)</f>
        <v>15713835</v>
      </c>
      <c r="D84" s="302">
        <f>SUMIF(Пр_4!C10:C762,804,Пр_4!H10:H762)</f>
        <v>148240</v>
      </c>
      <c r="E84" s="302">
        <f>SUMIF(Пр_4!C10:C762,804,Пр_4!I10:I762)</f>
        <v>15862075</v>
      </c>
    </row>
    <row r="85" spans="1:5" ht="16.5" hidden="1" thickBot="1">
      <c r="A85" s="292">
        <v>900</v>
      </c>
      <c r="B85" s="303" t="s">
        <v>1320</v>
      </c>
      <c r="C85" s="300">
        <f>SUM(C86:C94)</f>
        <v>0</v>
      </c>
      <c r="D85" s="300">
        <f>SUM(D86:D94)</f>
        <v>0</v>
      </c>
      <c r="E85" s="300">
        <f>SUM(E86:E94)</f>
        <v>0</v>
      </c>
    </row>
    <row r="86" spans="1:5" ht="16.5" hidden="1" thickBot="1">
      <c r="A86" s="295">
        <v>901</v>
      </c>
      <c r="B86" s="298" t="s">
        <v>246</v>
      </c>
      <c r="C86" s="302">
        <f>SUMIF(Пр_4!C10:C762,901,Пр_4!G10:G762)</f>
        <v>0</v>
      </c>
      <c r="D86" s="302">
        <f>SUMIF(Пр_4!C10:C762,901,Пр_4!H10:H762)</f>
        <v>0</v>
      </c>
      <c r="E86" s="302">
        <f>SUMIF(Пр_4!C10:C762,901,Пр_4!I10:I762)</f>
        <v>0</v>
      </c>
    </row>
    <row r="87" spans="1:5" ht="16.5" hidden="1" thickBot="1">
      <c r="A87" s="295">
        <v>902</v>
      </c>
      <c r="B87" s="298" t="s">
        <v>247</v>
      </c>
      <c r="C87" s="302">
        <f>SUMIF(Пр_4!C10:C762,902,Пр_4!G10:G762)</f>
        <v>0</v>
      </c>
      <c r="D87" s="302">
        <f>SUMIF(Пр_4!C10:C762,902,Пр_4!H10:H762)</f>
        <v>0</v>
      </c>
      <c r="E87" s="302">
        <f>SUMIF(Пр_4!C10:C762,902,Пр_4!I10:I762)</f>
        <v>0</v>
      </c>
    </row>
    <row r="88" spans="1:5" ht="32.25" hidden="1" thickBot="1">
      <c r="A88" s="295">
        <v>903</v>
      </c>
      <c r="B88" s="298" t="s">
        <v>199</v>
      </c>
      <c r="C88" s="302">
        <f>SUMIF(Пр_4!C10:C762,903,Пр_4!G10:G762)</f>
        <v>0</v>
      </c>
      <c r="D88" s="302">
        <f>SUMIF(Пр_4!C10:C762,903,Пр_4!H10:H762)</f>
        <v>0</v>
      </c>
      <c r="E88" s="302">
        <f>SUMIF(Пр_4!C10:C762,903,Пр_4!I10:I762)</f>
        <v>0</v>
      </c>
    </row>
    <row r="89" spans="1:5" ht="16.5" hidden="1" thickBot="1">
      <c r="A89" s="295">
        <v>904</v>
      </c>
      <c r="B89" s="298" t="s">
        <v>236</v>
      </c>
      <c r="C89" s="302">
        <f>SUMIF(Пр_4!C10:C762,904,Пр_4!G10:G762)</f>
        <v>0</v>
      </c>
      <c r="D89" s="302">
        <f>SUMIF(Пр_4!C10:C762,904,Пр_4!H10:H762)</f>
        <v>0</v>
      </c>
      <c r="E89" s="302">
        <f>SUMIF(Пр_4!C10:C762,904,Пр_4!I10:I762)</f>
        <v>0</v>
      </c>
    </row>
    <row r="90" spans="1:5" ht="16.5" hidden="1" thickBot="1">
      <c r="A90" s="295">
        <v>905</v>
      </c>
      <c r="B90" s="306" t="s">
        <v>63</v>
      </c>
      <c r="C90" s="302">
        <f>SUMIF(Пр_4!C10:C762,905,Пр_4!G10:G762)</f>
        <v>0</v>
      </c>
      <c r="D90" s="302">
        <f>SUMIF(Пр_4!C10:C762,905,Пр_4!H10:H762)</f>
        <v>0</v>
      </c>
      <c r="E90" s="302">
        <f>SUMIF(Пр_4!C10:C762,905,Пр_4!I10:I762)</f>
        <v>0</v>
      </c>
    </row>
    <row r="91" spans="1:5" ht="48" hidden="1" thickBot="1">
      <c r="A91" s="295">
        <v>906</v>
      </c>
      <c r="B91" s="306" t="s">
        <v>912</v>
      </c>
      <c r="C91" s="302">
        <f>SUMIF(Пр_4!C10:C762,906,Пр_4!G10:G762)</f>
        <v>0</v>
      </c>
      <c r="D91" s="302">
        <f>SUMIF(Пр_4!C10:C762,906,Пр_4!H10:H762)</f>
        <v>0</v>
      </c>
      <c r="E91" s="302">
        <f>SUMIF(Пр_4!C10:C762,906,Пр_4!I10:I762)</f>
        <v>0</v>
      </c>
    </row>
    <row r="92" spans="1:5" ht="32.25" hidden="1" thickBot="1">
      <c r="A92" s="295">
        <v>907</v>
      </c>
      <c r="B92" s="298" t="s">
        <v>913</v>
      </c>
      <c r="C92" s="302">
        <f>SUMIF(Пр_4!C10:C762,907,Пр_4!G10:G762)</f>
        <v>0</v>
      </c>
      <c r="D92" s="302">
        <f>SUMIF(Пр_4!C10:C762,907,Пр_4!H10:H762)</f>
        <v>0</v>
      </c>
      <c r="E92" s="302">
        <f>SUMIF(Пр_4!C10:C762,907,Пр_4!I10:I762)</f>
        <v>0</v>
      </c>
    </row>
    <row r="93" spans="1:5" ht="32.25" hidden="1" thickBot="1">
      <c r="A93" s="295">
        <v>908</v>
      </c>
      <c r="B93" s="296" t="s">
        <v>1321</v>
      </c>
      <c r="C93" s="302">
        <f>SUMIF(Пр_4!C10:C762,908,Пр_4!G10:G762)</f>
        <v>0</v>
      </c>
      <c r="D93" s="302">
        <f>SUMIF(Пр_4!C10:C762,908,Пр_4!H10:H762)</f>
        <v>0</v>
      </c>
      <c r="E93" s="302">
        <f>SUMIF(Пр_4!C10:C762,908,Пр_4!I10:I762)</f>
        <v>0</v>
      </c>
    </row>
    <row r="94" spans="1:5" ht="32.25" hidden="1" thickBot="1">
      <c r="A94" s="295">
        <v>909</v>
      </c>
      <c r="B94" s="298" t="s">
        <v>1322</v>
      </c>
      <c r="C94" s="302">
        <f>SUMIF(Пр_4!C10:C762,909,Пр_4!G10:G762)</f>
        <v>0</v>
      </c>
      <c r="D94" s="302">
        <f>SUMIF(Пр_4!C10:C762,909,Пр_4!H10:H762)</f>
        <v>0</v>
      </c>
      <c r="E94" s="302">
        <f>SUMIF(Пр_4!C10:C762,909,Пр_4!I10:I762)</f>
        <v>0</v>
      </c>
    </row>
    <row r="95" spans="1:5" ht="16.5" thickBot="1">
      <c r="A95" s="292">
        <v>1000</v>
      </c>
      <c r="B95" s="303" t="s">
        <v>1030</v>
      </c>
      <c r="C95" s="300">
        <f>SUM(C96:C101)</f>
        <v>345403126</v>
      </c>
      <c r="D95" s="300">
        <f>D96+D97+D98+D99+D101</f>
        <v>-1416688</v>
      </c>
      <c r="E95" s="300">
        <f>SUM(E96:E101)</f>
        <v>343986438</v>
      </c>
    </row>
    <row r="96" spans="1:5" ht="16.5" thickBot="1">
      <c r="A96" s="295">
        <v>1001</v>
      </c>
      <c r="B96" s="298" t="s">
        <v>429</v>
      </c>
      <c r="C96" s="302">
        <f>SUMIF(Пр_4!C10:C762,1001,Пр_4!G10:G762)</f>
        <v>2310539</v>
      </c>
      <c r="D96" s="302">
        <f>SUMIF(Пр_4!C10:C762,1001,Пр_4!H10:H762)</f>
        <v>-250000</v>
      </c>
      <c r="E96" s="302">
        <f>SUMIF(Пр_4!C10:C762,1001,Пр_4!I10:I762)</f>
        <v>2060539</v>
      </c>
    </row>
    <row r="97" spans="1:5" ht="32.25" thickBot="1">
      <c r="A97" s="295">
        <v>1002</v>
      </c>
      <c r="B97" s="298" t="s">
        <v>82</v>
      </c>
      <c r="C97" s="302">
        <f>SUMIF(Пр_4!C10:C762,1002,Пр_4!G10:G762)</f>
        <v>49535795</v>
      </c>
      <c r="D97" s="302">
        <f>SUMIF(Пр_4!C10:C762,1002,Пр_4!H10:H762)</f>
        <v>0</v>
      </c>
      <c r="E97" s="302">
        <f>SUMIF(Пр_4!C10:C762,1002,Пр_4!I10:I762)</f>
        <v>49535795</v>
      </c>
    </row>
    <row r="98" spans="1:5" ht="16.5" thickBot="1">
      <c r="A98" s="295">
        <v>1003</v>
      </c>
      <c r="B98" s="298" t="s">
        <v>357</v>
      </c>
      <c r="C98" s="302">
        <f>SUMIF(Пр_4!C10:C762,1003,Пр_4!G10:G762)</f>
        <v>232966834</v>
      </c>
      <c r="D98" s="302">
        <f>SUMIF(Пр_4!C10:C762,1003,Пр_4!H10:H762)</f>
        <v>-3788312</v>
      </c>
      <c r="E98" s="302">
        <f>SUMIF(Пр_4!C10:C762,1003,Пр_4!I10:I762)</f>
        <v>229178522</v>
      </c>
    </row>
    <row r="99" spans="1:5" ht="16.5" thickBot="1">
      <c r="A99" s="295">
        <v>1004</v>
      </c>
      <c r="B99" s="296" t="s">
        <v>1031</v>
      </c>
      <c r="C99" s="302">
        <f>SUMIF(Пр_4!C10:C762,1004,Пр_4!G10:G762)</f>
        <v>47911668</v>
      </c>
      <c r="D99" s="302">
        <f>SUMIF(Пр_4!C10:C762,1004,Пр_4!H10:H762)</f>
        <v>1693624</v>
      </c>
      <c r="E99" s="302">
        <f>SUMIF(Пр_4!C10:C762,1004,Пр_4!I10:I762)</f>
        <v>49605292</v>
      </c>
    </row>
    <row r="100" spans="1:5" ht="32.25" hidden="1" thickBot="1">
      <c r="A100" s="295">
        <v>1005</v>
      </c>
      <c r="B100" s="298" t="s">
        <v>1034</v>
      </c>
      <c r="C100" s="302">
        <f>SUMIF(Пр_4!C10:C762,1005,Пр_4!G10:G762)</f>
        <v>0</v>
      </c>
      <c r="D100" s="302">
        <f>SUMIF(Пр_4!C10:C762,1005,Пр_4!H10:H762)</f>
        <v>0</v>
      </c>
      <c r="E100" s="302">
        <f>SUMIF(Пр_4!C10:C762,1005,Пр_4!I10:I762)</f>
        <v>0</v>
      </c>
    </row>
    <row r="101" spans="1:5" ht="32.25" thickBot="1">
      <c r="A101" s="295">
        <v>1006</v>
      </c>
      <c r="B101" s="298" t="s">
        <v>83</v>
      </c>
      <c r="C101" s="302">
        <f>SUMIF(Пр_4!C10:C762,1006,Пр_4!G10:G762)</f>
        <v>12678290</v>
      </c>
      <c r="D101" s="302">
        <f>SUMIF(Пр_4!C10:C762,1006,Пр_4!H10:H762)</f>
        <v>928000</v>
      </c>
      <c r="E101" s="302">
        <f>SUMIF(Пр_4!C10:C762,1006,Пр_4!I10:I762)</f>
        <v>13606290</v>
      </c>
    </row>
    <row r="102" spans="1:5" ht="32.25" thickBot="1">
      <c r="A102" s="292">
        <v>1100</v>
      </c>
      <c r="B102" s="303" t="s">
        <v>1323</v>
      </c>
      <c r="C102" s="300">
        <f>SUM(C103:C107)</f>
        <v>2073700</v>
      </c>
      <c r="D102" s="300">
        <f>SUM(D103:D107)</f>
        <v>0</v>
      </c>
      <c r="E102" s="300">
        <f>SUM(E103:E107)</f>
        <v>2073700</v>
      </c>
    </row>
    <row r="103" spans="1:5" ht="16.5" hidden="1" thickBot="1">
      <c r="A103" s="295">
        <v>1101</v>
      </c>
      <c r="B103" s="298" t="s">
        <v>1324</v>
      </c>
      <c r="C103" s="302">
        <f>SUMIF(Пр_4!C10:C762,1101,Пр_4!G10:G762)</f>
        <v>0</v>
      </c>
      <c r="D103" s="302">
        <f>SUMIF(Пр_4!C10:C762,1101,Пр_4!H10:H762)</f>
        <v>0</v>
      </c>
      <c r="E103" s="302">
        <f>SUMIF(Пр_4!C10:C762,1101,Пр_4!I10:I762)</f>
        <v>0</v>
      </c>
    </row>
    <row r="104" spans="1:5" ht="16.5" thickBot="1">
      <c r="A104" s="295">
        <v>1102</v>
      </c>
      <c r="B104" s="306" t="s">
        <v>1325</v>
      </c>
      <c r="C104" s="302">
        <f>SUMIF(Пр_4!C10:C762,1102,Пр_4!G10:G762)</f>
        <v>2000000</v>
      </c>
      <c r="D104" s="302">
        <f>SUMIF(Пр_4!C10:C762,1102,Пр_4!H10:H762)</f>
        <v>0</v>
      </c>
      <c r="E104" s="302">
        <f>SUMIF(Пр_4!C10:C762,1102,Пр_4!I10:I762)</f>
        <v>2000000</v>
      </c>
    </row>
    <row r="105" spans="1:5" ht="16.5" thickBot="1">
      <c r="A105" s="295">
        <v>1103</v>
      </c>
      <c r="B105" s="298" t="s">
        <v>1326</v>
      </c>
      <c r="C105" s="302">
        <f>SUMIF(Пр_4!C10:C762,1103,Пр_4!G10:G762)</f>
        <v>73700</v>
      </c>
      <c r="D105" s="302">
        <f>SUMIF(Пр_4!C10:C762,1103,Пр_4!H10:H762)</f>
        <v>0</v>
      </c>
      <c r="E105" s="302">
        <f>SUMIF(Пр_4!C10:C762,1103,Пр_4!I10:I762)</f>
        <v>73700</v>
      </c>
    </row>
    <row r="106" spans="1:5" ht="48" hidden="1" thickBot="1">
      <c r="A106" s="295">
        <v>1104</v>
      </c>
      <c r="B106" s="298" t="s">
        <v>1327</v>
      </c>
      <c r="C106" s="302">
        <f>SUMIF(Пр_4!C10:C762,1104,Пр_4!G10:G762)</f>
        <v>0</v>
      </c>
      <c r="D106" s="302">
        <f>SUMIF(Пр_4!C10:C762,1104,Пр_4!H10:H762)</f>
        <v>0</v>
      </c>
      <c r="E106" s="302">
        <f>SUMIF(Пр_4!C10:C762,1104,Пр_4!I10:I762)</f>
        <v>0</v>
      </c>
    </row>
    <row r="107" spans="1:5" ht="32.25" hidden="1" thickBot="1">
      <c r="A107" s="295">
        <v>1105</v>
      </c>
      <c r="B107" s="298" t="s">
        <v>1328</v>
      </c>
      <c r="C107" s="302">
        <f>SUMIF(Пр_4!C10:C762,1105,Пр_4!G10:G762)</f>
        <v>0</v>
      </c>
      <c r="D107" s="302">
        <f>SUMIF(Пр_4!C10:C762,1105,Пр_4!H10:H762)</f>
        <v>0</v>
      </c>
      <c r="E107" s="302">
        <f>SUMIF(Пр_4!C10:C762,1105,Пр_4!I10:I762)</f>
        <v>0</v>
      </c>
    </row>
    <row r="108" spans="1:5" ht="32.25" thickBot="1">
      <c r="A108" s="292">
        <v>1200</v>
      </c>
      <c r="B108" s="303" t="s">
        <v>1329</v>
      </c>
      <c r="C108" s="300">
        <f>SUM(C109:C112)</f>
        <v>3615369</v>
      </c>
      <c r="D108" s="300">
        <f>SUM(D109:D112)</f>
        <v>0</v>
      </c>
      <c r="E108" s="300">
        <f>SUM(E109:E112)</f>
        <v>3615369</v>
      </c>
    </row>
    <row r="109" spans="1:5" ht="16.5" hidden="1" thickBot="1">
      <c r="A109" s="295">
        <v>1201</v>
      </c>
      <c r="B109" s="298" t="s">
        <v>341</v>
      </c>
      <c r="C109" s="302">
        <f>SUMIF(Пр_4!C10:C762,1201,Пр_4!G10:G762)</f>
        <v>0</v>
      </c>
      <c r="D109" s="302">
        <f>SUMIF(Пр_4!C10:C762,1201,Пр_4!H10:H762)</f>
        <v>0</v>
      </c>
      <c r="E109" s="302">
        <f>SUMIF(Пр_4!C10:C762,1201,Пр_4!I10:I762)</f>
        <v>0</v>
      </c>
    </row>
    <row r="110" spans="1:5" ht="32.25" thickBot="1">
      <c r="A110" s="295">
        <v>1202</v>
      </c>
      <c r="B110" s="298" t="s">
        <v>192</v>
      </c>
      <c r="C110" s="302">
        <f>SUMIF(Пр_4!C10:C762,1202,Пр_4!G10:G762)</f>
        <v>3615369</v>
      </c>
      <c r="D110" s="302">
        <f>SUMIF(Пр_4!C10:C762,1202,Пр_4!H10:H762)</f>
        <v>0</v>
      </c>
      <c r="E110" s="302">
        <f>SUMIF(Пр_4!C10:C762,1202,Пр_4!I10:I762)</f>
        <v>3615369</v>
      </c>
    </row>
    <row r="111" spans="1:5" ht="48" hidden="1" thickBot="1">
      <c r="A111" s="295">
        <v>1203</v>
      </c>
      <c r="B111" s="298" t="s">
        <v>1330</v>
      </c>
      <c r="C111" s="302">
        <f>SUMIF(Пр_4!C10:C762,1203,Пр_4!G10:G762)</f>
        <v>0</v>
      </c>
      <c r="D111" s="302">
        <f>SUMIF(Пр_4!C10:C762,1203,Пр_4!H10:H762)</f>
        <v>0</v>
      </c>
      <c r="E111" s="302">
        <f>SUMIF(Пр_4!C10:C762,1203,Пр_4!I10:I762)</f>
        <v>0</v>
      </c>
    </row>
    <row r="112" spans="1:5" ht="32.25" hidden="1" thickBot="1">
      <c r="A112" s="295">
        <v>1204</v>
      </c>
      <c r="B112" s="298" t="s">
        <v>1331</v>
      </c>
      <c r="C112" s="302">
        <f>SUMIF(Пр_4!C10:C762,1204,Пр_4!G10:G762)</f>
        <v>0</v>
      </c>
      <c r="D112" s="302">
        <f>SUMIF(Пр_4!C10:C762,1204,Пр_4!H10:H762)</f>
        <v>0</v>
      </c>
      <c r="E112" s="302">
        <f>SUMIF(Пр_4!C10:C762,1204,Пр_4!I10:I762)</f>
        <v>0</v>
      </c>
    </row>
    <row r="113" spans="1:5" ht="48" thickBot="1">
      <c r="A113" s="292">
        <v>1300</v>
      </c>
      <c r="B113" s="303" t="s">
        <v>1332</v>
      </c>
      <c r="C113" s="300">
        <f>SUM(C114:C115)</f>
        <v>1610000</v>
      </c>
      <c r="D113" s="300">
        <f>SUM(D114:D115)</f>
        <v>0</v>
      </c>
      <c r="E113" s="300">
        <f>SUM(E114:E115)</f>
        <v>1610000</v>
      </c>
    </row>
    <row r="114" spans="1:5" ht="48" thickBot="1">
      <c r="A114" s="295">
        <v>1301</v>
      </c>
      <c r="B114" s="298" t="s">
        <v>511</v>
      </c>
      <c r="C114" s="302">
        <f>SUMIF(Пр_4!C10:C762,1301,Пр_4!G10:G762)</f>
        <v>1610000</v>
      </c>
      <c r="D114" s="302">
        <f>SUMIF(Пр_4!C10:C762,1301,Пр_4!H10:H762)</f>
        <v>0</v>
      </c>
      <c r="E114" s="302">
        <f>SUMIF(Пр_4!C10:C762,1301,Пр_4!I10:I762)</f>
        <v>1610000</v>
      </c>
    </row>
    <row r="115" spans="1:5" ht="32.25" hidden="1" thickBot="1">
      <c r="A115" s="295">
        <v>1302</v>
      </c>
      <c r="B115" s="298" t="s">
        <v>860</v>
      </c>
      <c r="C115" s="302">
        <f>SUMIF(Пр_4!C10:C762,1302,Пр_4!G10:G762)</f>
        <v>0</v>
      </c>
      <c r="D115" s="302">
        <f>SUMIF(Пр_4!C10:C762,1302,Пр_4!H10:H762)</f>
        <v>0</v>
      </c>
      <c r="E115" s="302">
        <f>SUMIF(Пр_4!C10:C762,1302,Пр_4!I10:I762)</f>
        <v>0</v>
      </c>
    </row>
    <row r="116" spans="1:5" ht="111" thickBot="1">
      <c r="A116" s="292">
        <v>1400</v>
      </c>
      <c r="B116" s="303" t="s">
        <v>874</v>
      </c>
      <c r="C116" s="300">
        <f>SUM(C117:C119)</f>
        <v>5811000</v>
      </c>
      <c r="D116" s="300">
        <f>SUM(D117:D119)</f>
        <v>0</v>
      </c>
      <c r="E116" s="300">
        <f>SUM(E117:E119)</f>
        <v>5811000</v>
      </c>
    </row>
    <row r="117" spans="1:5" ht="63.75" thickBot="1">
      <c r="A117" s="295">
        <v>1401</v>
      </c>
      <c r="B117" s="298" t="s">
        <v>875</v>
      </c>
      <c r="C117" s="302">
        <f>SUMIF(Пр_4!C10:C762,1401,Пр_4!G10:G762)</f>
        <v>4014000</v>
      </c>
      <c r="D117" s="302">
        <f>SUMIF(Пр_4!C10:C762,1401,Пр_4!H10:H762)</f>
        <v>0</v>
      </c>
      <c r="E117" s="302">
        <f>SUMIF(Пр_4!C10:C762,1401,Пр_4!I10:I762)</f>
        <v>4014000</v>
      </c>
    </row>
    <row r="118" spans="1:5" ht="16.5" thickBot="1">
      <c r="A118" s="295">
        <v>1402</v>
      </c>
      <c r="B118" s="298" t="s">
        <v>876</v>
      </c>
      <c r="C118" s="302">
        <f>SUMIF(Пр_4!C10:C762,1402,Пр_4!G10:G762)</f>
        <v>1797000</v>
      </c>
      <c r="D118" s="302">
        <f>SUMIF(Пр_4!C10:C762,1402,Пр_4!H10:H762)</f>
        <v>0</v>
      </c>
      <c r="E118" s="302">
        <f>SUMIF(Пр_4!C10:C762,1402,Пр_4!I10:I762)</f>
        <v>1797000</v>
      </c>
    </row>
    <row r="119" spans="1:5" ht="63.75" hidden="1" thickBot="1">
      <c r="A119" s="295">
        <v>1403</v>
      </c>
      <c r="B119" s="298" t="s">
        <v>877</v>
      </c>
      <c r="C119" s="302">
        <f>SUMIF(Пр_4!C10:C762,1403,Пр_4!G10:G762)</f>
        <v>0</v>
      </c>
      <c r="D119" s="302">
        <f>SUMIF(Пр_4!C10:C762,1403,Пр_4!H10:H762)</f>
        <v>0</v>
      </c>
      <c r="E119" s="302">
        <f>SUMIF(Пр_4!C10:C762,1403,Пр_4!I10:I762)</f>
        <v>0</v>
      </c>
    </row>
    <row r="120" spans="1:5" ht="16.5" thickBot="1">
      <c r="A120" s="427" t="s">
        <v>1130</v>
      </c>
      <c r="B120" s="427"/>
      <c r="C120" s="294">
        <f>C9+C22+C32+C45+C58+C64+C70+C80+C85+C95+C102+C108+C113+C116</f>
        <v>1801771742.6399999</v>
      </c>
      <c r="D120" s="294">
        <f>D9+D22+D32+D45+D58+D64+D70+D80+D95+D102+D108+D113+D116</f>
        <v>-17339476.359999999</v>
      </c>
      <c r="E120" s="294">
        <f>E9+E22+E32+E45+E58+E64+E70+E80+E85+E95+E102+E108+E113+E116</f>
        <v>1784432266.28</v>
      </c>
    </row>
    <row r="121" spans="1:5" ht="16.5" thickBot="1">
      <c r="A121" s="427" t="s">
        <v>1050</v>
      </c>
      <c r="B121" s="427"/>
      <c r="C121" s="307">
        <f>Пр1!I149-Пр_2!C120</f>
        <v>-50301322.739999771</v>
      </c>
      <c r="D121" s="307">
        <f>Пр1!J149-Пр_2!D120</f>
        <v>-299999.97000000253</v>
      </c>
      <c r="E121" s="307">
        <f>Пр1!K149-Пр_2!E120</f>
        <v>-50601322.7099998</v>
      </c>
    </row>
  </sheetData>
  <sheetProtection formatCells="0"/>
  <customSheetViews>
    <customSheetView guid="{91923F83-3A6B-4204-9891-178562AB34F1}" showPageBreaks="1" fitToPage="1" printArea="1" hiddenRows="1" hiddenColumns="1" showRuler="0" topLeftCell="A42">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1"/>
      <headerFooter alignWithMargins="0">
        <oddFooter>&amp;C&amp;P</oddFooter>
      </headerFooter>
    </customSheetView>
    <customSheetView guid="{66DBF0AC-E9A0-482F-9E41-1928B6CA83DC}" showPageBreaks="1" fitToPage="1" hiddenColumns="1" showRuler="0" topLeftCell="B43">
      <selection activeCell="H55" sqref="H55"/>
      <rowBreaks count="2" manualBreakCount="2">
        <brk id="44" max="2" man="1"/>
        <brk id="56" max="16383" man="1"/>
      </rowBreaks>
      <pageMargins left="0.59055118110236227" right="0.19685039370078741" top="0.39370078740157483" bottom="0.78740157480314965" header="0.51181102362204722" footer="0.51181102362204722"/>
      <pageSetup paperSize="9" scale="76" orientation="portrait" r:id="rId2"/>
      <headerFooter alignWithMargins="0">
        <oddFooter>&amp;C&amp;P</oddFooter>
      </headerFooter>
    </customSheetView>
    <customSheetView guid="{A5E41FC9-89B1-40D2-B587-57BC4C5E4715}" showPageBreaks="1" fitToPage="1" printArea="1" hiddenRows="1" hiddenColumns="1" showRuler="0" topLeftCell="A35">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3"/>
      <headerFooter alignWithMargins="0">
        <oddFooter>&amp;C&amp;P</oddFooter>
      </headerFooter>
    </customSheetView>
    <customSheetView guid="{F3607253-7816-4CF7-9CFD-2ADFFAD916F8}" fitToPage="1" hiddenRows="1" hiddenColumns="1" showRuler="0" topLeftCell="A17">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4"/>
      <headerFooter alignWithMargins="0">
        <oddFooter>&amp;C&amp;P</oddFooter>
      </headerFooter>
    </customSheetView>
    <customSheetView guid="{B3311466-F005-49F1-A579-3E6CECE305A8}" showPageBreaks="1" fitToPage="1" printArea="1" hiddenRows="1" hiddenColumns="1" showRuler="0" topLeftCell="A14">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5"/>
      <headerFooter alignWithMargins="0">
        <oddFooter>&amp;C&amp;P</oddFooter>
      </headerFooter>
    </customSheetView>
    <customSheetView guid="{E5662E33-D4B0-43EA-9B06-C8DA9DFDBEF6}" showPageBreaks="1" fitToPage="1" printArea="1" hiddenRows="1" hiddenColumns="1" showRuler="0">
      <selection activeCell="C56" sqref="C56"/>
      <rowBreaks count="1" manualBreakCount="1">
        <brk id="44" max="2" man="1"/>
      </rowBreaks>
      <pageMargins left="0.59055118110236227" right="0.19685039370078741" top="0.39370078740157483" bottom="0.78740157480314965" header="0.51181102362204722" footer="0.51181102362204722"/>
      <pageSetup paperSize="9" scale="77" orientation="portrait" r:id="rId6"/>
      <headerFooter alignWithMargins="0">
        <oddFooter>&amp;C&amp;P</oddFooter>
      </headerFooter>
    </customSheetView>
  </customSheetViews>
  <mergeCells count="7">
    <mergeCell ref="A121:B121"/>
    <mergeCell ref="A120:B120"/>
    <mergeCell ref="A1:E1"/>
    <mergeCell ref="A2:E2"/>
    <mergeCell ref="A3:E3"/>
    <mergeCell ref="A4:E4"/>
    <mergeCell ref="A6:E6"/>
  </mergeCells>
  <phoneticPr fontId="0" type="noConversion"/>
  <pageMargins left="0.70866141732283472" right="0.70866141732283472" top="0.74803149606299213" bottom="0.74803149606299213" header="0.31496062992125984" footer="0.31496062992125984"/>
  <pageSetup paperSize="9" scale="91" fitToHeight="0" orientation="portrait" r:id="rId7"/>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codeName="Лист23"/>
  <dimension ref="A1:D17"/>
  <sheetViews>
    <sheetView view="pageBreakPreview" topLeftCell="A10" zoomScaleSheetLayoutView="100" workbookViewId="0">
      <selection activeCell="C11" sqref="C11"/>
    </sheetView>
  </sheetViews>
  <sheetFormatPr defaultColWidth="9.140625" defaultRowHeight="12.75"/>
  <cols>
    <col min="1" max="1" width="18.28515625" style="146" customWidth="1"/>
    <col min="2" max="2" width="30.7109375" style="146" customWidth="1"/>
    <col min="3" max="3" width="20.28515625" style="146" customWidth="1"/>
    <col min="4" max="4" width="19.5703125" style="146" customWidth="1"/>
    <col min="5" max="16384" width="9.140625" style="146"/>
  </cols>
  <sheetData>
    <row r="1" spans="1:4" ht="18.75">
      <c r="A1" s="520" t="s">
        <v>2207</v>
      </c>
      <c r="B1" s="521"/>
      <c r="C1" s="521"/>
      <c r="D1" s="522"/>
    </row>
    <row r="2" spans="1:4" ht="18.75">
      <c r="A2" s="520" t="s">
        <v>1051</v>
      </c>
      <c r="B2" s="521"/>
      <c r="C2" s="521"/>
      <c r="D2" s="521"/>
    </row>
    <row r="3" spans="1:4" ht="18.75">
      <c r="A3" s="520" t="s">
        <v>700</v>
      </c>
      <c r="B3" s="521"/>
      <c r="C3" s="521"/>
      <c r="D3" s="522"/>
    </row>
    <row r="4" spans="1:4" ht="18.75">
      <c r="A4" s="520" t="s">
        <v>2219</v>
      </c>
      <c r="B4" s="521"/>
      <c r="C4" s="521"/>
      <c r="D4" s="522"/>
    </row>
    <row r="5" spans="1:4" ht="18.75">
      <c r="A5" s="149"/>
      <c r="B5"/>
      <c r="C5"/>
      <c r="D5"/>
    </row>
    <row r="6" spans="1:4" ht="36.75" customHeight="1">
      <c r="A6" s="523" t="s">
        <v>2050</v>
      </c>
      <c r="B6" s="523"/>
      <c r="C6" s="523"/>
      <c r="D6" s="522"/>
    </row>
    <row r="7" spans="1:4" ht="19.5" thickBot="1">
      <c r="A7" s="152"/>
      <c r="B7" s="153"/>
      <c r="C7" s="152"/>
      <c r="D7" s="152"/>
    </row>
    <row r="8" spans="1:4" ht="15.75">
      <c r="A8" s="457" t="s">
        <v>2047</v>
      </c>
      <c r="B8" s="457" t="s">
        <v>952</v>
      </c>
      <c r="C8" s="154" t="s">
        <v>24</v>
      </c>
      <c r="D8" s="154" t="s">
        <v>2051</v>
      </c>
    </row>
    <row r="9" spans="1:4" ht="30" customHeight="1" thickBot="1">
      <c r="A9" s="458"/>
      <c r="B9" s="458"/>
      <c r="C9" s="155" t="s">
        <v>2048</v>
      </c>
      <c r="D9" s="155" t="s">
        <v>2048</v>
      </c>
    </row>
    <row r="10" spans="1:4" ht="32.25" thickBot="1">
      <c r="A10" s="202">
        <v>953</v>
      </c>
      <c r="B10" s="156" t="s">
        <v>1018</v>
      </c>
      <c r="C10" s="157">
        <f>C11</f>
        <v>792137427</v>
      </c>
      <c r="D10" s="157">
        <f>D11</f>
        <v>854898899</v>
      </c>
    </row>
    <row r="11" spans="1:4" ht="79.5" thickBot="1">
      <c r="A11" s="158"/>
      <c r="B11" s="199" t="s">
        <v>2200</v>
      </c>
      <c r="C11" s="159">
        <v>792137427</v>
      </c>
      <c r="D11" s="159">
        <v>854898899</v>
      </c>
    </row>
    <row r="12" spans="1:4" ht="48" thickBot="1">
      <c r="A12" s="201">
        <v>954</v>
      </c>
      <c r="B12" s="160" t="s">
        <v>1190</v>
      </c>
      <c r="C12" s="161">
        <f>C13</f>
        <v>269632006</v>
      </c>
      <c r="D12" s="161">
        <f>D13</f>
        <v>289328704</v>
      </c>
    </row>
    <row r="13" spans="1:4" ht="79.5" thickBot="1">
      <c r="A13" s="162"/>
      <c r="B13" s="163" t="s">
        <v>2201</v>
      </c>
      <c r="C13" s="164">
        <v>269632006</v>
      </c>
      <c r="D13" s="164">
        <v>289328704</v>
      </c>
    </row>
    <row r="14" spans="1:4" ht="63.75" thickBot="1">
      <c r="A14" s="165">
        <v>956</v>
      </c>
      <c r="B14" s="166" t="s">
        <v>1238</v>
      </c>
      <c r="C14" s="150">
        <f>C15+C16</f>
        <v>116923463</v>
      </c>
      <c r="D14" s="150">
        <f>D15+D16</f>
        <v>108467532</v>
      </c>
    </row>
    <row r="15" spans="1:4" ht="79.5" thickBot="1">
      <c r="A15" s="162"/>
      <c r="B15" s="163" t="s">
        <v>2202</v>
      </c>
      <c r="C15" s="164">
        <v>103088178</v>
      </c>
      <c r="D15" s="164">
        <v>94368983</v>
      </c>
    </row>
    <row r="16" spans="1:4" ht="48" thickBot="1">
      <c r="A16" s="165"/>
      <c r="B16" s="163" t="s">
        <v>2199</v>
      </c>
      <c r="C16" s="164">
        <v>13835285</v>
      </c>
      <c r="D16" s="164">
        <v>14098549</v>
      </c>
    </row>
    <row r="17" spans="1:4" ht="16.5" thickBot="1">
      <c r="A17" s="532" t="s">
        <v>1130</v>
      </c>
      <c r="B17" s="533"/>
      <c r="C17" s="150">
        <f>C14+C12+C10</f>
        <v>1178692896</v>
      </c>
      <c r="D17" s="150">
        <f>D14+D12+D10</f>
        <v>1252695135</v>
      </c>
    </row>
  </sheetData>
  <mergeCells count="8">
    <mergeCell ref="A1:D1"/>
    <mergeCell ref="A2:D2"/>
    <mergeCell ref="A3:D3"/>
    <mergeCell ref="A17:B17"/>
    <mergeCell ref="A4:D4"/>
    <mergeCell ref="A6:D6"/>
    <mergeCell ref="A8:A9"/>
    <mergeCell ref="B8:B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codeName="Лист24">
    <pageSetUpPr fitToPage="1"/>
  </sheetPr>
  <dimension ref="A1:K148"/>
  <sheetViews>
    <sheetView view="pageBreakPreview" zoomScaleSheetLayoutView="100" workbookViewId="0">
      <selection activeCell="A10" sqref="A10:J10"/>
    </sheetView>
  </sheetViews>
  <sheetFormatPr defaultRowHeight="12.75"/>
  <cols>
    <col min="7" max="7" width="24.140625" customWidth="1"/>
    <col min="9" max="9" width="14.7109375" customWidth="1"/>
    <col min="10" max="10" width="9.140625" hidden="1" customWidth="1"/>
  </cols>
  <sheetData>
    <row r="1" spans="1:10" ht="15.75">
      <c r="A1" s="35"/>
      <c r="B1" s="35"/>
      <c r="C1" s="35"/>
      <c r="D1" s="35"/>
      <c r="E1" s="35"/>
      <c r="F1" s="35"/>
      <c r="G1" s="454" t="s">
        <v>1572</v>
      </c>
      <c r="H1" s="454"/>
      <c r="I1" s="454"/>
      <c r="J1" s="454"/>
    </row>
    <row r="2" spans="1:10" ht="15.75">
      <c r="A2" s="35"/>
      <c r="B2" s="35"/>
      <c r="C2" s="35"/>
      <c r="D2" s="35"/>
      <c r="E2" s="35"/>
      <c r="F2" s="35"/>
      <c r="G2" s="454" t="s">
        <v>172</v>
      </c>
      <c r="H2" s="454"/>
      <c r="I2" s="454"/>
      <c r="J2" s="454"/>
    </row>
    <row r="3" spans="1:10" ht="15.75">
      <c r="A3" s="35"/>
      <c r="B3" s="35"/>
      <c r="C3" s="35"/>
      <c r="D3" s="35"/>
      <c r="E3" s="35"/>
      <c r="F3" s="35"/>
      <c r="G3" s="454" t="s">
        <v>700</v>
      </c>
      <c r="H3" s="454"/>
      <c r="I3" s="454"/>
      <c r="J3" s="454"/>
    </row>
    <row r="4" spans="1:10" ht="15.75">
      <c r="A4" s="35"/>
      <c r="B4" s="35"/>
      <c r="C4" s="35"/>
      <c r="D4" s="35"/>
      <c r="E4" s="35"/>
      <c r="F4" s="35"/>
      <c r="G4" s="454" t="s">
        <v>1258</v>
      </c>
      <c r="H4" s="454"/>
      <c r="I4" s="454"/>
      <c r="J4" s="454"/>
    </row>
    <row r="5" spans="1:10" ht="15.75">
      <c r="A5" s="35"/>
      <c r="B5" s="35"/>
      <c r="C5" s="35"/>
      <c r="D5" s="35"/>
      <c r="E5" s="35"/>
      <c r="F5" s="35"/>
      <c r="G5" s="35"/>
      <c r="H5" s="35"/>
      <c r="I5" s="35"/>
      <c r="J5" s="111"/>
    </row>
    <row r="6" spans="1:10" ht="42" customHeight="1">
      <c r="A6" s="433" t="s">
        <v>23</v>
      </c>
      <c r="B6" s="433"/>
      <c r="C6" s="433"/>
      <c r="D6" s="433"/>
      <c r="E6" s="433"/>
      <c r="F6" s="433"/>
      <c r="G6" s="433"/>
      <c r="H6" s="433"/>
      <c r="I6" s="433"/>
      <c r="J6" s="433"/>
    </row>
    <row r="7" spans="1:10" ht="15.75">
      <c r="A7" s="112"/>
      <c r="B7" s="35"/>
      <c r="C7" s="35"/>
      <c r="D7" s="35"/>
      <c r="E7" s="35"/>
      <c r="F7" s="35"/>
      <c r="G7" s="35"/>
      <c r="H7" s="35"/>
      <c r="I7" s="35"/>
      <c r="J7" s="35"/>
    </row>
    <row r="8" spans="1:10" ht="45" customHeight="1">
      <c r="A8" s="535" t="s">
        <v>99</v>
      </c>
      <c r="B8" s="535"/>
      <c r="C8" s="535"/>
      <c r="D8" s="535"/>
      <c r="E8" s="535"/>
      <c r="F8" s="535"/>
      <c r="G8" s="535"/>
      <c r="H8" s="535"/>
      <c r="I8" s="535"/>
      <c r="J8" s="535"/>
    </row>
    <row r="9" spans="1:10" ht="45" customHeight="1">
      <c r="A9" s="536" t="s">
        <v>482</v>
      </c>
      <c r="B9" s="536"/>
      <c r="C9" s="536"/>
      <c r="D9" s="536"/>
      <c r="E9" s="536"/>
      <c r="F9" s="536"/>
      <c r="G9" s="536"/>
      <c r="H9" s="536"/>
      <c r="I9" s="536"/>
      <c r="J9" s="536"/>
    </row>
    <row r="10" spans="1:10" ht="71.25" customHeight="1">
      <c r="A10" s="535"/>
      <c r="B10" s="535"/>
      <c r="C10" s="535"/>
      <c r="D10" s="535"/>
      <c r="E10" s="535"/>
      <c r="F10" s="535"/>
      <c r="G10" s="535"/>
      <c r="H10" s="535"/>
      <c r="I10" s="535"/>
      <c r="J10" s="535"/>
    </row>
    <row r="11" spans="1:10" ht="46.5" hidden="1" customHeight="1">
      <c r="A11" s="536"/>
      <c r="B11" s="536"/>
      <c r="C11" s="536"/>
      <c r="D11" s="536"/>
      <c r="E11" s="536"/>
      <c r="F11" s="536"/>
      <c r="G11" s="536"/>
      <c r="H11" s="536"/>
      <c r="I11" s="536"/>
      <c r="J11" s="536"/>
    </row>
    <row r="12" spans="1:10" ht="41.25" hidden="1" customHeight="1">
      <c r="A12" s="535"/>
      <c r="B12" s="535"/>
      <c r="C12" s="535"/>
      <c r="D12" s="535"/>
      <c r="E12" s="535"/>
      <c r="F12" s="535"/>
      <c r="G12" s="535"/>
      <c r="H12" s="535"/>
      <c r="I12" s="535"/>
      <c r="J12" s="535"/>
    </row>
    <row r="13" spans="1:10" ht="18" hidden="1" customHeight="1">
      <c r="C13" s="35"/>
    </row>
    <row r="14" spans="1:10" ht="78.75" hidden="1" customHeight="1">
      <c r="A14" s="535"/>
      <c r="B14" s="535"/>
      <c r="C14" s="535"/>
      <c r="D14" s="535"/>
      <c r="E14" s="535"/>
      <c r="F14" s="535"/>
      <c r="G14" s="535"/>
      <c r="H14" s="535"/>
      <c r="I14" s="535"/>
      <c r="J14" s="535"/>
    </row>
    <row r="15" spans="1:10" ht="25.5" hidden="1" customHeight="1">
      <c r="C15" s="35"/>
    </row>
    <row r="16" spans="1:10" hidden="1"/>
    <row r="17" spans="1:11" ht="57.75" hidden="1" customHeight="1">
      <c r="A17" s="535"/>
      <c r="B17" s="535"/>
      <c r="C17" s="535"/>
      <c r="D17" s="535"/>
      <c r="E17" s="535"/>
      <c r="F17" s="535"/>
      <c r="G17" s="535"/>
      <c r="H17" s="535"/>
      <c r="I17" s="535"/>
      <c r="J17" s="535"/>
    </row>
    <row r="18" spans="1:11" hidden="1">
      <c r="C18" s="35"/>
    </row>
    <row r="19" spans="1:11" hidden="1"/>
    <row r="20" spans="1:11" ht="58.5" hidden="1" customHeight="1">
      <c r="A20" s="535"/>
      <c r="B20" s="535"/>
      <c r="C20" s="535"/>
      <c r="D20" s="535"/>
      <c r="E20" s="535"/>
      <c r="F20" s="535"/>
      <c r="G20" s="535"/>
      <c r="H20" s="535"/>
      <c r="I20" s="535"/>
      <c r="J20" s="535"/>
    </row>
    <row r="21" spans="1:11" hidden="1">
      <c r="C21" s="35"/>
    </row>
    <row r="22" spans="1:11" hidden="1"/>
    <row r="23" spans="1:11" hidden="1"/>
    <row r="24" spans="1:11" hidden="1"/>
    <row r="25" spans="1:11" hidden="1"/>
    <row r="26" spans="1:11" hidden="1"/>
    <row r="27" spans="1:11" hidden="1"/>
    <row r="28" spans="1:11" hidden="1"/>
    <row r="29" spans="1:11" hidden="1"/>
    <row r="30" spans="1:11" hidden="1">
      <c r="I30" s="94"/>
      <c r="K30" s="94"/>
    </row>
    <row r="31" spans="1:11" hidden="1">
      <c r="A31" s="136"/>
      <c r="B31" s="136"/>
      <c r="C31" s="136"/>
      <c r="D31" s="136"/>
      <c r="I31" s="94"/>
      <c r="J31" s="94"/>
      <c r="K31" s="94"/>
    </row>
    <row r="32" spans="1:11" hidden="1">
      <c r="A32" s="136"/>
      <c r="B32" s="136"/>
      <c r="C32" s="136"/>
      <c r="D32" s="136"/>
      <c r="I32" s="94"/>
      <c r="J32" s="94"/>
      <c r="K32" s="94"/>
    </row>
    <row r="33" spans="1:11" hidden="1">
      <c r="A33" s="136"/>
      <c r="B33" s="136"/>
      <c r="C33" s="136"/>
      <c r="D33" s="136"/>
    </row>
    <row r="34" spans="1:11" ht="15.75" hidden="1">
      <c r="A34" s="136"/>
      <c r="B34" s="139"/>
      <c r="C34" s="140"/>
      <c r="D34" s="140"/>
      <c r="K34" s="119"/>
    </row>
    <row r="35" spans="1:11" ht="15.75" hidden="1">
      <c r="A35" s="534"/>
      <c r="B35" s="534"/>
      <c r="C35" s="141"/>
      <c r="D35" s="141"/>
      <c r="K35" s="119"/>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G1:J1"/>
    <mergeCell ref="G2:J2"/>
    <mergeCell ref="G3:J3"/>
    <mergeCell ref="G4:J4"/>
    <mergeCell ref="A35:B35"/>
    <mergeCell ref="A6:J6"/>
    <mergeCell ref="A8:J8"/>
    <mergeCell ref="A20:J20"/>
    <mergeCell ref="A9:J9"/>
    <mergeCell ref="A10:J10"/>
    <mergeCell ref="A14:J14"/>
    <mergeCell ref="A17:J17"/>
    <mergeCell ref="A11:J11"/>
    <mergeCell ref="A12:J12"/>
  </mergeCells>
  <phoneticPr fontId="33" type="noConversion"/>
  <pageMargins left="0.78740157480314965" right="0.39370078740157483" top="0.39370078740157483" bottom="0.39370078740157483" header="0.19685039370078741" footer="0.19685039370078741"/>
  <pageSetup paperSize="9" scale="89" fitToHeight="0" orientation="portrait"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codeName="Лист25"/>
  <dimension ref="A1:B1167"/>
  <sheetViews>
    <sheetView view="pageBreakPreview" topLeftCell="A1132" workbookViewId="0">
      <selection activeCell="B1161" sqref="B1161"/>
    </sheetView>
  </sheetViews>
  <sheetFormatPr defaultRowHeight="12.75"/>
  <cols>
    <col min="1" max="1" width="6.5703125" style="38" customWidth="1"/>
    <col min="2" max="2" width="85.7109375" style="35" customWidth="1"/>
  </cols>
  <sheetData>
    <row r="1" spans="1:2" hidden="1">
      <c r="A1" s="38" t="s">
        <v>1127</v>
      </c>
      <c r="B1" s="35" t="s">
        <v>1128</v>
      </c>
    </row>
    <row r="2" spans="1:2" hidden="1">
      <c r="A2" s="39" t="s">
        <v>803</v>
      </c>
      <c r="B2" s="37" t="s">
        <v>230</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2:2" hidden="1"/>
    <row r="162" spans="2:2" hidden="1"/>
    <row r="163" spans="2:2" hidden="1"/>
    <row r="164" spans="2:2" hidden="1"/>
    <row r="165" spans="2:2" hidden="1"/>
    <row r="166" spans="2:2" hidden="1"/>
    <row r="167" spans="2:2" hidden="1"/>
    <row r="168" spans="2:2" hidden="1"/>
    <row r="169" spans="2:2" hidden="1"/>
    <row r="170" spans="2:2" hidden="1">
      <c r="B170"/>
    </row>
    <row r="171" spans="2:2" hidden="1"/>
    <row r="172" spans="2:2" hidden="1"/>
    <row r="173" spans="2:2" hidden="1"/>
    <row r="174" spans="2:2" hidden="1"/>
    <row r="175" spans="2:2" hidden="1"/>
    <row r="176" spans="2:2"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40">
        <v>0</v>
      </c>
      <c r="B1000" s="36" t="s">
        <v>263</v>
      </c>
    </row>
    <row r="1001" spans="1:2">
      <c r="A1001" s="40">
        <v>4</v>
      </c>
      <c r="B1001" s="36" t="s">
        <v>1124</v>
      </c>
    </row>
    <row r="1002" spans="1:2">
      <c r="A1002" s="40">
        <v>20</v>
      </c>
      <c r="B1002" s="36" t="s">
        <v>1591</v>
      </c>
    </row>
    <row r="1003" spans="1:2">
      <c r="A1003" s="40">
        <v>22</v>
      </c>
      <c r="B1003" s="36" t="s">
        <v>1592</v>
      </c>
    </row>
    <row r="1004" spans="1:2">
      <c r="A1004" s="40">
        <v>29</v>
      </c>
      <c r="B1004" s="36" t="s">
        <v>1593</v>
      </c>
    </row>
    <row r="1005" spans="1:2">
      <c r="A1005" s="40">
        <v>48</v>
      </c>
      <c r="B1005" s="36" t="s">
        <v>1125</v>
      </c>
    </row>
    <row r="1006" spans="1:2">
      <c r="A1006" s="40">
        <v>50</v>
      </c>
      <c r="B1006" s="36" t="s">
        <v>1231</v>
      </c>
    </row>
    <row r="1007" spans="1:2">
      <c r="A1007" s="40">
        <v>53</v>
      </c>
      <c r="B1007" s="36" t="s">
        <v>1126</v>
      </c>
    </row>
    <row r="1008" spans="1:2">
      <c r="A1008" s="40">
        <v>54</v>
      </c>
      <c r="B1008" s="36" t="s">
        <v>1232</v>
      </c>
    </row>
    <row r="1009" spans="1:2">
      <c r="A1009" s="40">
        <v>56</v>
      </c>
      <c r="B1009" s="36" t="s">
        <v>1233</v>
      </c>
    </row>
    <row r="1010" spans="1:2">
      <c r="A1010" s="40">
        <v>58</v>
      </c>
      <c r="B1010" s="36" t="s">
        <v>1599</v>
      </c>
    </row>
    <row r="1011" spans="1:2">
      <c r="A1011" s="40">
        <v>70</v>
      </c>
      <c r="B1011" s="36" t="s">
        <v>1600</v>
      </c>
    </row>
    <row r="1012" spans="1:2">
      <c r="A1012" s="40">
        <v>71</v>
      </c>
      <c r="B1012" s="36" t="s">
        <v>1033</v>
      </c>
    </row>
    <row r="1013" spans="1:2">
      <c r="A1013" s="40">
        <v>72</v>
      </c>
      <c r="B1013" s="36" t="s">
        <v>1887</v>
      </c>
    </row>
    <row r="1014" spans="1:2">
      <c r="A1014" s="40">
        <v>75</v>
      </c>
      <c r="B1014" s="36" t="s">
        <v>48</v>
      </c>
    </row>
    <row r="1015" spans="1:2">
      <c r="A1015" s="40">
        <v>76</v>
      </c>
      <c r="B1015" s="36" t="s">
        <v>1939</v>
      </c>
    </row>
    <row r="1016" spans="1:2">
      <c r="A1016" s="40">
        <v>78</v>
      </c>
      <c r="B1016" s="36" t="s">
        <v>1940</v>
      </c>
    </row>
    <row r="1017" spans="1:2">
      <c r="A1017" s="40">
        <v>81</v>
      </c>
      <c r="B1017" s="36" t="s">
        <v>1888</v>
      </c>
    </row>
    <row r="1018" spans="1:2">
      <c r="A1018" s="40">
        <v>82</v>
      </c>
      <c r="B1018" s="36" t="s">
        <v>262</v>
      </c>
    </row>
    <row r="1019" spans="1:2">
      <c r="A1019" s="40">
        <v>83</v>
      </c>
      <c r="B1019" s="36" t="s">
        <v>518</v>
      </c>
    </row>
    <row r="1020" spans="1:2">
      <c r="A1020" s="40">
        <v>85</v>
      </c>
      <c r="B1020" s="36" t="s">
        <v>637</v>
      </c>
    </row>
    <row r="1021" spans="1:2">
      <c r="A1021" s="40">
        <v>89</v>
      </c>
      <c r="B1021" s="36" t="s">
        <v>209</v>
      </c>
    </row>
    <row r="1022" spans="1:2">
      <c r="A1022" s="40">
        <v>92</v>
      </c>
      <c r="B1022" s="36" t="s">
        <v>49</v>
      </c>
    </row>
    <row r="1023" spans="1:2">
      <c r="A1023" s="40">
        <v>99</v>
      </c>
      <c r="B1023" s="36" t="s">
        <v>1310</v>
      </c>
    </row>
    <row r="1024" spans="1:2">
      <c r="A1024" s="40">
        <v>104</v>
      </c>
      <c r="B1024" s="36" t="s">
        <v>127</v>
      </c>
    </row>
    <row r="1025" spans="1:2">
      <c r="A1025" s="40">
        <v>125</v>
      </c>
      <c r="B1025" s="36" t="s">
        <v>477</v>
      </c>
    </row>
    <row r="1026" spans="1:2">
      <c r="A1026" s="40">
        <v>126</v>
      </c>
      <c r="B1026" s="36" t="s">
        <v>800</v>
      </c>
    </row>
    <row r="1027" spans="1:2">
      <c r="A1027" s="40">
        <v>128</v>
      </c>
      <c r="B1027" s="36" t="s">
        <v>801</v>
      </c>
    </row>
    <row r="1028" spans="1:2">
      <c r="A1028" s="40">
        <v>129</v>
      </c>
      <c r="B1028" s="36" t="s">
        <v>918</v>
      </c>
    </row>
    <row r="1029" spans="1:2" ht="25.5">
      <c r="A1029" s="40">
        <v>133</v>
      </c>
      <c r="B1029" s="36" t="s">
        <v>374</v>
      </c>
    </row>
    <row r="1030" spans="1:2" ht="25.5">
      <c r="A1030" s="40">
        <v>134</v>
      </c>
      <c r="B1030" s="36" t="s">
        <v>766</v>
      </c>
    </row>
    <row r="1031" spans="1:2">
      <c r="A1031" s="40">
        <v>136</v>
      </c>
      <c r="B1031" s="36" t="s">
        <v>638</v>
      </c>
    </row>
    <row r="1032" spans="1:2">
      <c r="A1032" s="40">
        <v>139</v>
      </c>
      <c r="B1032" s="36" t="s">
        <v>639</v>
      </c>
    </row>
    <row r="1033" spans="1:2">
      <c r="A1033" s="40">
        <v>140</v>
      </c>
      <c r="B1033" s="36" t="s">
        <v>220</v>
      </c>
    </row>
    <row r="1034" spans="1:2">
      <c r="A1034" s="40">
        <v>141</v>
      </c>
      <c r="B1034" s="36" t="s">
        <v>221</v>
      </c>
    </row>
    <row r="1035" spans="1:2">
      <c r="A1035" s="40">
        <v>142</v>
      </c>
      <c r="B1035" s="36" t="s">
        <v>828</v>
      </c>
    </row>
    <row r="1036" spans="1:2">
      <c r="A1036" s="40">
        <v>148</v>
      </c>
      <c r="B1036" s="36" t="s">
        <v>435</v>
      </c>
    </row>
    <row r="1037" spans="1:2">
      <c r="A1037" s="40">
        <v>149</v>
      </c>
      <c r="B1037" s="36" t="s">
        <v>436</v>
      </c>
    </row>
    <row r="1038" spans="1:2">
      <c r="A1038" s="40">
        <v>152</v>
      </c>
      <c r="B1038" s="36" t="s">
        <v>1247</v>
      </c>
    </row>
    <row r="1039" spans="1:2">
      <c r="A1039" s="40">
        <v>153</v>
      </c>
      <c r="B1039" s="36" t="s">
        <v>439</v>
      </c>
    </row>
    <row r="1040" spans="1:2">
      <c r="A1040" s="40">
        <v>154</v>
      </c>
      <c r="B1040" s="36" t="s">
        <v>1612</v>
      </c>
    </row>
    <row r="1041" spans="1:2">
      <c r="A1041" s="40">
        <v>156</v>
      </c>
      <c r="B1041" s="36" t="s">
        <v>1668</v>
      </c>
    </row>
    <row r="1042" spans="1:2">
      <c r="A1042" s="40">
        <v>157</v>
      </c>
      <c r="B1042" s="36" t="s">
        <v>1120</v>
      </c>
    </row>
    <row r="1043" spans="1:2">
      <c r="A1043" s="40">
        <v>158</v>
      </c>
      <c r="B1043" s="36" t="s">
        <v>521</v>
      </c>
    </row>
    <row r="1044" spans="1:2">
      <c r="A1044" s="40">
        <v>159</v>
      </c>
      <c r="B1044" s="36" t="s">
        <v>138</v>
      </c>
    </row>
    <row r="1045" spans="1:2">
      <c r="A1045" s="40">
        <v>160</v>
      </c>
      <c r="B1045" s="36" t="s">
        <v>1179</v>
      </c>
    </row>
    <row r="1046" spans="1:2">
      <c r="A1046" s="40">
        <v>162</v>
      </c>
      <c r="B1046" s="36" t="s">
        <v>1181</v>
      </c>
    </row>
    <row r="1047" spans="1:2">
      <c r="A1047" s="40">
        <v>163</v>
      </c>
      <c r="B1047" s="36" t="s">
        <v>1522</v>
      </c>
    </row>
    <row r="1048" spans="1:2">
      <c r="A1048" s="40">
        <v>164</v>
      </c>
      <c r="B1048" s="36" t="s">
        <v>776</v>
      </c>
    </row>
    <row r="1049" spans="1:2">
      <c r="A1049" s="40">
        <v>165</v>
      </c>
      <c r="B1049" s="36" t="s">
        <v>321</v>
      </c>
    </row>
    <row r="1050" spans="1:2" ht="25.5">
      <c r="A1050" s="40">
        <v>166</v>
      </c>
      <c r="B1050" s="36" t="s">
        <v>87</v>
      </c>
    </row>
    <row r="1051" spans="1:2" ht="25.5">
      <c r="A1051" s="40">
        <v>177</v>
      </c>
      <c r="B1051" s="36" t="s">
        <v>618</v>
      </c>
    </row>
    <row r="1052" spans="1:2">
      <c r="A1052" s="40">
        <v>181</v>
      </c>
      <c r="B1052" s="36" t="s">
        <v>619</v>
      </c>
    </row>
    <row r="1053" spans="1:2">
      <c r="A1053" s="40">
        <v>182</v>
      </c>
      <c r="B1053" s="36" t="s">
        <v>620</v>
      </c>
    </row>
    <row r="1054" spans="1:2">
      <c r="A1054" s="40">
        <v>184</v>
      </c>
      <c r="B1054" s="36" t="s">
        <v>1184</v>
      </c>
    </row>
    <row r="1055" spans="1:2">
      <c r="A1055" s="40">
        <v>186</v>
      </c>
      <c r="B1055" s="36" t="s">
        <v>1667</v>
      </c>
    </row>
    <row r="1056" spans="1:2">
      <c r="A1056" s="40">
        <v>187</v>
      </c>
      <c r="B1056" s="36" t="s">
        <v>818</v>
      </c>
    </row>
    <row r="1057" spans="1:2">
      <c r="A1057" s="40">
        <v>188</v>
      </c>
      <c r="B1057" s="36" t="s">
        <v>1040</v>
      </c>
    </row>
    <row r="1058" spans="1:2">
      <c r="A1058" s="40">
        <v>189</v>
      </c>
      <c r="B1058" s="36" t="s">
        <v>1041</v>
      </c>
    </row>
    <row r="1059" spans="1:2">
      <c r="A1059" s="40">
        <v>190</v>
      </c>
      <c r="B1059" s="36" t="s">
        <v>91</v>
      </c>
    </row>
    <row r="1060" spans="1:2">
      <c r="A1060" s="40">
        <v>192</v>
      </c>
      <c r="B1060" s="36" t="s">
        <v>92</v>
      </c>
    </row>
    <row r="1061" spans="1:2">
      <c r="A1061" s="40">
        <v>197</v>
      </c>
      <c r="B1061" s="36" t="s">
        <v>1602</v>
      </c>
    </row>
    <row r="1062" spans="1:2">
      <c r="A1062" s="40">
        <v>202</v>
      </c>
      <c r="B1062" s="36" t="s">
        <v>1603</v>
      </c>
    </row>
    <row r="1063" spans="1:2" ht="25.5">
      <c r="A1063" s="40">
        <v>206</v>
      </c>
      <c r="B1063" s="36" t="s">
        <v>1604</v>
      </c>
    </row>
    <row r="1064" spans="1:2">
      <c r="A1064" s="40">
        <v>207</v>
      </c>
      <c r="B1064" s="36" t="s">
        <v>565</v>
      </c>
    </row>
    <row r="1065" spans="1:2">
      <c r="A1065" s="40">
        <v>226</v>
      </c>
      <c r="B1065" s="36" t="s">
        <v>1252</v>
      </c>
    </row>
    <row r="1066" spans="1:2">
      <c r="A1066" s="40">
        <v>258</v>
      </c>
      <c r="B1066" s="36" t="s">
        <v>282</v>
      </c>
    </row>
    <row r="1067" spans="1:2">
      <c r="A1067" s="40">
        <v>262</v>
      </c>
      <c r="B1067" s="36" t="s">
        <v>400</v>
      </c>
    </row>
    <row r="1068" spans="1:2">
      <c r="A1068" s="40">
        <v>263</v>
      </c>
      <c r="B1068" s="36" t="s">
        <v>437</v>
      </c>
    </row>
    <row r="1069" spans="1:2">
      <c r="A1069" s="40">
        <v>279</v>
      </c>
      <c r="B1069" s="36" t="s">
        <v>1095</v>
      </c>
    </row>
    <row r="1070" spans="1:2">
      <c r="A1070" s="40">
        <v>302</v>
      </c>
      <c r="B1070" s="36" t="s">
        <v>1096</v>
      </c>
    </row>
    <row r="1071" spans="1:2">
      <c r="A1071" s="40">
        <v>303</v>
      </c>
      <c r="B1071" s="36" t="s">
        <v>364</v>
      </c>
    </row>
    <row r="1072" spans="1:2">
      <c r="A1072" s="40">
        <v>304</v>
      </c>
      <c r="B1072" s="36" t="s">
        <v>569</v>
      </c>
    </row>
    <row r="1073" spans="1:2">
      <c r="A1073" s="40">
        <v>305</v>
      </c>
      <c r="B1073" s="36" t="s">
        <v>810</v>
      </c>
    </row>
    <row r="1074" spans="1:2">
      <c r="A1074" s="40">
        <v>306</v>
      </c>
      <c r="B1074" s="36" t="s">
        <v>180</v>
      </c>
    </row>
    <row r="1075" spans="1:2">
      <c r="A1075" s="40">
        <v>308</v>
      </c>
      <c r="B1075" s="36" t="s">
        <v>181</v>
      </c>
    </row>
    <row r="1076" spans="1:2">
      <c r="A1076" s="40">
        <v>310</v>
      </c>
      <c r="B1076" s="36" t="s">
        <v>512</v>
      </c>
    </row>
    <row r="1077" spans="1:2">
      <c r="A1077" s="40">
        <v>316</v>
      </c>
      <c r="B1077" s="36" t="s">
        <v>1664</v>
      </c>
    </row>
    <row r="1078" spans="1:2">
      <c r="A1078" s="40">
        <v>318</v>
      </c>
      <c r="B1078" s="36" t="s">
        <v>926</v>
      </c>
    </row>
    <row r="1079" spans="1:2">
      <c r="A1079" s="40">
        <v>319</v>
      </c>
      <c r="B1079" s="36" t="s">
        <v>157</v>
      </c>
    </row>
    <row r="1080" spans="1:2">
      <c r="A1080" s="40">
        <v>320</v>
      </c>
      <c r="B1080" s="36" t="s">
        <v>158</v>
      </c>
    </row>
    <row r="1081" spans="1:2">
      <c r="A1081" s="40">
        <v>321</v>
      </c>
      <c r="B1081" s="36" t="s">
        <v>448</v>
      </c>
    </row>
    <row r="1082" spans="1:2">
      <c r="A1082" s="40">
        <v>322</v>
      </c>
      <c r="B1082" s="36" t="s">
        <v>1609</v>
      </c>
    </row>
    <row r="1083" spans="1:2">
      <c r="A1083" s="40">
        <v>330</v>
      </c>
      <c r="B1083" s="36" t="s">
        <v>628</v>
      </c>
    </row>
    <row r="1084" spans="1:2">
      <c r="A1084" s="40">
        <v>333</v>
      </c>
      <c r="B1084" s="36" t="s">
        <v>966</v>
      </c>
    </row>
    <row r="1085" spans="1:2">
      <c r="A1085" s="40">
        <v>352</v>
      </c>
      <c r="B1085" s="36" t="s">
        <v>967</v>
      </c>
    </row>
    <row r="1086" spans="1:2">
      <c r="A1086" s="40">
        <v>386</v>
      </c>
      <c r="B1086" s="36" t="s">
        <v>968</v>
      </c>
    </row>
    <row r="1087" spans="1:2" ht="25.5">
      <c r="A1087" s="40">
        <v>387</v>
      </c>
      <c r="B1087" s="36" t="s">
        <v>579</v>
      </c>
    </row>
    <row r="1088" spans="1:2">
      <c r="A1088" s="40">
        <v>392</v>
      </c>
      <c r="B1088" s="36" t="s">
        <v>580</v>
      </c>
    </row>
    <row r="1089" spans="1:2">
      <c r="A1089" s="40">
        <v>393</v>
      </c>
      <c r="B1089" s="36" t="s">
        <v>1816</v>
      </c>
    </row>
    <row r="1090" spans="1:2">
      <c r="A1090" s="40">
        <v>397</v>
      </c>
      <c r="B1090" s="36" t="s">
        <v>454</v>
      </c>
    </row>
    <row r="1091" spans="1:2">
      <c r="A1091" s="40">
        <v>401</v>
      </c>
      <c r="B1091" s="36" t="s">
        <v>456</v>
      </c>
    </row>
    <row r="1092" spans="1:2">
      <c r="A1092" s="40">
        <v>409</v>
      </c>
      <c r="B1092" s="36" t="s">
        <v>135</v>
      </c>
    </row>
    <row r="1093" spans="1:2">
      <c r="A1093" s="40">
        <v>415</v>
      </c>
      <c r="B1093" s="36" t="s">
        <v>136</v>
      </c>
    </row>
    <row r="1094" spans="1:2">
      <c r="A1094" s="40">
        <v>423</v>
      </c>
      <c r="B1094" s="36" t="s">
        <v>1099</v>
      </c>
    </row>
    <row r="1095" spans="1:2">
      <c r="A1095" s="40">
        <v>424</v>
      </c>
      <c r="B1095" s="36" t="s">
        <v>203</v>
      </c>
    </row>
    <row r="1096" spans="1:2">
      <c r="A1096" s="40">
        <v>425</v>
      </c>
      <c r="B1096" s="36" t="s">
        <v>1409</v>
      </c>
    </row>
    <row r="1097" spans="1:2">
      <c r="A1097" s="40">
        <v>434</v>
      </c>
      <c r="B1097" s="36" t="s">
        <v>441</v>
      </c>
    </row>
    <row r="1098" spans="1:2">
      <c r="A1098" s="40">
        <v>436</v>
      </c>
      <c r="B1098" s="36" t="s">
        <v>442</v>
      </c>
    </row>
    <row r="1099" spans="1:2">
      <c r="A1099" s="40">
        <v>437</v>
      </c>
      <c r="B1099" s="36" t="s">
        <v>1613</v>
      </c>
    </row>
    <row r="1100" spans="1:2">
      <c r="A1100" s="40">
        <v>438</v>
      </c>
      <c r="B1100" s="36" t="s">
        <v>1797</v>
      </c>
    </row>
    <row r="1101" spans="1:2">
      <c r="A1101" s="40">
        <v>464</v>
      </c>
      <c r="B1101" s="36" t="s">
        <v>1511</v>
      </c>
    </row>
    <row r="1102" spans="1:2">
      <c r="A1102" s="40">
        <v>486</v>
      </c>
      <c r="B1102" s="36" t="s">
        <v>1614</v>
      </c>
    </row>
    <row r="1103" spans="1:2">
      <c r="A1103" s="40">
        <v>494</v>
      </c>
      <c r="B1103" s="36" t="s">
        <v>829</v>
      </c>
    </row>
    <row r="1104" spans="1:2">
      <c r="A1104" s="40">
        <v>497</v>
      </c>
      <c r="B1104" s="36" t="s">
        <v>559</v>
      </c>
    </row>
    <row r="1105" spans="1:2">
      <c r="A1105" s="40">
        <v>498</v>
      </c>
      <c r="B1105" s="36" t="s">
        <v>560</v>
      </c>
    </row>
    <row r="1106" spans="1:2">
      <c r="A1106" s="40">
        <v>520</v>
      </c>
      <c r="B1106" s="36" t="s">
        <v>1227</v>
      </c>
    </row>
    <row r="1107" spans="1:2">
      <c r="A1107" s="40">
        <v>573</v>
      </c>
      <c r="B1107" s="36" t="s">
        <v>555</v>
      </c>
    </row>
    <row r="1108" spans="1:2">
      <c r="A1108" s="40">
        <v>588</v>
      </c>
      <c r="B1108" s="36" t="s">
        <v>1305</v>
      </c>
    </row>
    <row r="1109" spans="1:2">
      <c r="A1109" s="40">
        <v>589</v>
      </c>
      <c r="B1109" s="36" t="s">
        <v>1583</v>
      </c>
    </row>
    <row r="1110" spans="1:2">
      <c r="A1110" s="40">
        <v>591</v>
      </c>
      <c r="B1110" s="36" t="s">
        <v>1584</v>
      </c>
    </row>
    <row r="1111" spans="1:2">
      <c r="A1111" s="40">
        <v>597</v>
      </c>
      <c r="B1111" s="36" t="s">
        <v>712</v>
      </c>
    </row>
    <row r="1112" spans="1:2">
      <c r="A1112" s="40">
        <v>653</v>
      </c>
      <c r="B1112" s="36" t="s">
        <v>713</v>
      </c>
    </row>
    <row r="1113" spans="1:2">
      <c r="A1113" s="40">
        <v>665</v>
      </c>
      <c r="B1113" s="36" t="s">
        <v>714</v>
      </c>
    </row>
    <row r="1114" spans="1:2">
      <c r="A1114" s="40">
        <v>677</v>
      </c>
      <c r="B1114" s="36" t="s">
        <v>551</v>
      </c>
    </row>
    <row r="1115" spans="1:2">
      <c r="A1115" s="40">
        <v>693</v>
      </c>
      <c r="B1115" s="36" t="s">
        <v>552</v>
      </c>
    </row>
    <row r="1116" spans="1:2">
      <c r="A1116" s="40">
        <v>720</v>
      </c>
      <c r="B1116" s="36" t="s">
        <v>342</v>
      </c>
    </row>
    <row r="1117" spans="1:2">
      <c r="A1117" s="40">
        <v>721</v>
      </c>
      <c r="B1117" s="36" t="s">
        <v>1406</v>
      </c>
    </row>
    <row r="1118" spans="1:2" ht="25.5">
      <c r="A1118" s="40">
        <v>722</v>
      </c>
      <c r="B1118" s="36" t="s">
        <v>1407</v>
      </c>
    </row>
    <row r="1119" spans="1:2">
      <c r="A1119" s="40">
        <v>801</v>
      </c>
      <c r="B1119" s="36" t="s">
        <v>726</v>
      </c>
    </row>
    <row r="1120" spans="1:2">
      <c r="A1120" s="40">
        <v>804</v>
      </c>
      <c r="B1120" s="36" t="s">
        <v>727</v>
      </c>
    </row>
    <row r="1121" spans="1:2" ht="25.5">
      <c r="A1121" s="40">
        <v>807</v>
      </c>
      <c r="B1121" s="36" t="s">
        <v>13</v>
      </c>
    </row>
    <row r="1122" spans="1:2">
      <c r="A1122" s="40">
        <v>812</v>
      </c>
      <c r="B1122" s="36" t="s">
        <v>399</v>
      </c>
    </row>
    <row r="1123" spans="1:2">
      <c r="A1123" s="40">
        <v>905</v>
      </c>
      <c r="B1123" s="36" t="s">
        <v>190</v>
      </c>
    </row>
    <row r="1124" spans="1:2">
      <c r="A1124" s="40">
        <v>906</v>
      </c>
      <c r="B1124" s="36" t="s">
        <v>196</v>
      </c>
    </row>
    <row r="1125" spans="1:2">
      <c r="A1125" s="40">
        <v>914</v>
      </c>
      <c r="B1125" s="36" t="s">
        <v>197</v>
      </c>
    </row>
    <row r="1126" spans="1:2">
      <c r="A1126" s="40">
        <v>932</v>
      </c>
      <c r="B1126" s="36" t="s">
        <v>198</v>
      </c>
    </row>
    <row r="1127" spans="1:2">
      <c r="A1127" s="40">
        <v>950</v>
      </c>
      <c r="B1127" s="36" t="s">
        <v>788</v>
      </c>
    </row>
    <row r="1128" spans="1:2">
      <c r="A1128" s="40">
        <v>951</v>
      </c>
      <c r="B1128" s="36" t="s">
        <v>476</v>
      </c>
    </row>
    <row r="1129" spans="1:2">
      <c r="A1129" s="40">
        <v>952</v>
      </c>
      <c r="B1129" s="36" t="s">
        <v>1017</v>
      </c>
    </row>
    <row r="1130" spans="1:2">
      <c r="A1130" s="40">
        <v>953</v>
      </c>
      <c r="B1130" s="36" t="s">
        <v>1018</v>
      </c>
    </row>
    <row r="1131" spans="1:2">
      <c r="A1131" s="40">
        <v>954</v>
      </c>
      <c r="B1131" s="36" t="s">
        <v>793</v>
      </c>
    </row>
    <row r="1132" spans="1:2">
      <c r="A1132" s="40">
        <v>955</v>
      </c>
      <c r="B1132" s="36" t="s">
        <v>1684</v>
      </c>
    </row>
    <row r="1133" spans="1:2">
      <c r="A1133" s="40">
        <v>956</v>
      </c>
      <c r="B1133" s="36" t="s">
        <v>794</v>
      </c>
    </row>
    <row r="1134" spans="1:2">
      <c r="A1134" s="40">
        <v>957</v>
      </c>
      <c r="B1134" s="36" t="s">
        <v>795</v>
      </c>
    </row>
    <row r="1135" spans="1:2">
      <c r="A1135" s="40">
        <v>958</v>
      </c>
      <c r="B1135" s="36" t="s">
        <v>796</v>
      </c>
    </row>
    <row r="1136" spans="1:2">
      <c r="A1136" s="40">
        <v>959</v>
      </c>
      <c r="B1136" s="36" t="s">
        <v>1388</v>
      </c>
    </row>
    <row r="1137" spans="1:2">
      <c r="A1137" s="40">
        <v>960</v>
      </c>
      <c r="B1137" s="36" t="s">
        <v>440</v>
      </c>
    </row>
    <row r="1138" spans="1:2">
      <c r="A1138" s="40">
        <v>961</v>
      </c>
      <c r="B1138" s="36" t="s">
        <v>573</v>
      </c>
    </row>
    <row r="1139" spans="1:2">
      <c r="A1139" s="40">
        <v>962</v>
      </c>
      <c r="B1139" s="36" t="s">
        <v>1399</v>
      </c>
    </row>
    <row r="1140" spans="1:2">
      <c r="A1140" s="40">
        <v>963</v>
      </c>
      <c r="B1140" s="36" t="s">
        <v>401</v>
      </c>
    </row>
    <row r="1141" spans="1:2">
      <c r="A1141" s="40">
        <v>964</v>
      </c>
      <c r="B1141" s="36" t="s">
        <v>1666</v>
      </c>
    </row>
    <row r="1142" spans="1:2">
      <c r="A1142" s="40">
        <v>965</v>
      </c>
      <c r="B1142" s="36" t="s">
        <v>419</v>
      </c>
    </row>
    <row r="1143" spans="1:2">
      <c r="A1143" s="40">
        <v>966</v>
      </c>
      <c r="B1143" s="36" t="s">
        <v>520</v>
      </c>
    </row>
    <row r="1144" spans="1:2">
      <c r="A1144" s="40">
        <v>967</v>
      </c>
      <c r="B1144" s="36" t="s">
        <v>316</v>
      </c>
    </row>
    <row r="1145" spans="1:2">
      <c r="A1145" s="40">
        <v>968</v>
      </c>
      <c r="B1145" s="36" t="s">
        <v>506</v>
      </c>
    </row>
    <row r="1146" spans="1:2">
      <c r="A1146" s="40">
        <v>969</v>
      </c>
      <c r="B1146" s="36" t="s">
        <v>303</v>
      </c>
    </row>
    <row r="1147" spans="1:2">
      <c r="A1147" s="40">
        <v>970</v>
      </c>
      <c r="B1147" s="36" t="s">
        <v>292</v>
      </c>
    </row>
    <row r="1148" spans="1:2">
      <c r="A1148" s="40">
        <v>971</v>
      </c>
      <c r="B1148" s="36" t="s">
        <v>1822</v>
      </c>
    </row>
    <row r="1149" spans="1:2">
      <c r="A1149" s="40">
        <v>972</v>
      </c>
      <c r="B1149" s="36" t="s">
        <v>231</v>
      </c>
    </row>
    <row r="1150" spans="1:2">
      <c r="A1150" s="40">
        <v>973</v>
      </c>
      <c r="B1150" s="36" t="s">
        <v>1694</v>
      </c>
    </row>
    <row r="1151" spans="1:2">
      <c r="A1151" s="40">
        <v>974</v>
      </c>
      <c r="B1151" s="36" t="s">
        <v>1582</v>
      </c>
    </row>
    <row r="1152" spans="1:2">
      <c r="A1152" s="40">
        <v>975</v>
      </c>
      <c r="B1152" s="36" t="s">
        <v>413</v>
      </c>
    </row>
    <row r="1153" spans="1:2">
      <c r="A1153" s="40">
        <v>976</v>
      </c>
      <c r="B1153" s="36" t="s">
        <v>553</v>
      </c>
    </row>
    <row r="1154" spans="1:2">
      <c r="A1154" s="40">
        <v>977</v>
      </c>
      <c r="B1154" s="36" t="s">
        <v>1538</v>
      </c>
    </row>
    <row r="1155" spans="1:2">
      <c r="A1155" s="40">
        <v>978</v>
      </c>
      <c r="B1155" s="36" t="s">
        <v>1514</v>
      </c>
    </row>
    <row r="1156" spans="1:2">
      <c r="A1156" s="40">
        <v>979</v>
      </c>
      <c r="B1156" s="36" t="s">
        <v>1695</v>
      </c>
    </row>
    <row r="1157" spans="1:2">
      <c r="A1157" s="40">
        <v>980</v>
      </c>
      <c r="B1157" s="36" t="s">
        <v>1243</v>
      </c>
    </row>
    <row r="1158" spans="1:2">
      <c r="A1158" s="40">
        <v>981</v>
      </c>
      <c r="B1158" s="36" t="s">
        <v>1696</v>
      </c>
    </row>
    <row r="1159" spans="1:2">
      <c r="A1159" s="40">
        <v>982</v>
      </c>
      <c r="B1159" s="36" t="s">
        <v>1515</v>
      </c>
    </row>
    <row r="1160" spans="1:2">
      <c r="A1160" s="40">
        <v>983</v>
      </c>
      <c r="B1160" s="36" t="s">
        <v>318</v>
      </c>
    </row>
    <row r="1161" spans="1:2">
      <c r="A1161" s="40">
        <v>984</v>
      </c>
      <c r="B1161" s="36" t="s">
        <v>447</v>
      </c>
    </row>
    <row r="1162" spans="1:2">
      <c r="A1162" s="40">
        <v>985</v>
      </c>
      <c r="B1162" s="36" t="s">
        <v>416</v>
      </c>
    </row>
    <row r="1163" spans="1:2">
      <c r="A1163" s="40">
        <v>986</v>
      </c>
      <c r="B1163" s="36" t="s">
        <v>317</v>
      </c>
    </row>
    <row r="1164" spans="1:2">
      <c r="A1164" s="40">
        <v>987</v>
      </c>
      <c r="B1164" s="36" t="s">
        <v>1594</v>
      </c>
    </row>
    <row r="1165" spans="1:2">
      <c r="A1165" s="40">
        <v>988</v>
      </c>
      <c r="B1165" s="36" t="s">
        <v>1673</v>
      </c>
    </row>
    <row r="1166" spans="1:2">
      <c r="A1166" s="40">
        <v>989</v>
      </c>
      <c r="B1166" s="36" t="s">
        <v>1824</v>
      </c>
    </row>
    <row r="1167" spans="1:2">
      <c r="A1167" s="38">
        <v>995</v>
      </c>
      <c r="B1167" s="35" t="s">
        <v>317</v>
      </c>
    </row>
  </sheetData>
  <sheetProtection selectLockedCells="1" selectUnlockedCells="1"/>
  <phoneticPr fontId="0" type="noConversion"/>
  <pageMargins left="0.75" right="0.75" top="1" bottom="1" header="0.5" footer="0.5"/>
  <pageSetup paperSize="9" scale="94" orientation="portrait" r:id="rId1"/>
  <headerFooter alignWithMargins="0"/>
  <tableParts count="1">
    <tablePart r:id="rId2"/>
  </tableParts>
</worksheet>
</file>

<file path=xl/worksheets/sheet23.xml><?xml version="1.0" encoding="utf-8"?>
<worksheet xmlns="http://schemas.openxmlformats.org/spreadsheetml/2006/main" xmlns:r="http://schemas.openxmlformats.org/officeDocument/2006/relationships">
  <sheetPr codeName="Лист26">
    <pageSetUpPr fitToPage="1"/>
  </sheetPr>
  <dimension ref="A1:C1513"/>
  <sheetViews>
    <sheetView showGridLines="0" topLeftCell="A1490" zoomScaleSheetLayoutView="100" workbookViewId="0">
      <selection activeCell="B1482" sqref="B1482"/>
    </sheetView>
  </sheetViews>
  <sheetFormatPr defaultColWidth="31.85546875" defaultRowHeight="12.75"/>
  <cols>
    <col min="1" max="1" width="7" style="52" bestFit="1" customWidth="1"/>
    <col min="2" max="2" width="106.140625" style="51" customWidth="1"/>
    <col min="3" max="16384" width="31.85546875" style="50"/>
  </cols>
  <sheetData>
    <row r="1" spans="1:2" s="54" customFormat="1" hidden="1">
      <c r="A1" s="52"/>
      <c r="B1" s="53"/>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50"/>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55">
        <v>100</v>
      </c>
      <c r="B1400" s="56" t="s">
        <v>431</v>
      </c>
      <c r="C1400" s="51"/>
    </row>
    <row r="1401" spans="1:3">
      <c r="A1401" s="57">
        <v>101</v>
      </c>
      <c r="B1401" s="58" t="s">
        <v>763</v>
      </c>
      <c r="C1401" s="51"/>
    </row>
    <row r="1402" spans="1:3">
      <c r="A1402" s="57">
        <v>102</v>
      </c>
      <c r="B1402" s="59" t="s">
        <v>733</v>
      </c>
      <c r="C1402" s="51"/>
    </row>
    <row r="1403" spans="1:3" ht="25.5">
      <c r="A1403" s="57">
        <v>103</v>
      </c>
      <c r="B1403" s="59" t="s">
        <v>647</v>
      </c>
      <c r="C1403" s="51"/>
    </row>
    <row r="1404" spans="1:3" ht="25.5">
      <c r="A1404" s="57">
        <v>104</v>
      </c>
      <c r="B1404" s="59" t="s">
        <v>339</v>
      </c>
      <c r="C1404" s="51"/>
    </row>
    <row r="1405" spans="1:3">
      <c r="A1405" s="57">
        <v>105</v>
      </c>
      <c r="B1405" s="59" t="s">
        <v>1178</v>
      </c>
      <c r="C1405" s="51"/>
    </row>
    <row r="1406" spans="1:3" ht="25.5">
      <c r="A1406" s="57">
        <v>106</v>
      </c>
      <c r="B1406" s="59" t="s">
        <v>45</v>
      </c>
      <c r="C1406" s="51"/>
    </row>
    <row r="1407" spans="1:3">
      <c r="A1407" s="57">
        <v>107</v>
      </c>
      <c r="B1407" s="59" t="s">
        <v>55</v>
      </c>
      <c r="C1407" s="51"/>
    </row>
    <row r="1408" spans="1:3">
      <c r="A1408" s="57">
        <v>108</v>
      </c>
      <c r="B1408" s="59" t="s">
        <v>1523</v>
      </c>
      <c r="C1408" s="51"/>
    </row>
    <row r="1409" spans="1:3">
      <c r="A1409" s="57">
        <v>109</v>
      </c>
      <c r="B1409" s="59" t="s">
        <v>824</v>
      </c>
      <c r="C1409" s="51"/>
    </row>
    <row r="1410" spans="1:3">
      <c r="A1410" s="57">
        <v>110</v>
      </c>
      <c r="B1410" s="59" t="s">
        <v>825</v>
      </c>
      <c r="C1410" s="51"/>
    </row>
    <row r="1411" spans="1:3">
      <c r="A1411" s="57">
        <v>111</v>
      </c>
      <c r="B1411" s="59" t="s">
        <v>820</v>
      </c>
      <c r="C1411" s="51"/>
    </row>
    <row r="1412" spans="1:3">
      <c r="A1412" s="57">
        <v>112</v>
      </c>
      <c r="B1412" s="59" t="s">
        <v>1513</v>
      </c>
      <c r="C1412" s="51"/>
    </row>
    <row r="1413" spans="1:3">
      <c r="A1413" s="57">
        <v>113</v>
      </c>
      <c r="B1413" s="59" t="s">
        <v>821</v>
      </c>
      <c r="C1413" s="51"/>
    </row>
    <row r="1414" spans="1:3">
      <c r="A1414" s="55">
        <v>200</v>
      </c>
      <c r="B1414" s="60" t="s">
        <v>46</v>
      </c>
      <c r="C1414" s="51"/>
    </row>
    <row r="1415" spans="1:3">
      <c r="A1415" s="57">
        <v>201</v>
      </c>
      <c r="B1415" s="59" t="s">
        <v>1103</v>
      </c>
      <c r="C1415" s="51"/>
    </row>
    <row r="1416" spans="1:3">
      <c r="A1416" s="57">
        <v>202</v>
      </c>
      <c r="B1416" s="59" t="s">
        <v>698</v>
      </c>
      <c r="C1416" s="51"/>
    </row>
    <row r="1417" spans="1:3">
      <c r="A1417" s="57">
        <v>203</v>
      </c>
      <c r="B1417" s="59" t="s">
        <v>133</v>
      </c>
      <c r="C1417" s="51"/>
    </row>
    <row r="1418" spans="1:3">
      <c r="A1418" s="57">
        <v>204</v>
      </c>
      <c r="B1418" s="59" t="s">
        <v>235</v>
      </c>
      <c r="C1418" s="51"/>
    </row>
    <row r="1419" spans="1:3">
      <c r="A1419" s="57">
        <v>205</v>
      </c>
      <c r="B1419" s="59" t="s">
        <v>782</v>
      </c>
      <c r="C1419" s="51"/>
    </row>
    <row r="1420" spans="1:3">
      <c r="A1420" s="57">
        <v>206</v>
      </c>
      <c r="B1420" s="59" t="s">
        <v>1408</v>
      </c>
      <c r="C1420" s="51"/>
    </row>
    <row r="1421" spans="1:3">
      <c r="A1421" s="57">
        <v>207</v>
      </c>
      <c r="B1421" s="59" t="s">
        <v>910</v>
      </c>
      <c r="C1421" s="51"/>
    </row>
    <row r="1422" spans="1:3">
      <c r="A1422" s="57">
        <v>208</v>
      </c>
      <c r="B1422" s="59" t="s">
        <v>331</v>
      </c>
      <c r="C1422" s="51"/>
    </row>
    <row r="1423" spans="1:3">
      <c r="A1423" s="57">
        <v>209</v>
      </c>
      <c r="B1423" s="59" t="s">
        <v>332</v>
      </c>
      <c r="C1423" s="51"/>
    </row>
    <row r="1424" spans="1:3">
      <c r="A1424" s="55">
        <v>300</v>
      </c>
      <c r="B1424" s="60" t="s">
        <v>1</v>
      </c>
      <c r="C1424" s="51"/>
    </row>
    <row r="1425" spans="1:3">
      <c r="A1425" s="57">
        <v>301</v>
      </c>
      <c r="B1425" s="59" t="s">
        <v>333</v>
      </c>
      <c r="C1425" s="51"/>
    </row>
    <row r="1426" spans="1:3">
      <c r="A1426" s="57">
        <v>302</v>
      </c>
      <c r="B1426" s="59" t="s">
        <v>1129</v>
      </c>
      <c r="C1426" s="51"/>
    </row>
    <row r="1427" spans="1:3">
      <c r="A1427" s="57">
        <v>303</v>
      </c>
      <c r="B1427" s="59" t="s">
        <v>334</v>
      </c>
      <c r="C1427" s="51"/>
    </row>
    <row r="1428" spans="1:3">
      <c r="A1428" s="57">
        <v>304</v>
      </c>
      <c r="B1428" s="59" t="s">
        <v>137</v>
      </c>
      <c r="C1428" s="51"/>
    </row>
    <row r="1429" spans="1:3">
      <c r="A1429" s="57">
        <v>305</v>
      </c>
      <c r="B1429" s="59" t="s">
        <v>1536</v>
      </c>
      <c r="C1429" s="51"/>
    </row>
    <row r="1430" spans="1:3">
      <c r="A1430" s="57">
        <v>306</v>
      </c>
      <c r="B1430" s="59" t="s">
        <v>1615</v>
      </c>
      <c r="C1430" s="51"/>
    </row>
    <row r="1431" spans="1:3">
      <c r="A1431" s="57">
        <v>307</v>
      </c>
      <c r="B1431" s="59" t="s">
        <v>1616</v>
      </c>
      <c r="C1431" s="51"/>
    </row>
    <row r="1432" spans="1:3">
      <c r="A1432" s="57">
        <v>308</v>
      </c>
      <c r="B1432" s="59" t="s">
        <v>1510</v>
      </c>
      <c r="C1432" s="51"/>
    </row>
    <row r="1433" spans="1:3" ht="25.5">
      <c r="A1433" s="57">
        <v>309</v>
      </c>
      <c r="B1433" s="59" t="s">
        <v>378</v>
      </c>
      <c r="C1433" s="51"/>
    </row>
    <row r="1434" spans="1:3">
      <c r="A1434" s="57">
        <v>310</v>
      </c>
      <c r="B1434" s="59" t="s">
        <v>379</v>
      </c>
      <c r="C1434" s="51"/>
    </row>
    <row r="1435" spans="1:3">
      <c r="A1435" s="57">
        <v>311</v>
      </c>
      <c r="B1435" s="59" t="s">
        <v>777</v>
      </c>
      <c r="C1435" s="51"/>
    </row>
    <row r="1436" spans="1:3">
      <c r="A1436" s="57">
        <v>312</v>
      </c>
      <c r="B1436" s="59" t="s">
        <v>380</v>
      </c>
      <c r="C1436" s="51"/>
    </row>
    <row r="1437" spans="1:3">
      <c r="A1437" s="57">
        <v>313</v>
      </c>
      <c r="B1437" s="59" t="s">
        <v>778</v>
      </c>
      <c r="C1437" s="51"/>
    </row>
    <row r="1438" spans="1:3">
      <c r="A1438" s="57">
        <v>314</v>
      </c>
      <c r="B1438" s="59" t="s">
        <v>859</v>
      </c>
      <c r="C1438" s="51"/>
    </row>
    <row r="1439" spans="1:3">
      <c r="A1439" s="55">
        <v>400</v>
      </c>
      <c r="B1439" s="60" t="s">
        <v>381</v>
      </c>
      <c r="C1439" s="51"/>
    </row>
    <row r="1440" spans="1:3">
      <c r="A1440" s="57">
        <v>401</v>
      </c>
      <c r="B1440" s="61" t="s">
        <v>1665</v>
      </c>
      <c r="C1440" s="51"/>
    </row>
    <row r="1441" spans="1:3">
      <c r="A1441" s="57">
        <v>402</v>
      </c>
      <c r="B1441" s="58" t="s">
        <v>224</v>
      </c>
      <c r="C1441" s="51"/>
    </row>
    <row r="1442" spans="1:3">
      <c r="A1442" s="57">
        <v>403</v>
      </c>
      <c r="B1442" s="59" t="s">
        <v>1400</v>
      </c>
      <c r="C1442" s="51"/>
    </row>
    <row r="1443" spans="1:3">
      <c r="A1443" s="57">
        <v>404</v>
      </c>
      <c r="B1443" s="59" t="s">
        <v>1401</v>
      </c>
      <c r="C1443" s="51"/>
    </row>
    <row r="1444" spans="1:3">
      <c r="A1444" s="57">
        <v>405</v>
      </c>
      <c r="B1444" s="59" t="s">
        <v>1883</v>
      </c>
      <c r="C1444" s="51"/>
    </row>
    <row r="1445" spans="1:3">
      <c r="A1445" s="57">
        <v>406</v>
      </c>
      <c r="B1445" s="59" t="s">
        <v>1402</v>
      </c>
      <c r="C1445" s="51"/>
    </row>
    <row r="1446" spans="1:3">
      <c r="A1446" s="57">
        <v>407</v>
      </c>
      <c r="B1446" s="59" t="s">
        <v>1403</v>
      </c>
      <c r="C1446" s="51"/>
    </row>
    <row r="1447" spans="1:3">
      <c r="A1447" s="57">
        <v>408</v>
      </c>
      <c r="B1447" s="59" t="s">
        <v>1884</v>
      </c>
      <c r="C1447" s="51"/>
    </row>
    <row r="1448" spans="1:3">
      <c r="A1448" s="57">
        <v>409</v>
      </c>
      <c r="B1448" s="59" t="s">
        <v>370</v>
      </c>
      <c r="C1448" s="51"/>
    </row>
    <row r="1449" spans="1:3">
      <c r="A1449" s="57">
        <v>410</v>
      </c>
      <c r="B1449" s="59" t="s">
        <v>445</v>
      </c>
      <c r="C1449" s="51"/>
    </row>
    <row r="1450" spans="1:3">
      <c r="A1450" s="57">
        <v>411</v>
      </c>
      <c r="B1450" s="59" t="s">
        <v>1404</v>
      </c>
      <c r="C1450" s="51"/>
    </row>
    <row r="1451" spans="1:3">
      <c r="A1451" s="57">
        <v>412</v>
      </c>
      <c r="B1451" s="59" t="s">
        <v>861</v>
      </c>
      <c r="C1451" s="51"/>
    </row>
    <row r="1452" spans="1:3">
      <c r="A1452" s="55">
        <v>500</v>
      </c>
      <c r="B1452" s="60" t="s">
        <v>827</v>
      </c>
      <c r="C1452" s="51"/>
    </row>
    <row r="1453" spans="1:3">
      <c r="A1453" s="57">
        <v>501</v>
      </c>
      <c r="B1453" s="59" t="s">
        <v>557</v>
      </c>
      <c r="C1453" s="51"/>
    </row>
    <row r="1454" spans="1:3">
      <c r="A1454" s="57">
        <v>502</v>
      </c>
      <c r="B1454" s="59" t="s">
        <v>558</v>
      </c>
      <c r="C1454" s="51"/>
    </row>
    <row r="1455" spans="1:3">
      <c r="A1455" s="57">
        <v>503</v>
      </c>
      <c r="B1455" s="58" t="s">
        <v>335</v>
      </c>
      <c r="C1455" s="51"/>
    </row>
    <row r="1456" spans="1:3">
      <c r="A1456" s="57">
        <v>504</v>
      </c>
      <c r="B1456" s="59" t="s">
        <v>702</v>
      </c>
      <c r="C1456" s="51"/>
    </row>
    <row r="1457" spans="1:3">
      <c r="A1457" s="57">
        <v>505</v>
      </c>
      <c r="B1457" s="59" t="s">
        <v>765</v>
      </c>
      <c r="C1457" s="51"/>
    </row>
    <row r="1458" spans="1:3">
      <c r="A1458" s="55">
        <v>600</v>
      </c>
      <c r="B1458" s="62" t="s">
        <v>567</v>
      </c>
      <c r="C1458" s="51"/>
    </row>
    <row r="1459" spans="1:3">
      <c r="A1459" s="57">
        <v>601</v>
      </c>
      <c r="B1459" s="58" t="s">
        <v>568</v>
      </c>
      <c r="C1459" s="51"/>
    </row>
    <row r="1460" spans="1:3">
      <c r="A1460" s="57">
        <v>602</v>
      </c>
      <c r="B1460" s="59" t="s">
        <v>1681</v>
      </c>
      <c r="C1460" s="51"/>
    </row>
    <row r="1461" spans="1:3">
      <c r="A1461" s="57">
        <v>603</v>
      </c>
      <c r="B1461" s="59" t="s">
        <v>1682</v>
      </c>
      <c r="C1461" s="51"/>
    </row>
    <row r="1462" spans="1:3">
      <c r="A1462" s="57">
        <v>604</v>
      </c>
      <c r="B1462" s="59" t="s">
        <v>1889</v>
      </c>
      <c r="C1462" s="51"/>
    </row>
    <row r="1463" spans="1:3">
      <c r="A1463" s="57">
        <v>605</v>
      </c>
      <c r="B1463" s="59" t="s">
        <v>510</v>
      </c>
      <c r="C1463" s="51"/>
    </row>
    <row r="1464" spans="1:3">
      <c r="A1464" s="55">
        <v>700</v>
      </c>
      <c r="B1464" s="62" t="s">
        <v>1683</v>
      </c>
      <c r="C1464" s="51"/>
    </row>
    <row r="1465" spans="1:3">
      <c r="A1465" s="57">
        <v>701</v>
      </c>
      <c r="B1465" s="59" t="s">
        <v>37</v>
      </c>
      <c r="C1465" s="51"/>
    </row>
    <row r="1466" spans="1:3">
      <c r="A1466" s="57">
        <v>702</v>
      </c>
      <c r="B1466" s="59" t="s">
        <v>85</v>
      </c>
      <c r="C1466" s="51"/>
    </row>
    <row r="1467" spans="1:3">
      <c r="A1467" s="57">
        <v>703</v>
      </c>
      <c r="B1467" s="59" t="s">
        <v>1890</v>
      </c>
      <c r="C1467" s="51"/>
    </row>
    <row r="1468" spans="1:3">
      <c r="A1468" s="57">
        <v>704</v>
      </c>
      <c r="B1468" s="59" t="s">
        <v>377</v>
      </c>
      <c r="C1468" s="51"/>
    </row>
    <row r="1469" spans="1:3">
      <c r="A1469" s="57">
        <v>705</v>
      </c>
      <c r="B1469" s="59" t="s">
        <v>1047</v>
      </c>
      <c r="C1469" s="51"/>
    </row>
    <row r="1470" spans="1:3">
      <c r="A1470" s="63">
        <v>706</v>
      </c>
      <c r="B1470" s="64" t="s">
        <v>1048</v>
      </c>
      <c r="C1470" s="51"/>
    </row>
    <row r="1471" spans="1:3">
      <c r="A1471" s="57">
        <v>707</v>
      </c>
      <c r="B1471" s="59" t="s">
        <v>809</v>
      </c>
      <c r="C1471" s="51"/>
    </row>
    <row r="1472" spans="1:3">
      <c r="A1472" s="57">
        <v>708</v>
      </c>
      <c r="B1472" s="59" t="s">
        <v>572</v>
      </c>
      <c r="C1472" s="51"/>
    </row>
    <row r="1473" spans="1:3">
      <c r="A1473" s="57">
        <v>709</v>
      </c>
      <c r="B1473" s="59" t="s">
        <v>58</v>
      </c>
      <c r="C1473" s="51"/>
    </row>
    <row r="1474" spans="1:3">
      <c r="A1474" s="55">
        <v>800</v>
      </c>
      <c r="B1474" s="62" t="s">
        <v>1300</v>
      </c>
      <c r="C1474" s="51"/>
    </row>
    <row r="1475" spans="1:3">
      <c r="A1475" s="57">
        <v>801</v>
      </c>
      <c r="B1475" s="59" t="s">
        <v>392</v>
      </c>
      <c r="C1475" s="51"/>
    </row>
    <row r="1476" spans="1:3">
      <c r="A1476" s="57">
        <v>802</v>
      </c>
      <c r="B1476" s="59" t="s">
        <v>340</v>
      </c>
      <c r="C1476" s="51"/>
    </row>
    <row r="1477" spans="1:3">
      <c r="A1477" s="57">
        <v>803</v>
      </c>
      <c r="B1477" s="59" t="s">
        <v>1301</v>
      </c>
      <c r="C1477" s="51"/>
    </row>
    <row r="1478" spans="1:3">
      <c r="A1478" s="57">
        <v>804</v>
      </c>
      <c r="B1478" s="59" t="s">
        <v>1319</v>
      </c>
      <c r="C1478" s="51"/>
    </row>
    <row r="1479" spans="1:3">
      <c r="A1479" s="55">
        <v>900</v>
      </c>
      <c r="B1479" s="62" t="s">
        <v>1320</v>
      </c>
      <c r="C1479" s="51"/>
    </row>
    <row r="1480" spans="1:3">
      <c r="A1480" s="57">
        <v>901</v>
      </c>
      <c r="B1480" s="59" t="s">
        <v>246</v>
      </c>
      <c r="C1480" s="51"/>
    </row>
    <row r="1481" spans="1:3">
      <c r="A1481" s="57">
        <v>902</v>
      </c>
      <c r="B1481" s="59" t="s">
        <v>247</v>
      </c>
      <c r="C1481" s="51"/>
    </row>
    <row r="1482" spans="1:3">
      <c r="A1482" s="57">
        <v>903</v>
      </c>
      <c r="B1482" s="59" t="s">
        <v>199</v>
      </c>
      <c r="C1482" s="51"/>
    </row>
    <row r="1483" spans="1:3">
      <c r="A1483" s="57">
        <v>904</v>
      </c>
      <c r="B1483" s="59" t="s">
        <v>236</v>
      </c>
      <c r="C1483" s="51"/>
    </row>
    <row r="1484" spans="1:3">
      <c r="A1484" s="57">
        <v>905</v>
      </c>
      <c r="B1484" s="65" t="s">
        <v>63</v>
      </c>
      <c r="C1484" s="51"/>
    </row>
    <row r="1485" spans="1:3">
      <c r="A1485" s="57">
        <v>906</v>
      </c>
      <c r="B1485" s="65" t="s">
        <v>912</v>
      </c>
      <c r="C1485" s="51"/>
    </row>
    <row r="1486" spans="1:3">
      <c r="A1486" s="57">
        <v>907</v>
      </c>
      <c r="B1486" s="59" t="s">
        <v>913</v>
      </c>
      <c r="C1486" s="51"/>
    </row>
    <row r="1487" spans="1:3">
      <c r="A1487" s="57">
        <v>908</v>
      </c>
      <c r="B1487" s="58" t="s">
        <v>1321</v>
      </c>
      <c r="C1487" s="51"/>
    </row>
    <row r="1488" spans="1:3">
      <c r="A1488" s="57">
        <v>909</v>
      </c>
      <c r="B1488" s="59" t="s">
        <v>1322</v>
      </c>
      <c r="C1488" s="51"/>
    </row>
    <row r="1489" spans="1:3">
      <c r="A1489" s="55">
        <v>1000</v>
      </c>
      <c r="B1489" s="62" t="s">
        <v>1030</v>
      </c>
      <c r="C1489" s="51"/>
    </row>
    <row r="1490" spans="1:3">
      <c r="A1490" s="57">
        <v>1001</v>
      </c>
      <c r="B1490" s="59" t="s">
        <v>429</v>
      </c>
      <c r="C1490" s="51"/>
    </row>
    <row r="1491" spans="1:3">
      <c r="A1491" s="57">
        <v>1002</v>
      </c>
      <c r="B1491" s="59" t="s">
        <v>82</v>
      </c>
      <c r="C1491" s="51"/>
    </row>
    <row r="1492" spans="1:3">
      <c r="A1492" s="57">
        <v>1003</v>
      </c>
      <c r="B1492" s="59" t="s">
        <v>357</v>
      </c>
      <c r="C1492" s="51"/>
    </row>
    <row r="1493" spans="1:3">
      <c r="A1493" s="57">
        <v>1004</v>
      </c>
      <c r="B1493" s="58" t="s">
        <v>1031</v>
      </c>
      <c r="C1493" s="51"/>
    </row>
    <row r="1494" spans="1:3">
      <c r="A1494" s="57">
        <v>1005</v>
      </c>
      <c r="B1494" s="59" t="s">
        <v>1034</v>
      </c>
      <c r="C1494" s="51"/>
    </row>
    <row r="1495" spans="1:3">
      <c r="A1495" s="57">
        <v>1006</v>
      </c>
      <c r="B1495" s="59" t="s">
        <v>83</v>
      </c>
      <c r="C1495" s="51"/>
    </row>
    <row r="1496" spans="1:3">
      <c r="A1496" s="55">
        <v>1100</v>
      </c>
      <c r="B1496" s="62" t="s">
        <v>1323</v>
      </c>
      <c r="C1496" s="51"/>
    </row>
    <row r="1497" spans="1:3">
      <c r="A1497" s="57">
        <v>1101</v>
      </c>
      <c r="B1497" s="59" t="s">
        <v>1324</v>
      </c>
      <c r="C1497" s="51"/>
    </row>
    <row r="1498" spans="1:3">
      <c r="A1498" s="57">
        <v>1102</v>
      </c>
      <c r="B1498" s="65" t="s">
        <v>1325</v>
      </c>
      <c r="C1498" s="51"/>
    </row>
    <row r="1499" spans="1:3">
      <c r="A1499" s="57">
        <v>1103</v>
      </c>
      <c r="B1499" s="59" t="s">
        <v>1326</v>
      </c>
      <c r="C1499" s="51"/>
    </row>
    <row r="1500" spans="1:3">
      <c r="A1500" s="57">
        <v>1104</v>
      </c>
      <c r="B1500" s="59" t="s">
        <v>1327</v>
      </c>
      <c r="C1500" s="51"/>
    </row>
    <row r="1501" spans="1:3">
      <c r="A1501" s="57">
        <v>1105</v>
      </c>
      <c r="B1501" s="59" t="s">
        <v>1328</v>
      </c>
      <c r="C1501" s="51"/>
    </row>
    <row r="1502" spans="1:3">
      <c r="A1502" s="55">
        <v>1200</v>
      </c>
      <c r="B1502" s="62" t="s">
        <v>1329</v>
      </c>
    </row>
    <row r="1503" spans="1:3">
      <c r="A1503" s="57">
        <v>1201</v>
      </c>
      <c r="B1503" s="59" t="s">
        <v>341</v>
      </c>
    </row>
    <row r="1504" spans="1:3">
      <c r="A1504" s="57">
        <v>1202</v>
      </c>
      <c r="B1504" s="59" t="s">
        <v>192</v>
      </c>
    </row>
    <row r="1505" spans="1:2">
      <c r="A1505" s="57">
        <v>1203</v>
      </c>
      <c r="B1505" s="59" t="s">
        <v>1330</v>
      </c>
    </row>
    <row r="1506" spans="1:2">
      <c r="A1506" s="57">
        <v>1204</v>
      </c>
      <c r="B1506" s="59" t="s">
        <v>1331</v>
      </c>
    </row>
    <row r="1507" spans="1:2">
      <c r="A1507" s="55">
        <v>1300</v>
      </c>
      <c r="B1507" s="62" t="s">
        <v>1332</v>
      </c>
    </row>
    <row r="1508" spans="1:2">
      <c r="A1508" s="57">
        <v>1301</v>
      </c>
      <c r="B1508" s="59" t="s">
        <v>511</v>
      </c>
    </row>
    <row r="1509" spans="1:2">
      <c r="A1509" s="57">
        <v>1302</v>
      </c>
      <c r="B1509" s="59" t="s">
        <v>860</v>
      </c>
    </row>
    <row r="1510" spans="1:2" ht="25.5">
      <c r="A1510" s="55">
        <v>1400</v>
      </c>
      <c r="B1510" s="62" t="s">
        <v>874</v>
      </c>
    </row>
    <row r="1511" spans="1:2">
      <c r="A1511" s="57">
        <v>1401</v>
      </c>
      <c r="B1511" s="59" t="s">
        <v>875</v>
      </c>
    </row>
    <row r="1512" spans="1:2">
      <c r="A1512" s="57">
        <v>1402</v>
      </c>
      <c r="B1512" s="59" t="s">
        <v>876</v>
      </c>
    </row>
    <row r="1513" spans="1:2" ht="25.5">
      <c r="A1513" s="57">
        <v>1403</v>
      </c>
      <c r="B1513" s="59" t="s">
        <v>877</v>
      </c>
    </row>
  </sheetData>
  <sheetProtection selectLockedCells="1" selectUnlockedCells="1"/>
  <phoneticPr fontId="0" type="noConversion"/>
  <pageMargins left="0.75" right="0.75" top="1" bottom="1" header="0.5" footer="0.5"/>
  <pageSetup paperSize="9" scale="77" fitToHeight="3"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Лист27"/>
  <dimension ref="A1:C3991"/>
  <sheetViews>
    <sheetView showGridLines="0" topLeftCell="A3972" zoomScaleSheetLayoutView="100" workbookViewId="0">
      <selection activeCell="B3988" sqref="B3988"/>
    </sheetView>
  </sheetViews>
  <sheetFormatPr defaultColWidth="9.140625" defaultRowHeight="12.75"/>
  <cols>
    <col min="1" max="1" width="11.85546875" style="67" customWidth="1"/>
    <col min="2" max="2" width="110.5703125" style="68" customWidth="1"/>
    <col min="3" max="16384" width="9.140625" style="94"/>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122">
        <v>10000</v>
      </c>
      <c r="B2036" s="120" t="s">
        <v>1396</v>
      </c>
    </row>
    <row r="2037" spans="1:2">
      <c r="A2037" s="122">
        <v>10100</v>
      </c>
      <c r="B2037" s="120" t="s">
        <v>424</v>
      </c>
    </row>
    <row r="2038" spans="1:2">
      <c r="A2038" s="122">
        <v>10200</v>
      </c>
      <c r="B2038" s="120" t="s">
        <v>1110</v>
      </c>
    </row>
    <row r="2039" spans="1:2">
      <c r="A2039" s="122">
        <v>10300</v>
      </c>
      <c r="B2039" s="120" t="s">
        <v>1093</v>
      </c>
    </row>
    <row r="2040" spans="1:2">
      <c r="A2040" s="122">
        <v>10400</v>
      </c>
      <c r="B2040" s="120" t="s">
        <v>1094</v>
      </c>
    </row>
    <row r="2041" spans="1:2" ht="25.5">
      <c r="A2041" s="122">
        <v>10500</v>
      </c>
      <c r="B2041" s="120" t="s">
        <v>1989</v>
      </c>
    </row>
    <row r="2042" spans="1:2">
      <c r="A2042" s="122">
        <v>10600</v>
      </c>
      <c r="B2042" s="120" t="s">
        <v>1677</v>
      </c>
    </row>
    <row r="2043" spans="1:2">
      <c r="A2043" s="122">
        <v>10700</v>
      </c>
      <c r="B2043" s="120" t="s">
        <v>1678</v>
      </c>
    </row>
    <row r="2044" spans="1:2">
      <c r="A2044" s="122">
        <v>10800</v>
      </c>
      <c r="B2044" s="120" t="s">
        <v>1886</v>
      </c>
    </row>
    <row r="2045" spans="1:2">
      <c r="A2045" s="122">
        <v>10900</v>
      </c>
      <c r="B2045" s="120" t="s">
        <v>1259</v>
      </c>
    </row>
    <row r="2046" spans="1:2">
      <c r="A2046" s="122">
        <v>11000</v>
      </c>
      <c r="B2046" s="120" t="s">
        <v>1260</v>
      </c>
    </row>
    <row r="2047" spans="1:2">
      <c r="A2047" s="122">
        <v>11100</v>
      </c>
      <c r="B2047" s="120" t="s">
        <v>1037</v>
      </c>
    </row>
    <row r="2048" spans="1:2">
      <c r="A2048" s="122">
        <v>11200</v>
      </c>
      <c r="B2048" s="120" t="s">
        <v>799</v>
      </c>
    </row>
    <row r="2049" spans="1:2">
      <c r="A2049" s="122">
        <v>11300</v>
      </c>
      <c r="B2049" s="120" t="s">
        <v>422</v>
      </c>
    </row>
    <row r="2050" spans="1:2">
      <c r="A2050" s="122">
        <v>11400</v>
      </c>
      <c r="B2050" s="120" t="s">
        <v>1174</v>
      </c>
    </row>
    <row r="2051" spans="1:2">
      <c r="A2051" s="122">
        <v>11500</v>
      </c>
      <c r="B2051" s="120" t="s">
        <v>1175</v>
      </c>
    </row>
    <row r="2052" spans="1:2">
      <c r="A2052" s="122">
        <v>11600</v>
      </c>
      <c r="B2052" s="120" t="s">
        <v>384</v>
      </c>
    </row>
    <row r="2053" spans="1:2">
      <c r="A2053" s="122">
        <v>11700</v>
      </c>
      <c r="B2053" s="120" t="s">
        <v>1228</v>
      </c>
    </row>
    <row r="2054" spans="1:2" ht="25.5">
      <c r="A2054" s="122">
        <v>11800</v>
      </c>
      <c r="B2054" s="120" t="s">
        <v>767</v>
      </c>
    </row>
    <row r="2055" spans="1:2">
      <c r="A2055" s="122">
        <v>11900</v>
      </c>
      <c r="B2055" s="120" t="s">
        <v>768</v>
      </c>
    </row>
    <row r="2056" spans="1:2" ht="76.5">
      <c r="A2056" s="122">
        <v>12000</v>
      </c>
      <c r="B2056" s="121" t="s">
        <v>1171</v>
      </c>
    </row>
    <row r="2057" spans="1:2">
      <c r="A2057" s="122">
        <v>12200</v>
      </c>
      <c r="B2057" s="120" t="s">
        <v>769</v>
      </c>
    </row>
    <row r="2058" spans="1:2">
      <c r="A2058" s="122">
        <v>12300</v>
      </c>
      <c r="B2058" s="120" t="s">
        <v>770</v>
      </c>
    </row>
    <row r="2059" spans="1:2">
      <c r="A2059" s="122">
        <v>12400</v>
      </c>
      <c r="B2059" s="120" t="s">
        <v>1585</v>
      </c>
    </row>
    <row r="2060" spans="1:2">
      <c r="A2060" s="122">
        <v>12500</v>
      </c>
      <c r="B2060" s="120" t="s">
        <v>1397</v>
      </c>
    </row>
    <row r="2061" spans="1:2">
      <c r="A2061" s="122">
        <v>12600</v>
      </c>
      <c r="B2061" s="120" t="s">
        <v>1398</v>
      </c>
    </row>
    <row r="2062" spans="1:2">
      <c r="A2062" s="122">
        <v>12700</v>
      </c>
      <c r="B2062" s="120" t="s">
        <v>530</v>
      </c>
    </row>
    <row r="2063" spans="1:2">
      <c r="A2063" s="122">
        <v>12900</v>
      </c>
      <c r="B2063" s="120" t="s">
        <v>1172</v>
      </c>
    </row>
    <row r="2064" spans="1:2">
      <c r="A2064" s="122">
        <v>13000</v>
      </c>
      <c r="B2064" s="120" t="s">
        <v>252</v>
      </c>
    </row>
    <row r="2065" spans="1:2">
      <c r="A2065" s="122">
        <v>13100</v>
      </c>
      <c r="B2065" s="120" t="s">
        <v>253</v>
      </c>
    </row>
    <row r="2066" spans="1:2">
      <c r="A2066" s="122">
        <v>13200</v>
      </c>
      <c r="B2066" s="120" t="s">
        <v>254</v>
      </c>
    </row>
    <row r="2067" spans="1:2">
      <c r="A2067" s="122">
        <v>13300</v>
      </c>
      <c r="B2067" s="120" t="s">
        <v>366</v>
      </c>
    </row>
    <row r="2068" spans="1:2">
      <c r="A2068" s="122">
        <v>13400</v>
      </c>
      <c r="B2068" s="120" t="s">
        <v>367</v>
      </c>
    </row>
    <row r="2069" spans="1:2" ht="25.5">
      <c r="A2069" s="122">
        <v>13500</v>
      </c>
      <c r="B2069" s="120" t="s">
        <v>1680</v>
      </c>
    </row>
    <row r="2070" spans="1:2">
      <c r="A2070" s="122">
        <v>13600</v>
      </c>
      <c r="B2070" s="120" t="s">
        <v>1255</v>
      </c>
    </row>
    <row r="2071" spans="1:2" ht="51">
      <c r="A2071" s="122">
        <v>13700</v>
      </c>
      <c r="B2071" s="121" t="s">
        <v>489</v>
      </c>
    </row>
    <row r="2072" spans="1:2">
      <c r="A2072" s="122">
        <v>13800</v>
      </c>
      <c r="B2072" s="120" t="s">
        <v>62</v>
      </c>
    </row>
    <row r="2073" spans="1:2">
      <c r="A2073" s="122">
        <v>13801</v>
      </c>
      <c r="B2073" s="120" t="s">
        <v>62</v>
      </c>
    </row>
    <row r="2074" spans="1:2" ht="25.5">
      <c r="A2074" s="122">
        <v>14000</v>
      </c>
      <c r="B2074" s="120" t="s">
        <v>1451</v>
      </c>
    </row>
    <row r="2075" spans="1:2">
      <c r="A2075" s="122">
        <v>14100</v>
      </c>
      <c r="B2075" s="120" t="s">
        <v>202</v>
      </c>
    </row>
    <row r="2076" spans="1:2" ht="25.5">
      <c r="A2076" s="122">
        <v>14200</v>
      </c>
      <c r="B2076" s="120" t="s">
        <v>1941</v>
      </c>
    </row>
    <row r="2077" spans="1:2">
      <c r="A2077" s="122">
        <v>14300</v>
      </c>
      <c r="B2077" s="120" t="s">
        <v>585</v>
      </c>
    </row>
    <row r="2078" spans="1:2" ht="25.5">
      <c r="A2078" s="122">
        <v>14400</v>
      </c>
      <c r="B2078" s="120" t="s">
        <v>1410</v>
      </c>
    </row>
    <row r="2079" spans="1:2" ht="25.5">
      <c r="A2079" s="122">
        <v>14500</v>
      </c>
      <c r="B2079" s="120" t="s">
        <v>222</v>
      </c>
    </row>
    <row r="2080" spans="1:2">
      <c r="A2080" s="122">
        <v>14600</v>
      </c>
      <c r="B2080" s="120" t="s">
        <v>223</v>
      </c>
    </row>
    <row r="2081" spans="1:2">
      <c r="A2081" s="122">
        <v>14700</v>
      </c>
      <c r="B2081" s="120" t="s">
        <v>96</v>
      </c>
    </row>
    <row r="2082" spans="1:2">
      <c r="A2082" s="122">
        <v>14900</v>
      </c>
      <c r="B2082" s="120" t="s">
        <v>1173</v>
      </c>
    </row>
    <row r="2083" spans="1:2" ht="25.5">
      <c r="A2083" s="122">
        <v>15100</v>
      </c>
      <c r="B2083" s="120" t="s">
        <v>594</v>
      </c>
    </row>
    <row r="2084" spans="1:2" ht="38.25">
      <c r="A2084" s="122">
        <v>15200</v>
      </c>
      <c r="B2084" s="120" t="s">
        <v>595</v>
      </c>
    </row>
    <row r="2085" spans="1:2" ht="25.5">
      <c r="A2085" s="122">
        <v>15300</v>
      </c>
      <c r="B2085" s="120" t="s">
        <v>596</v>
      </c>
    </row>
    <row r="2086" spans="1:2">
      <c r="A2086" s="122">
        <v>15500</v>
      </c>
      <c r="B2086" s="120" t="s">
        <v>576</v>
      </c>
    </row>
    <row r="2087" spans="1:2">
      <c r="A2087" s="122">
        <v>15800</v>
      </c>
      <c r="B2087" s="120" t="s">
        <v>577</v>
      </c>
    </row>
    <row r="2088" spans="1:2">
      <c r="A2088" s="122">
        <v>16700</v>
      </c>
      <c r="B2088" s="120" t="s">
        <v>53</v>
      </c>
    </row>
    <row r="2089" spans="1:2">
      <c r="A2089" s="122">
        <v>16800</v>
      </c>
      <c r="B2089" s="120" t="s">
        <v>616</v>
      </c>
    </row>
    <row r="2090" spans="1:2">
      <c r="A2090" s="122">
        <v>16801</v>
      </c>
      <c r="B2090" s="120" t="s">
        <v>388</v>
      </c>
    </row>
    <row r="2091" spans="1:2" ht="25.5">
      <c r="A2091" s="122">
        <v>16802</v>
      </c>
      <c r="B2091" s="120" t="s">
        <v>166</v>
      </c>
    </row>
    <row r="2092" spans="1:2">
      <c r="A2092" s="122">
        <v>17000</v>
      </c>
      <c r="B2092" s="120" t="s">
        <v>890</v>
      </c>
    </row>
    <row r="2093" spans="1:2">
      <c r="A2093" s="122">
        <v>17100</v>
      </c>
      <c r="B2093" s="120" t="s">
        <v>891</v>
      </c>
    </row>
    <row r="2094" spans="1:2">
      <c r="A2094" s="122">
        <v>17101</v>
      </c>
      <c r="B2094" s="120" t="s">
        <v>294</v>
      </c>
    </row>
    <row r="2095" spans="1:2">
      <c r="A2095" s="122">
        <v>17102</v>
      </c>
      <c r="B2095" s="120" t="s">
        <v>174</v>
      </c>
    </row>
    <row r="2096" spans="1:2">
      <c r="A2096" s="122">
        <v>17103</v>
      </c>
      <c r="B2096" s="120" t="s">
        <v>175</v>
      </c>
    </row>
    <row r="2097" spans="1:2">
      <c r="A2097" s="122">
        <v>17200</v>
      </c>
      <c r="B2097" s="120" t="s">
        <v>238</v>
      </c>
    </row>
    <row r="2098" spans="1:2">
      <c r="A2098" s="122">
        <v>17201</v>
      </c>
      <c r="B2098" s="120" t="s">
        <v>630</v>
      </c>
    </row>
    <row r="2099" spans="1:2">
      <c r="A2099" s="122">
        <v>17202</v>
      </c>
      <c r="B2099" s="120" t="s">
        <v>631</v>
      </c>
    </row>
    <row r="2100" spans="1:2">
      <c r="A2100" s="122">
        <v>17203</v>
      </c>
      <c r="B2100" s="120" t="s">
        <v>574</v>
      </c>
    </row>
    <row r="2101" spans="1:2">
      <c r="A2101" s="122">
        <v>17500</v>
      </c>
      <c r="B2101" s="120" t="s">
        <v>1226</v>
      </c>
    </row>
    <row r="2102" spans="1:2">
      <c r="A2102" s="122">
        <v>17600</v>
      </c>
      <c r="B2102" s="120" t="s">
        <v>1112</v>
      </c>
    </row>
    <row r="2103" spans="1:2">
      <c r="A2103" s="122">
        <v>17900</v>
      </c>
      <c r="B2103" s="120" t="s">
        <v>1113</v>
      </c>
    </row>
    <row r="2104" spans="1:2">
      <c r="A2104" s="122">
        <v>18200</v>
      </c>
      <c r="B2104" s="120" t="s">
        <v>1114</v>
      </c>
    </row>
    <row r="2105" spans="1:2">
      <c r="A2105" s="122">
        <v>19900</v>
      </c>
      <c r="B2105" s="120" t="s">
        <v>57</v>
      </c>
    </row>
    <row r="2106" spans="1:2" ht="25.5">
      <c r="A2106" s="122">
        <v>20000</v>
      </c>
      <c r="B2106" s="120" t="s">
        <v>1596</v>
      </c>
    </row>
    <row r="2107" spans="1:2">
      <c r="A2107" s="122">
        <v>20300</v>
      </c>
      <c r="B2107" s="120" t="s">
        <v>922</v>
      </c>
    </row>
    <row r="2108" spans="1:2">
      <c r="A2108" s="122">
        <v>20400</v>
      </c>
      <c r="B2108" s="120" t="s">
        <v>1094</v>
      </c>
    </row>
    <row r="2109" spans="1:2">
      <c r="A2109" s="122">
        <v>21100</v>
      </c>
      <c r="B2109" s="120" t="s">
        <v>1028</v>
      </c>
    </row>
    <row r="2110" spans="1:2">
      <c r="A2110" s="122">
        <v>21200</v>
      </c>
      <c r="B2110" s="120" t="s">
        <v>531</v>
      </c>
    </row>
    <row r="2111" spans="1:2">
      <c r="A2111" s="122">
        <v>22500</v>
      </c>
      <c r="B2111" s="120" t="s">
        <v>921</v>
      </c>
    </row>
    <row r="2112" spans="1:2">
      <c r="A2112" s="122">
        <v>100000</v>
      </c>
      <c r="B2112" s="120" t="s">
        <v>1121</v>
      </c>
    </row>
    <row r="2113" spans="1:2">
      <c r="A2113" s="122">
        <v>100100</v>
      </c>
      <c r="B2113" s="120" t="s">
        <v>1043</v>
      </c>
    </row>
    <row r="2114" spans="1:2">
      <c r="A2114" s="122">
        <v>100200</v>
      </c>
      <c r="B2114" s="120" t="s">
        <v>451</v>
      </c>
    </row>
    <row r="2115" spans="1:2">
      <c r="A2115" s="122">
        <v>200000</v>
      </c>
      <c r="B2115" s="120" t="s">
        <v>1239</v>
      </c>
    </row>
    <row r="2116" spans="1:2">
      <c r="A2116" s="122">
        <v>200002</v>
      </c>
      <c r="B2116" s="120" t="s">
        <v>1818</v>
      </c>
    </row>
    <row r="2117" spans="1:2">
      <c r="A2117" s="122">
        <v>200003</v>
      </c>
      <c r="B2117" s="120" t="s">
        <v>781</v>
      </c>
    </row>
    <row r="2118" spans="1:2">
      <c r="A2118" s="122">
        <v>200100</v>
      </c>
      <c r="B2118" s="120" t="s">
        <v>1588</v>
      </c>
    </row>
    <row r="2119" spans="1:2">
      <c r="A2119" s="122">
        <v>200200</v>
      </c>
      <c r="B2119" s="120" t="s">
        <v>1104</v>
      </c>
    </row>
    <row r="2120" spans="1:2">
      <c r="A2120" s="122">
        <v>200300</v>
      </c>
      <c r="B2120" s="120" t="s">
        <v>1105</v>
      </c>
    </row>
    <row r="2121" spans="1:2" ht="25.5">
      <c r="A2121" s="122">
        <v>200400</v>
      </c>
      <c r="B2121" s="120" t="s">
        <v>1254</v>
      </c>
    </row>
    <row r="2122" spans="1:2">
      <c r="A2122" s="122">
        <v>210000</v>
      </c>
      <c r="B2122" s="120" t="s">
        <v>79</v>
      </c>
    </row>
    <row r="2123" spans="1:2">
      <c r="A2123" s="122">
        <v>219900</v>
      </c>
      <c r="B2123" s="120" t="s">
        <v>57</v>
      </c>
    </row>
    <row r="2124" spans="1:2">
      <c r="A2124" s="122">
        <v>300000</v>
      </c>
      <c r="B2124" s="120" t="s">
        <v>1049</v>
      </c>
    </row>
    <row r="2125" spans="1:2">
      <c r="A2125" s="122">
        <v>300100</v>
      </c>
      <c r="B2125" s="120" t="s">
        <v>1016</v>
      </c>
    </row>
    <row r="2126" spans="1:2">
      <c r="A2126" s="122">
        <v>300300</v>
      </c>
      <c r="B2126" s="120" t="s">
        <v>597</v>
      </c>
    </row>
    <row r="2127" spans="1:2">
      <c r="A2127" s="122">
        <v>300301</v>
      </c>
      <c r="B2127" s="120" t="s">
        <v>783</v>
      </c>
    </row>
    <row r="2128" spans="1:2">
      <c r="A2128" s="122">
        <v>300302</v>
      </c>
      <c r="B2128" s="120" t="s">
        <v>784</v>
      </c>
    </row>
    <row r="2129" spans="1:2">
      <c r="A2129" s="122">
        <v>300400</v>
      </c>
      <c r="B2129" s="120" t="s">
        <v>423</v>
      </c>
    </row>
    <row r="2130" spans="1:2">
      <c r="A2130" s="122">
        <v>300500</v>
      </c>
      <c r="B2130" s="120" t="s">
        <v>1315</v>
      </c>
    </row>
    <row r="2131" spans="1:2">
      <c r="A2131" s="122">
        <v>300600</v>
      </c>
      <c r="B2131" s="120" t="s">
        <v>1316</v>
      </c>
    </row>
    <row r="2132" spans="1:2">
      <c r="A2132" s="122">
        <v>300700</v>
      </c>
      <c r="B2132" s="120" t="s">
        <v>668</v>
      </c>
    </row>
    <row r="2133" spans="1:2">
      <c r="A2133" s="122">
        <v>300800</v>
      </c>
      <c r="B2133" s="120" t="s">
        <v>669</v>
      </c>
    </row>
    <row r="2134" spans="1:2" ht="25.5">
      <c r="A2134" s="122">
        <v>300900</v>
      </c>
      <c r="B2134" s="120" t="s">
        <v>598</v>
      </c>
    </row>
    <row r="2135" spans="1:2">
      <c r="A2135" s="122">
        <v>301000</v>
      </c>
      <c r="B2135" s="120" t="s">
        <v>599</v>
      </c>
    </row>
    <row r="2136" spans="1:2">
      <c r="A2136" s="122">
        <v>301100</v>
      </c>
      <c r="B2136" s="120" t="s">
        <v>600</v>
      </c>
    </row>
    <row r="2137" spans="1:2">
      <c r="A2137" s="122">
        <v>301200</v>
      </c>
      <c r="B2137" s="120" t="s">
        <v>601</v>
      </c>
    </row>
    <row r="2138" spans="1:2">
      <c r="A2138" s="122">
        <v>301300</v>
      </c>
      <c r="B2138" s="120" t="s">
        <v>602</v>
      </c>
    </row>
    <row r="2139" spans="1:2">
      <c r="A2139" s="122">
        <v>301400</v>
      </c>
      <c r="B2139" s="120" t="s">
        <v>603</v>
      </c>
    </row>
    <row r="2140" spans="1:2">
      <c r="A2140" s="122">
        <v>309600</v>
      </c>
      <c r="B2140" s="120" t="s">
        <v>670</v>
      </c>
    </row>
    <row r="2141" spans="1:2">
      <c r="A2141" s="122">
        <v>309700</v>
      </c>
      <c r="B2141" s="120" t="s">
        <v>1134</v>
      </c>
    </row>
    <row r="2142" spans="1:2">
      <c r="A2142" s="122">
        <v>309800</v>
      </c>
      <c r="B2142" s="120" t="s">
        <v>1135</v>
      </c>
    </row>
    <row r="2143" spans="1:2">
      <c r="A2143" s="122">
        <v>310000</v>
      </c>
      <c r="B2143" s="120" t="s">
        <v>397</v>
      </c>
    </row>
    <row r="2144" spans="1:2">
      <c r="A2144" s="122">
        <v>310100</v>
      </c>
      <c r="B2144" s="120" t="s">
        <v>1296</v>
      </c>
    </row>
    <row r="2145" spans="1:2">
      <c r="A2145" s="122">
        <v>310200</v>
      </c>
      <c r="B2145" s="120" t="s">
        <v>915</v>
      </c>
    </row>
    <row r="2146" spans="1:2">
      <c r="A2146" s="122">
        <v>310300</v>
      </c>
      <c r="B2146" s="120" t="s">
        <v>916</v>
      </c>
    </row>
    <row r="2147" spans="1:2">
      <c r="A2147" s="122">
        <v>320000</v>
      </c>
      <c r="B2147" s="120" t="s">
        <v>387</v>
      </c>
    </row>
    <row r="2148" spans="1:2">
      <c r="A2148" s="122">
        <v>326900</v>
      </c>
      <c r="B2148" s="120" t="s">
        <v>351</v>
      </c>
    </row>
    <row r="2149" spans="1:2">
      <c r="A2149" s="122">
        <v>329600</v>
      </c>
      <c r="B2149" s="120" t="s">
        <v>670</v>
      </c>
    </row>
    <row r="2150" spans="1:2">
      <c r="A2150" s="122">
        <v>329800</v>
      </c>
      <c r="B2150" s="120" t="s">
        <v>1135</v>
      </c>
    </row>
    <row r="2151" spans="1:2">
      <c r="A2151" s="122">
        <v>340000</v>
      </c>
      <c r="B2151" s="120" t="s">
        <v>433</v>
      </c>
    </row>
    <row r="2152" spans="1:2">
      <c r="A2152" s="122">
        <v>340100</v>
      </c>
      <c r="B2152" s="120" t="s">
        <v>80</v>
      </c>
    </row>
    <row r="2153" spans="1:2">
      <c r="A2153" s="122">
        <v>400000</v>
      </c>
      <c r="B2153" s="120" t="s">
        <v>1589</v>
      </c>
    </row>
    <row r="2154" spans="1:2">
      <c r="A2154" s="122">
        <v>400100</v>
      </c>
      <c r="B2154" s="120" t="s">
        <v>193</v>
      </c>
    </row>
    <row r="2155" spans="1:2">
      <c r="A2155" s="122">
        <v>400200</v>
      </c>
      <c r="B2155" s="120" t="s">
        <v>417</v>
      </c>
    </row>
    <row r="2156" spans="1:2">
      <c r="A2156" s="122">
        <v>500000</v>
      </c>
      <c r="B2156" s="120" t="s">
        <v>1689</v>
      </c>
    </row>
    <row r="2157" spans="1:2">
      <c r="A2157" s="122">
        <v>500100</v>
      </c>
      <c r="B2157" s="120" t="s">
        <v>1249</v>
      </c>
    </row>
    <row r="2158" spans="1:2">
      <c r="A2158" s="122">
        <v>509900</v>
      </c>
      <c r="B2158" s="120" t="s">
        <v>57</v>
      </c>
    </row>
    <row r="2159" spans="1:2">
      <c r="A2159" s="122">
        <v>600000</v>
      </c>
      <c r="B2159" s="120" t="s">
        <v>780</v>
      </c>
    </row>
    <row r="2160" spans="1:2">
      <c r="A2160" s="122">
        <v>600400</v>
      </c>
      <c r="B2160" s="120" t="s">
        <v>1094</v>
      </c>
    </row>
    <row r="2161" spans="1:2">
      <c r="A2161" s="122">
        <v>607900</v>
      </c>
      <c r="B2161" s="120" t="s">
        <v>1113</v>
      </c>
    </row>
    <row r="2162" spans="1:2">
      <c r="A2162" s="122">
        <v>609200</v>
      </c>
      <c r="B2162" s="120" t="s">
        <v>1620</v>
      </c>
    </row>
    <row r="2163" spans="1:2" ht="25.5">
      <c r="A2163" s="122">
        <v>609300</v>
      </c>
      <c r="B2163" s="120" t="s">
        <v>657</v>
      </c>
    </row>
    <row r="2164" spans="1:2">
      <c r="A2164" s="122">
        <v>609400</v>
      </c>
      <c r="B2164" s="120" t="s">
        <v>621</v>
      </c>
    </row>
    <row r="2165" spans="1:2">
      <c r="A2165" s="122">
        <v>609900</v>
      </c>
      <c r="B2165" s="120" t="s">
        <v>57</v>
      </c>
    </row>
    <row r="2166" spans="1:2">
      <c r="A2166" s="122">
        <v>610000</v>
      </c>
      <c r="B2166" s="120" t="s">
        <v>170</v>
      </c>
    </row>
    <row r="2167" spans="1:2" ht="25.5">
      <c r="A2167" s="122">
        <v>615600</v>
      </c>
      <c r="B2167" s="120" t="s">
        <v>325</v>
      </c>
    </row>
    <row r="2168" spans="1:2">
      <c r="A2168" s="122">
        <v>619000</v>
      </c>
      <c r="B2168" s="120" t="s">
        <v>942</v>
      </c>
    </row>
    <row r="2169" spans="1:2">
      <c r="A2169" s="122">
        <v>619100</v>
      </c>
      <c r="B2169" s="120" t="s">
        <v>22</v>
      </c>
    </row>
    <row r="2170" spans="1:2">
      <c r="A2170" s="122">
        <v>619200</v>
      </c>
      <c r="B2170" s="120" t="s">
        <v>1620</v>
      </c>
    </row>
    <row r="2171" spans="1:2">
      <c r="A2171" s="122">
        <v>619900</v>
      </c>
      <c r="B2171" s="120" t="s">
        <v>57</v>
      </c>
    </row>
    <row r="2172" spans="1:2">
      <c r="A2172" s="122">
        <v>650000</v>
      </c>
      <c r="B2172" s="120" t="s">
        <v>1815</v>
      </c>
    </row>
    <row r="2173" spans="1:2">
      <c r="A2173" s="122">
        <v>650100</v>
      </c>
      <c r="B2173" s="120" t="s">
        <v>867</v>
      </c>
    </row>
    <row r="2174" spans="1:2">
      <c r="A2174" s="122">
        <v>650300</v>
      </c>
      <c r="B2174" s="120" t="s">
        <v>723</v>
      </c>
    </row>
    <row r="2175" spans="1:2">
      <c r="A2175" s="122">
        <v>700000</v>
      </c>
      <c r="B2175" s="120" t="s">
        <v>820</v>
      </c>
    </row>
    <row r="2176" spans="1:2">
      <c r="A2176" s="122">
        <v>700100</v>
      </c>
      <c r="B2176" s="120" t="s">
        <v>640</v>
      </c>
    </row>
    <row r="2177" spans="1:2">
      <c r="A2177" s="122">
        <v>700200</v>
      </c>
      <c r="B2177" s="120" t="s">
        <v>622</v>
      </c>
    </row>
    <row r="2178" spans="1:2" ht="25.5">
      <c r="A2178" s="122">
        <v>700300</v>
      </c>
      <c r="B2178" s="120" t="s">
        <v>525</v>
      </c>
    </row>
    <row r="2179" spans="1:2">
      <c r="A2179" s="122">
        <v>700400</v>
      </c>
      <c r="B2179" s="120" t="s">
        <v>604</v>
      </c>
    </row>
    <row r="2180" spans="1:2">
      <c r="A2180" s="122">
        <v>700500</v>
      </c>
      <c r="B2180" s="120" t="s">
        <v>2126</v>
      </c>
    </row>
    <row r="2181" spans="1:2">
      <c r="A2181" s="122">
        <v>750000</v>
      </c>
      <c r="B2181" s="120" t="s">
        <v>863</v>
      </c>
    </row>
    <row r="2182" spans="1:2">
      <c r="A2182" s="122">
        <v>750100</v>
      </c>
      <c r="B2182" s="120" t="s">
        <v>863</v>
      </c>
    </row>
    <row r="2183" spans="1:2">
      <c r="A2183" s="122">
        <v>800000</v>
      </c>
      <c r="B2183" s="120" t="s">
        <v>667</v>
      </c>
    </row>
    <row r="2184" spans="1:2">
      <c r="A2184" s="122">
        <v>800100</v>
      </c>
      <c r="B2184" s="120" t="s">
        <v>864</v>
      </c>
    </row>
    <row r="2185" spans="1:2">
      <c r="A2185" s="122">
        <v>800200</v>
      </c>
      <c r="B2185" s="120" t="s">
        <v>865</v>
      </c>
    </row>
    <row r="2186" spans="1:2" ht="25.5">
      <c r="A2186" s="122">
        <v>809300</v>
      </c>
      <c r="B2186" s="120" t="s">
        <v>657</v>
      </c>
    </row>
    <row r="2187" spans="1:2">
      <c r="A2187" s="122">
        <v>810000</v>
      </c>
      <c r="B2187" s="120" t="s">
        <v>930</v>
      </c>
    </row>
    <row r="2188" spans="1:2" ht="25.5">
      <c r="A2188" s="122">
        <v>810100</v>
      </c>
      <c r="B2188" s="120" t="s">
        <v>1537</v>
      </c>
    </row>
    <row r="2189" spans="1:2">
      <c r="A2189" s="122">
        <v>810200</v>
      </c>
      <c r="B2189" s="120" t="s">
        <v>248</v>
      </c>
    </row>
    <row r="2190" spans="1:2" ht="25.5">
      <c r="A2190" s="122">
        <v>810300</v>
      </c>
      <c r="B2190" s="120" t="s">
        <v>492</v>
      </c>
    </row>
    <row r="2191" spans="1:2" ht="25.5">
      <c r="A2191" s="122">
        <v>810400</v>
      </c>
      <c r="B2191" s="120" t="s">
        <v>605</v>
      </c>
    </row>
    <row r="2192" spans="1:2">
      <c r="A2192" s="122">
        <v>815013</v>
      </c>
      <c r="B2192" s="120" t="s">
        <v>2682</v>
      </c>
    </row>
    <row r="2193" spans="1:2">
      <c r="A2193" s="122">
        <v>815800</v>
      </c>
      <c r="B2193" s="120" t="s">
        <v>577</v>
      </c>
    </row>
    <row r="2194" spans="1:2">
      <c r="A2194" s="122">
        <v>816800</v>
      </c>
      <c r="B2194" s="120" t="s">
        <v>54</v>
      </c>
    </row>
    <row r="2195" spans="1:2">
      <c r="A2195" s="122">
        <v>816801</v>
      </c>
      <c r="B2195" s="120" t="s">
        <v>388</v>
      </c>
    </row>
    <row r="2196" spans="1:2" ht="25.5">
      <c r="A2196" s="122">
        <v>816802</v>
      </c>
      <c r="B2196" s="120" t="s">
        <v>166</v>
      </c>
    </row>
    <row r="2197" spans="1:2">
      <c r="A2197" s="122">
        <v>816900</v>
      </c>
      <c r="B2197" s="120" t="s">
        <v>351</v>
      </c>
    </row>
    <row r="2198" spans="1:2">
      <c r="A2198" s="122">
        <v>817100</v>
      </c>
      <c r="B2198" s="120" t="s">
        <v>891</v>
      </c>
    </row>
    <row r="2199" spans="1:2">
      <c r="A2199" s="122">
        <v>817101</v>
      </c>
      <c r="B2199" s="120" t="s">
        <v>294</v>
      </c>
    </row>
    <row r="2200" spans="1:2">
      <c r="A2200" s="122">
        <v>817102</v>
      </c>
      <c r="B2200" s="120" t="s">
        <v>174</v>
      </c>
    </row>
    <row r="2201" spans="1:2">
      <c r="A2201" s="122">
        <v>817103</v>
      </c>
      <c r="B2201" s="120" t="s">
        <v>175</v>
      </c>
    </row>
    <row r="2202" spans="1:2">
      <c r="A2202" s="122">
        <v>817200</v>
      </c>
      <c r="B2202" s="120" t="s">
        <v>238</v>
      </c>
    </row>
    <row r="2203" spans="1:2">
      <c r="A2203" s="122">
        <v>817201</v>
      </c>
      <c r="B2203" s="120" t="s">
        <v>630</v>
      </c>
    </row>
    <row r="2204" spans="1:2">
      <c r="A2204" s="122">
        <v>817202</v>
      </c>
      <c r="B2204" s="120" t="s">
        <v>631</v>
      </c>
    </row>
    <row r="2205" spans="1:2">
      <c r="A2205" s="122">
        <v>817203</v>
      </c>
      <c r="B2205" s="120" t="s">
        <v>574</v>
      </c>
    </row>
    <row r="2206" spans="1:2">
      <c r="A2206" s="122">
        <v>817294</v>
      </c>
      <c r="B2206" s="120" t="s">
        <v>2626</v>
      </c>
    </row>
    <row r="2207" spans="1:2">
      <c r="A2207" s="122">
        <v>817600</v>
      </c>
      <c r="B2207" s="120" t="s">
        <v>1112</v>
      </c>
    </row>
    <row r="2208" spans="1:2">
      <c r="A2208" s="122">
        <v>818700</v>
      </c>
      <c r="B2208" s="120" t="s">
        <v>493</v>
      </c>
    </row>
    <row r="2209" spans="1:2">
      <c r="A2209" s="122">
        <v>818800</v>
      </c>
      <c r="B2209" s="120" t="s">
        <v>606</v>
      </c>
    </row>
    <row r="2210" spans="1:2">
      <c r="A2210" s="122">
        <v>819200</v>
      </c>
      <c r="B2210" s="120" t="s">
        <v>1620</v>
      </c>
    </row>
    <row r="2211" spans="1:2" ht="25.5">
      <c r="A2211" s="122">
        <v>819300</v>
      </c>
      <c r="B2211" s="120" t="s">
        <v>657</v>
      </c>
    </row>
    <row r="2212" spans="1:2">
      <c r="A2212" s="122">
        <v>819900</v>
      </c>
      <c r="B2212" s="120" t="s">
        <v>57</v>
      </c>
    </row>
    <row r="2213" spans="1:2" ht="25.5">
      <c r="A2213" s="122">
        <v>900000</v>
      </c>
      <c r="B2213" s="120" t="s">
        <v>494</v>
      </c>
    </row>
    <row r="2214" spans="1:2">
      <c r="A2214" s="122">
        <v>900100</v>
      </c>
      <c r="B2214" s="120" t="s">
        <v>495</v>
      </c>
    </row>
    <row r="2215" spans="1:2">
      <c r="A2215" s="122">
        <v>900200</v>
      </c>
      <c r="B2215" s="120" t="s">
        <v>607</v>
      </c>
    </row>
    <row r="2216" spans="1:2">
      <c r="A2216" s="122">
        <v>909900</v>
      </c>
      <c r="B2216" s="120" t="s">
        <v>57</v>
      </c>
    </row>
    <row r="2217" spans="1:2">
      <c r="A2217" s="122">
        <v>910000</v>
      </c>
      <c r="B2217" s="120" t="s">
        <v>257</v>
      </c>
    </row>
    <row r="2218" spans="1:2">
      <c r="A2218" s="122">
        <v>910100</v>
      </c>
      <c r="B2218" s="120" t="s">
        <v>204</v>
      </c>
    </row>
    <row r="2219" spans="1:2">
      <c r="A2219" s="122">
        <v>910101</v>
      </c>
      <c r="B2219" s="120" t="s">
        <v>490</v>
      </c>
    </row>
    <row r="2220" spans="1:2">
      <c r="A2220" s="122">
        <v>910200</v>
      </c>
      <c r="B2220" s="120" t="s">
        <v>491</v>
      </c>
    </row>
    <row r="2221" spans="1:2">
      <c r="A2221" s="122">
        <v>910300</v>
      </c>
      <c r="B2221" s="120" t="s">
        <v>608</v>
      </c>
    </row>
    <row r="2222" spans="1:2">
      <c r="A2222" s="122">
        <v>920000</v>
      </c>
      <c r="B2222" s="120" t="s">
        <v>709</v>
      </c>
    </row>
    <row r="2223" spans="1:2">
      <c r="A2223" s="122">
        <v>920100</v>
      </c>
      <c r="B2223" s="120" t="s">
        <v>609</v>
      </c>
    </row>
    <row r="2224" spans="1:2" ht="25.5">
      <c r="A2224" s="122">
        <v>920200</v>
      </c>
      <c r="B2224" s="120" t="s">
        <v>328</v>
      </c>
    </row>
    <row r="2225" spans="1:2">
      <c r="A2225" s="122">
        <v>920300</v>
      </c>
      <c r="B2225" s="120" t="s">
        <v>1316</v>
      </c>
    </row>
    <row r="2226" spans="1:2">
      <c r="A2226" s="122">
        <v>920301</v>
      </c>
      <c r="B2226" s="120" t="s">
        <v>718</v>
      </c>
    </row>
    <row r="2227" spans="1:2">
      <c r="A2227" s="122">
        <v>920303</v>
      </c>
      <c r="B2227" s="120" t="s">
        <v>719</v>
      </c>
    </row>
    <row r="2228" spans="1:2">
      <c r="A2228" s="122">
        <v>920305</v>
      </c>
      <c r="B2228" s="120" t="s">
        <v>707</v>
      </c>
    </row>
    <row r="2229" spans="1:2">
      <c r="A2229" s="122">
        <v>920400</v>
      </c>
      <c r="B2229" s="120" t="s">
        <v>211</v>
      </c>
    </row>
    <row r="2230" spans="1:2" ht="25.5">
      <c r="A2230" s="122">
        <v>920500</v>
      </c>
      <c r="B2230" s="120" t="s">
        <v>1936</v>
      </c>
    </row>
    <row r="2231" spans="1:2">
      <c r="A2231" s="122">
        <v>920600</v>
      </c>
      <c r="B2231" s="120" t="s">
        <v>1937</v>
      </c>
    </row>
    <row r="2232" spans="1:2">
      <c r="A2232" s="122">
        <v>920700</v>
      </c>
      <c r="B2232" s="120" t="s">
        <v>885</v>
      </c>
    </row>
    <row r="2233" spans="1:2" ht="25.5">
      <c r="A2233" s="122">
        <v>920800</v>
      </c>
      <c r="B2233" s="120" t="s">
        <v>376</v>
      </c>
    </row>
    <row r="2234" spans="1:2">
      <c r="A2234" s="122">
        <v>920900</v>
      </c>
      <c r="B2234" s="120" t="s">
        <v>245</v>
      </c>
    </row>
    <row r="2235" spans="1:2" ht="25.5">
      <c r="A2235" s="122">
        <v>921200</v>
      </c>
      <c r="B2235" s="120" t="s">
        <v>610</v>
      </c>
    </row>
    <row r="2236" spans="1:2" ht="25.5">
      <c r="A2236" s="122">
        <v>921300</v>
      </c>
      <c r="B2236" s="120" t="s">
        <v>611</v>
      </c>
    </row>
    <row r="2237" spans="1:2" ht="25.5">
      <c r="A2237" s="122">
        <v>921400</v>
      </c>
      <c r="B2237" s="120" t="s">
        <v>612</v>
      </c>
    </row>
    <row r="2238" spans="1:2" ht="51">
      <c r="A2238" s="122">
        <v>921500</v>
      </c>
      <c r="B2238" s="121" t="s">
        <v>1224</v>
      </c>
    </row>
    <row r="2239" spans="1:2">
      <c r="A2239" s="122">
        <v>921600</v>
      </c>
      <c r="B2239" s="120" t="s">
        <v>1225</v>
      </c>
    </row>
    <row r="2240" spans="1:2">
      <c r="A2240" s="122">
        <v>921700</v>
      </c>
      <c r="B2240" s="120" t="s">
        <v>1951</v>
      </c>
    </row>
    <row r="2241" spans="1:3" ht="25.5">
      <c r="A2241" s="122">
        <v>921800</v>
      </c>
      <c r="B2241" s="120" t="s">
        <v>1223</v>
      </c>
    </row>
    <row r="2242" spans="1:3" ht="25.5">
      <c r="A2242" s="122">
        <v>921900</v>
      </c>
      <c r="B2242" s="120" t="s">
        <v>1798</v>
      </c>
    </row>
    <row r="2243" spans="1:3" ht="25.5">
      <c r="A2243" s="122">
        <v>922000</v>
      </c>
      <c r="B2243" s="120" t="s">
        <v>1799</v>
      </c>
    </row>
    <row r="2244" spans="1:3" ht="25.5">
      <c r="A2244" s="122">
        <v>922100</v>
      </c>
      <c r="B2244" s="120" t="s">
        <v>1800</v>
      </c>
    </row>
    <row r="2245" spans="1:3" ht="38.25">
      <c r="A2245" s="122">
        <v>922400</v>
      </c>
      <c r="B2245" s="121" t="s">
        <v>1801</v>
      </c>
    </row>
    <row r="2246" spans="1:3" ht="25.5">
      <c r="A2246" s="122">
        <v>922500</v>
      </c>
      <c r="B2246" s="120" t="s">
        <v>1802</v>
      </c>
    </row>
    <row r="2247" spans="1:3" ht="76.5">
      <c r="A2247" s="122">
        <v>922600</v>
      </c>
      <c r="B2247" s="121" t="s">
        <v>1803</v>
      </c>
    </row>
    <row r="2248" spans="1:3">
      <c r="A2248" s="122">
        <v>922700</v>
      </c>
      <c r="B2248" s="120" t="s">
        <v>1804</v>
      </c>
    </row>
    <row r="2249" spans="1:3">
      <c r="A2249" s="122">
        <v>922800</v>
      </c>
      <c r="B2249" s="120" t="s">
        <v>1805</v>
      </c>
      <c r="C2249" s="94" t="s">
        <v>71</v>
      </c>
    </row>
    <row r="2250" spans="1:3">
      <c r="A2250" s="122">
        <v>922900</v>
      </c>
      <c r="B2250" s="120" t="s">
        <v>1806</v>
      </c>
    </row>
    <row r="2251" spans="1:3" ht="25.5">
      <c r="A2251" s="122">
        <v>923000</v>
      </c>
      <c r="B2251" s="120" t="s">
        <v>1807</v>
      </c>
    </row>
    <row r="2252" spans="1:3" ht="25.5">
      <c r="A2252" s="122">
        <v>923001</v>
      </c>
      <c r="B2252" s="120" t="s">
        <v>1808</v>
      </c>
    </row>
    <row r="2253" spans="1:3">
      <c r="A2253" s="122">
        <v>923100</v>
      </c>
      <c r="B2253" s="120" t="s">
        <v>1809</v>
      </c>
    </row>
    <row r="2254" spans="1:3">
      <c r="A2254" s="122">
        <v>923101</v>
      </c>
      <c r="B2254" s="120" t="s">
        <v>1810</v>
      </c>
    </row>
    <row r="2255" spans="1:3" ht="25.5">
      <c r="A2255" s="122">
        <v>923102</v>
      </c>
      <c r="B2255" s="120" t="s">
        <v>1811</v>
      </c>
    </row>
    <row r="2256" spans="1:3" ht="25.5">
      <c r="A2256" s="122">
        <v>923200</v>
      </c>
      <c r="B2256" s="120" t="s">
        <v>1812</v>
      </c>
    </row>
    <row r="2257" spans="1:2">
      <c r="A2257" s="122">
        <v>923400</v>
      </c>
      <c r="B2257" s="120" t="s">
        <v>1813</v>
      </c>
    </row>
    <row r="2258" spans="1:2" ht="38.25">
      <c r="A2258" s="122">
        <v>923403</v>
      </c>
      <c r="B2258" s="120" t="s">
        <v>2127</v>
      </c>
    </row>
    <row r="2259" spans="1:2">
      <c r="A2259" s="122">
        <v>923500</v>
      </c>
      <c r="B2259" s="120" t="s">
        <v>1814</v>
      </c>
    </row>
    <row r="2260" spans="1:2" ht="25.5">
      <c r="A2260" s="122">
        <v>923700</v>
      </c>
      <c r="B2260" s="120" t="s">
        <v>28</v>
      </c>
    </row>
    <row r="2261" spans="1:2" ht="25.5">
      <c r="A2261" s="122">
        <v>923800</v>
      </c>
      <c r="B2261" s="120" t="s">
        <v>29</v>
      </c>
    </row>
    <row r="2262" spans="1:2">
      <c r="A2262" s="122">
        <v>924000</v>
      </c>
      <c r="B2262" s="120" t="s">
        <v>30</v>
      </c>
    </row>
    <row r="2263" spans="1:2" ht="25.5">
      <c r="A2263" s="122">
        <v>924100</v>
      </c>
      <c r="B2263" s="120" t="s">
        <v>694</v>
      </c>
    </row>
    <row r="2264" spans="1:2" ht="25.5">
      <c r="A2264" s="122">
        <v>924200</v>
      </c>
      <c r="B2264" s="120" t="s">
        <v>695</v>
      </c>
    </row>
    <row r="2265" spans="1:2">
      <c r="A2265" s="122">
        <v>926600</v>
      </c>
      <c r="B2265" s="120" t="s">
        <v>425</v>
      </c>
    </row>
    <row r="2266" spans="1:2" ht="25.5">
      <c r="A2266" s="122">
        <v>928000</v>
      </c>
      <c r="B2266" s="120" t="s">
        <v>1164</v>
      </c>
    </row>
    <row r="2267" spans="1:2">
      <c r="A2267" s="122">
        <v>928400</v>
      </c>
      <c r="B2267" s="120" t="s">
        <v>1165</v>
      </c>
    </row>
    <row r="2268" spans="1:2">
      <c r="A2268" s="122">
        <v>928500</v>
      </c>
      <c r="B2268" s="120" t="s">
        <v>1170</v>
      </c>
    </row>
    <row r="2269" spans="1:2">
      <c r="A2269" s="122">
        <v>929900</v>
      </c>
      <c r="B2269" s="120" t="s">
        <v>57</v>
      </c>
    </row>
    <row r="2270" spans="1:2">
      <c r="A2270" s="122">
        <v>930000</v>
      </c>
      <c r="B2270" s="120" t="s">
        <v>626</v>
      </c>
    </row>
    <row r="2271" spans="1:2" ht="25.5">
      <c r="A2271" s="122">
        <v>930100</v>
      </c>
      <c r="B2271" s="120" t="s">
        <v>696</v>
      </c>
    </row>
    <row r="2272" spans="1:2">
      <c r="A2272" s="122">
        <v>936600</v>
      </c>
      <c r="B2272" s="120" t="s">
        <v>425</v>
      </c>
    </row>
    <row r="2273" spans="1:2">
      <c r="A2273" s="122">
        <v>939900</v>
      </c>
      <c r="B2273" s="120" t="s">
        <v>57</v>
      </c>
    </row>
    <row r="2274" spans="1:2">
      <c r="A2274" s="122">
        <v>940000</v>
      </c>
      <c r="B2274" s="120" t="s">
        <v>427</v>
      </c>
    </row>
    <row r="2275" spans="1:2">
      <c r="A2275" s="122">
        <v>948400</v>
      </c>
      <c r="B2275" s="120" t="s">
        <v>1658</v>
      </c>
    </row>
    <row r="2276" spans="1:2">
      <c r="A2276" s="122">
        <v>950000</v>
      </c>
      <c r="B2276" s="120" t="s">
        <v>697</v>
      </c>
    </row>
    <row r="2277" spans="1:2" ht="25.5">
      <c r="A2277" s="122">
        <v>960000</v>
      </c>
      <c r="B2277" s="120" t="s">
        <v>1290</v>
      </c>
    </row>
    <row r="2278" spans="1:2" ht="25.5">
      <c r="A2278" s="122">
        <v>960100</v>
      </c>
      <c r="B2278" s="120" t="s">
        <v>1291</v>
      </c>
    </row>
    <row r="2279" spans="1:2" ht="38.25">
      <c r="A2279" s="122">
        <v>960200</v>
      </c>
      <c r="B2279" s="120" t="s">
        <v>1286</v>
      </c>
    </row>
    <row r="2280" spans="1:2" ht="25.5">
      <c r="A2280" s="122">
        <v>960300</v>
      </c>
      <c r="B2280" s="120" t="s">
        <v>1287</v>
      </c>
    </row>
    <row r="2281" spans="1:2">
      <c r="A2281" s="122">
        <v>970000</v>
      </c>
      <c r="B2281" s="120" t="s">
        <v>1288</v>
      </c>
    </row>
    <row r="2282" spans="1:2">
      <c r="A2282" s="122">
        <v>970100</v>
      </c>
      <c r="B2282" s="120" t="s">
        <v>1289</v>
      </c>
    </row>
    <row r="2283" spans="1:2" ht="25.5">
      <c r="A2283" s="122">
        <v>980000</v>
      </c>
      <c r="B2283" s="120" t="s">
        <v>1863</v>
      </c>
    </row>
    <row r="2284" spans="1:2" ht="38.25">
      <c r="A2284" s="122">
        <v>980100</v>
      </c>
      <c r="B2284" s="120" t="s">
        <v>1378</v>
      </c>
    </row>
    <row r="2285" spans="1:2" ht="25.5">
      <c r="A2285" s="122">
        <v>980101</v>
      </c>
      <c r="B2285" s="120" t="s">
        <v>1102</v>
      </c>
    </row>
    <row r="2286" spans="1:2" ht="25.5">
      <c r="A2286" s="122">
        <v>980102</v>
      </c>
      <c r="B2286" s="120" t="s">
        <v>2128</v>
      </c>
    </row>
    <row r="2287" spans="1:2" ht="38.25">
      <c r="A2287" s="122">
        <v>980104</v>
      </c>
      <c r="B2287" s="120" t="s">
        <v>2129</v>
      </c>
    </row>
    <row r="2288" spans="1:2" ht="25.5">
      <c r="A2288" s="122">
        <v>980200</v>
      </c>
      <c r="B2288" s="120" t="s">
        <v>2130</v>
      </c>
    </row>
    <row r="2289" spans="1:2" ht="25.5">
      <c r="A2289" s="122">
        <v>980201</v>
      </c>
      <c r="B2289" s="120" t="s">
        <v>2131</v>
      </c>
    </row>
    <row r="2290" spans="1:2">
      <c r="A2290" s="122">
        <v>980202</v>
      </c>
      <c r="B2290" s="120" t="s">
        <v>2132</v>
      </c>
    </row>
    <row r="2291" spans="1:2" ht="25.5">
      <c r="A2291" s="122">
        <v>980204</v>
      </c>
      <c r="B2291" s="120" t="s">
        <v>1675</v>
      </c>
    </row>
    <row r="2292" spans="1:2" ht="25.5">
      <c r="A2292" s="122">
        <v>980300</v>
      </c>
      <c r="B2292" s="120" t="s">
        <v>1864</v>
      </c>
    </row>
    <row r="2293" spans="1:2">
      <c r="A2293" s="122">
        <v>990000</v>
      </c>
      <c r="B2293" s="120" t="s">
        <v>1865</v>
      </c>
    </row>
    <row r="2294" spans="1:2">
      <c r="A2294" s="122">
        <v>990100</v>
      </c>
      <c r="B2294" s="120" t="s">
        <v>1866</v>
      </c>
    </row>
    <row r="2295" spans="1:2">
      <c r="A2295" s="122" t="s">
        <v>1867</v>
      </c>
      <c r="B2295" s="120"/>
    </row>
    <row r="2296" spans="1:2" ht="25.5">
      <c r="A2296" s="122">
        <v>990102</v>
      </c>
      <c r="B2296" s="120" t="s">
        <v>1868</v>
      </c>
    </row>
    <row r="2297" spans="1:2">
      <c r="A2297" s="122">
        <v>990104</v>
      </c>
      <c r="B2297" s="120" t="s">
        <v>1869</v>
      </c>
    </row>
    <row r="2298" spans="1:2" ht="25.5">
      <c r="A2298" s="122">
        <v>990105</v>
      </c>
      <c r="B2298" s="120" t="s">
        <v>1870</v>
      </c>
    </row>
    <row r="2299" spans="1:2">
      <c r="A2299" s="122">
        <v>990106</v>
      </c>
      <c r="B2299" s="120" t="s">
        <v>1871</v>
      </c>
    </row>
    <row r="2300" spans="1:2">
      <c r="A2300" s="122">
        <v>990107</v>
      </c>
      <c r="B2300" s="120" t="s">
        <v>652</v>
      </c>
    </row>
    <row r="2301" spans="1:2" ht="25.5">
      <c r="A2301" s="122">
        <v>990108</v>
      </c>
      <c r="B2301" s="120" t="s">
        <v>653</v>
      </c>
    </row>
    <row r="2302" spans="1:2" ht="25.5">
      <c r="A2302" s="122">
        <v>990109</v>
      </c>
      <c r="B2302" s="120" t="s">
        <v>654</v>
      </c>
    </row>
    <row r="2303" spans="1:2" ht="25.5">
      <c r="A2303" s="122">
        <v>990110</v>
      </c>
      <c r="B2303" s="120" t="s">
        <v>655</v>
      </c>
    </row>
    <row r="2304" spans="1:2" ht="25.5">
      <c r="A2304" s="122">
        <v>990200</v>
      </c>
      <c r="B2304" s="120" t="s">
        <v>656</v>
      </c>
    </row>
    <row r="2305" spans="1:2" ht="25.5">
      <c r="A2305" s="122">
        <v>990201</v>
      </c>
      <c r="B2305" s="120" t="s">
        <v>649</v>
      </c>
    </row>
    <row r="2306" spans="1:2">
      <c r="A2306" s="122">
        <v>990300</v>
      </c>
      <c r="B2306" s="120" t="s">
        <v>1877</v>
      </c>
    </row>
    <row r="2307" spans="1:2" ht="25.5">
      <c r="A2307" s="122">
        <v>990302</v>
      </c>
      <c r="B2307" s="120" t="s">
        <v>1878</v>
      </c>
    </row>
    <row r="2308" spans="1:2" ht="25.5">
      <c r="A2308" s="122">
        <v>990400</v>
      </c>
      <c r="B2308" s="120" t="s">
        <v>1879</v>
      </c>
    </row>
    <row r="2309" spans="1:2" ht="51">
      <c r="A2309" s="122">
        <v>990401</v>
      </c>
      <c r="B2309" s="121" t="s">
        <v>1880</v>
      </c>
    </row>
    <row r="2310" spans="1:2" ht="38.25">
      <c r="A2310" s="122">
        <v>990402</v>
      </c>
      <c r="B2310" s="121" t="s">
        <v>1881</v>
      </c>
    </row>
    <row r="2311" spans="1:2" ht="63.75">
      <c r="A2311" s="122">
        <v>990403</v>
      </c>
      <c r="B2311" s="121" t="s">
        <v>736</v>
      </c>
    </row>
    <row r="2312" spans="1:2" ht="38.25">
      <c r="A2312" s="122">
        <v>990404</v>
      </c>
      <c r="B2312" s="120" t="s">
        <v>737</v>
      </c>
    </row>
    <row r="2313" spans="1:2" ht="38.25">
      <c r="A2313" s="122">
        <v>990405</v>
      </c>
      <c r="B2313" s="120" t="s">
        <v>100</v>
      </c>
    </row>
    <row r="2314" spans="1:2" ht="25.5">
      <c r="A2314" s="122">
        <v>990407</v>
      </c>
      <c r="B2314" s="120" t="s">
        <v>101</v>
      </c>
    </row>
    <row r="2315" spans="1:2">
      <c r="A2315" s="122" t="s">
        <v>102</v>
      </c>
      <c r="B2315" s="120"/>
    </row>
    <row r="2316" spans="1:2">
      <c r="A2316" s="122">
        <v>990600</v>
      </c>
      <c r="B2316" s="120" t="s">
        <v>103</v>
      </c>
    </row>
    <row r="2317" spans="1:2" ht="38.25">
      <c r="A2317" s="122">
        <v>990601</v>
      </c>
      <c r="B2317" s="120" t="s">
        <v>104</v>
      </c>
    </row>
    <row r="2318" spans="1:2">
      <c r="A2318" s="122">
        <v>990700</v>
      </c>
      <c r="B2318" s="120" t="s">
        <v>105</v>
      </c>
    </row>
    <row r="2319" spans="1:2">
      <c r="A2319" s="122" t="s">
        <v>106</v>
      </c>
      <c r="B2319" s="120"/>
    </row>
    <row r="2320" spans="1:2">
      <c r="A2320" s="122">
        <v>990701</v>
      </c>
      <c r="B2320" s="120" t="s">
        <v>107</v>
      </c>
    </row>
    <row r="2321" spans="1:2">
      <c r="A2321" s="122" t="s">
        <v>108</v>
      </c>
      <c r="B2321" s="120"/>
    </row>
    <row r="2322" spans="1:2" ht="25.5">
      <c r="A2322" s="122">
        <v>990702</v>
      </c>
      <c r="B2322" s="120" t="s">
        <v>109</v>
      </c>
    </row>
    <row r="2323" spans="1:2">
      <c r="A2323" s="122">
        <v>990800</v>
      </c>
      <c r="B2323" s="120" t="s">
        <v>110</v>
      </c>
    </row>
    <row r="2324" spans="1:2">
      <c r="A2324" s="122">
        <v>990801</v>
      </c>
      <c r="B2324" s="120" t="s">
        <v>111</v>
      </c>
    </row>
    <row r="2325" spans="1:2">
      <c r="A2325" s="122">
        <v>1000000</v>
      </c>
      <c r="B2325" s="120" t="s">
        <v>785</v>
      </c>
    </row>
    <row r="2326" spans="1:2">
      <c r="A2326" s="122">
        <v>1000100</v>
      </c>
      <c r="B2326" s="120" t="s">
        <v>385</v>
      </c>
    </row>
    <row r="2327" spans="1:2">
      <c r="A2327" s="122">
        <v>1000101</v>
      </c>
      <c r="B2327" s="120" t="s">
        <v>386</v>
      </c>
    </row>
    <row r="2328" spans="1:2">
      <c r="A2328" s="122">
        <v>1000102</v>
      </c>
      <c r="B2328" s="120" t="s">
        <v>184</v>
      </c>
    </row>
    <row r="2329" spans="1:2">
      <c r="A2329" s="122">
        <v>1000103</v>
      </c>
      <c r="B2329" s="120" t="s">
        <v>878</v>
      </c>
    </row>
    <row r="2330" spans="1:2">
      <c r="A2330" s="122">
        <v>1000104</v>
      </c>
      <c r="B2330" s="120" t="s">
        <v>112</v>
      </c>
    </row>
    <row r="2331" spans="1:2">
      <c r="A2331" s="122">
        <v>1000105</v>
      </c>
      <c r="B2331" s="120" t="s">
        <v>879</v>
      </c>
    </row>
    <row r="2332" spans="1:2">
      <c r="A2332" s="122">
        <v>1000106</v>
      </c>
      <c r="B2332" s="120" t="s">
        <v>113</v>
      </c>
    </row>
    <row r="2333" spans="1:2">
      <c r="A2333" s="122">
        <v>1000107</v>
      </c>
      <c r="B2333" s="120" t="s">
        <v>880</v>
      </c>
    </row>
    <row r="2334" spans="1:2">
      <c r="A2334" s="122">
        <v>1000108</v>
      </c>
      <c r="B2334" s="120" t="s">
        <v>114</v>
      </c>
    </row>
    <row r="2335" spans="1:2">
      <c r="A2335" s="122">
        <v>1000109</v>
      </c>
      <c r="B2335" s="120" t="s">
        <v>115</v>
      </c>
    </row>
    <row r="2336" spans="1:2">
      <c r="A2336" s="122">
        <v>1000110</v>
      </c>
      <c r="B2336" s="120" t="s">
        <v>116</v>
      </c>
    </row>
    <row r="2337" spans="1:2" ht="25.5">
      <c r="A2337" s="122">
        <v>1000112</v>
      </c>
      <c r="B2337" s="120" t="s">
        <v>1116</v>
      </c>
    </row>
    <row r="2338" spans="1:2">
      <c r="A2338" s="122">
        <v>1000113</v>
      </c>
      <c r="B2338" s="120" t="s">
        <v>498</v>
      </c>
    </row>
    <row r="2339" spans="1:2">
      <c r="A2339" s="122">
        <v>1000200</v>
      </c>
      <c r="B2339" s="120" t="s">
        <v>117</v>
      </c>
    </row>
    <row r="2340" spans="1:2">
      <c r="A2340" s="122">
        <v>1000201</v>
      </c>
      <c r="B2340" s="120" t="s">
        <v>118</v>
      </c>
    </row>
    <row r="2341" spans="1:2">
      <c r="A2341" s="122">
        <v>1000202</v>
      </c>
      <c r="B2341" s="120" t="s">
        <v>119</v>
      </c>
    </row>
    <row r="2342" spans="1:2" ht="25.5">
      <c r="A2342" s="122">
        <v>1000203</v>
      </c>
      <c r="B2342" s="120" t="s">
        <v>2133</v>
      </c>
    </row>
    <row r="2343" spans="1:2">
      <c r="A2343" s="122">
        <v>1000204</v>
      </c>
      <c r="B2343" s="120" t="s">
        <v>120</v>
      </c>
    </row>
    <row r="2344" spans="1:2">
      <c r="A2344" s="122">
        <v>1000300</v>
      </c>
      <c r="B2344" s="120" t="s">
        <v>121</v>
      </c>
    </row>
    <row r="2345" spans="1:2" ht="25.5">
      <c r="A2345" s="122">
        <v>1000400</v>
      </c>
      <c r="B2345" s="120" t="s">
        <v>122</v>
      </c>
    </row>
    <row r="2346" spans="1:2">
      <c r="A2346" s="122">
        <v>1000500</v>
      </c>
      <c r="B2346" s="120" t="s">
        <v>395</v>
      </c>
    </row>
    <row r="2347" spans="1:2">
      <c r="A2347" s="122">
        <v>1000502</v>
      </c>
      <c r="B2347" s="120" t="s">
        <v>826</v>
      </c>
    </row>
    <row r="2348" spans="1:2">
      <c r="A2348" s="122">
        <v>1000503</v>
      </c>
      <c r="B2348" s="120" t="s">
        <v>305</v>
      </c>
    </row>
    <row r="2349" spans="1:2">
      <c r="A2349" s="122">
        <v>1000505</v>
      </c>
      <c r="B2349" s="120" t="s">
        <v>123</v>
      </c>
    </row>
    <row r="2350" spans="1:2">
      <c r="A2350" s="122">
        <v>1000506</v>
      </c>
      <c r="B2350" s="120" t="s">
        <v>124</v>
      </c>
    </row>
    <row r="2351" spans="1:2">
      <c r="A2351" s="122">
        <v>1000507</v>
      </c>
      <c r="B2351" s="120" t="s">
        <v>306</v>
      </c>
    </row>
    <row r="2352" spans="1:2">
      <c r="A2352" s="122">
        <v>1000509</v>
      </c>
      <c r="B2352" s="120" t="s">
        <v>307</v>
      </c>
    </row>
    <row r="2353" spans="1:2">
      <c r="A2353" s="122">
        <v>1000510</v>
      </c>
      <c r="B2353" s="120" t="s">
        <v>125</v>
      </c>
    </row>
    <row r="2354" spans="1:2">
      <c r="A2354" s="122">
        <v>1000512</v>
      </c>
      <c r="B2354" s="120" t="s">
        <v>126</v>
      </c>
    </row>
    <row r="2355" spans="1:2">
      <c r="A2355" s="122">
        <v>1000600</v>
      </c>
      <c r="B2355" s="120" t="s">
        <v>756</v>
      </c>
    </row>
    <row r="2356" spans="1:2">
      <c r="A2356" s="122">
        <v>1000700</v>
      </c>
      <c r="B2356" s="120" t="s">
        <v>960</v>
      </c>
    </row>
    <row r="2357" spans="1:2">
      <c r="A2357" s="122">
        <v>1000701</v>
      </c>
      <c r="B2357" s="120" t="s">
        <v>504</v>
      </c>
    </row>
    <row r="2358" spans="1:2" ht="25.5">
      <c r="A2358" s="122">
        <v>1000702</v>
      </c>
      <c r="B2358" s="120" t="s">
        <v>757</v>
      </c>
    </row>
    <row r="2359" spans="1:2" ht="25.5">
      <c r="A2359" s="122">
        <v>1000900</v>
      </c>
      <c r="B2359" s="120" t="s">
        <v>1503</v>
      </c>
    </row>
    <row r="2360" spans="1:2">
      <c r="A2360" s="122">
        <v>1001000</v>
      </c>
      <c r="B2360" s="120" t="s">
        <v>758</v>
      </c>
    </row>
    <row r="2361" spans="1:2" ht="25.5">
      <c r="A2361" s="122">
        <v>1001100</v>
      </c>
      <c r="B2361" s="120" t="s">
        <v>2208</v>
      </c>
    </row>
    <row r="2362" spans="1:2" ht="25.5">
      <c r="A2362" s="122">
        <v>1001102</v>
      </c>
      <c r="B2362" s="120" t="s">
        <v>2209</v>
      </c>
    </row>
    <row r="2363" spans="1:2" ht="25.5">
      <c r="A2363" s="122">
        <v>1001122</v>
      </c>
      <c r="B2363" s="120" t="s">
        <v>1372</v>
      </c>
    </row>
    <row r="2364" spans="1:2">
      <c r="A2364" s="122">
        <v>1001200</v>
      </c>
      <c r="B2364" s="120" t="s">
        <v>2134</v>
      </c>
    </row>
    <row r="2365" spans="1:2">
      <c r="A2365" s="122">
        <v>1001202</v>
      </c>
      <c r="B2365" s="120" t="s">
        <v>2135</v>
      </c>
    </row>
    <row r="2366" spans="1:2">
      <c r="A2366" s="122">
        <v>1001300</v>
      </c>
      <c r="B2366" s="120" t="s">
        <v>661</v>
      </c>
    </row>
    <row r="2367" spans="1:2">
      <c r="A2367" s="122">
        <v>1001301</v>
      </c>
      <c r="B2367" s="120" t="s">
        <v>662</v>
      </c>
    </row>
    <row r="2368" spans="1:2">
      <c r="A2368" s="122">
        <v>1001302</v>
      </c>
      <c r="B2368" s="120" t="s">
        <v>663</v>
      </c>
    </row>
    <row r="2369" spans="1:2">
      <c r="A2369" s="122">
        <v>1001303</v>
      </c>
      <c r="B2369" s="120" t="s">
        <v>1535</v>
      </c>
    </row>
    <row r="2370" spans="1:2">
      <c r="A2370" s="122">
        <v>1001400</v>
      </c>
      <c r="B2370" s="120" t="s">
        <v>1373</v>
      </c>
    </row>
    <row r="2371" spans="1:2" ht="25.5">
      <c r="A2371" s="122">
        <v>1001401</v>
      </c>
      <c r="B2371" s="120" t="s">
        <v>1369</v>
      </c>
    </row>
    <row r="2372" spans="1:2">
      <c r="A2372" s="122">
        <v>1001402</v>
      </c>
      <c r="B2372" s="120" t="s">
        <v>1370</v>
      </c>
    </row>
    <row r="2373" spans="1:2">
      <c r="A2373" s="122">
        <v>1001500</v>
      </c>
      <c r="B2373" s="120" t="s">
        <v>1371</v>
      </c>
    </row>
    <row r="2374" spans="1:2">
      <c r="A2374" s="122">
        <v>1001600</v>
      </c>
      <c r="B2374" s="120" t="s">
        <v>969</v>
      </c>
    </row>
    <row r="2375" spans="1:2">
      <c r="A2375" s="122">
        <v>1001700</v>
      </c>
      <c r="B2375" s="120" t="s">
        <v>1908</v>
      </c>
    </row>
    <row r="2376" spans="1:2" ht="25.5">
      <c r="A2376" s="122">
        <v>1001800</v>
      </c>
      <c r="B2376" s="120" t="s">
        <v>298</v>
      </c>
    </row>
    <row r="2377" spans="1:2">
      <c r="A2377" s="122">
        <v>1001900</v>
      </c>
      <c r="B2377" s="120" t="s">
        <v>1909</v>
      </c>
    </row>
    <row r="2378" spans="1:2" ht="25.5">
      <c r="A2378" s="122">
        <v>1001901</v>
      </c>
      <c r="B2378" s="120" t="s">
        <v>1910</v>
      </c>
    </row>
    <row r="2379" spans="1:2" ht="25.5">
      <c r="A2379" s="122">
        <v>1001902</v>
      </c>
      <c r="B2379" s="120" t="s">
        <v>1630</v>
      </c>
    </row>
    <row r="2380" spans="1:2">
      <c r="A2380" s="122">
        <v>1002000</v>
      </c>
      <c r="B2380" s="120" t="s">
        <v>1631</v>
      </c>
    </row>
    <row r="2381" spans="1:2" ht="25.5">
      <c r="A2381" s="122">
        <v>1002100</v>
      </c>
      <c r="B2381" s="120" t="s">
        <v>481</v>
      </c>
    </row>
    <row r="2382" spans="1:2">
      <c r="A2382" s="122">
        <v>1002200</v>
      </c>
      <c r="B2382" s="120" t="s">
        <v>1632</v>
      </c>
    </row>
    <row r="2383" spans="1:2">
      <c r="A2383" s="122">
        <v>1002201</v>
      </c>
      <c r="B2383" s="120" t="s">
        <v>1633</v>
      </c>
    </row>
    <row r="2384" spans="1:2">
      <c r="A2384" s="122">
        <v>1002203</v>
      </c>
      <c r="B2384" s="120" t="s">
        <v>1634</v>
      </c>
    </row>
    <row r="2385" spans="1:2">
      <c r="A2385" s="122">
        <v>1002204</v>
      </c>
      <c r="B2385" s="120" t="s">
        <v>1635</v>
      </c>
    </row>
    <row r="2386" spans="1:2">
      <c r="A2386" s="122">
        <v>1002208</v>
      </c>
      <c r="B2386" s="120" t="s">
        <v>1636</v>
      </c>
    </row>
    <row r="2387" spans="1:2">
      <c r="A2387" s="122">
        <v>1002209</v>
      </c>
      <c r="B2387" s="120" t="s">
        <v>1637</v>
      </c>
    </row>
    <row r="2388" spans="1:2" ht="25.5">
      <c r="A2388" s="122">
        <v>1002211</v>
      </c>
      <c r="B2388" s="120" t="s">
        <v>1638</v>
      </c>
    </row>
    <row r="2389" spans="1:2" ht="25.5">
      <c r="A2389" s="122">
        <v>1002300</v>
      </c>
      <c r="B2389" s="120" t="s">
        <v>1639</v>
      </c>
    </row>
    <row r="2390" spans="1:2">
      <c r="A2390" s="122">
        <v>1002301</v>
      </c>
      <c r="B2390" s="120" t="s">
        <v>1311</v>
      </c>
    </row>
    <row r="2391" spans="1:2">
      <c r="A2391" s="122">
        <v>1002302</v>
      </c>
      <c r="B2391" s="120" t="s">
        <v>1312</v>
      </c>
    </row>
    <row r="2392" spans="1:2">
      <c r="A2392" s="122">
        <v>1002303</v>
      </c>
      <c r="B2392" s="120" t="s">
        <v>293</v>
      </c>
    </row>
    <row r="2393" spans="1:2">
      <c r="A2393" s="122">
        <v>1002304</v>
      </c>
      <c r="B2393" s="120" t="s">
        <v>1659</v>
      </c>
    </row>
    <row r="2394" spans="1:2">
      <c r="A2394" s="122">
        <v>1002305</v>
      </c>
      <c r="B2394" s="120" t="s">
        <v>883</v>
      </c>
    </row>
    <row r="2395" spans="1:2">
      <c r="A2395" s="122">
        <v>1002306</v>
      </c>
      <c r="B2395" s="120" t="s">
        <v>884</v>
      </c>
    </row>
    <row r="2396" spans="1:2">
      <c r="A2396" s="122">
        <v>1002307</v>
      </c>
      <c r="B2396" s="120" t="s">
        <v>228</v>
      </c>
    </row>
    <row r="2397" spans="1:2">
      <c r="A2397" s="122">
        <v>1002308</v>
      </c>
      <c r="B2397" s="120" t="s">
        <v>716</v>
      </c>
    </row>
    <row r="2398" spans="1:2">
      <c r="A2398" s="122">
        <v>1002309</v>
      </c>
      <c r="B2398" s="120" t="s">
        <v>1938</v>
      </c>
    </row>
    <row r="2399" spans="1:2" ht="25.5">
      <c r="A2399" s="122">
        <v>1002500</v>
      </c>
      <c r="B2399" s="120" t="s">
        <v>1686</v>
      </c>
    </row>
    <row r="2400" spans="1:2" ht="25.5">
      <c r="A2400" s="122">
        <v>1002601</v>
      </c>
      <c r="B2400" s="120" t="s">
        <v>1640</v>
      </c>
    </row>
    <row r="2401" spans="1:2">
      <c r="A2401" s="122">
        <v>1002602</v>
      </c>
      <c r="B2401" s="120" t="s">
        <v>1641</v>
      </c>
    </row>
    <row r="2402" spans="1:2">
      <c r="A2402" s="122">
        <v>1002603</v>
      </c>
      <c r="B2402" s="120" t="s">
        <v>1642</v>
      </c>
    </row>
    <row r="2403" spans="1:2" ht="25.5">
      <c r="A2403" s="122">
        <v>1002604</v>
      </c>
      <c r="B2403" s="120" t="s">
        <v>1643</v>
      </c>
    </row>
    <row r="2404" spans="1:2">
      <c r="A2404" s="122">
        <v>1002605</v>
      </c>
      <c r="B2404" s="120" t="s">
        <v>1644</v>
      </c>
    </row>
    <row r="2405" spans="1:2" ht="25.5">
      <c r="A2405" s="122">
        <v>1002606</v>
      </c>
      <c r="B2405" s="120" t="s">
        <v>1645</v>
      </c>
    </row>
    <row r="2406" spans="1:2">
      <c r="A2406" s="122">
        <v>1002607</v>
      </c>
      <c r="B2406" s="120" t="s">
        <v>1646</v>
      </c>
    </row>
    <row r="2407" spans="1:2">
      <c r="A2407" s="122">
        <v>1002608</v>
      </c>
      <c r="B2407" s="120" t="s">
        <v>1647</v>
      </c>
    </row>
    <row r="2408" spans="1:2" ht="25.5">
      <c r="A2408" s="122">
        <v>1002609</v>
      </c>
      <c r="B2408" s="120" t="s">
        <v>1648</v>
      </c>
    </row>
    <row r="2409" spans="1:2" ht="25.5">
      <c r="A2409" s="122">
        <v>1002610</v>
      </c>
      <c r="B2409" s="120" t="s">
        <v>1911</v>
      </c>
    </row>
    <row r="2410" spans="1:2" ht="25.5">
      <c r="A2410" s="122">
        <v>1002611</v>
      </c>
      <c r="B2410" s="120" t="s">
        <v>1912</v>
      </c>
    </row>
    <row r="2411" spans="1:2" ht="25.5">
      <c r="A2411" s="122">
        <v>1002612</v>
      </c>
      <c r="B2411" s="120" t="s">
        <v>1913</v>
      </c>
    </row>
    <row r="2412" spans="1:2" ht="25.5">
      <c r="A2412" s="122">
        <v>1002613</v>
      </c>
      <c r="B2412" s="120" t="s">
        <v>1914</v>
      </c>
    </row>
    <row r="2413" spans="1:2" ht="25.5">
      <c r="A2413" s="122">
        <v>1002614</v>
      </c>
      <c r="B2413" s="120" t="s">
        <v>1915</v>
      </c>
    </row>
    <row r="2414" spans="1:2" ht="25.5">
      <c r="A2414" s="122">
        <v>1002615</v>
      </c>
      <c r="B2414" s="120" t="s">
        <v>1916</v>
      </c>
    </row>
    <row r="2415" spans="1:2" ht="25.5">
      <c r="A2415" s="122">
        <v>1002616</v>
      </c>
      <c r="B2415" s="120" t="s">
        <v>1917</v>
      </c>
    </row>
    <row r="2416" spans="1:2">
      <c r="A2416" s="122">
        <v>1002617</v>
      </c>
      <c r="B2416" s="120" t="s">
        <v>1918</v>
      </c>
    </row>
    <row r="2417" spans="1:2">
      <c r="A2417" s="122">
        <v>1002618</v>
      </c>
      <c r="B2417" s="120" t="s">
        <v>1919</v>
      </c>
    </row>
    <row r="2418" spans="1:2" ht="25.5">
      <c r="A2418" s="122">
        <v>1002619</v>
      </c>
      <c r="B2418" s="120" t="s">
        <v>1920</v>
      </c>
    </row>
    <row r="2419" spans="1:2" ht="25.5">
      <c r="A2419" s="122">
        <v>1002620</v>
      </c>
      <c r="B2419" s="120" t="s">
        <v>1921</v>
      </c>
    </row>
    <row r="2420" spans="1:2">
      <c r="A2420" s="122">
        <v>1002800</v>
      </c>
      <c r="B2420" s="120" t="s">
        <v>1922</v>
      </c>
    </row>
    <row r="2421" spans="1:2">
      <c r="A2421" s="122">
        <v>1002900</v>
      </c>
      <c r="B2421" s="120" t="s">
        <v>1229</v>
      </c>
    </row>
    <row r="2422" spans="1:2" ht="25.5">
      <c r="A2422" s="122">
        <v>1003000</v>
      </c>
      <c r="B2422" s="120" t="s">
        <v>641</v>
      </c>
    </row>
    <row r="2423" spans="1:2">
      <c r="A2423" s="122">
        <v>1003200</v>
      </c>
      <c r="B2423" s="120" t="s">
        <v>337</v>
      </c>
    </row>
    <row r="2424" spans="1:2">
      <c r="A2424" s="122">
        <v>1003300</v>
      </c>
      <c r="B2424" s="120" t="s">
        <v>1923</v>
      </c>
    </row>
    <row r="2425" spans="1:2">
      <c r="A2425" s="122">
        <v>1003400</v>
      </c>
      <c r="B2425" s="120" t="s">
        <v>239</v>
      </c>
    </row>
    <row r="2426" spans="1:2" ht="25.5">
      <c r="A2426" s="122">
        <v>1003500</v>
      </c>
      <c r="B2426" s="120" t="s">
        <v>1924</v>
      </c>
    </row>
    <row r="2427" spans="1:2" ht="25.5">
      <c r="A2427" s="122">
        <v>1003501</v>
      </c>
      <c r="B2427" s="120" t="s">
        <v>345</v>
      </c>
    </row>
    <row r="2428" spans="1:2" ht="25.5">
      <c r="A2428" s="122">
        <v>1003502</v>
      </c>
      <c r="B2428" s="120" t="s">
        <v>1307</v>
      </c>
    </row>
    <row r="2429" spans="1:2">
      <c r="A2429" s="122">
        <v>1003503</v>
      </c>
      <c r="B2429" s="120" t="s">
        <v>1925</v>
      </c>
    </row>
    <row r="2430" spans="1:2" ht="25.5">
      <c r="A2430" s="122">
        <v>1003504</v>
      </c>
      <c r="B2430" s="120" t="s">
        <v>1926</v>
      </c>
    </row>
    <row r="2431" spans="1:2">
      <c r="A2431" s="122">
        <v>1003600</v>
      </c>
      <c r="B2431" s="120" t="s">
        <v>786</v>
      </c>
    </row>
    <row r="2432" spans="1:2">
      <c r="A2432" s="122">
        <v>1003601</v>
      </c>
      <c r="B2432" s="120" t="s">
        <v>822</v>
      </c>
    </row>
    <row r="2433" spans="1:2" ht="25.5">
      <c r="A2433" s="122">
        <v>1003602</v>
      </c>
      <c r="B2433" s="120" t="s">
        <v>636</v>
      </c>
    </row>
    <row r="2434" spans="1:2">
      <c r="A2434" s="122">
        <v>1003603</v>
      </c>
      <c r="B2434" s="120" t="s">
        <v>81</v>
      </c>
    </row>
    <row r="2435" spans="1:2">
      <c r="A2435" s="122">
        <v>1003604</v>
      </c>
      <c r="B2435" s="120" t="s">
        <v>261</v>
      </c>
    </row>
    <row r="2436" spans="1:2">
      <c r="A2436" s="122">
        <v>1003605</v>
      </c>
      <c r="B2436" s="120" t="s">
        <v>1661</v>
      </c>
    </row>
    <row r="2437" spans="1:2">
      <c r="A2437" s="122">
        <v>1003700</v>
      </c>
      <c r="B2437" s="120" t="s">
        <v>195</v>
      </c>
    </row>
    <row r="2438" spans="1:2">
      <c r="A2438" s="122">
        <v>1003701</v>
      </c>
      <c r="B2438" s="120" t="s">
        <v>1927</v>
      </c>
    </row>
    <row r="2439" spans="1:2" ht="25.5">
      <c r="A2439" s="122">
        <v>1003702</v>
      </c>
      <c r="B2439" s="120" t="s">
        <v>835</v>
      </c>
    </row>
    <row r="2440" spans="1:2" ht="25.5">
      <c r="A2440" s="122">
        <v>1003703</v>
      </c>
      <c r="B2440" s="120" t="s">
        <v>836</v>
      </c>
    </row>
    <row r="2441" spans="1:2">
      <c r="A2441" s="122">
        <v>1003704</v>
      </c>
      <c r="B2441" s="120" t="s">
        <v>837</v>
      </c>
    </row>
    <row r="2442" spans="1:2" ht="25.5">
      <c r="A2442" s="122">
        <v>1003800</v>
      </c>
      <c r="B2442" s="120" t="s">
        <v>556</v>
      </c>
    </row>
    <row r="2443" spans="1:2" ht="25.5">
      <c r="A2443" s="122">
        <v>1003900</v>
      </c>
      <c r="B2443" s="120" t="s">
        <v>97</v>
      </c>
    </row>
    <row r="2444" spans="1:2" ht="25.5">
      <c r="A2444" s="122">
        <v>1003901</v>
      </c>
      <c r="B2444" s="120" t="s">
        <v>1025</v>
      </c>
    </row>
    <row r="2445" spans="1:2" ht="25.5">
      <c r="A2445" s="122">
        <v>1003902</v>
      </c>
      <c r="B2445" s="120" t="s">
        <v>200</v>
      </c>
    </row>
    <row r="2446" spans="1:2" ht="25.5">
      <c r="A2446" s="122">
        <v>1004000</v>
      </c>
      <c r="B2446" s="120" t="s">
        <v>201</v>
      </c>
    </row>
    <row r="2447" spans="1:2">
      <c r="A2447" s="122">
        <v>1004100</v>
      </c>
      <c r="B2447" s="120" t="s">
        <v>838</v>
      </c>
    </row>
    <row r="2448" spans="1:2">
      <c r="A2448" s="122">
        <v>1004200</v>
      </c>
      <c r="B2448" s="120" t="s">
        <v>839</v>
      </c>
    </row>
    <row r="2449" spans="1:2">
      <c r="A2449" s="122">
        <v>1004400</v>
      </c>
      <c r="B2449" s="120" t="s">
        <v>964</v>
      </c>
    </row>
    <row r="2450" spans="1:2">
      <c r="A2450" s="122">
        <v>1004500</v>
      </c>
      <c r="B2450" s="120" t="s">
        <v>840</v>
      </c>
    </row>
    <row r="2451" spans="1:2" ht="25.5">
      <c r="A2451" s="122">
        <v>1004600</v>
      </c>
      <c r="B2451" s="120" t="s">
        <v>1796</v>
      </c>
    </row>
    <row r="2452" spans="1:2">
      <c r="A2452" s="122">
        <v>1004601</v>
      </c>
      <c r="B2452" s="120" t="s">
        <v>841</v>
      </c>
    </row>
    <row r="2453" spans="1:2">
      <c r="A2453" s="122">
        <v>1004602</v>
      </c>
      <c r="B2453" s="120" t="s">
        <v>842</v>
      </c>
    </row>
    <row r="2454" spans="1:2" ht="25.5">
      <c r="A2454" s="122">
        <v>1004700</v>
      </c>
      <c r="B2454" s="120" t="s">
        <v>310</v>
      </c>
    </row>
    <row r="2455" spans="1:2">
      <c r="A2455" s="122">
        <v>1004800</v>
      </c>
      <c r="B2455" s="120" t="s">
        <v>843</v>
      </c>
    </row>
    <row r="2456" spans="1:2">
      <c r="A2456" s="122">
        <v>1004901</v>
      </c>
      <c r="B2456" s="120" t="s">
        <v>844</v>
      </c>
    </row>
    <row r="2457" spans="1:2" ht="25.5">
      <c r="A2457" s="122">
        <v>1005000</v>
      </c>
      <c r="B2457" s="120" t="s">
        <v>398</v>
      </c>
    </row>
    <row r="2458" spans="1:2">
      <c r="A2458" s="122">
        <v>1005200</v>
      </c>
      <c r="B2458" s="120" t="s">
        <v>452</v>
      </c>
    </row>
    <row r="2459" spans="1:2" ht="25.5">
      <c r="A2459" s="122">
        <v>1005300</v>
      </c>
      <c r="B2459" s="120" t="s">
        <v>36</v>
      </c>
    </row>
    <row r="2460" spans="1:2">
      <c r="A2460" s="122">
        <v>1005400</v>
      </c>
      <c r="B2460" s="120" t="s">
        <v>1242</v>
      </c>
    </row>
    <row r="2461" spans="1:2" ht="38.25">
      <c r="A2461" s="122">
        <v>1005401</v>
      </c>
      <c r="B2461" s="120" t="s">
        <v>232</v>
      </c>
    </row>
    <row r="2462" spans="1:2">
      <c r="A2462" s="122">
        <v>1005402</v>
      </c>
      <c r="B2462" s="120" t="s">
        <v>807</v>
      </c>
    </row>
    <row r="2463" spans="1:2" ht="25.5">
      <c r="A2463" s="122">
        <v>1005403</v>
      </c>
      <c r="B2463" s="120" t="s">
        <v>355</v>
      </c>
    </row>
    <row r="2464" spans="1:2" ht="25.5">
      <c r="A2464" s="122">
        <v>1005500</v>
      </c>
      <c r="B2464" s="120" t="s">
        <v>845</v>
      </c>
    </row>
    <row r="2465" spans="1:2" ht="25.5">
      <c r="A2465" s="122">
        <v>1005600</v>
      </c>
      <c r="B2465" s="120" t="s">
        <v>846</v>
      </c>
    </row>
    <row r="2466" spans="1:2">
      <c r="A2466" s="122">
        <v>1005700</v>
      </c>
      <c r="B2466" s="120" t="s">
        <v>1687</v>
      </c>
    </row>
    <row r="2467" spans="1:2">
      <c r="A2467" s="122">
        <v>1005701</v>
      </c>
      <c r="B2467" s="120" t="s">
        <v>847</v>
      </c>
    </row>
    <row r="2468" spans="1:2">
      <c r="A2468" s="122">
        <v>1005702</v>
      </c>
      <c r="B2468" s="120" t="s">
        <v>848</v>
      </c>
    </row>
    <row r="2469" spans="1:2">
      <c r="A2469" s="122">
        <v>1005800</v>
      </c>
      <c r="B2469" s="120" t="s">
        <v>787</v>
      </c>
    </row>
    <row r="2470" spans="1:2">
      <c r="A2470" s="122">
        <v>1005801</v>
      </c>
      <c r="B2470" s="120" t="s">
        <v>849</v>
      </c>
    </row>
    <row r="2471" spans="1:2" ht="25.5">
      <c r="A2471" s="122">
        <v>1005802</v>
      </c>
      <c r="B2471" s="120" t="s">
        <v>850</v>
      </c>
    </row>
    <row r="2472" spans="1:2">
      <c r="A2472" s="122">
        <v>1005900</v>
      </c>
      <c r="B2472" s="120" t="s">
        <v>1621</v>
      </c>
    </row>
    <row r="2473" spans="1:2" ht="25.5">
      <c r="A2473" s="122">
        <v>1006000</v>
      </c>
      <c r="B2473" s="120" t="s">
        <v>1952</v>
      </c>
    </row>
    <row r="2474" spans="1:2" ht="25.5">
      <c r="A2474" s="122">
        <v>1006100</v>
      </c>
      <c r="B2474" s="120" t="s">
        <v>61</v>
      </c>
    </row>
    <row r="2475" spans="1:2">
      <c r="A2475" s="122">
        <v>1006200</v>
      </c>
      <c r="B2475" s="120" t="s">
        <v>892</v>
      </c>
    </row>
    <row r="2476" spans="1:2" ht="25.5">
      <c r="A2476" s="122">
        <v>1006300</v>
      </c>
      <c r="B2476" s="120" t="s">
        <v>851</v>
      </c>
    </row>
    <row r="2477" spans="1:2" ht="25.5">
      <c r="A2477" s="122">
        <v>1006400</v>
      </c>
      <c r="B2477" s="120" t="s">
        <v>659</v>
      </c>
    </row>
    <row r="2478" spans="1:2">
      <c r="A2478" s="122">
        <v>1006500</v>
      </c>
      <c r="B2478" s="120" t="s">
        <v>660</v>
      </c>
    </row>
    <row r="2479" spans="1:2">
      <c r="A2479" s="122">
        <v>1006600</v>
      </c>
      <c r="B2479" s="120" t="s">
        <v>852</v>
      </c>
    </row>
    <row r="2480" spans="1:2" ht="25.5">
      <c r="A2480" s="122">
        <v>1006700</v>
      </c>
      <c r="B2480" s="120" t="s">
        <v>1383</v>
      </c>
    </row>
    <row r="2481" spans="1:2">
      <c r="A2481" s="122">
        <v>1006800</v>
      </c>
      <c r="B2481" s="120" t="s">
        <v>1384</v>
      </c>
    </row>
    <row r="2482" spans="1:2" ht="25.5">
      <c r="A2482" s="122">
        <v>1006900</v>
      </c>
      <c r="B2482" s="120" t="s">
        <v>1885</v>
      </c>
    </row>
    <row r="2483" spans="1:2">
      <c r="A2483" s="122">
        <v>1007000</v>
      </c>
      <c r="B2483" s="120" t="s">
        <v>779</v>
      </c>
    </row>
    <row r="2484" spans="1:2" ht="25.5">
      <c r="A2484" s="122">
        <v>1007100</v>
      </c>
      <c r="B2484" s="120" t="s">
        <v>86</v>
      </c>
    </row>
    <row r="2485" spans="1:2">
      <c r="A2485" s="122">
        <v>1007200</v>
      </c>
      <c r="B2485" s="120" t="s">
        <v>1444</v>
      </c>
    </row>
    <row r="2486" spans="1:2">
      <c r="A2486" s="122">
        <v>1007300</v>
      </c>
      <c r="B2486" s="120" t="s">
        <v>1445</v>
      </c>
    </row>
    <row r="2487" spans="1:2">
      <c r="A2487" s="122">
        <v>1007400</v>
      </c>
      <c r="B2487" s="120" t="s">
        <v>1441</v>
      </c>
    </row>
    <row r="2488" spans="1:2" ht="25.5">
      <c r="A2488" s="122">
        <v>1007500</v>
      </c>
      <c r="B2488" s="120" t="s">
        <v>1442</v>
      </c>
    </row>
    <row r="2489" spans="1:2" ht="25.5">
      <c r="A2489" s="122">
        <v>1007600</v>
      </c>
      <c r="B2489" s="120" t="s">
        <v>1443</v>
      </c>
    </row>
    <row r="2490" spans="1:2">
      <c r="A2490" s="122">
        <v>1007700</v>
      </c>
      <c r="B2490" s="120" t="s">
        <v>1964</v>
      </c>
    </row>
    <row r="2491" spans="1:2" ht="25.5">
      <c r="A2491" s="122">
        <v>1007800</v>
      </c>
      <c r="B2491" s="120" t="s">
        <v>1965</v>
      </c>
    </row>
    <row r="2492" spans="1:2" ht="38.25">
      <c r="A2492" s="122">
        <v>1007900</v>
      </c>
      <c r="B2492" s="120" t="s">
        <v>1966</v>
      </c>
    </row>
    <row r="2493" spans="1:2" ht="63.75">
      <c r="A2493" s="122">
        <v>1008000</v>
      </c>
      <c r="B2493" s="121" t="s">
        <v>1967</v>
      </c>
    </row>
    <row r="2494" spans="1:2">
      <c r="A2494" s="122">
        <v>1008100</v>
      </c>
      <c r="B2494" s="120" t="s">
        <v>1968</v>
      </c>
    </row>
    <row r="2495" spans="1:2">
      <c r="A2495" s="122">
        <v>1008101</v>
      </c>
      <c r="B2495" s="120" t="s">
        <v>1969</v>
      </c>
    </row>
    <row r="2496" spans="1:2">
      <c r="A2496" s="122">
        <v>1008102</v>
      </c>
      <c r="B2496" s="120" t="s">
        <v>386</v>
      </c>
    </row>
    <row r="2497" spans="1:2">
      <c r="A2497" s="122">
        <v>1008103</v>
      </c>
      <c r="B2497" s="120" t="s">
        <v>184</v>
      </c>
    </row>
    <row r="2498" spans="1:2">
      <c r="A2498" s="122">
        <v>1008104</v>
      </c>
      <c r="B2498" s="120" t="s">
        <v>879</v>
      </c>
    </row>
    <row r="2499" spans="1:2">
      <c r="A2499" s="122">
        <v>1008105</v>
      </c>
      <c r="B2499" s="120" t="s">
        <v>1970</v>
      </c>
    </row>
    <row r="2500" spans="1:2">
      <c r="A2500" s="122">
        <v>1008106</v>
      </c>
      <c r="B2500" s="120" t="s">
        <v>878</v>
      </c>
    </row>
    <row r="2501" spans="1:2" ht="25.5">
      <c r="A2501" s="122">
        <v>1008107</v>
      </c>
      <c r="B2501" s="120" t="s">
        <v>1971</v>
      </c>
    </row>
    <row r="2502" spans="1:2" ht="25.5">
      <c r="A2502" s="122">
        <v>1008200</v>
      </c>
      <c r="B2502" s="120" t="s">
        <v>1972</v>
      </c>
    </row>
    <row r="2503" spans="1:2" ht="25.5">
      <c r="A2503" s="122">
        <v>1008300</v>
      </c>
      <c r="B2503" s="120" t="s">
        <v>1973</v>
      </c>
    </row>
    <row r="2504" spans="1:2">
      <c r="A2504" s="122">
        <v>1008400</v>
      </c>
      <c r="B2504" s="120" t="s">
        <v>1974</v>
      </c>
    </row>
    <row r="2505" spans="1:2">
      <c r="A2505" s="122">
        <v>1008500</v>
      </c>
      <c r="B2505" s="120" t="s">
        <v>1975</v>
      </c>
    </row>
    <row r="2506" spans="1:2">
      <c r="A2506" s="122">
        <v>1008600</v>
      </c>
      <c r="B2506" s="120" t="s">
        <v>1454</v>
      </c>
    </row>
    <row r="2507" spans="1:2" ht="25.5">
      <c r="A2507" s="122">
        <v>1008700</v>
      </c>
      <c r="B2507" s="120" t="s">
        <v>1455</v>
      </c>
    </row>
    <row r="2508" spans="1:2">
      <c r="A2508" s="122">
        <v>1008800</v>
      </c>
      <c r="B2508" s="120" t="s">
        <v>1456</v>
      </c>
    </row>
    <row r="2509" spans="1:2" ht="25.5">
      <c r="A2509" s="122">
        <v>1008810</v>
      </c>
      <c r="B2509" s="120" t="s">
        <v>1457</v>
      </c>
    </row>
    <row r="2510" spans="1:2">
      <c r="A2510" s="122">
        <v>1008811</v>
      </c>
      <c r="B2510" s="120" t="s">
        <v>528</v>
      </c>
    </row>
    <row r="2511" spans="1:2" ht="25.5">
      <c r="A2511" s="122">
        <v>1008812</v>
      </c>
      <c r="B2511" s="120" t="s">
        <v>1168</v>
      </c>
    </row>
    <row r="2512" spans="1:2">
      <c r="A2512" s="122">
        <v>1008813</v>
      </c>
      <c r="B2512" s="120" t="s">
        <v>817</v>
      </c>
    </row>
    <row r="2513" spans="1:2" ht="25.5">
      <c r="A2513" s="122">
        <v>1008814</v>
      </c>
      <c r="B2513" s="120" t="s">
        <v>1458</v>
      </c>
    </row>
    <row r="2514" spans="1:2">
      <c r="A2514" s="122">
        <v>1008815</v>
      </c>
      <c r="B2514" s="120" t="s">
        <v>1533</v>
      </c>
    </row>
    <row r="2515" spans="1:2">
      <c r="A2515" s="122">
        <v>1008816</v>
      </c>
      <c r="B2515" s="120" t="s">
        <v>1817</v>
      </c>
    </row>
    <row r="2516" spans="1:2">
      <c r="A2516" s="122">
        <v>1008821</v>
      </c>
      <c r="B2516" s="120" t="s">
        <v>2136</v>
      </c>
    </row>
    <row r="2517" spans="1:2">
      <c r="A2517" s="122">
        <v>1008822</v>
      </c>
      <c r="B2517" s="120" t="s">
        <v>219</v>
      </c>
    </row>
    <row r="2518" spans="1:2">
      <c r="A2518" s="122">
        <v>1008830</v>
      </c>
      <c r="B2518" s="120" t="s">
        <v>1459</v>
      </c>
    </row>
    <row r="2519" spans="1:2">
      <c r="A2519" s="122">
        <v>1008840</v>
      </c>
      <c r="B2519" s="120" t="s">
        <v>1820</v>
      </c>
    </row>
    <row r="2520" spans="1:2">
      <c r="A2520" s="122">
        <v>1008850</v>
      </c>
      <c r="B2520" s="120" t="s">
        <v>1166</v>
      </c>
    </row>
    <row r="2521" spans="1:2">
      <c r="A2521" s="122">
        <v>1008851</v>
      </c>
      <c r="B2521" s="120" t="s">
        <v>359</v>
      </c>
    </row>
    <row r="2522" spans="1:2">
      <c r="A2522" s="122">
        <v>1008852</v>
      </c>
      <c r="B2522" s="120" t="s">
        <v>1460</v>
      </c>
    </row>
    <row r="2523" spans="1:2" ht="25.5">
      <c r="A2523" s="122">
        <v>1008853</v>
      </c>
      <c r="B2523" s="120" t="s">
        <v>1461</v>
      </c>
    </row>
    <row r="2524" spans="1:2">
      <c r="A2524" s="122">
        <v>1008854</v>
      </c>
      <c r="B2524" s="120" t="s">
        <v>360</v>
      </c>
    </row>
    <row r="2525" spans="1:2">
      <c r="A2525" s="122">
        <v>1008855</v>
      </c>
      <c r="B2525" s="120" t="s">
        <v>1462</v>
      </c>
    </row>
    <row r="2526" spans="1:2" ht="25.5">
      <c r="A2526" s="122">
        <v>1008856</v>
      </c>
      <c r="B2526" s="120" t="s">
        <v>1463</v>
      </c>
    </row>
    <row r="2527" spans="1:2" ht="25.5">
      <c r="A2527" s="122">
        <v>1008857</v>
      </c>
      <c r="B2527" s="120" t="s">
        <v>1464</v>
      </c>
    </row>
    <row r="2528" spans="1:2" ht="25.5">
      <c r="A2528" s="122">
        <v>1008858</v>
      </c>
      <c r="B2528" s="120" t="s">
        <v>1465</v>
      </c>
    </row>
    <row r="2529" spans="1:2">
      <c r="A2529" s="122">
        <v>1008860</v>
      </c>
      <c r="B2529" s="120" t="s">
        <v>1466</v>
      </c>
    </row>
    <row r="2530" spans="1:2">
      <c r="A2530" s="122">
        <v>1008900</v>
      </c>
      <c r="B2530" s="120" t="s">
        <v>1467</v>
      </c>
    </row>
    <row r="2531" spans="1:2">
      <c r="A2531" s="122">
        <v>1009000</v>
      </c>
      <c r="B2531" s="120" t="s">
        <v>1468</v>
      </c>
    </row>
    <row r="2532" spans="1:2">
      <c r="A2532" s="122">
        <v>1009100</v>
      </c>
      <c r="B2532" s="120" t="s">
        <v>1469</v>
      </c>
    </row>
    <row r="2533" spans="1:2" ht="25.5">
      <c r="A2533" s="122">
        <v>1009200</v>
      </c>
      <c r="B2533" s="120" t="s">
        <v>1470</v>
      </c>
    </row>
    <row r="2534" spans="1:2">
      <c r="A2534" s="122">
        <v>1009300</v>
      </c>
      <c r="B2534" s="120" t="s">
        <v>1471</v>
      </c>
    </row>
    <row r="2535" spans="1:2">
      <c r="A2535" s="122">
        <v>1009301</v>
      </c>
      <c r="B2535" s="120" t="s">
        <v>2137</v>
      </c>
    </row>
    <row r="2536" spans="1:2" ht="25.5">
      <c r="A2536" s="122">
        <v>1009400</v>
      </c>
      <c r="B2536" s="120" t="s">
        <v>2138</v>
      </c>
    </row>
    <row r="2537" spans="1:2">
      <c r="A2537" s="122" t="s">
        <v>1472</v>
      </c>
      <c r="B2537" s="120"/>
    </row>
    <row r="2538" spans="1:2" ht="25.5">
      <c r="A2538" s="122">
        <v>1009500</v>
      </c>
      <c r="B2538" s="120" t="s">
        <v>1473</v>
      </c>
    </row>
    <row r="2539" spans="1:2" ht="25.5">
      <c r="A2539" s="122">
        <v>1009600</v>
      </c>
      <c r="B2539" s="120" t="s">
        <v>1474</v>
      </c>
    </row>
    <row r="2540" spans="1:2">
      <c r="A2540" s="122">
        <v>1009700</v>
      </c>
      <c r="B2540" s="120" t="s">
        <v>1475</v>
      </c>
    </row>
    <row r="2541" spans="1:2" ht="25.5">
      <c r="A2541" s="122">
        <v>1009800</v>
      </c>
      <c r="B2541" s="120" t="s">
        <v>1476</v>
      </c>
    </row>
    <row r="2542" spans="1:2" ht="25.5">
      <c r="A2542" s="122">
        <v>1009900</v>
      </c>
      <c r="B2542" s="120" t="s">
        <v>1477</v>
      </c>
    </row>
    <row r="2543" spans="1:2">
      <c r="A2543" s="122">
        <v>1009901</v>
      </c>
      <c r="B2543" s="120" t="s">
        <v>898</v>
      </c>
    </row>
    <row r="2544" spans="1:2" ht="38.25">
      <c r="A2544" s="122">
        <v>1009902</v>
      </c>
      <c r="B2544" s="120" t="s">
        <v>896</v>
      </c>
    </row>
    <row r="2545" spans="1:2">
      <c r="A2545" s="122">
        <v>1010000</v>
      </c>
      <c r="B2545" s="120" t="s">
        <v>1576</v>
      </c>
    </row>
    <row r="2546" spans="1:2">
      <c r="A2546" s="122">
        <v>1010100</v>
      </c>
      <c r="B2546" s="120" t="s">
        <v>632</v>
      </c>
    </row>
    <row r="2547" spans="1:2" ht="25.5">
      <c r="A2547" s="122">
        <v>1010200</v>
      </c>
      <c r="B2547" s="120" t="s">
        <v>52</v>
      </c>
    </row>
    <row r="2548" spans="1:2" ht="25.5">
      <c r="A2548" s="122">
        <v>1010300</v>
      </c>
      <c r="B2548" s="120" t="s">
        <v>1246</v>
      </c>
    </row>
    <row r="2549" spans="1:2">
      <c r="A2549" s="122">
        <v>1015700</v>
      </c>
      <c r="B2549" s="120" t="s">
        <v>919</v>
      </c>
    </row>
    <row r="2550" spans="1:2">
      <c r="A2550" s="122">
        <v>1016300</v>
      </c>
      <c r="B2550" s="120" t="s">
        <v>920</v>
      </c>
    </row>
    <row r="2551" spans="1:2">
      <c r="A2551" s="122">
        <v>1016700</v>
      </c>
      <c r="B2551" s="120" t="s">
        <v>53</v>
      </c>
    </row>
    <row r="2552" spans="1:2">
      <c r="A2552" s="122">
        <v>1020000</v>
      </c>
      <c r="B2552" s="120" t="s">
        <v>617</v>
      </c>
    </row>
    <row r="2553" spans="1:2" ht="25.5">
      <c r="A2553" s="122">
        <v>1020100</v>
      </c>
      <c r="B2553" s="120" t="s">
        <v>526</v>
      </c>
    </row>
    <row r="2554" spans="1:2" ht="25.5">
      <c r="A2554" s="122">
        <v>1020101</v>
      </c>
      <c r="B2554" s="120" t="s">
        <v>965</v>
      </c>
    </row>
    <row r="2555" spans="1:2">
      <c r="A2555" s="122">
        <v>1020102</v>
      </c>
      <c r="B2555" s="120" t="s">
        <v>897</v>
      </c>
    </row>
    <row r="2556" spans="1:2" ht="25.5">
      <c r="A2556" s="122">
        <v>1020103</v>
      </c>
      <c r="B2556" s="120" t="s">
        <v>1953</v>
      </c>
    </row>
    <row r="2557" spans="1:2">
      <c r="A2557" s="122">
        <v>1020107</v>
      </c>
      <c r="B2557" s="120" t="s">
        <v>264</v>
      </c>
    </row>
    <row r="2558" spans="1:2">
      <c r="A2558" s="122">
        <v>1020108</v>
      </c>
      <c r="B2558" s="120" t="s">
        <v>906</v>
      </c>
    </row>
    <row r="2559" spans="1:2">
      <c r="A2559" s="122">
        <v>1020200</v>
      </c>
      <c r="B2559" s="120" t="s">
        <v>1450</v>
      </c>
    </row>
    <row r="2560" spans="1:2" ht="25.5">
      <c r="A2560" s="122">
        <v>1020201</v>
      </c>
      <c r="B2560" s="120" t="s">
        <v>971</v>
      </c>
    </row>
    <row r="2561" spans="1:2">
      <c r="A2561" s="122">
        <v>1020202</v>
      </c>
      <c r="B2561" s="120" t="s">
        <v>160</v>
      </c>
    </row>
    <row r="2562" spans="1:2" ht="25.5">
      <c r="A2562" s="122">
        <v>1020203</v>
      </c>
      <c r="B2562" s="120" t="s">
        <v>907</v>
      </c>
    </row>
    <row r="2563" spans="1:2">
      <c r="A2563" s="122">
        <v>1020204</v>
      </c>
      <c r="B2563" s="120" t="s">
        <v>428</v>
      </c>
    </row>
    <row r="2564" spans="1:2" ht="38.25">
      <c r="A2564" s="122">
        <v>1020205</v>
      </c>
      <c r="B2564" s="120" t="s">
        <v>242</v>
      </c>
    </row>
    <row r="2565" spans="1:2" ht="38.25">
      <c r="A2565" s="122">
        <v>1020206</v>
      </c>
      <c r="B2565" s="121" t="s">
        <v>908</v>
      </c>
    </row>
    <row r="2566" spans="1:2" ht="25.5">
      <c r="A2566" s="122">
        <v>1020208</v>
      </c>
      <c r="B2566" s="120" t="s">
        <v>1488</v>
      </c>
    </row>
    <row r="2567" spans="1:2">
      <c r="A2567" s="122">
        <v>1020300</v>
      </c>
      <c r="B2567" s="120" t="s">
        <v>243</v>
      </c>
    </row>
    <row r="2568" spans="1:2">
      <c r="A2568" s="122">
        <v>1020400</v>
      </c>
      <c r="B2568" s="120" t="s">
        <v>244</v>
      </c>
    </row>
    <row r="2569" spans="1:2" ht="25.5">
      <c r="A2569" s="122">
        <v>1020401</v>
      </c>
      <c r="B2569" s="120" t="s">
        <v>854</v>
      </c>
    </row>
    <row r="2570" spans="1:2" ht="25.5">
      <c r="A2570" s="122">
        <v>1020402</v>
      </c>
      <c r="B2570" s="120" t="s">
        <v>1111</v>
      </c>
    </row>
    <row r="2571" spans="1:2" ht="25.5">
      <c r="A2571" s="122">
        <v>1020500</v>
      </c>
      <c r="B2571" s="120" t="s">
        <v>1821</v>
      </c>
    </row>
    <row r="2572" spans="1:2" ht="38.25">
      <c r="A2572" s="122">
        <v>1020501</v>
      </c>
      <c r="B2572" s="120" t="s">
        <v>414</v>
      </c>
    </row>
    <row r="2573" spans="1:2" ht="25.5">
      <c r="A2573" s="122">
        <v>1020502</v>
      </c>
      <c r="B2573" s="120" t="s">
        <v>1302</v>
      </c>
    </row>
    <row r="2574" spans="1:2">
      <c r="A2574" s="122">
        <v>1020600</v>
      </c>
      <c r="B2574" s="120" t="s">
        <v>211</v>
      </c>
    </row>
    <row r="2575" spans="1:2">
      <c r="A2575" s="122">
        <v>1040000</v>
      </c>
      <c r="B2575" s="120" t="s">
        <v>1489</v>
      </c>
    </row>
    <row r="2576" spans="1:2" ht="25.5">
      <c r="A2576" s="122">
        <v>1040100</v>
      </c>
      <c r="B2576" s="120" t="s">
        <v>1490</v>
      </c>
    </row>
    <row r="2577" spans="1:2" ht="25.5">
      <c r="A2577" s="122">
        <v>1040101</v>
      </c>
      <c r="B2577" s="120" t="s">
        <v>1168</v>
      </c>
    </row>
    <row r="2578" spans="1:2">
      <c r="A2578" s="122">
        <v>1040102</v>
      </c>
      <c r="B2578" s="120" t="s">
        <v>528</v>
      </c>
    </row>
    <row r="2579" spans="1:2">
      <c r="A2579" s="122">
        <v>1040103</v>
      </c>
      <c r="B2579" s="120" t="s">
        <v>817</v>
      </c>
    </row>
    <row r="2580" spans="1:2" ht="25.5">
      <c r="A2580" s="122">
        <v>1040104</v>
      </c>
      <c r="B2580" s="120" t="s">
        <v>1532</v>
      </c>
    </row>
    <row r="2581" spans="1:2">
      <c r="A2581" s="122">
        <v>1040105</v>
      </c>
      <c r="B2581" s="120" t="s">
        <v>1533</v>
      </c>
    </row>
    <row r="2582" spans="1:2">
      <c r="A2582" s="122">
        <v>1040106</v>
      </c>
      <c r="B2582" s="120" t="s">
        <v>1817</v>
      </c>
    </row>
    <row r="2583" spans="1:2">
      <c r="A2583" s="122">
        <v>1040200</v>
      </c>
      <c r="B2583" s="120" t="s">
        <v>219</v>
      </c>
    </row>
    <row r="2584" spans="1:2">
      <c r="A2584" s="122">
        <v>1040300</v>
      </c>
      <c r="B2584" s="120" t="s">
        <v>1820</v>
      </c>
    </row>
    <row r="2585" spans="1:2" ht="25.5">
      <c r="A2585" s="122">
        <v>1040400</v>
      </c>
      <c r="B2585" s="120" t="s">
        <v>893</v>
      </c>
    </row>
    <row r="2586" spans="1:2">
      <c r="A2586" s="122">
        <v>1040500</v>
      </c>
      <c r="B2586" s="120" t="s">
        <v>1795</v>
      </c>
    </row>
    <row r="2587" spans="1:2" ht="25.5">
      <c r="A2587" s="122">
        <v>1040600</v>
      </c>
      <c r="B2587" s="120" t="s">
        <v>1299</v>
      </c>
    </row>
    <row r="2588" spans="1:2">
      <c r="A2588" s="122">
        <v>1040700</v>
      </c>
      <c r="B2588" s="120" t="s">
        <v>1491</v>
      </c>
    </row>
    <row r="2589" spans="1:2">
      <c r="A2589" s="122">
        <v>1040800</v>
      </c>
      <c r="B2589" s="120" t="s">
        <v>1166</v>
      </c>
    </row>
    <row r="2590" spans="1:2">
      <c r="A2590" s="122">
        <v>1040801</v>
      </c>
      <c r="B2590" s="120" t="s">
        <v>359</v>
      </c>
    </row>
    <row r="2591" spans="1:2">
      <c r="A2591" s="122">
        <v>1040802</v>
      </c>
      <c r="B2591" s="120" t="s">
        <v>360</v>
      </c>
    </row>
    <row r="2592" spans="1:2">
      <c r="A2592" s="122">
        <v>1040803</v>
      </c>
      <c r="B2592" s="120" t="s">
        <v>205</v>
      </c>
    </row>
    <row r="2593" spans="1:2" ht="25.5">
      <c r="A2593" s="122">
        <v>1040804</v>
      </c>
      <c r="B2593" s="120" t="s">
        <v>1492</v>
      </c>
    </row>
    <row r="2594" spans="1:2" ht="25.5">
      <c r="A2594" s="122">
        <v>1100000</v>
      </c>
      <c r="B2594" s="120" t="s">
        <v>1493</v>
      </c>
    </row>
    <row r="2595" spans="1:2">
      <c r="A2595" s="122">
        <v>1100100</v>
      </c>
      <c r="B2595" s="120" t="s">
        <v>1494</v>
      </c>
    </row>
    <row r="2596" spans="1:2" ht="25.5">
      <c r="A2596" s="122">
        <v>1300000</v>
      </c>
      <c r="B2596" s="120" t="s">
        <v>1297</v>
      </c>
    </row>
    <row r="2597" spans="1:2">
      <c r="A2597" s="122">
        <v>1300100</v>
      </c>
      <c r="B2597" s="120" t="s">
        <v>1298</v>
      </c>
    </row>
    <row r="2598" spans="1:2" ht="25.5">
      <c r="A2598" s="122">
        <v>1305700</v>
      </c>
      <c r="B2598" s="120" t="s">
        <v>296</v>
      </c>
    </row>
    <row r="2599" spans="1:2">
      <c r="A2599" s="122">
        <v>1306700</v>
      </c>
      <c r="B2599" s="120" t="s">
        <v>53</v>
      </c>
    </row>
    <row r="2600" spans="1:2">
      <c r="A2600" s="122">
        <v>1308000</v>
      </c>
      <c r="B2600" s="120" t="s">
        <v>297</v>
      </c>
    </row>
    <row r="2601" spans="1:2">
      <c r="A2601" s="122">
        <v>1309900</v>
      </c>
      <c r="B2601" s="120" t="s">
        <v>57</v>
      </c>
    </row>
    <row r="2602" spans="1:2" ht="25.5">
      <c r="A2602" s="122">
        <v>1310000</v>
      </c>
      <c r="B2602" s="120" t="s">
        <v>1607</v>
      </c>
    </row>
    <row r="2603" spans="1:2">
      <c r="A2603" s="122">
        <v>1310100</v>
      </c>
      <c r="B2603" s="120" t="s">
        <v>1608</v>
      </c>
    </row>
    <row r="2604" spans="1:2">
      <c r="A2604" s="122">
        <v>1320000</v>
      </c>
      <c r="B2604" s="120" t="s">
        <v>1960</v>
      </c>
    </row>
    <row r="2605" spans="1:2">
      <c r="A2605" s="122">
        <v>1328000</v>
      </c>
      <c r="B2605" s="120" t="s">
        <v>297</v>
      </c>
    </row>
    <row r="2606" spans="1:2" ht="25.5">
      <c r="A2606" s="122">
        <v>1330000</v>
      </c>
      <c r="B2606" s="120" t="s">
        <v>1961</v>
      </c>
    </row>
    <row r="2607" spans="1:2" ht="25.5">
      <c r="A2607" s="122">
        <v>1330100</v>
      </c>
      <c r="B2607" s="120" t="s">
        <v>1962</v>
      </c>
    </row>
    <row r="2608" spans="1:2" ht="25.5">
      <c r="A2608" s="122">
        <v>1340000</v>
      </c>
      <c r="B2608" s="120" t="s">
        <v>1961</v>
      </c>
    </row>
    <row r="2609" spans="1:2" ht="25.5">
      <c r="A2609" s="122">
        <v>1340100</v>
      </c>
      <c r="B2609" s="120" t="s">
        <v>1963</v>
      </c>
    </row>
    <row r="2610" spans="1:2">
      <c r="A2610" s="122">
        <v>1340200</v>
      </c>
      <c r="B2610" s="120" t="s">
        <v>1754</v>
      </c>
    </row>
    <row r="2611" spans="1:2">
      <c r="A2611" s="122">
        <v>1350000</v>
      </c>
      <c r="B2611" s="120" t="s">
        <v>1755</v>
      </c>
    </row>
    <row r="2612" spans="1:2" ht="25.5">
      <c r="A2612" s="122">
        <v>1350100</v>
      </c>
      <c r="B2612" s="120" t="s">
        <v>1756</v>
      </c>
    </row>
    <row r="2613" spans="1:2">
      <c r="A2613" s="122">
        <v>1350200</v>
      </c>
      <c r="B2613" s="120" t="s">
        <v>1757</v>
      </c>
    </row>
    <row r="2614" spans="1:2">
      <c r="A2614" s="122">
        <v>1360000</v>
      </c>
      <c r="B2614" s="120" t="s">
        <v>1758</v>
      </c>
    </row>
    <row r="2615" spans="1:2">
      <c r="A2615" s="122">
        <v>1360100</v>
      </c>
      <c r="B2615" s="120" t="s">
        <v>1759</v>
      </c>
    </row>
    <row r="2616" spans="1:2">
      <c r="A2616" s="122">
        <v>1360200</v>
      </c>
      <c r="B2616" s="120" t="s">
        <v>1760</v>
      </c>
    </row>
    <row r="2617" spans="1:2" ht="38.25">
      <c r="A2617" s="122">
        <v>1417288</v>
      </c>
      <c r="B2617" s="120" t="s">
        <v>2680</v>
      </c>
    </row>
    <row r="2618" spans="1:2">
      <c r="A2618" s="122">
        <v>2000000</v>
      </c>
      <c r="B2618" s="120" t="s">
        <v>1100</v>
      </c>
    </row>
    <row r="2619" spans="1:2">
      <c r="A2619" s="122">
        <v>2006600</v>
      </c>
      <c r="B2619" s="120" t="s">
        <v>425</v>
      </c>
    </row>
    <row r="2620" spans="1:2">
      <c r="A2620" s="122">
        <v>2006700</v>
      </c>
      <c r="B2620" s="120" t="s">
        <v>53</v>
      </c>
    </row>
    <row r="2621" spans="1:2">
      <c r="A2621" s="122">
        <v>2006800</v>
      </c>
      <c r="B2621" s="120" t="s">
        <v>616</v>
      </c>
    </row>
    <row r="2622" spans="1:2">
      <c r="A2622" s="122">
        <v>2006801</v>
      </c>
      <c r="B2622" s="120" t="s">
        <v>388</v>
      </c>
    </row>
    <row r="2623" spans="1:2" ht="25.5">
      <c r="A2623" s="122">
        <v>2006802</v>
      </c>
      <c r="B2623" s="120" t="s">
        <v>166</v>
      </c>
    </row>
    <row r="2624" spans="1:2">
      <c r="A2624" s="122">
        <v>2007000</v>
      </c>
      <c r="B2624" s="120" t="s">
        <v>890</v>
      </c>
    </row>
    <row r="2625" spans="1:2">
      <c r="A2625" s="122">
        <v>2009700</v>
      </c>
      <c r="B2625" s="120" t="s">
        <v>1134</v>
      </c>
    </row>
    <row r="2626" spans="1:2">
      <c r="A2626" s="122">
        <v>2010000</v>
      </c>
      <c r="B2626" s="120" t="s">
        <v>1294</v>
      </c>
    </row>
    <row r="2627" spans="1:2">
      <c r="A2627" s="122">
        <v>2016700</v>
      </c>
      <c r="B2627" s="120" t="s">
        <v>53</v>
      </c>
    </row>
    <row r="2628" spans="1:2">
      <c r="A2628" s="122">
        <v>2016800</v>
      </c>
      <c r="B2628" s="120" t="s">
        <v>616</v>
      </c>
    </row>
    <row r="2629" spans="1:2">
      <c r="A2629" s="122">
        <v>2016801</v>
      </c>
      <c r="B2629" s="120" t="s">
        <v>388</v>
      </c>
    </row>
    <row r="2630" spans="1:2" ht="25.5">
      <c r="A2630" s="122">
        <v>2016802</v>
      </c>
      <c r="B2630" s="120" t="s">
        <v>166</v>
      </c>
    </row>
    <row r="2631" spans="1:2">
      <c r="A2631" s="122">
        <v>2017000</v>
      </c>
      <c r="B2631" s="120" t="s">
        <v>890</v>
      </c>
    </row>
    <row r="2632" spans="1:2">
      <c r="A2632" s="122">
        <v>2018200</v>
      </c>
      <c r="B2632" s="120" t="s">
        <v>1114</v>
      </c>
    </row>
    <row r="2633" spans="1:2">
      <c r="A2633" s="122">
        <v>2020000</v>
      </c>
      <c r="B2633" s="120" t="s">
        <v>584</v>
      </c>
    </row>
    <row r="2634" spans="1:2" ht="25.5">
      <c r="A2634" s="122">
        <v>2020100</v>
      </c>
      <c r="B2634" s="120" t="s">
        <v>446</v>
      </c>
    </row>
    <row r="2635" spans="1:2">
      <c r="A2635" s="122">
        <v>2020800</v>
      </c>
      <c r="B2635" s="120" t="s">
        <v>1886</v>
      </c>
    </row>
    <row r="2636" spans="1:2">
      <c r="A2636" s="122">
        <v>2020900</v>
      </c>
      <c r="B2636" s="120" t="s">
        <v>1761</v>
      </c>
    </row>
    <row r="2637" spans="1:2" ht="25.5">
      <c r="A2637" s="122">
        <v>2024200</v>
      </c>
      <c r="B2637" s="120" t="s">
        <v>1941</v>
      </c>
    </row>
    <row r="2638" spans="1:2">
      <c r="A2638" s="122">
        <v>2025800</v>
      </c>
      <c r="B2638" s="120" t="s">
        <v>577</v>
      </c>
    </row>
    <row r="2639" spans="1:2">
      <c r="A2639" s="122">
        <v>2026400</v>
      </c>
      <c r="B2639" s="120" t="s">
        <v>1038</v>
      </c>
    </row>
    <row r="2640" spans="1:2">
      <c r="A2640" s="122">
        <v>2026500</v>
      </c>
      <c r="B2640" s="120" t="s">
        <v>297</v>
      </c>
    </row>
    <row r="2641" spans="1:2">
      <c r="A2641" s="122">
        <v>2026700</v>
      </c>
      <c r="B2641" s="120" t="s">
        <v>53</v>
      </c>
    </row>
    <row r="2642" spans="1:2">
      <c r="A2642" s="122">
        <v>2027000</v>
      </c>
      <c r="B2642" s="120" t="s">
        <v>890</v>
      </c>
    </row>
    <row r="2643" spans="1:2">
      <c r="A2643" s="122">
        <v>2027100</v>
      </c>
      <c r="B2643" s="120" t="s">
        <v>891</v>
      </c>
    </row>
    <row r="2644" spans="1:2">
      <c r="A2644" s="122">
        <v>2027101</v>
      </c>
      <c r="B2644" s="120" t="s">
        <v>294</v>
      </c>
    </row>
    <row r="2645" spans="1:2">
      <c r="A2645" s="122">
        <v>2027102</v>
      </c>
      <c r="B2645" s="120" t="s">
        <v>174</v>
      </c>
    </row>
    <row r="2646" spans="1:2">
      <c r="A2646" s="122">
        <v>2027103</v>
      </c>
      <c r="B2646" s="120" t="s">
        <v>175</v>
      </c>
    </row>
    <row r="2647" spans="1:2">
      <c r="A2647" s="122">
        <v>2027200</v>
      </c>
      <c r="B2647" s="120" t="s">
        <v>238</v>
      </c>
    </row>
    <row r="2648" spans="1:2">
      <c r="A2648" s="122">
        <v>2027201</v>
      </c>
      <c r="B2648" s="120" t="s">
        <v>630</v>
      </c>
    </row>
    <row r="2649" spans="1:2">
      <c r="A2649" s="122">
        <v>2027202</v>
      </c>
      <c r="B2649" s="120" t="s">
        <v>631</v>
      </c>
    </row>
    <row r="2650" spans="1:2">
      <c r="A2650" s="122">
        <v>2027203</v>
      </c>
      <c r="B2650" s="120" t="s">
        <v>574</v>
      </c>
    </row>
    <row r="2651" spans="1:2">
      <c r="A2651" s="122">
        <v>2027600</v>
      </c>
      <c r="B2651" s="120" t="s">
        <v>1112</v>
      </c>
    </row>
    <row r="2652" spans="1:2">
      <c r="A2652" s="122">
        <v>2029900</v>
      </c>
      <c r="B2652" s="120" t="s">
        <v>57</v>
      </c>
    </row>
    <row r="2653" spans="1:2">
      <c r="A2653" s="122">
        <v>2040000</v>
      </c>
      <c r="B2653" s="120" t="s">
        <v>1762</v>
      </c>
    </row>
    <row r="2654" spans="1:2">
      <c r="A2654" s="122">
        <v>2070000</v>
      </c>
      <c r="B2654" s="120" t="s">
        <v>314</v>
      </c>
    </row>
    <row r="2655" spans="1:2" ht="25.5">
      <c r="A2655" s="122">
        <v>2070100</v>
      </c>
      <c r="B2655" s="120" t="s">
        <v>759</v>
      </c>
    </row>
    <row r="2656" spans="1:2">
      <c r="A2656" s="122">
        <v>2075800</v>
      </c>
      <c r="B2656" s="120" t="s">
        <v>577</v>
      </c>
    </row>
    <row r="2657" spans="1:2">
      <c r="A2657" s="122">
        <v>2079900</v>
      </c>
      <c r="B2657" s="120" t="s">
        <v>57</v>
      </c>
    </row>
    <row r="2658" spans="1:2">
      <c r="A2658" s="122">
        <v>2080000</v>
      </c>
      <c r="B2658" s="120" t="s">
        <v>21</v>
      </c>
    </row>
    <row r="2659" spans="1:2">
      <c r="A2659" s="122">
        <v>2080200</v>
      </c>
      <c r="B2659" s="120" t="s">
        <v>760</v>
      </c>
    </row>
    <row r="2660" spans="1:2" ht="38.25">
      <c r="A2660" s="122">
        <v>2080300</v>
      </c>
      <c r="B2660" s="120" t="s">
        <v>1763</v>
      </c>
    </row>
    <row r="2661" spans="1:2" ht="25.5">
      <c r="A2661" s="122">
        <v>2080400</v>
      </c>
      <c r="B2661" s="120" t="s">
        <v>1764</v>
      </c>
    </row>
    <row r="2662" spans="1:2">
      <c r="A2662" s="122">
        <v>2086100</v>
      </c>
      <c r="B2662" s="120" t="s">
        <v>344</v>
      </c>
    </row>
    <row r="2663" spans="1:2">
      <c r="A2663" s="122">
        <v>2086200</v>
      </c>
      <c r="B2663" s="120" t="s">
        <v>159</v>
      </c>
    </row>
    <row r="2664" spans="1:2">
      <c r="A2664" s="122">
        <v>2086300</v>
      </c>
      <c r="B2664" s="120" t="s">
        <v>920</v>
      </c>
    </row>
    <row r="2665" spans="1:2">
      <c r="A2665" s="122">
        <v>2090000</v>
      </c>
      <c r="B2665" s="120" t="s">
        <v>917</v>
      </c>
    </row>
    <row r="2666" spans="1:2">
      <c r="A2666" s="122">
        <v>2090100</v>
      </c>
      <c r="B2666" s="120" t="s">
        <v>1679</v>
      </c>
    </row>
    <row r="2667" spans="1:2">
      <c r="A2667" s="122">
        <v>2100000</v>
      </c>
      <c r="B2667" s="120" t="s">
        <v>322</v>
      </c>
    </row>
    <row r="2668" spans="1:2">
      <c r="A2668" s="122">
        <v>2105800</v>
      </c>
      <c r="B2668" s="120" t="s">
        <v>577</v>
      </c>
    </row>
    <row r="2669" spans="1:2">
      <c r="A2669" s="122">
        <v>2110000</v>
      </c>
      <c r="B2669" s="120" t="s">
        <v>323</v>
      </c>
    </row>
    <row r="2670" spans="1:2">
      <c r="A2670" s="122">
        <v>2110100</v>
      </c>
      <c r="B2670" s="120" t="s">
        <v>1662</v>
      </c>
    </row>
    <row r="2671" spans="1:2">
      <c r="A2671" s="122">
        <v>2120000</v>
      </c>
      <c r="B2671" s="120" t="s">
        <v>762</v>
      </c>
    </row>
    <row r="2672" spans="1:2">
      <c r="A2672" s="122">
        <v>2120100</v>
      </c>
      <c r="B2672" s="120" t="s">
        <v>762</v>
      </c>
    </row>
    <row r="2673" spans="1:2">
      <c r="A2673" s="122">
        <v>2130000</v>
      </c>
      <c r="B2673" s="120" t="s">
        <v>1929</v>
      </c>
    </row>
    <row r="2674" spans="1:2">
      <c r="A2674" s="122">
        <v>2130200</v>
      </c>
      <c r="B2674" s="120" t="s">
        <v>1765</v>
      </c>
    </row>
    <row r="2675" spans="1:2">
      <c r="A2675" s="122">
        <v>2140000</v>
      </c>
      <c r="B2675" s="120" t="s">
        <v>286</v>
      </c>
    </row>
    <row r="2676" spans="1:2">
      <c r="A2676" s="122">
        <v>2140100</v>
      </c>
      <c r="B2676" s="120" t="s">
        <v>344</v>
      </c>
    </row>
    <row r="2677" spans="1:2">
      <c r="A2677" s="122">
        <v>2140200</v>
      </c>
      <c r="B2677" s="120" t="s">
        <v>710</v>
      </c>
    </row>
    <row r="2678" spans="1:2">
      <c r="A2678" s="122">
        <v>2140400</v>
      </c>
      <c r="B2678" s="120" t="s">
        <v>958</v>
      </c>
    </row>
    <row r="2679" spans="1:2">
      <c r="A2679" s="122">
        <v>2140500</v>
      </c>
      <c r="B2679" s="120" t="s">
        <v>1450</v>
      </c>
    </row>
    <row r="2680" spans="1:2">
      <c r="A2680" s="122">
        <v>2140600</v>
      </c>
      <c r="B2680" s="120" t="s">
        <v>959</v>
      </c>
    </row>
    <row r="2681" spans="1:2">
      <c r="A2681" s="122">
        <v>2140700</v>
      </c>
      <c r="B2681" s="120" t="s">
        <v>1529</v>
      </c>
    </row>
    <row r="2682" spans="1:2">
      <c r="A2682" s="122">
        <v>2140800</v>
      </c>
      <c r="B2682" s="120" t="s">
        <v>1690</v>
      </c>
    </row>
    <row r="2683" spans="1:2">
      <c r="A2683" s="122">
        <v>2140900</v>
      </c>
      <c r="B2683" s="120" t="s">
        <v>1766</v>
      </c>
    </row>
    <row r="2684" spans="1:2">
      <c r="A2684" s="122">
        <v>2141000</v>
      </c>
      <c r="B2684" s="120" t="s">
        <v>935</v>
      </c>
    </row>
    <row r="2685" spans="1:2">
      <c r="A2685" s="122">
        <v>2143000</v>
      </c>
      <c r="B2685" s="120" t="s">
        <v>936</v>
      </c>
    </row>
    <row r="2686" spans="1:2">
      <c r="A2686" s="122">
        <v>2146500</v>
      </c>
      <c r="B2686" s="120" t="s">
        <v>297</v>
      </c>
    </row>
    <row r="2687" spans="1:2">
      <c r="A2687" s="122">
        <v>2147000</v>
      </c>
      <c r="B2687" s="120" t="s">
        <v>890</v>
      </c>
    </row>
    <row r="2688" spans="1:2" ht="25.5">
      <c r="A2688" s="122">
        <v>2149300</v>
      </c>
      <c r="B2688" s="120" t="s">
        <v>657</v>
      </c>
    </row>
    <row r="2689" spans="1:2">
      <c r="A2689" s="122">
        <v>2149400</v>
      </c>
      <c r="B2689" s="120" t="s">
        <v>621</v>
      </c>
    </row>
    <row r="2690" spans="1:2">
      <c r="A2690" s="122">
        <v>2150000</v>
      </c>
      <c r="B2690" s="120" t="s">
        <v>18</v>
      </c>
    </row>
    <row r="2691" spans="1:2">
      <c r="A2691" s="122">
        <v>2150100</v>
      </c>
      <c r="B2691" s="120" t="s">
        <v>937</v>
      </c>
    </row>
    <row r="2692" spans="1:2">
      <c r="A2692" s="122">
        <v>2155800</v>
      </c>
      <c r="B2692" s="120" t="s">
        <v>577</v>
      </c>
    </row>
    <row r="2693" spans="1:2">
      <c r="A2693" s="122">
        <v>2156700</v>
      </c>
      <c r="B2693" s="120" t="s">
        <v>53</v>
      </c>
    </row>
    <row r="2694" spans="1:2">
      <c r="A2694" s="122">
        <v>2156800</v>
      </c>
      <c r="B2694" s="120" t="s">
        <v>616</v>
      </c>
    </row>
    <row r="2695" spans="1:2">
      <c r="A2695" s="122">
        <v>2156801</v>
      </c>
      <c r="B2695" s="120" t="s">
        <v>388</v>
      </c>
    </row>
    <row r="2696" spans="1:2" ht="25.5">
      <c r="A2696" s="122">
        <v>2156802</v>
      </c>
      <c r="B2696" s="120" t="s">
        <v>166</v>
      </c>
    </row>
    <row r="2697" spans="1:2">
      <c r="A2697" s="122">
        <v>2157100</v>
      </c>
      <c r="B2697" s="120" t="s">
        <v>891</v>
      </c>
    </row>
    <row r="2698" spans="1:2">
      <c r="A2698" s="122">
        <v>2157101</v>
      </c>
      <c r="B2698" s="120" t="s">
        <v>294</v>
      </c>
    </row>
    <row r="2699" spans="1:2">
      <c r="A2699" s="122">
        <v>2157102</v>
      </c>
      <c r="B2699" s="120" t="s">
        <v>174</v>
      </c>
    </row>
    <row r="2700" spans="1:2">
      <c r="A2700" s="122">
        <v>2157103</v>
      </c>
      <c r="B2700" s="120" t="s">
        <v>175</v>
      </c>
    </row>
    <row r="2701" spans="1:2">
      <c r="A2701" s="122">
        <v>2157200</v>
      </c>
      <c r="B2701" s="120" t="s">
        <v>238</v>
      </c>
    </row>
    <row r="2702" spans="1:2">
      <c r="A2702" s="122">
        <v>2157201</v>
      </c>
      <c r="B2702" s="120" t="s">
        <v>630</v>
      </c>
    </row>
    <row r="2703" spans="1:2">
      <c r="A2703" s="122">
        <v>2157202</v>
      </c>
      <c r="B2703" s="120" t="s">
        <v>631</v>
      </c>
    </row>
    <row r="2704" spans="1:2">
      <c r="A2704" s="122">
        <v>2157203</v>
      </c>
      <c r="B2704" s="120" t="s">
        <v>574</v>
      </c>
    </row>
    <row r="2705" spans="1:2">
      <c r="A2705" s="122">
        <v>2157600</v>
      </c>
      <c r="B2705" s="120" t="s">
        <v>1112</v>
      </c>
    </row>
    <row r="2706" spans="1:2">
      <c r="A2706" s="122">
        <v>2159900</v>
      </c>
      <c r="B2706" s="120" t="s">
        <v>57</v>
      </c>
    </row>
    <row r="2707" spans="1:2">
      <c r="A2707" s="122">
        <v>2160000</v>
      </c>
      <c r="B2707" s="120" t="s">
        <v>938</v>
      </c>
    </row>
    <row r="2708" spans="1:2">
      <c r="A2708" s="122">
        <v>2166700</v>
      </c>
      <c r="B2708" s="120" t="s">
        <v>53</v>
      </c>
    </row>
    <row r="2709" spans="1:2">
      <c r="A2709" s="122">
        <v>2167100</v>
      </c>
      <c r="B2709" s="120" t="s">
        <v>891</v>
      </c>
    </row>
    <row r="2710" spans="1:2">
      <c r="A2710" s="122">
        <v>2167101</v>
      </c>
      <c r="B2710" s="120" t="s">
        <v>294</v>
      </c>
    </row>
    <row r="2711" spans="1:2">
      <c r="A2711" s="122">
        <v>2167102</v>
      </c>
      <c r="B2711" s="120" t="s">
        <v>174</v>
      </c>
    </row>
    <row r="2712" spans="1:2">
      <c r="A2712" s="122">
        <v>2167103</v>
      </c>
      <c r="B2712" s="120" t="s">
        <v>175</v>
      </c>
    </row>
    <row r="2713" spans="1:2">
      <c r="A2713" s="122">
        <v>2167200</v>
      </c>
      <c r="B2713" s="120" t="s">
        <v>238</v>
      </c>
    </row>
    <row r="2714" spans="1:2">
      <c r="A2714" s="122">
        <v>2167201</v>
      </c>
      <c r="B2714" s="120" t="s">
        <v>630</v>
      </c>
    </row>
    <row r="2715" spans="1:2">
      <c r="A2715" s="122">
        <v>2167202</v>
      </c>
      <c r="B2715" s="120" t="s">
        <v>631</v>
      </c>
    </row>
    <row r="2716" spans="1:2">
      <c r="A2716" s="122">
        <v>2167203</v>
      </c>
      <c r="B2716" s="120" t="s">
        <v>574</v>
      </c>
    </row>
    <row r="2717" spans="1:2">
      <c r="A2717" s="122">
        <v>2170000</v>
      </c>
      <c r="B2717" s="120" t="s">
        <v>939</v>
      </c>
    </row>
    <row r="2718" spans="1:2">
      <c r="A2718" s="122">
        <v>2180000</v>
      </c>
      <c r="B2718" s="120" t="s">
        <v>1035</v>
      </c>
    </row>
    <row r="2719" spans="1:2" ht="25.5">
      <c r="A2719" s="122">
        <v>2180100</v>
      </c>
      <c r="B2719" s="120" t="s">
        <v>1674</v>
      </c>
    </row>
    <row r="2720" spans="1:2" ht="25.5">
      <c r="A2720" s="122">
        <v>2180200</v>
      </c>
      <c r="B2720" s="120" t="s">
        <v>613</v>
      </c>
    </row>
    <row r="2721" spans="1:2" ht="25.5">
      <c r="A2721" s="122">
        <v>2180300</v>
      </c>
      <c r="B2721" s="120" t="s">
        <v>940</v>
      </c>
    </row>
    <row r="2722" spans="1:2">
      <c r="A2722" s="122">
        <v>2190000</v>
      </c>
      <c r="B2722" s="120" t="s">
        <v>1036</v>
      </c>
    </row>
    <row r="2723" spans="1:2">
      <c r="A2723" s="122">
        <v>2190100</v>
      </c>
      <c r="B2723" s="120" t="s">
        <v>561</v>
      </c>
    </row>
    <row r="2724" spans="1:2">
      <c r="A2724" s="122">
        <v>2200000</v>
      </c>
      <c r="B2724" s="120" t="s">
        <v>312</v>
      </c>
    </row>
    <row r="2725" spans="1:2">
      <c r="A2725" s="122">
        <v>2200100</v>
      </c>
      <c r="B2725" s="120" t="s">
        <v>562</v>
      </c>
    </row>
    <row r="2726" spans="1:2">
      <c r="A2726" s="122">
        <v>2200200</v>
      </c>
      <c r="B2726" s="120" t="s">
        <v>284</v>
      </c>
    </row>
    <row r="2727" spans="1:2">
      <c r="A2727" s="122">
        <v>2200300</v>
      </c>
      <c r="B2727" s="120" t="s">
        <v>650</v>
      </c>
    </row>
    <row r="2728" spans="1:2">
      <c r="A2728" s="122">
        <v>2200400</v>
      </c>
      <c r="B2728" s="120" t="s">
        <v>651</v>
      </c>
    </row>
    <row r="2729" spans="1:2">
      <c r="A2729" s="122">
        <v>2200500</v>
      </c>
      <c r="B2729" s="120" t="s">
        <v>941</v>
      </c>
    </row>
    <row r="2730" spans="1:2">
      <c r="A2730" s="122">
        <v>2200600</v>
      </c>
      <c r="B2730" s="120" t="s">
        <v>1495</v>
      </c>
    </row>
    <row r="2731" spans="1:2">
      <c r="A2731" s="122">
        <v>2210000</v>
      </c>
      <c r="B2731" s="120" t="s">
        <v>1448</v>
      </c>
    </row>
    <row r="2732" spans="1:2">
      <c r="A2732" s="122">
        <v>2210100</v>
      </c>
      <c r="B2732" s="120" t="s">
        <v>1303</v>
      </c>
    </row>
    <row r="2733" spans="1:2">
      <c r="A2733" s="122">
        <v>2219900</v>
      </c>
      <c r="B2733" s="120" t="s">
        <v>57</v>
      </c>
    </row>
    <row r="2734" spans="1:2" ht="25.5">
      <c r="A2734" s="122">
        <v>2220000</v>
      </c>
      <c r="B2734" s="120" t="s">
        <v>1304</v>
      </c>
    </row>
    <row r="2735" spans="1:2">
      <c r="A2735" s="122">
        <v>2220100</v>
      </c>
      <c r="B2735" s="120" t="s">
        <v>668</v>
      </c>
    </row>
    <row r="2736" spans="1:2" ht="25.5">
      <c r="A2736" s="122">
        <v>2220200</v>
      </c>
      <c r="B2736" s="120" t="s">
        <v>217</v>
      </c>
    </row>
    <row r="2737" spans="1:2" ht="25.5">
      <c r="A2737" s="122">
        <v>2220300</v>
      </c>
      <c r="B2737" s="120" t="s">
        <v>1496</v>
      </c>
    </row>
    <row r="2738" spans="1:2">
      <c r="A2738" s="122">
        <v>2230000</v>
      </c>
      <c r="B2738" s="120" t="s">
        <v>715</v>
      </c>
    </row>
    <row r="2739" spans="1:2">
      <c r="A2739" s="122">
        <v>2230100</v>
      </c>
      <c r="B2739" s="120" t="s">
        <v>1382</v>
      </c>
    </row>
    <row r="2740" spans="1:2" ht="25.5">
      <c r="A2740" s="122">
        <v>2240000</v>
      </c>
      <c r="B2740" s="120" t="s">
        <v>1764</v>
      </c>
    </row>
    <row r="2741" spans="1:2">
      <c r="A2741" s="122">
        <v>2240100</v>
      </c>
      <c r="B2741" s="120" t="s">
        <v>1497</v>
      </c>
    </row>
    <row r="2742" spans="1:2">
      <c r="A2742" s="122">
        <v>2240200</v>
      </c>
      <c r="B2742" s="120" t="s">
        <v>1498</v>
      </c>
    </row>
    <row r="2743" spans="1:2">
      <c r="A2743" s="122">
        <v>2240300</v>
      </c>
      <c r="B2743" s="120" t="s">
        <v>1499</v>
      </c>
    </row>
    <row r="2744" spans="1:2">
      <c r="A2744" s="122">
        <v>2400000</v>
      </c>
      <c r="B2744" s="120" t="s">
        <v>1500</v>
      </c>
    </row>
    <row r="2745" spans="1:2">
      <c r="A2745" s="122">
        <v>2400100</v>
      </c>
      <c r="B2745" s="120" t="s">
        <v>1501</v>
      </c>
    </row>
    <row r="2746" spans="1:2">
      <c r="A2746" s="122">
        <v>2400101</v>
      </c>
      <c r="B2746" s="120" t="s">
        <v>2014</v>
      </c>
    </row>
    <row r="2747" spans="1:2">
      <c r="A2747" s="122">
        <v>2470000</v>
      </c>
      <c r="B2747" s="120" t="s">
        <v>1376</v>
      </c>
    </row>
    <row r="2748" spans="1:2" ht="25.5">
      <c r="A2748" s="122">
        <v>2470100</v>
      </c>
      <c r="B2748" s="120" t="s">
        <v>886</v>
      </c>
    </row>
    <row r="2749" spans="1:2">
      <c r="A2749" s="122">
        <v>2470200</v>
      </c>
      <c r="B2749" s="120" t="s">
        <v>887</v>
      </c>
    </row>
    <row r="2750" spans="1:2">
      <c r="A2750" s="122">
        <v>2470700</v>
      </c>
      <c r="B2750" s="120" t="s">
        <v>885</v>
      </c>
    </row>
    <row r="2751" spans="1:2">
      <c r="A2751" s="122">
        <v>2476300</v>
      </c>
      <c r="B2751" s="120" t="s">
        <v>920</v>
      </c>
    </row>
    <row r="2752" spans="1:2">
      <c r="A2752" s="122">
        <v>2476500</v>
      </c>
      <c r="B2752" s="120" t="s">
        <v>297</v>
      </c>
    </row>
    <row r="2753" spans="1:2">
      <c r="A2753" s="122">
        <v>2476600</v>
      </c>
      <c r="B2753" s="120" t="s">
        <v>425</v>
      </c>
    </row>
    <row r="2754" spans="1:2">
      <c r="A2754" s="122">
        <v>2476700</v>
      </c>
      <c r="B2754" s="120" t="s">
        <v>53</v>
      </c>
    </row>
    <row r="2755" spans="1:2">
      <c r="A2755" s="122">
        <v>2479900</v>
      </c>
      <c r="B2755" s="120" t="s">
        <v>57</v>
      </c>
    </row>
    <row r="2756" spans="1:2">
      <c r="A2756" s="122">
        <v>2480000</v>
      </c>
      <c r="B2756" s="120" t="s">
        <v>479</v>
      </c>
    </row>
    <row r="2757" spans="1:2">
      <c r="A2757" s="122">
        <v>2480100</v>
      </c>
      <c r="B2757" s="120" t="s">
        <v>888</v>
      </c>
    </row>
    <row r="2758" spans="1:2" ht="25.5">
      <c r="A2758" s="122">
        <v>2480200</v>
      </c>
      <c r="B2758" s="120" t="s">
        <v>1109</v>
      </c>
    </row>
    <row r="2759" spans="1:2">
      <c r="A2759" s="122">
        <v>2480300</v>
      </c>
      <c r="B2759" s="120" t="s">
        <v>182</v>
      </c>
    </row>
    <row r="2760" spans="1:2" ht="63.75">
      <c r="A2760" s="122">
        <v>2480400</v>
      </c>
      <c r="B2760" s="121" t="s">
        <v>2015</v>
      </c>
    </row>
    <row r="2761" spans="1:2">
      <c r="A2761" s="122">
        <v>2488300</v>
      </c>
      <c r="B2761" s="120" t="s">
        <v>183</v>
      </c>
    </row>
    <row r="2762" spans="1:2">
      <c r="A2762" s="122">
        <v>2490000</v>
      </c>
      <c r="B2762" s="120" t="s">
        <v>581</v>
      </c>
    </row>
    <row r="2763" spans="1:2" ht="25.5">
      <c r="A2763" s="122">
        <v>2490100</v>
      </c>
      <c r="B2763" s="120" t="s">
        <v>2016</v>
      </c>
    </row>
    <row r="2764" spans="1:2">
      <c r="A2764" s="122">
        <v>2490200</v>
      </c>
      <c r="B2764" s="120" t="s">
        <v>2017</v>
      </c>
    </row>
    <row r="2765" spans="1:2">
      <c r="A2765" s="122">
        <v>2500000</v>
      </c>
      <c r="B2765" s="120" t="s">
        <v>582</v>
      </c>
    </row>
    <row r="2766" spans="1:2">
      <c r="A2766" s="122">
        <v>2500100</v>
      </c>
      <c r="B2766" s="120" t="s">
        <v>1528</v>
      </c>
    </row>
    <row r="2767" spans="1:2">
      <c r="A2767" s="122">
        <v>2510000</v>
      </c>
      <c r="B2767" s="120" t="s">
        <v>583</v>
      </c>
    </row>
    <row r="2768" spans="1:2">
      <c r="A2768" s="122">
        <v>2519900</v>
      </c>
      <c r="B2768" s="120" t="s">
        <v>57</v>
      </c>
    </row>
    <row r="2769" spans="1:2">
      <c r="A2769" s="122">
        <v>2520000</v>
      </c>
      <c r="B2769" s="120" t="s">
        <v>2018</v>
      </c>
    </row>
    <row r="2770" spans="1:2">
      <c r="A2770" s="122">
        <v>2529900</v>
      </c>
      <c r="B2770" s="120" t="s">
        <v>57</v>
      </c>
    </row>
    <row r="2771" spans="1:2">
      <c r="A2771" s="122">
        <v>2530000</v>
      </c>
      <c r="B2771" s="120" t="s">
        <v>1177</v>
      </c>
    </row>
    <row r="2772" spans="1:2">
      <c r="A2772" s="122">
        <v>2539900</v>
      </c>
      <c r="B2772" s="120" t="s">
        <v>57</v>
      </c>
    </row>
    <row r="2773" spans="1:2">
      <c r="A2773" s="122">
        <v>2540000</v>
      </c>
      <c r="B2773" s="120" t="s">
        <v>2019</v>
      </c>
    </row>
    <row r="2774" spans="1:2" ht="25.5">
      <c r="A2774" s="122">
        <v>2540100</v>
      </c>
      <c r="B2774" s="120" t="s">
        <v>2020</v>
      </c>
    </row>
    <row r="2775" spans="1:2">
      <c r="A2775" s="122">
        <v>2600000</v>
      </c>
      <c r="B2775" s="120" t="s">
        <v>563</v>
      </c>
    </row>
    <row r="2776" spans="1:2" ht="63.75">
      <c r="A2776" s="122">
        <v>2600100</v>
      </c>
      <c r="B2776" s="121" t="s">
        <v>432</v>
      </c>
    </row>
    <row r="2777" spans="1:2" ht="51">
      <c r="A2777" s="122">
        <v>2600200</v>
      </c>
      <c r="B2777" s="121" t="s">
        <v>944</v>
      </c>
    </row>
    <row r="2778" spans="1:2" ht="38.25">
      <c r="A2778" s="122">
        <v>2600300</v>
      </c>
      <c r="B2778" s="121" t="s">
        <v>2021</v>
      </c>
    </row>
    <row r="2779" spans="1:2">
      <c r="A2779" s="122">
        <v>2600400</v>
      </c>
      <c r="B2779" s="120" t="s">
        <v>945</v>
      </c>
    </row>
    <row r="2780" spans="1:2" ht="51">
      <c r="A2780" s="122">
        <v>2600500</v>
      </c>
      <c r="B2780" s="121" t="s">
        <v>348</v>
      </c>
    </row>
    <row r="2781" spans="1:2">
      <c r="A2781" s="122">
        <v>2600600</v>
      </c>
      <c r="B2781" s="120" t="s">
        <v>666</v>
      </c>
    </row>
    <row r="2782" spans="1:2">
      <c r="A2782" s="122">
        <v>2600700</v>
      </c>
      <c r="B2782" s="120" t="s">
        <v>1385</v>
      </c>
    </row>
    <row r="2783" spans="1:2">
      <c r="A2783" s="122">
        <v>2600800</v>
      </c>
      <c r="B2783" s="120" t="s">
        <v>943</v>
      </c>
    </row>
    <row r="2784" spans="1:2">
      <c r="A2784" s="122">
        <v>2600900</v>
      </c>
      <c r="B2784" s="120" t="s">
        <v>1502</v>
      </c>
    </row>
    <row r="2785" spans="1:2">
      <c r="A2785" s="122">
        <v>2601000</v>
      </c>
      <c r="B2785" s="120" t="s">
        <v>671</v>
      </c>
    </row>
    <row r="2786" spans="1:2" ht="25.5">
      <c r="A2786" s="122">
        <v>2601100</v>
      </c>
      <c r="B2786" s="120" t="s">
        <v>789</v>
      </c>
    </row>
    <row r="2787" spans="1:2">
      <c r="A2787" s="122">
        <v>2601200</v>
      </c>
      <c r="B2787" s="120" t="s">
        <v>790</v>
      </c>
    </row>
    <row r="2788" spans="1:2">
      <c r="A2788" s="122">
        <v>2601300</v>
      </c>
      <c r="B2788" s="120" t="s">
        <v>791</v>
      </c>
    </row>
    <row r="2789" spans="1:2" ht="63.75">
      <c r="A2789" s="122">
        <v>2601400</v>
      </c>
      <c r="B2789" s="121" t="s">
        <v>970</v>
      </c>
    </row>
    <row r="2790" spans="1:2" ht="63.75">
      <c r="A2790" s="122">
        <v>2601500</v>
      </c>
      <c r="B2790" s="121" t="s">
        <v>2022</v>
      </c>
    </row>
    <row r="2791" spans="1:2" ht="25.5">
      <c r="A2791" s="122">
        <v>2602400</v>
      </c>
      <c r="B2791" s="120" t="s">
        <v>2023</v>
      </c>
    </row>
    <row r="2792" spans="1:2" ht="25.5">
      <c r="A2792" s="122">
        <v>2610000</v>
      </c>
      <c r="B2792" s="120" t="s">
        <v>2024</v>
      </c>
    </row>
    <row r="2793" spans="1:2">
      <c r="A2793" s="122">
        <v>2619900</v>
      </c>
      <c r="B2793" s="120" t="s">
        <v>57</v>
      </c>
    </row>
    <row r="2794" spans="1:2">
      <c r="A2794" s="122">
        <v>2620000</v>
      </c>
      <c r="B2794" s="120" t="s">
        <v>1579</v>
      </c>
    </row>
    <row r="2795" spans="1:2" ht="25.5">
      <c r="A2795" s="122">
        <v>2620100</v>
      </c>
      <c r="B2795" s="120" t="s">
        <v>2025</v>
      </c>
    </row>
    <row r="2796" spans="1:2">
      <c r="A2796" s="122">
        <v>2620200</v>
      </c>
      <c r="B2796" s="120" t="s">
        <v>346</v>
      </c>
    </row>
    <row r="2797" spans="1:2">
      <c r="A2797" s="122">
        <v>2630000</v>
      </c>
      <c r="B2797" s="120" t="s">
        <v>457</v>
      </c>
    </row>
    <row r="2798" spans="1:2">
      <c r="A2798" s="122">
        <v>2639900</v>
      </c>
      <c r="B2798" s="120" t="s">
        <v>57</v>
      </c>
    </row>
    <row r="2799" spans="1:2">
      <c r="A2799" s="122">
        <v>2640000</v>
      </c>
      <c r="B2799" s="120" t="s">
        <v>347</v>
      </c>
    </row>
    <row r="2800" spans="1:2">
      <c r="A2800" s="122">
        <v>2640100</v>
      </c>
      <c r="B2800" s="120" t="s">
        <v>2026</v>
      </c>
    </row>
    <row r="2801" spans="1:2" ht="25.5">
      <c r="A2801" s="122">
        <v>2640200</v>
      </c>
      <c r="B2801" s="120" t="s">
        <v>2027</v>
      </c>
    </row>
    <row r="2802" spans="1:2">
      <c r="A2802" s="122">
        <v>2649900</v>
      </c>
      <c r="B2802" s="120" t="s">
        <v>57</v>
      </c>
    </row>
    <row r="2803" spans="1:2">
      <c r="A2803" s="122">
        <v>2650000</v>
      </c>
      <c r="B2803" s="120" t="s">
        <v>2028</v>
      </c>
    </row>
    <row r="2804" spans="1:2">
      <c r="A2804" s="122">
        <v>2659900</v>
      </c>
      <c r="B2804" s="120" t="s">
        <v>57</v>
      </c>
    </row>
    <row r="2805" spans="1:2" ht="25.5">
      <c r="A2805" s="122">
        <v>2660000</v>
      </c>
      <c r="B2805" s="120" t="s">
        <v>2029</v>
      </c>
    </row>
    <row r="2806" spans="1:2">
      <c r="A2806" s="122">
        <v>2669900</v>
      </c>
      <c r="B2806" s="120" t="s">
        <v>57</v>
      </c>
    </row>
    <row r="2807" spans="1:2" ht="25.5">
      <c r="A2807" s="122">
        <v>2670000</v>
      </c>
      <c r="B2807" s="120" t="s">
        <v>2030</v>
      </c>
    </row>
    <row r="2808" spans="1:2">
      <c r="A2808" s="122">
        <v>2670100</v>
      </c>
      <c r="B2808" s="120" t="s">
        <v>928</v>
      </c>
    </row>
    <row r="2809" spans="1:2" ht="25.5">
      <c r="A2809" s="122">
        <v>2670400</v>
      </c>
      <c r="B2809" s="120" t="s">
        <v>2031</v>
      </c>
    </row>
    <row r="2810" spans="1:2">
      <c r="A2810" s="122">
        <v>2670402</v>
      </c>
      <c r="B2810" s="120" t="s">
        <v>945</v>
      </c>
    </row>
    <row r="2811" spans="1:2">
      <c r="A2811" s="122">
        <v>2670403</v>
      </c>
      <c r="B2811" s="120" t="s">
        <v>973</v>
      </c>
    </row>
    <row r="2812" spans="1:2">
      <c r="A2812" s="122">
        <v>2670500</v>
      </c>
      <c r="B2812" s="120" t="s">
        <v>974</v>
      </c>
    </row>
    <row r="2813" spans="1:2" ht="51">
      <c r="A2813" s="122">
        <v>2670501</v>
      </c>
      <c r="B2813" s="121" t="s">
        <v>975</v>
      </c>
    </row>
    <row r="2814" spans="1:2">
      <c r="A2814" s="122">
        <v>2670502</v>
      </c>
      <c r="B2814" s="120" t="s">
        <v>976</v>
      </c>
    </row>
    <row r="2815" spans="1:2">
      <c r="A2815" s="122">
        <v>2670503</v>
      </c>
      <c r="B2815" s="120" t="s">
        <v>977</v>
      </c>
    </row>
    <row r="2816" spans="1:2" ht="25.5">
      <c r="A2816" s="122">
        <v>2670504</v>
      </c>
      <c r="B2816" s="120" t="s">
        <v>978</v>
      </c>
    </row>
    <row r="2817" spans="1:2">
      <c r="A2817" s="122">
        <v>2670505</v>
      </c>
      <c r="B2817" s="120" t="s">
        <v>979</v>
      </c>
    </row>
    <row r="2818" spans="1:2">
      <c r="A2818" s="122">
        <v>2670506</v>
      </c>
      <c r="B2818" s="120" t="s">
        <v>980</v>
      </c>
    </row>
    <row r="2819" spans="1:2" ht="25.5">
      <c r="A2819" s="122">
        <v>2670507</v>
      </c>
      <c r="B2819" s="120" t="s">
        <v>981</v>
      </c>
    </row>
    <row r="2820" spans="1:2">
      <c r="A2820" s="122">
        <v>2670508</v>
      </c>
      <c r="B2820" s="120" t="s">
        <v>372</v>
      </c>
    </row>
    <row r="2821" spans="1:2">
      <c r="A2821" s="122">
        <v>2670509</v>
      </c>
      <c r="B2821" s="120" t="s">
        <v>373</v>
      </c>
    </row>
    <row r="2822" spans="1:2" ht="63.75">
      <c r="A2822" s="122">
        <v>2670510</v>
      </c>
      <c r="B2822" s="121" t="s">
        <v>991</v>
      </c>
    </row>
    <row r="2823" spans="1:2">
      <c r="A2823" s="122">
        <v>2670511</v>
      </c>
      <c r="B2823" s="120" t="s">
        <v>405</v>
      </c>
    </row>
    <row r="2824" spans="1:2" ht="63.75">
      <c r="A2824" s="122">
        <v>2670513</v>
      </c>
      <c r="B2824" s="121" t="s">
        <v>406</v>
      </c>
    </row>
    <row r="2825" spans="1:2">
      <c r="A2825" s="122">
        <v>2670514</v>
      </c>
      <c r="B2825" s="120" t="s">
        <v>407</v>
      </c>
    </row>
    <row r="2826" spans="1:2">
      <c r="A2826" s="122">
        <v>2670515</v>
      </c>
      <c r="B2826" s="120" t="s">
        <v>408</v>
      </c>
    </row>
    <row r="2827" spans="1:2" ht="25.5">
      <c r="A2827" s="122">
        <v>2670600</v>
      </c>
      <c r="B2827" s="120" t="s">
        <v>409</v>
      </c>
    </row>
    <row r="2828" spans="1:2">
      <c r="A2828" s="122">
        <v>2700000</v>
      </c>
      <c r="B2828" s="120" t="s">
        <v>371</v>
      </c>
    </row>
    <row r="2829" spans="1:2">
      <c r="A2829" s="122">
        <v>2700100</v>
      </c>
      <c r="B2829" s="120" t="s">
        <v>929</v>
      </c>
    </row>
    <row r="2830" spans="1:2">
      <c r="A2830" s="122">
        <v>2700200</v>
      </c>
      <c r="B2830" s="120" t="s">
        <v>255</v>
      </c>
    </row>
    <row r="2831" spans="1:2">
      <c r="A2831" s="122">
        <v>2700300</v>
      </c>
      <c r="B2831" s="120" t="s">
        <v>410</v>
      </c>
    </row>
    <row r="2832" spans="1:2">
      <c r="A2832" s="122">
        <v>2700400</v>
      </c>
      <c r="B2832" s="120" t="s">
        <v>315</v>
      </c>
    </row>
    <row r="2833" spans="1:2" ht="38.25">
      <c r="A2833" s="122">
        <v>2700500</v>
      </c>
      <c r="B2833" s="121" t="s">
        <v>411</v>
      </c>
    </row>
    <row r="2834" spans="1:2" ht="38.25">
      <c r="A2834" s="122">
        <v>2700600</v>
      </c>
      <c r="B2834" s="121" t="s">
        <v>1011</v>
      </c>
    </row>
    <row r="2835" spans="1:2" ht="38.25">
      <c r="A2835" s="122">
        <v>2700700</v>
      </c>
      <c r="B2835" s="121" t="s">
        <v>1012</v>
      </c>
    </row>
    <row r="2836" spans="1:2">
      <c r="A2836" s="122">
        <v>2710000</v>
      </c>
      <c r="B2836" s="120" t="s">
        <v>1610</v>
      </c>
    </row>
    <row r="2837" spans="1:2">
      <c r="A2837" s="122">
        <v>2710100</v>
      </c>
      <c r="B2837" s="120" t="s">
        <v>194</v>
      </c>
    </row>
    <row r="2838" spans="1:2">
      <c r="A2838" s="122">
        <v>2719900</v>
      </c>
      <c r="B2838" s="120" t="s">
        <v>57</v>
      </c>
    </row>
    <row r="2839" spans="1:2">
      <c r="A2839" s="122">
        <v>2800000</v>
      </c>
      <c r="B2839" s="120" t="s">
        <v>1611</v>
      </c>
    </row>
    <row r="2840" spans="1:2">
      <c r="A2840" s="122">
        <v>2800100</v>
      </c>
      <c r="B2840" s="120" t="s">
        <v>623</v>
      </c>
    </row>
    <row r="2841" spans="1:2">
      <c r="A2841" s="122">
        <v>2800200</v>
      </c>
      <c r="B2841" s="120" t="s">
        <v>808</v>
      </c>
    </row>
    <row r="2842" spans="1:2" ht="25.5">
      <c r="A2842" s="122">
        <v>2800300</v>
      </c>
      <c r="B2842" s="120" t="s">
        <v>1928</v>
      </c>
    </row>
    <row r="2843" spans="1:2">
      <c r="A2843" s="122">
        <v>2800400</v>
      </c>
      <c r="B2843" s="120" t="s">
        <v>1379</v>
      </c>
    </row>
    <row r="2844" spans="1:2">
      <c r="A2844" s="122">
        <v>2800500</v>
      </c>
      <c r="B2844" s="120" t="s">
        <v>1013</v>
      </c>
    </row>
    <row r="2845" spans="1:2">
      <c r="A2845" s="122">
        <v>2810000</v>
      </c>
      <c r="B2845" s="120" t="s">
        <v>260</v>
      </c>
    </row>
    <row r="2846" spans="1:2">
      <c r="A2846" s="122">
        <v>2819900</v>
      </c>
      <c r="B2846" s="120" t="s">
        <v>57</v>
      </c>
    </row>
    <row r="2847" spans="1:2">
      <c r="A2847" s="122">
        <v>2910000</v>
      </c>
      <c r="B2847" s="120" t="s">
        <v>14</v>
      </c>
    </row>
    <row r="2848" spans="1:2">
      <c r="A2848" s="122">
        <v>2919900</v>
      </c>
      <c r="B2848" s="120" t="s">
        <v>57</v>
      </c>
    </row>
    <row r="2849" spans="1:2">
      <c r="A2849" s="122">
        <v>2920000</v>
      </c>
      <c r="B2849" s="120" t="s">
        <v>15</v>
      </c>
    </row>
    <row r="2850" spans="1:2">
      <c r="A2850" s="122">
        <v>2920100</v>
      </c>
      <c r="B2850" s="120" t="s">
        <v>1176</v>
      </c>
    </row>
    <row r="2851" spans="1:2">
      <c r="A2851" s="122">
        <v>2920200</v>
      </c>
      <c r="B2851" s="120" t="s">
        <v>1574</v>
      </c>
    </row>
    <row r="2852" spans="1:2">
      <c r="A2852" s="122">
        <v>3000000</v>
      </c>
      <c r="B2852" s="120" t="s">
        <v>1534</v>
      </c>
    </row>
    <row r="2853" spans="1:2">
      <c r="A2853" s="122">
        <v>3000100</v>
      </c>
      <c r="B2853" s="120" t="s">
        <v>873</v>
      </c>
    </row>
    <row r="2854" spans="1:2">
      <c r="A2854" s="122">
        <v>3000101</v>
      </c>
      <c r="B2854" s="120" t="s">
        <v>420</v>
      </c>
    </row>
    <row r="2855" spans="1:2">
      <c r="A2855" s="122">
        <v>3000102</v>
      </c>
      <c r="B2855" s="120" t="s">
        <v>93</v>
      </c>
    </row>
    <row r="2856" spans="1:2" ht="38.25">
      <c r="A2856" s="122">
        <v>3000103</v>
      </c>
      <c r="B2856" s="120" t="s">
        <v>1575</v>
      </c>
    </row>
    <row r="2857" spans="1:2" ht="25.5">
      <c r="A2857" s="122">
        <v>3000104</v>
      </c>
      <c r="B2857" s="120" t="s">
        <v>1834</v>
      </c>
    </row>
    <row r="2858" spans="1:2">
      <c r="A2858" s="122">
        <v>3000105</v>
      </c>
      <c r="B2858" s="120" t="s">
        <v>1835</v>
      </c>
    </row>
    <row r="2859" spans="1:2">
      <c r="A2859" s="122">
        <v>3000200</v>
      </c>
      <c r="B2859" s="120" t="s">
        <v>94</v>
      </c>
    </row>
    <row r="2860" spans="1:2">
      <c r="A2860" s="122">
        <v>3000201</v>
      </c>
      <c r="B2860" s="120" t="s">
        <v>42</v>
      </c>
    </row>
    <row r="2861" spans="1:2">
      <c r="A2861" s="122">
        <v>3000202</v>
      </c>
      <c r="B2861" s="120" t="s">
        <v>1836</v>
      </c>
    </row>
    <row r="2862" spans="1:2" ht="51">
      <c r="A2862" s="122">
        <v>3000203</v>
      </c>
      <c r="B2862" s="121" t="s">
        <v>1021</v>
      </c>
    </row>
    <row r="2863" spans="1:2">
      <c r="A2863" s="122">
        <v>3000204</v>
      </c>
      <c r="B2863" s="120" t="s">
        <v>1837</v>
      </c>
    </row>
    <row r="2864" spans="1:2" ht="25.5">
      <c r="A2864" s="122">
        <v>3000205</v>
      </c>
      <c r="B2864" s="120" t="s">
        <v>1838</v>
      </c>
    </row>
    <row r="2865" spans="1:2" ht="38.25">
      <c r="A2865" s="122">
        <v>3000206</v>
      </c>
      <c r="B2865" s="120" t="s">
        <v>1954</v>
      </c>
    </row>
    <row r="2866" spans="1:2" ht="38.25">
      <c r="A2866" s="122">
        <v>3000207</v>
      </c>
      <c r="B2866" s="121" t="s">
        <v>1839</v>
      </c>
    </row>
    <row r="2867" spans="1:2" ht="25.5">
      <c r="A2867" s="122">
        <v>3000208</v>
      </c>
      <c r="B2867" s="120" t="s">
        <v>1840</v>
      </c>
    </row>
    <row r="2868" spans="1:2" ht="25.5">
      <c r="A2868" s="122">
        <v>3000209</v>
      </c>
      <c r="B2868" s="120" t="s">
        <v>402</v>
      </c>
    </row>
    <row r="2869" spans="1:2" ht="25.5">
      <c r="A2869" s="122">
        <v>3000300</v>
      </c>
      <c r="B2869" s="120" t="s">
        <v>403</v>
      </c>
    </row>
    <row r="2870" spans="1:2">
      <c r="A2870" s="122">
        <v>3010000</v>
      </c>
      <c r="B2870" s="120" t="s">
        <v>1022</v>
      </c>
    </row>
    <row r="2871" spans="1:2">
      <c r="A2871" s="122">
        <v>3010100</v>
      </c>
      <c r="B2871" s="120" t="s">
        <v>1023</v>
      </c>
    </row>
    <row r="2872" spans="1:2">
      <c r="A2872" s="122">
        <v>3010101</v>
      </c>
      <c r="B2872" s="120" t="s">
        <v>1024</v>
      </c>
    </row>
    <row r="2873" spans="1:2">
      <c r="A2873" s="122">
        <v>3010200</v>
      </c>
      <c r="B2873" s="120" t="s">
        <v>625</v>
      </c>
    </row>
    <row r="2874" spans="1:2">
      <c r="A2874" s="122">
        <v>3010201</v>
      </c>
      <c r="B2874" s="120" t="s">
        <v>1317</v>
      </c>
    </row>
    <row r="2875" spans="1:2">
      <c r="A2875" s="122">
        <v>3010202</v>
      </c>
      <c r="B2875" s="120" t="s">
        <v>931</v>
      </c>
    </row>
    <row r="2876" spans="1:2">
      <c r="A2876" s="122">
        <v>3010300</v>
      </c>
      <c r="B2876" s="120" t="s">
        <v>792</v>
      </c>
    </row>
    <row r="2877" spans="1:2">
      <c r="A2877" s="122">
        <v>3010301</v>
      </c>
      <c r="B2877" s="120" t="s">
        <v>483</v>
      </c>
    </row>
    <row r="2878" spans="1:2">
      <c r="A2878" s="122">
        <v>3010302</v>
      </c>
      <c r="B2878" s="120" t="s">
        <v>290</v>
      </c>
    </row>
    <row r="2879" spans="1:2">
      <c r="A2879" s="122">
        <v>3010303</v>
      </c>
      <c r="B2879" s="120" t="s">
        <v>819</v>
      </c>
    </row>
    <row r="2880" spans="1:2" ht="25.5">
      <c r="A2880" s="122">
        <v>3010304</v>
      </c>
      <c r="B2880" s="120" t="s">
        <v>404</v>
      </c>
    </row>
    <row r="2881" spans="1:2">
      <c r="A2881" s="122">
        <v>3017100</v>
      </c>
      <c r="B2881" s="120" t="s">
        <v>891</v>
      </c>
    </row>
    <row r="2882" spans="1:2">
      <c r="A2882" s="122">
        <v>3017101</v>
      </c>
      <c r="B2882" s="120" t="s">
        <v>294</v>
      </c>
    </row>
    <row r="2883" spans="1:2">
      <c r="A2883" s="122">
        <v>3017102</v>
      </c>
      <c r="B2883" s="120" t="s">
        <v>174</v>
      </c>
    </row>
    <row r="2884" spans="1:2">
      <c r="A2884" s="122">
        <v>3017103</v>
      </c>
      <c r="B2884" s="120" t="s">
        <v>175</v>
      </c>
    </row>
    <row r="2885" spans="1:2">
      <c r="A2885" s="122">
        <v>3017200</v>
      </c>
      <c r="B2885" s="120" t="s">
        <v>238</v>
      </c>
    </row>
    <row r="2886" spans="1:2">
      <c r="A2886" s="122">
        <v>3017201</v>
      </c>
      <c r="B2886" s="120" t="s">
        <v>630</v>
      </c>
    </row>
    <row r="2887" spans="1:2">
      <c r="A2887" s="122">
        <v>3017202</v>
      </c>
      <c r="B2887" s="120" t="s">
        <v>631</v>
      </c>
    </row>
    <row r="2888" spans="1:2">
      <c r="A2888" s="122">
        <v>3017203</v>
      </c>
      <c r="B2888" s="120" t="s">
        <v>574</v>
      </c>
    </row>
    <row r="2889" spans="1:2">
      <c r="A2889" s="122">
        <v>3020000</v>
      </c>
      <c r="B2889" s="120" t="s">
        <v>1317</v>
      </c>
    </row>
    <row r="2890" spans="1:2">
      <c r="A2890" s="122">
        <v>3020100</v>
      </c>
      <c r="B2890" s="120" t="s">
        <v>717</v>
      </c>
    </row>
    <row r="2891" spans="1:2">
      <c r="A2891" s="122">
        <v>3026800</v>
      </c>
      <c r="B2891" s="120" t="s">
        <v>616</v>
      </c>
    </row>
    <row r="2892" spans="1:2">
      <c r="A2892" s="122">
        <v>3026801</v>
      </c>
      <c r="B2892" s="120" t="s">
        <v>388</v>
      </c>
    </row>
    <row r="2893" spans="1:2" ht="25.5">
      <c r="A2893" s="122">
        <v>3026802</v>
      </c>
      <c r="B2893" s="120" t="s">
        <v>166</v>
      </c>
    </row>
    <row r="2894" spans="1:2">
      <c r="A2894" s="122">
        <v>3027100</v>
      </c>
      <c r="B2894" s="120" t="s">
        <v>891</v>
      </c>
    </row>
    <row r="2895" spans="1:2">
      <c r="A2895" s="122">
        <v>3027101</v>
      </c>
      <c r="B2895" s="120" t="s">
        <v>294</v>
      </c>
    </row>
    <row r="2896" spans="1:2">
      <c r="A2896" s="122">
        <v>3027102</v>
      </c>
      <c r="B2896" s="120" t="s">
        <v>174</v>
      </c>
    </row>
    <row r="2897" spans="1:2">
      <c r="A2897" s="122">
        <v>3027103</v>
      </c>
      <c r="B2897" s="120" t="s">
        <v>175</v>
      </c>
    </row>
    <row r="2898" spans="1:2">
      <c r="A2898" s="122">
        <v>3027200</v>
      </c>
      <c r="B2898" s="120" t="s">
        <v>238</v>
      </c>
    </row>
    <row r="2899" spans="1:2">
      <c r="A2899" s="122">
        <v>3027201</v>
      </c>
      <c r="B2899" s="120" t="s">
        <v>630</v>
      </c>
    </row>
    <row r="2900" spans="1:2">
      <c r="A2900" s="122">
        <v>3027202</v>
      </c>
      <c r="B2900" s="120" t="s">
        <v>631</v>
      </c>
    </row>
    <row r="2901" spans="1:2">
      <c r="A2901" s="122">
        <v>3027203</v>
      </c>
      <c r="B2901" s="120" t="s">
        <v>574</v>
      </c>
    </row>
    <row r="2902" spans="1:2">
      <c r="A2902" s="122">
        <v>3029900</v>
      </c>
      <c r="B2902" s="120" t="s">
        <v>57</v>
      </c>
    </row>
    <row r="2903" spans="1:2">
      <c r="A2903" s="122">
        <v>3050000</v>
      </c>
      <c r="B2903" s="120" t="s">
        <v>1318</v>
      </c>
    </row>
    <row r="2904" spans="1:2">
      <c r="A2904" s="122">
        <v>3050100</v>
      </c>
      <c r="B2904" s="120" t="s">
        <v>1098</v>
      </c>
    </row>
    <row r="2905" spans="1:2" ht="25.5">
      <c r="A2905" s="122">
        <v>3050101</v>
      </c>
      <c r="B2905" s="120" t="s">
        <v>1374</v>
      </c>
    </row>
    <row r="2906" spans="1:2" ht="38.25">
      <c r="A2906" s="122">
        <v>3050102</v>
      </c>
      <c r="B2906" s="120" t="s">
        <v>163</v>
      </c>
    </row>
    <row r="2907" spans="1:2" ht="38.25">
      <c r="A2907" s="122">
        <v>3050103</v>
      </c>
      <c r="B2907" s="121" t="s">
        <v>0</v>
      </c>
    </row>
    <row r="2908" spans="1:2" ht="38.25">
      <c r="A2908" s="122">
        <v>3050104</v>
      </c>
      <c r="B2908" s="120" t="s">
        <v>412</v>
      </c>
    </row>
    <row r="2909" spans="1:2" ht="63.75">
      <c r="A2909" s="122">
        <v>3050105</v>
      </c>
      <c r="B2909" s="121" t="s">
        <v>1853</v>
      </c>
    </row>
    <row r="2910" spans="1:2" ht="25.5">
      <c r="A2910" s="122">
        <v>3050106</v>
      </c>
      <c r="B2910" s="120" t="s">
        <v>1622</v>
      </c>
    </row>
    <row r="2911" spans="1:2" ht="51">
      <c r="A2911" s="122">
        <v>3050107</v>
      </c>
      <c r="B2911" s="121" t="s">
        <v>1052</v>
      </c>
    </row>
    <row r="2912" spans="1:2" ht="63.75">
      <c r="A2912" s="122">
        <v>3050108</v>
      </c>
      <c r="B2912" s="121" t="s">
        <v>458</v>
      </c>
    </row>
    <row r="2913" spans="1:2" ht="38.25">
      <c r="A2913" s="122">
        <v>3050112</v>
      </c>
      <c r="B2913" s="120" t="s">
        <v>459</v>
      </c>
    </row>
    <row r="2914" spans="1:2" ht="51">
      <c r="A2914" s="122">
        <v>3050113</v>
      </c>
      <c r="B2914" s="121" t="s">
        <v>460</v>
      </c>
    </row>
    <row r="2915" spans="1:2">
      <c r="A2915" s="122">
        <v>3060000</v>
      </c>
      <c r="B2915" s="120" t="s">
        <v>461</v>
      </c>
    </row>
    <row r="2916" spans="1:2" ht="25.5">
      <c r="A2916" s="122">
        <v>3060100</v>
      </c>
      <c r="B2916" s="120" t="s">
        <v>462</v>
      </c>
    </row>
    <row r="2917" spans="1:2" ht="25.5">
      <c r="A2917" s="122">
        <v>3060200</v>
      </c>
      <c r="B2917" s="120" t="s">
        <v>463</v>
      </c>
    </row>
    <row r="2918" spans="1:2" ht="25.5">
      <c r="A2918" s="122">
        <v>3060300</v>
      </c>
      <c r="B2918" s="120" t="s">
        <v>464</v>
      </c>
    </row>
    <row r="2919" spans="1:2" ht="25.5">
      <c r="A2919" s="122">
        <v>3060400</v>
      </c>
      <c r="B2919" s="120" t="s">
        <v>465</v>
      </c>
    </row>
    <row r="2920" spans="1:2">
      <c r="A2920" s="122">
        <v>3100000</v>
      </c>
      <c r="B2920" s="120" t="s">
        <v>56</v>
      </c>
    </row>
    <row r="2921" spans="1:2">
      <c r="A2921" s="122">
        <v>3100100</v>
      </c>
      <c r="B2921" s="120" t="s">
        <v>164</v>
      </c>
    </row>
    <row r="2922" spans="1:2">
      <c r="A2922" s="122">
        <v>3100101</v>
      </c>
      <c r="B2922" s="120" t="s">
        <v>165</v>
      </c>
    </row>
    <row r="2923" spans="1:2">
      <c r="A2923" s="122">
        <v>3150000</v>
      </c>
      <c r="B2923" s="120" t="s">
        <v>370</v>
      </c>
    </row>
    <row r="2924" spans="1:2">
      <c r="A2924" s="122">
        <v>3150100</v>
      </c>
      <c r="B2924" s="120" t="s">
        <v>466</v>
      </c>
    </row>
    <row r="2925" spans="1:2">
      <c r="A2925" s="122">
        <v>3150101</v>
      </c>
      <c r="B2925" s="120" t="s">
        <v>368</v>
      </c>
    </row>
    <row r="2926" spans="1:2">
      <c r="A2926" s="122">
        <v>3150102</v>
      </c>
      <c r="B2926" s="120" t="s">
        <v>467</v>
      </c>
    </row>
    <row r="2927" spans="1:2">
      <c r="A2927" s="122">
        <v>3150200</v>
      </c>
      <c r="B2927" s="120" t="s">
        <v>1660</v>
      </c>
    </row>
    <row r="2928" spans="1:2" ht="25.5">
      <c r="A2928" s="122">
        <v>3150201</v>
      </c>
      <c r="B2928" s="120" t="s">
        <v>468</v>
      </c>
    </row>
    <row r="2929" spans="1:2">
      <c r="A2929" s="122">
        <v>3150202</v>
      </c>
      <c r="B2929" s="120" t="s">
        <v>731</v>
      </c>
    </row>
    <row r="2930" spans="1:2">
      <c r="A2930" s="122">
        <v>3150203</v>
      </c>
      <c r="B2930" s="120" t="s">
        <v>469</v>
      </c>
    </row>
    <row r="2931" spans="1:2" ht="25.5">
      <c r="A2931" s="122">
        <v>3150204</v>
      </c>
      <c r="B2931" s="120" t="s">
        <v>470</v>
      </c>
    </row>
    <row r="2932" spans="1:2" ht="25.5">
      <c r="A2932" s="122">
        <v>3150205</v>
      </c>
      <c r="B2932" s="120" t="s">
        <v>471</v>
      </c>
    </row>
    <row r="2933" spans="1:2" ht="25.5">
      <c r="A2933" s="122">
        <v>3150206</v>
      </c>
      <c r="B2933" s="120" t="s">
        <v>472</v>
      </c>
    </row>
    <row r="2934" spans="1:2">
      <c r="A2934" s="122">
        <v>3150300</v>
      </c>
      <c r="B2934" s="120" t="s">
        <v>732</v>
      </c>
    </row>
    <row r="2935" spans="1:2" ht="25.5">
      <c r="A2935" s="122">
        <v>3150301</v>
      </c>
      <c r="B2935" s="120" t="s">
        <v>1935</v>
      </c>
    </row>
    <row r="2936" spans="1:2" ht="25.5">
      <c r="A2936" s="122">
        <v>3150302</v>
      </c>
      <c r="B2936" s="120" t="s">
        <v>473</v>
      </c>
    </row>
    <row r="2937" spans="1:2">
      <c r="A2937" s="122">
        <v>3170000</v>
      </c>
      <c r="B2937" s="120" t="s">
        <v>1167</v>
      </c>
    </row>
    <row r="2938" spans="1:2">
      <c r="A2938" s="122">
        <v>3170100</v>
      </c>
      <c r="B2938" s="120" t="s">
        <v>1029</v>
      </c>
    </row>
    <row r="2939" spans="1:2" ht="25.5">
      <c r="A2939" s="122">
        <v>3170101</v>
      </c>
      <c r="B2939" s="120" t="s">
        <v>1520</v>
      </c>
    </row>
    <row r="2940" spans="1:2" ht="25.5">
      <c r="A2940" s="122">
        <v>3170110</v>
      </c>
      <c r="B2940" s="120" t="s">
        <v>1449</v>
      </c>
    </row>
    <row r="2941" spans="1:2">
      <c r="A2941" s="122">
        <v>3300000</v>
      </c>
      <c r="B2941" s="120" t="s">
        <v>924</v>
      </c>
    </row>
    <row r="2942" spans="1:2">
      <c r="A2942" s="122">
        <v>3300100</v>
      </c>
      <c r="B2942" s="120" t="s">
        <v>1250</v>
      </c>
    </row>
    <row r="2943" spans="1:2" ht="25.5">
      <c r="A2943" s="122">
        <v>3300101</v>
      </c>
      <c r="B2943" s="120" t="s">
        <v>474</v>
      </c>
    </row>
    <row r="2944" spans="1:2" ht="25.5">
      <c r="A2944" s="122">
        <v>3300102</v>
      </c>
      <c r="B2944" s="120" t="s">
        <v>475</v>
      </c>
    </row>
    <row r="2945" spans="1:2">
      <c r="A2945" s="122">
        <v>3300200</v>
      </c>
      <c r="B2945" s="120" t="s">
        <v>548</v>
      </c>
    </row>
    <row r="2946" spans="1:2">
      <c r="A2946" s="122">
        <v>3300201</v>
      </c>
      <c r="B2946" s="120" t="s">
        <v>549</v>
      </c>
    </row>
    <row r="2947" spans="1:2" ht="25.5">
      <c r="A2947" s="122">
        <v>3300202</v>
      </c>
      <c r="B2947" s="120" t="s">
        <v>215</v>
      </c>
    </row>
    <row r="2948" spans="1:2" ht="25.5">
      <c r="A2948" s="122">
        <v>3300203</v>
      </c>
      <c r="B2948" s="120" t="s">
        <v>1568</v>
      </c>
    </row>
    <row r="2949" spans="1:2">
      <c r="A2949" s="122">
        <v>3300204</v>
      </c>
      <c r="B2949" s="120" t="s">
        <v>1569</v>
      </c>
    </row>
    <row r="2950" spans="1:2">
      <c r="A2950" s="122">
        <v>3300205</v>
      </c>
      <c r="B2950" s="120" t="s">
        <v>1570</v>
      </c>
    </row>
    <row r="2951" spans="1:2">
      <c r="A2951" s="122">
        <v>3300206</v>
      </c>
      <c r="B2951" s="120" t="s">
        <v>216</v>
      </c>
    </row>
    <row r="2952" spans="1:2">
      <c r="A2952" s="122">
        <v>3300207</v>
      </c>
      <c r="B2952" s="120" t="s">
        <v>885</v>
      </c>
    </row>
    <row r="2953" spans="1:2" ht="25.5">
      <c r="A2953" s="122">
        <v>3300208</v>
      </c>
      <c r="B2953" s="120" t="s">
        <v>1882</v>
      </c>
    </row>
    <row r="2954" spans="1:2">
      <c r="A2954" s="122">
        <v>3300300</v>
      </c>
      <c r="B2954" s="120" t="s">
        <v>853</v>
      </c>
    </row>
    <row r="2955" spans="1:2">
      <c r="A2955" s="122">
        <v>3300301</v>
      </c>
      <c r="B2955" s="120" t="s">
        <v>1020</v>
      </c>
    </row>
    <row r="2956" spans="1:2">
      <c r="A2956" s="122">
        <v>3300400</v>
      </c>
      <c r="B2956" s="120" t="s">
        <v>1337</v>
      </c>
    </row>
    <row r="2957" spans="1:2">
      <c r="A2957" s="122">
        <v>3300401</v>
      </c>
      <c r="B2957" s="120" t="s">
        <v>1338</v>
      </c>
    </row>
    <row r="2958" spans="1:2" ht="38.25">
      <c r="A2958" s="122">
        <v>3300402</v>
      </c>
      <c r="B2958" s="120" t="s">
        <v>1339</v>
      </c>
    </row>
    <row r="2959" spans="1:2">
      <c r="A2959" s="122">
        <v>3300600</v>
      </c>
      <c r="B2959" s="120" t="s">
        <v>1340</v>
      </c>
    </row>
    <row r="2960" spans="1:2" ht="25.5">
      <c r="A2960" s="122">
        <v>3300700</v>
      </c>
      <c r="B2960" s="120" t="s">
        <v>1341</v>
      </c>
    </row>
    <row r="2961" spans="1:2">
      <c r="A2961" s="122">
        <v>3308200</v>
      </c>
      <c r="B2961" s="120" t="s">
        <v>1114</v>
      </c>
    </row>
    <row r="2962" spans="1:2">
      <c r="A2962" s="122">
        <v>3309900</v>
      </c>
      <c r="B2962" s="120" t="s">
        <v>57</v>
      </c>
    </row>
    <row r="2963" spans="1:2" ht="25.5">
      <c r="A2963" s="122">
        <v>3350000</v>
      </c>
      <c r="B2963" s="120" t="s">
        <v>925</v>
      </c>
    </row>
    <row r="2964" spans="1:2" ht="25.5">
      <c r="A2964" s="122">
        <v>3350100</v>
      </c>
      <c r="B2964" s="120" t="s">
        <v>311</v>
      </c>
    </row>
    <row r="2965" spans="1:2">
      <c r="A2965" s="122">
        <v>3350200</v>
      </c>
      <c r="B2965" s="120" t="s">
        <v>1382</v>
      </c>
    </row>
    <row r="2966" spans="1:2">
      <c r="A2966" s="122">
        <v>3350300</v>
      </c>
      <c r="B2966" s="120" t="s">
        <v>812</v>
      </c>
    </row>
    <row r="2967" spans="1:2">
      <c r="A2967" s="122">
        <v>3360000</v>
      </c>
      <c r="B2967" s="120" t="s">
        <v>1342</v>
      </c>
    </row>
    <row r="2968" spans="1:2" ht="25.5">
      <c r="A2968" s="122">
        <v>3360100</v>
      </c>
      <c r="B2968" s="120" t="s">
        <v>1343</v>
      </c>
    </row>
    <row r="2969" spans="1:2">
      <c r="A2969" s="122">
        <v>3370000</v>
      </c>
      <c r="B2969" s="120" t="s">
        <v>955</v>
      </c>
    </row>
    <row r="2970" spans="1:2">
      <c r="A2970" s="122">
        <v>3379900</v>
      </c>
      <c r="B2970" s="120" t="s">
        <v>57</v>
      </c>
    </row>
    <row r="2971" spans="1:2">
      <c r="A2971" s="122">
        <v>3390000</v>
      </c>
      <c r="B2971" s="120" t="s">
        <v>1580</v>
      </c>
    </row>
    <row r="2972" spans="1:2">
      <c r="A2972" s="122">
        <v>3399900</v>
      </c>
      <c r="B2972" s="120" t="s">
        <v>57</v>
      </c>
    </row>
    <row r="2973" spans="1:2">
      <c r="A2973" s="122">
        <v>3400000</v>
      </c>
      <c r="B2973" s="120" t="s">
        <v>1581</v>
      </c>
    </row>
    <row r="2974" spans="1:2">
      <c r="A2974" s="122">
        <v>3400100</v>
      </c>
      <c r="B2974" s="120" t="s">
        <v>813</v>
      </c>
    </row>
    <row r="2975" spans="1:2">
      <c r="A2975" s="122">
        <v>3400101</v>
      </c>
      <c r="B2975" s="120" t="s">
        <v>814</v>
      </c>
    </row>
    <row r="2976" spans="1:2">
      <c r="A2976" s="122">
        <v>3400102</v>
      </c>
      <c r="B2976" s="120" t="s">
        <v>1344</v>
      </c>
    </row>
    <row r="2977" spans="1:2">
      <c r="A2977" s="122">
        <v>3400103</v>
      </c>
      <c r="B2977" s="120" t="s">
        <v>815</v>
      </c>
    </row>
    <row r="2978" spans="1:2">
      <c r="A2978" s="122">
        <v>3400104</v>
      </c>
      <c r="B2978" s="120" t="s">
        <v>1345</v>
      </c>
    </row>
    <row r="2979" spans="1:2" ht="25.5">
      <c r="A2979" s="122">
        <v>3400105</v>
      </c>
      <c r="B2979" s="120" t="s">
        <v>523</v>
      </c>
    </row>
    <row r="2980" spans="1:2">
      <c r="A2980" s="122">
        <v>3400106</v>
      </c>
      <c r="B2980" s="120" t="s">
        <v>1107</v>
      </c>
    </row>
    <row r="2981" spans="1:2">
      <c r="A2981" s="122">
        <v>3400200</v>
      </c>
      <c r="B2981" s="120" t="s">
        <v>211</v>
      </c>
    </row>
    <row r="2982" spans="1:2">
      <c r="A2982" s="122">
        <v>3400300</v>
      </c>
      <c r="B2982" s="120" t="s">
        <v>1108</v>
      </c>
    </row>
    <row r="2983" spans="1:2">
      <c r="A2983" s="122">
        <v>3400400</v>
      </c>
      <c r="B2983" s="120" t="s">
        <v>1346</v>
      </c>
    </row>
    <row r="2984" spans="1:2" ht="25.5">
      <c r="A2984" s="122">
        <v>3400500</v>
      </c>
      <c r="B2984" s="120" t="s">
        <v>1183</v>
      </c>
    </row>
    <row r="2985" spans="1:2">
      <c r="A2985" s="122">
        <v>3400600</v>
      </c>
      <c r="B2985" s="120" t="s">
        <v>1676</v>
      </c>
    </row>
    <row r="2986" spans="1:2">
      <c r="A2986" s="122">
        <v>3400700</v>
      </c>
      <c r="B2986" s="120" t="s">
        <v>1347</v>
      </c>
    </row>
    <row r="2987" spans="1:2">
      <c r="A2987" s="122">
        <v>3400701</v>
      </c>
      <c r="B2987" s="120" t="s">
        <v>1348</v>
      </c>
    </row>
    <row r="2988" spans="1:2">
      <c r="A2988" s="122">
        <v>3400702</v>
      </c>
      <c r="B2988" s="120" t="s">
        <v>1349</v>
      </c>
    </row>
    <row r="2989" spans="1:2" ht="25.5">
      <c r="A2989" s="122">
        <v>3400800</v>
      </c>
      <c r="B2989" s="120" t="s">
        <v>1350</v>
      </c>
    </row>
    <row r="2990" spans="1:2" ht="38.25">
      <c r="A2990" s="122">
        <v>3400900</v>
      </c>
      <c r="B2990" s="120" t="s">
        <v>1892</v>
      </c>
    </row>
    <row r="2991" spans="1:2" ht="25.5">
      <c r="A2991" s="122">
        <v>3401000</v>
      </c>
      <c r="B2991" s="120" t="s">
        <v>1893</v>
      </c>
    </row>
    <row r="2992" spans="1:2" ht="25.5">
      <c r="A2992" s="122">
        <v>3401100</v>
      </c>
      <c r="B2992" s="120" t="s">
        <v>1894</v>
      </c>
    </row>
    <row r="2993" spans="1:2">
      <c r="A2993" s="122">
        <v>3401200</v>
      </c>
      <c r="B2993" s="120" t="s">
        <v>1895</v>
      </c>
    </row>
    <row r="2994" spans="1:2" ht="25.5">
      <c r="A2994" s="122">
        <v>3401500</v>
      </c>
      <c r="B2994" s="120" t="s">
        <v>1896</v>
      </c>
    </row>
    <row r="2995" spans="1:2" ht="25.5">
      <c r="A2995" s="122">
        <v>3401600</v>
      </c>
      <c r="B2995" s="120" t="s">
        <v>1897</v>
      </c>
    </row>
    <row r="2996" spans="1:2" ht="25.5">
      <c r="A2996" s="122">
        <v>3401700</v>
      </c>
      <c r="B2996" s="120" t="s">
        <v>1898</v>
      </c>
    </row>
    <row r="2997" spans="1:2" ht="25.5">
      <c r="A2997" s="122">
        <v>3401800</v>
      </c>
      <c r="B2997" s="120" t="s">
        <v>1899</v>
      </c>
    </row>
    <row r="2998" spans="1:2" ht="25.5">
      <c r="A2998" s="122">
        <v>3408000</v>
      </c>
      <c r="B2998" s="120" t="s">
        <v>1350</v>
      </c>
    </row>
    <row r="2999" spans="1:2">
      <c r="A2999" s="122">
        <v>3408300</v>
      </c>
      <c r="B2999" s="120" t="s">
        <v>183</v>
      </c>
    </row>
    <row r="3000" spans="1:2" ht="38.25">
      <c r="A3000" s="122">
        <v>3408301</v>
      </c>
      <c r="B3000" s="121" t="s">
        <v>1900</v>
      </c>
    </row>
    <row r="3001" spans="1:2" ht="51">
      <c r="A3001" s="122">
        <v>3408302</v>
      </c>
      <c r="B3001" s="121" t="s">
        <v>1901</v>
      </c>
    </row>
    <row r="3002" spans="1:2" ht="51">
      <c r="A3002" s="122">
        <v>3408303</v>
      </c>
      <c r="B3002" s="121" t="s">
        <v>1902</v>
      </c>
    </row>
    <row r="3003" spans="1:2" ht="38.25">
      <c r="A3003" s="122">
        <v>3408304</v>
      </c>
      <c r="B3003" s="120" t="s">
        <v>1697</v>
      </c>
    </row>
    <row r="3004" spans="1:2" ht="38.25">
      <c r="A3004" s="122">
        <v>3408305</v>
      </c>
      <c r="B3004" s="121" t="s">
        <v>51</v>
      </c>
    </row>
    <row r="3005" spans="1:2" ht="76.5">
      <c r="A3005" s="122">
        <v>3408306</v>
      </c>
      <c r="B3005" s="121" t="s">
        <v>1137</v>
      </c>
    </row>
    <row r="3006" spans="1:2" ht="38.25">
      <c r="A3006" s="122">
        <v>3408307</v>
      </c>
      <c r="B3006" s="121" t="s">
        <v>1143</v>
      </c>
    </row>
    <row r="3007" spans="1:2" ht="63.75">
      <c r="A3007" s="122">
        <v>3408308</v>
      </c>
      <c r="B3007" s="121" t="s">
        <v>1144</v>
      </c>
    </row>
    <row r="3008" spans="1:2" ht="51">
      <c r="A3008" s="122">
        <v>3408309</v>
      </c>
      <c r="B3008" s="121" t="s">
        <v>1145</v>
      </c>
    </row>
    <row r="3009" spans="1:2" ht="25.5">
      <c r="A3009" s="122">
        <v>3408310</v>
      </c>
      <c r="B3009" s="120" t="s">
        <v>699</v>
      </c>
    </row>
    <row r="3010" spans="1:2" ht="63.75">
      <c r="A3010" s="122">
        <v>3408311</v>
      </c>
      <c r="B3010" s="121" t="s">
        <v>1146</v>
      </c>
    </row>
    <row r="3011" spans="1:2" ht="51">
      <c r="A3011" s="122">
        <v>3408313</v>
      </c>
      <c r="B3011" s="121" t="s">
        <v>1147</v>
      </c>
    </row>
    <row r="3012" spans="1:2" ht="63.75">
      <c r="A3012" s="122">
        <v>3408314</v>
      </c>
      <c r="B3012" s="121" t="s">
        <v>1720</v>
      </c>
    </row>
    <row r="3013" spans="1:2" ht="51">
      <c r="A3013" s="122">
        <v>3408315</v>
      </c>
      <c r="B3013" s="121" t="s">
        <v>1944</v>
      </c>
    </row>
    <row r="3014" spans="1:2" ht="38.25">
      <c r="A3014" s="122">
        <v>3408316</v>
      </c>
      <c r="B3014" s="120" t="s">
        <v>1945</v>
      </c>
    </row>
    <row r="3015" spans="1:2" ht="38.25">
      <c r="A3015" s="122">
        <v>3408317</v>
      </c>
      <c r="B3015" s="121" t="s">
        <v>1946</v>
      </c>
    </row>
    <row r="3016" spans="1:2" ht="38.25">
      <c r="A3016" s="122">
        <v>3408318</v>
      </c>
      <c r="B3016" s="121" t="s">
        <v>1947</v>
      </c>
    </row>
    <row r="3017" spans="1:2" ht="63.75">
      <c r="A3017" s="122">
        <v>3408319</v>
      </c>
      <c r="B3017" s="121" t="s">
        <v>1747</v>
      </c>
    </row>
    <row r="3018" spans="1:2" ht="38.25">
      <c r="A3018" s="122">
        <v>3408320</v>
      </c>
      <c r="B3018" s="121" t="s">
        <v>1748</v>
      </c>
    </row>
    <row r="3019" spans="1:2" ht="63.75">
      <c r="A3019" s="122">
        <v>3408321</v>
      </c>
      <c r="B3019" s="121" t="s">
        <v>1749</v>
      </c>
    </row>
    <row r="3020" spans="1:2" ht="25.5">
      <c r="A3020" s="122">
        <v>3408322</v>
      </c>
      <c r="B3020" s="120" t="s">
        <v>1750</v>
      </c>
    </row>
    <row r="3021" spans="1:2">
      <c r="A3021" s="122">
        <v>3410000</v>
      </c>
      <c r="B3021" s="120" t="s">
        <v>954</v>
      </c>
    </row>
    <row r="3022" spans="1:2">
      <c r="A3022" s="122">
        <v>3419900</v>
      </c>
      <c r="B3022" s="120" t="s">
        <v>57</v>
      </c>
    </row>
    <row r="3023" spans="1:2">
      <c r="A3023" s="122">
        <v>3450000</v>
      </c>
      <c r="B3023" s="120" t="s">
        <v>1751</v>
      </c>
    </row>
    <row r="3024" spans="1:2" ht="25.5">
      <c r="A3024" s="122">
        <v>3450100</v>
      </c>
      <c r="B3024" s="120" t="s">
        <v>1752</v>
      </c>
    </row>
    <row r="3025" spans="1:2">
      <c r="A3025" s="122">
        <v>3500000</v>
      </c>
      <c r="B3025" s="120" t="s">
        <v>2139</v>
      </c>
    </row>
    <row r="3026" spans="1:2" ht="25.5">
      <c r="A3026" s="122">
        <v>3500100</v>
      </c>
      <c r="B3026" s="120" t="s">
        <v>586</v>
      </c>
    </row>
    <row r="3027" spans="1:2">
      <c r="A3027" s="122">
        <v>3500200</v>
      </c>
      <c r="B3027" s="120" t="s">
        <v>382</v>
      </c>
    </row>
    <row r="3028" spans="1:2" ht="25.5">
      <c r="A3028" s="122">
        <v>3500300</v>
      </c>
      <c r="B3028" s="120" t="s">
        <v>587</v>
      </c>
    </row>
    <row r="3029" spans="1:2" ht="25.5">
      <c r="A3029" s="122">
        <v>3500301</v>
      </c>
      <c r="B3029" s="120" t="s">
        <v>1306</v>
      </c>
    </row>
    <row r="3030" spans="1:2">
      <c r="A3030" s="122">
        <v>3510000</v>
      </c>
      <c r="B3030" s="120" t="s">
        <v>383</v>
      </c>
    </row>
    <row r="3031" spans="1:2" ht="25.5">
      <c r="A3031" s="122">
        <v>3510100</v>
      </c>
      <c r="B3031" s="120" t="s">
        <v>453</v>
      </c>
    </row>
    <row r="3032" spans="1:2" ht="25.5">
      <c r="A3032" s="122">
        <v>3510200</v>
      </c>
      <c r="B3032" s="120" t="s">
        <v>1089</v>
      </c>
    </row>
    <row r="3033" spans="1:2" ht="25.5">
      <c r="A3033" s="122">
        <v>3510300</v>
      </c>
      <c r="B3033" s="120" t="s">
        <v>156</v>
      </c>
    </row>
    <row r="3034" spans="1:2">
      <c r="A3034" s="122">
        <v>3510500</v>
      </c>
      <c r="B3034" s="120" t="s">
        <v>485</v>
      </c>
    </row>
    <row r="3035" spans="1:2" ht="25.5">
      <c r="A3035" s="122">
        <v>3510600</v>
      </c>
      <c r="B3035" s="120" t="s">
        <v>729</v>
      </c>
    </row>
    <row r="3036" spans="1:2" ht="25.5">
      <c r="A3036" s="122">
        <v>3510700</v>
      </c>
      <c r="B3036" s="120" t="s">
        <v>728</v>
      </c>
    </row>
    <row r="3037" spans="1:2" ht="25.5">
      <c r="A3037" s="122">
        <v>3510800</v>
      </c>
      <c r="B3037" s="120" t="s">
        <v>2140</v>
      </c>
    </row>
    <row r="3038" spans="1:2">
      <c r="A3038" s="122">
        <v>3510900</v>
      </c>
      <c r="B3038" s="120" t="s">
        <v>2141</v>
      </c>
    </row>
    <row r="3039" spans="1:2" ht="25.5">
      <c r="A3039" s="122">
        <v>3511000</v>
      </c>
      <c r="B3039" s="120" t="s">
        <v>2190</v>
      </c>
    </row>
    <row r="3040" spans="1:2" ht="25.5">
      <c r="A3040" s="122">
        <v>3602600</v>
      </c>
      <c r="B3040" s="120" t="s">
        <v>588</v>
      </c>
    </row>
    <row r="3041" spans="1:2" ht="25.5">
      <c r="A3041" s="122">
        <v>3610000</v>
      </c>
      <c r="B3041" s="120" t="s">
        <v>589</v>
      </c>
    </row>
    <row r="3042" spans="1:2">
      <c r="A3042" s="122">
        <v>3610100</v>
      </c>
      <c r="B3042" s="120" t="s">
        <v>590</v>
      </c>
    </row>
    <row r="3043" spans="1:2">
      <c r="A3043" s="122">
        <v>3610101</v>
      </c>
      <c r="B3043" s="120" t="s">
        <v>591</v>
      </c>
    </row>
    <row r="3044" spans="1:2">
      <c r="A3044" s="122">
        <v>3610103</v>
      </c>
      <c r="B3044" s="120" t="s">
        <v>592</v>
      </c>
    </row>
    <row r="3045" spans="1:2" ht="25.5">
      <c r="A3045" s="122">
        <v>3610105</v>
      </c>
      <c r="B3045" s="120" t="s">
        <v>593</v>
      </c>
    </row>
    <row r="3046" spans="1:2" ht="25.5">
      <c r="A3046" s="122">
        <v>3610106</v>
      </c>
      <c r="B3046" s="120" t="s">
        <v>1202</v>
      </c>
    </row>
    <row r="3047" spans="1:2" ht="38.25">
      <c r="A3047" s="122">
        <v>3610107</v>
      </c>
      <c r="B3047" s="120" t="s">
        <v>2142</v>
      </c>
    </row>
    <row r="3048" spans="1:2">
      <c r="A3048" s="122">
        <v>3610300</v>
      </c>
      <c r="B3048" s="120" t="s">
        <v>1203</v>
      </c>
    </row>
    <row r="3049" spans="1:2">
      <c r="A3049" s="122">
        <v>3610301</v>
      </c>
      <c r="B3049" s="120" t="s">
        <v>1204</v>
      </c>
    </row>
    <row r="3050" spans="1:2">
      <c r="A3050" s="122">
        <v>3610302</v>
      </c>
      <c r="B3050" s="120" t="s">
        <v>1205</v>
      </c>
    </row>
    <row r="3051" spans="1:2">
      <c r="A3051" s="122">
        <v>3610303</v>
      </c>
      <c r="B3051" s="120" t="s">
        <v>1206</v>
      </c>
    </row>
    <row r="3052" spans="1:2">
      <c r="A3052" s="122">
        <v>3610304</v>
      </c>
      <c r="B3052" s="120" t="s">
        <v>1207</v>
      </c>
    </row>
    <row r="3053" spans="1:2">
      <c r="A3053" s="122">
        <v>3610305</v>
      </c>
      <c r="B3053" s="120" t="s">
        <v>1208</v>
      </c>
    </row>
    <row r="3054" spans="1:2">
      <c r="A3054" s="122">
        <v>3610400</v>
      </c>
      <c r="B3054" s="120" t="s">
        <v>1209</v>
      </c>
    </row>
    <row r="3055" spans="1:2" ht="25.5">
      <c r="A3055" s="122">
        <v>3610403</v>
      </c>
      <c r="B3055" s="120" t="s">
        <v>1210</v>
      </c>
    </row>
    <row r="3056" spans="1:2">
      <c r="A3056" s="122">
        <v>3610500</v>
      </c>
      <c r="B3056" s="120" t="s">
        <v>1211</v>
      </c>
    </row>
    <row r="3057" spans="1:2">
      <c r="A3057" s="122">
        <v>3610502</v>
      </c>
      <c r="B3057" s="120" t="s">
        <v>1212</v>
      </c>
    </row>
    <row r="3058" spans="1:2" ht="25.5">
      <c r="A3058" s="122">
        <v>3610600</v>
      </c>
      <c r="B3058" s="120" t="s">
        <v>1213</v>
      </c>
    </row>
    <row r="3059" spans="1:2">
      <c r="A3059" s="122">
        <v>4100000</v>
      </c>
      <c r="B3059" s="120" t="s">
        <v>802</v>
      </c>
    </row>
    <row r="3060" spans="1:2">
      <c r="A3060" s="122">
        <v>4100100</v>
      </c>
      <c r="B3060" s="120" t="s">
        <v>249</v>
      </c>
    </row>
    <row r="3061" spans="1:2">
      <c r="A3061" s="122">
        <v>4110000</v>
      </c>
      <c r="B3061" s="120" t="s">
        <v>40</v>
      </c>
    </row>
    <row r="3062" spans="1:2">
      <c r="A3062" s="122">
        <v>4119900</v>
      </c>
      <c r="B3062" s="120" t="s">
        <v>57</v>
      </c>
    </row>
    <row r="3063" spans="1:2">
      <c r="A3063" s="122">
        <v>4130000</v>
      </c>
      <c r="B3063" s="120" t="s">
        <v>1010</v>
      </c>
    </row>
    <row r="3064" spans="1:2">
      <c r="A3064" s="122">
        <v>4200000</v>
      </c>
      <c r="B3064" s="120" t="s">
        <v>84</v>
      </c>
    </row>
    <row r="3065" spans="1:2" ht="25.5">
      <c r="A3065" s="122">
        <v>4200100</v>
      </c>
      <c r="B3065" s="120" t="s">
        <v>2006</v>
      </c>
    </row>
    <row r="3066" spans="1:2">
      <c r="A3066" s="122">
        <v>4207100</v>
      </c>
      <c r="B3066" s="120" t="s">
        <v>891</v>
      </c>
    </row>
    <row r="3067" spans="1:2">
      <c r="A3067" s="122">
        <v>4207101</v>
      </c>
      <c r="B3067" s="120" t="s">
        <v>294</v>
      </c>
    </row>
    <row r="3068" spans="1:2">
      <c r="A3068" s="122">
        <v>4207102</v>
      </c>
      <c r="B3068" s="120" t="s">
        <v>174</v>
      </c>
    </row>
    <row r="3069" spans="1:2">
      <c r="A3069" s="122">
        <v>4207103</v>
      </c>
      <c r="B3069" s="120" t="s">
        <v>175</v>
      </c>
    </row>
    <row r="3070" spans="1:2">
      <c r="A3070" s="122">
        <v>4209900</v>
      </c>
      <c r="B3070" s="120" t="s">
        <v>57</v>
      </c>
    </row>
    <row r="3071" spans="1:2">
      <c r="A3071" s="122">
        <v>4210000</v>
      </c>
      <c r="B3071" s="120" t="s">
        <v>2007</v>
      </c>
    </row>
    <row r="3072" spans="1:2" ht="25.5">
      <c r="A3072" s="122">
        <v>4215600</v>
      </c>
      <c r="B3072" s="120" t="s">
        <v>325</v>
      </c>
    </row>
    <row r="3073" spans="1:2">
      <c r="A3073" s="122">
        <v>4215800</v>
      </c>
      <c r="B3073" s="120" t="s">
        <v>577</v>
      </c>
    </row>
    <row r="3074" spans="1:2">
      <c r="A3074" s="122">
        <v>4216800</v>
      </c>
      <c r="B3074" s="120" t="s">
        <v>616</v>
      </c>
    </row>
    <row r="3075" spans="1:2">
      <c r="A3075" s="122">
        <v>4216801</v>
      </c>
      <c r="B3075" s="120" t="s">
        <v>388</v>
      </c>
    </row>
    <row r="3076" spans="1:2" ht="25.5">
      <c r="A3076" s="122">
        <v>4216802</v>
      </c>
      <c r="B3076" s="120" t="s">
        <v>166</v>
      </c>
    </row>
    <row r="3077" spans="1:2">
      <c r="A3077" s="122">
        <v>4217100</v>
      </c>
      <c r="B3077" s="120" t="s">
        <v>891</v>
      </c>
    </row>
    <row r="3078" spans="1:2">
      <c r="A3078" s="122">
        <v>4217101</v>
      </c>
      <c r="B3078" s="120" t="s">
        <v>294</v>
      </c>
    </row>
    <row r="3079" spans="1:2">
      <c r="A3079" s="122">
        <v>4217102</v>
      </c>
      <c r="B3079" s="120" t="s">
        <v>174</v>
      </c>
    </row>
    <row r="3080" spans="1:2">
      <c r="A3080" s="122">
        <v>4217103</v>
      </c>
      <c r="B3080" s="120" t="s">
        <v>175</v>
      </c>
    </row>
    <row r="3081" spans="1:2">
      <c r="A3081" s="122">
        <v>4217200</v>
      </c>
      <c r="B3081" s="120" t="s">
        <v>238</v>
      </c>
    </row>
    <row r="3082" spans="1:2">
      <c r="A3082" s="122">
        <v>4217201</v>
      </c>
      <c r="B3082" s="120" t="s">
        <v>630</v>
      </c>
    </row>
    <row r="3083" spans="1:2">
      <c r="A3083" s="122">
        <v>4217202</v>
      </c>
      <c r="B3083" s="120" t="s">
        <v>631</v>
      </c>
    </row>
    <row r="3084" spans="1:2">
      <c r="A3084" s="122">
        <v>4217203</v>
      </c>
      <c r="B3084" s="120" t="s">
        <v>574</v>
      </c>
    </row>
    <row r="3085" spans="1:2">
      <c r="A3085" s="122">
        <v>4219900</v>
      </c>
      <c r="B3085" s="120" t="s">
        <v>57</v>
      </c>
    </row>
    <row r="3086" spans="1:2">
      <c r="A3086" s="122">
        <v>4220000</v>
      </c>
      <c r="B3086" s="120" t="s">
        <v>1823</v>
      </c>
    </row>
    <row r="3087" spans="1:2">
      <c r="A3087" s="122">
        <v>4229900</v>
      </c>
      <c r="B3087" s="120" t="s">
        <v>57</v>
      </c>
    </row>
    <row r="3088" spans="1:2">
      <c r="A3088" s="122">
        <v>4230000</v>
      </c>
      <c r="B3088" s="120" t="s">
        <v>301</v>
      </c>
    </row>
    <row r="3089" spans="1:2">
      <c r="A3089" s="122">
        <v>4231200</v>
      </c>
      <c r="B3089" s="120" t="s">
        <v>162</v>
      </c>
    </row>
    <row r="3090" spans="1:2" ht="25.5">
      <c r="A3090" s="122">
        <v>4235600</v>
      </c>
      <c r="B3090" s="120" t="s">
        <v>325</v>
      </c>
    </row>
    <row r="3091" spans="1:2">
      <c r="A3091" s="122">
        <v>4239900</v>
      </c>
      <c r="B3091" s="120" t="s">
        <v>57</v>
      </c>
    </row>
    <row r="3092" spans="1:2">
      <c r="A3092" s="122">
        <v>4240000</v>
      </c>
      <c r="B3092" s="120" t="s">
        <v>949</v>
      </c>
    </row>
    <row r="3093" spans="1:2" ht="25.5">
      <c r="A3093" s="122">
        <v>4240200</v>
      </c>
      <c r="B3093" s="120" t="s">
        <v>635</v>
      </c>
    </row>
    <row r="3094" spans="1:2">
      <c r="A3094" s="122">
        <v>4249900</v>
      </c>
      <c r="B3094" s="120" t="s">
        <v>57</v>
      </c>
    </row>
    <row r="3095" spans="1:2">
      <c r="A3095" s="122">
        <v>4250000</v>
      </c>
      <c r="B3095" s="120" t="s">
        <v>1123</v>
      </c>
    </row>
    <row r="3096" spans="1:2">
      <c r="A3096" s="122">
        <v>4259900</v>
      </c>
      <c r="B3096" s="120" t="s">
        <v>57</v>
      </c>
    </row>
    <row r="3097" spans="1:2">
      <c r="A3097" s="122">
        <v>4260000</v>
      </c>
      <c r="B3097" s="120" t="s">
        <v>352</v>
      </c>
    </row>
    <row r="3098" spans="1:2">
      <c r="A3098" s="122">
        <v>4265800</v>
      </c>
      <c r="B3098" s="120" t="s">
        <v>577</v>
      </c>
    </row>
    <row r="3099" spans="1:2">
      <c r="A3099" s="122">
        <v>4269900</v>
      </c>
      <c r="B3099" s="120" t="s">
        <v>57</v>
      </c>
    </row>
    <row r="3100" spans="1:2">
      <c r="A3100" s="122">
        <v>4270000</v>
      </c>
      <c r="B3100" s="120" t="s">
        <v>353</v>
      </c>
    </row>
    <row r="3101" spans="1:2">
      <c r="A3101" s="122">
        <v>4275800</v>
      </c>
      <c r="B3101" s="120" t="s">
        <v>577</v>
      </c>
    </row>
    <row r="3102" spans="1:2">
      <c r="A3102" s="122">
        <v>4276800</v>
      </c>
      <c r="B3102" s="120" t="s">
        <v>616</v>
      </c>
    </row>
    <row r="3103" spans="1:2">
      <c r="A3103" s="122">
        <v>4276801</v>
      </c>
      <c r="B3103" s="120" t="s">
        <v>388</v>
      </c>
    </row>
    <row r="3104" spans="1:2" ht="25.5">
      <c r="A3104" s="122">
        <v>4276802</v>
      </c>
      <c r="B3104" s="120" t="s">
        <v>166</v>
      </c>
    </row>
    <row r="3105" spans="1:2">
      <c r="A3105" s="122">
        <v>4277100</v>
      </c>
      <c r="B3105" s="120" t="s">
        <v>891</v>
      </c>
    </row>
    <row r="3106" spans="1:2">
      <c r="A3106" s="122">
        <v>4277101</v>
      </c>
      <c r="B3106" s="120" t="s">
        <v>294</v>
      </c>
    </row>
    <row r="3107" spans="1:2">
      <c r="A3107" s="122">
        <v>4277102</v>
      </c>
      <c r="B3107" s="120" t="s">
        <v>174</v>
      </c>
    </row>
    <row r="3108" spans="1:2">
      <c r="A3108" s="122">
        <v>4277103</v>
      </c>
      <c r="B3108" s="120" t="s">
        <v>175</v>
      </c>
    </row>
    <row r="3109" spans="1:2">
      <c r="A3109" s="122">
        <v>4277200</v>
      </c>
      <c r="B3109" s="120" t="s">
        <v>238</v>
      </c>
    </row>
    <row r="3110" spans="1:2">
      <c r="A3110" s="122">
        <v>4277201</v>
      </c>
      <c r="B3110" s="120" t="s">
        <v>630</v>
      </c>
    </row>
    <row r="3111" spans="1:2">
      <c r="A3111" s="122">
        <v>4277202</v>
      </c>
      <c r="B3111" s="120" t="s">
        <v>631</v>
      </c>
    </row>
    <row r="3112" spans="1:2">
      <c r="A3112" s="122">
        <v>4277203</v>
      </c>
      <c r="B3112" s="120" t="s">
        <v>574</v>
      </c>
    </row>
    <row r="3113" spans="1:2">
      <c r="A3113" s="122">
        <v>4277600</v>
      </c>
      <c r="B3113" s="120" t="s">
        <v>1180</v>
      </c>
    </row>
    <row r="3114" spans="1:2">
      <c r="A3114" s="122">
        <v>4279900</v>
      </c>
      <c r="B3114" s="120" t="s">
        <v>57</v>
      </c>
    </row>
    <row r="3115" spans="1:2">
      <c r="A3115" s="122">
        <v>4280000</v>
      </c>
      <c r="B3115" s="120" t="s">
        <v>354</v>
      </c>
    </row>
    <row r="3116" spans="1:2">
      <c r="A3116" s="122">
        <v>4280100</v>
      </c>
      <c r="B3116" s="120" t="s">
        <v>1381</v>
      </c>
    </row>
    <row r="3117" spans="1:2">
      <c r="A3117" s="122">
        <v>4285800</v>
      </c>
      <c r="B3117" s="120" t="s">
        <v>577</v>
      </c>
    </row>
    <row r="3118" spans="1:2">
      <c r="A3118" s="122">
        <v>4286800</v>
      </c>
      <c r="B3118" s="120" t="s">
        <v>616</v>
      </c>
    </row>
    <row r="3119" spans="1:2">
      <c r="A3119" s="122">
        <v>4286801</v>
      </c>
      <c r="B3119" s="120" t="s">
        <v>388</v>
      </c>
    </row>
    <row r="3120" spans="1:2" ht="25.5">
      <c r="A3120" s="122">
        <v>4286802</v>
      </c>
      <c r="B3120" s="120" t="s">
        <v>166</v>
      </c>
    </row>
    <row r="3121" spans="1:2">
      <c r="A3121" s="122">
        <v>4287100</v>
      </c>
      <c r="B3121" s="120" t="s">
        <v>891</v>
      </c>
    </row>
    <row r="3122" spans="1:2">
      <c r="A3122" s="122">
        <v>4287101</v>
      </c>
      <c r="B3122" s="120" t="s">
        <v>294</v>
      </c>
    </row>
    <row r="3123" spans="1:2">
      <c r="A3123" s="122">
        <v>4287102</v>
      </c>
      <c r="B3123" s="120" t="s">
        <v>174</v>
      </c>
    </row>
    <row r="3124" spans="1:2">
      <c r="A3124" s="122">
        <v>4287103</v>
      </c>
      <c r="B3124" s="120" t="s">
        <v>175</v>
      </c>
    </row>
    <row r="3125" spans="1:2">
      <c r="A3125" s="122">
        <v>4287200</v>
      </c>
      <c r="B3125" s="120" t="s">
        <v>238</v>
      </c>
    </row>
    <row r="3126" spans="1:2">
      <c r="A3126" s="122">
        <v>4287201</v>
      </c>
      <c r="B3126" s="120" t="s">
        <v>630</v>
      </c>
    </row>
    <row r="3127" spans="1:2">
      <c r="A3127" s="122">
        <v>4287202</v>
      </c>
      <c r="B3127" s="120" t="s">
        <v>631</v>
      </c>
    </row>
    <row r="3128" spans="1:2">
      <c r="A3128" s="122">
        <v>4287203</v>
      </c>
      <c r="B3128" s="120" t="s">
        <v>574</v>
      </c>
    </row>
    <row r="3129" spans="1:2">
      <c r="A3129" s="122">
        <v>4287300</v>
      </c>
      <c r="B3129" s="120" t="s">
        <v>50</v>
      </c>
    </row>
    <row r="3130" spans="1:2">
      <c r="A3130" s="122">
        <v>4287600</v>
      </c>
      <c r="B3130" s="120" t="s">
        <v>1112</v>
      </c>
    </row>
    <row r="3131" spans="1:2">
      <c r="A3131" s="122">
        <v>4287800</v>
      </c>
      <c r="B3131" s="120" t="s">
        <v>324</v>
      </c>
    </row>
    <row r="3132" spans="1:2">
      <c r="A3132" s="122">
        <v>4289900</v>
      </c>
      <c r="B3132" s="120" t="s">
        <v>57</v>
      </c>
    </row>
    <row r="3133" spans="1:2">
      <c r="A3133" s="122">
        <v>4290000</v>
      </c>
      <c r="B3133" s="120" t="s">
        <v>1586</v>
      </c>
    </row>
    <row r="3134" spans="1:2">
      <c r="A3134" s="122">
        <v>4297800</v>
      </c>
      <c r="B3134" s="120" t="s">
        <v>324</v>
      </c>
    </row>
    <row r="3135" spans="1:2">
      <c r="A3135" s="122">
        <v>4299900</v>
      </c>
      <c r="B3135" s="120" t="s">
        <v>57</v>
      </c>
    </row>
    <row r="3136" spans="1:2">
      <c r="A3136" s="122">
        <v>4300000</v>
      </c>
      <c r="B3136" s="120" t="s">
        <v>1587</v>
      </c>
    </row>
    <row r="3137" spans="1:2">
      <c r="A3137" s="122">
        <v>4300100</v>
      </c>
      <c r="B3137" s="120" t="s">
        <v>1891</v>
      </c>
    </row>
    <row r="3138" spans="1:2">
      <c r="A3138" s="122">
        <v>4300200</v>
      </c>
      <c r="B3138" s="120" t="s">
        <v>516</v>
      </c>
    </row>
    <row r="3139" spans="1:2">
      <c r="A3139" s="122">
        <v>4300201</v>
      </c>
      <c r="B3139" s="120" t="s">
        <v>2008</v>
      </c>
    </row>
    <row r="3140" spans="1:2" ht="38.25">
      <c r="A3140" s="122">
        <v>4300202</v>
      </c>
      <c r="B3140" s="120" t="s">
        <v>2009</v>
      </c>
    </row>
    <row r="3141" spans="1:2">
      <c r="A3141" s="122">
        <v>4300300</v>
      </c>
      <c r="B3141" s="120" t="s">
        <v>529</v>
      </c>
    </row>
    <row r="3142" spans="1:2" ht="25.5">
      <c r="A3142" s="122">
        <v>4300400</v>
      </c>
      <c r="B3142" s="120" t="s">
        <v>2010</v>
      </c>
    </row>
    <row r="3143" spans="1:2" ht="38.25">
      <c r="A3143" s="122">
        <v>4300500</v>
      </c>
      <c r="B3143" s="120" t="s">
        <v>1825</v>
      </c>
    </row>
    <row r="3144" spans="1:2" ht="25.5">
      <c r="A3144" s="122">
        <v>4305600</v>
      </c>
      <c r="B3144" s="120" t="s">
        <v>325</v>
      </c>
    </row>
    <row r="3145" spans="1:2">
      <c r="A3145" s="122">
        <v>4305800</v>
      </c>
      <c r="B3145" s="120" t="s">
        <v>577</v>
      </c>
    </row>
    <row r="3146" spans="1:2">
      <c r="A3146" s="122">
        <v>4306200</v>
      </c>
      <c r="B3146" s="120" t="s">
        <v>159</v>
      </c>
    </row>
    <row r="3147" spans="1:2">
      <c r="A3147" s="122">
        <v>4306800</v>
      </c>
      <c r="B3147" s="120" t="s">
        <v>616</v>
      </c>
    </row>
    <row r="3148" spans="1:2">
      <c r="A3148" s="122">
        <v>4306801</v>
      </c>
      <c r="B3148" s="120" t="s">
        <v>388</v>
      </c>
    </row>
    <row r="3149" spans="1:2" ht="25.5">
      <c r="A3149" s="122">
        <v>4306802</v>
      </c>
      <c r="B3149" s="120" t="s">
        <v>166</v>
      </c>
    </row>
    <row r="3150" spans="1:2">
      <c r="A3150" s="122">
        <v>4307100</v>
      </c>
      <c r="B3150" s="120" t="s">
        <v>891</v>
      </c>
    </row>
    <row r="3151" spans="1:2">
      <c r="A3151" s="122">
        <v>4307101</v>
      </c>
      <c r="B3151" s="120" t="s">
        <v>294</v>
      </c>
    </row>
    <row r="3152" spans="1:2">
      <c r="A3152" s="122">
        <v>4307102</v>
      </c>
      <c r="B3152" s="120" t="s">
        <v>174</v>
      </c>
    </row>
    <row r="3153" spans="1:2">
      <c r="A3153" s="122">
        <v>4307103</v>
      </c>
      <c r="B3153" s="120" t="s">
        <v>175</v>
      </c>
    </row>
    <row r="3154" spans="1:2">
      <c r="A3154" s="122">
        <v>4307200</v>
      </c>
      <c r="B3154" s="120" t="s">
        <v>238</v>
      </c>
    </row>
    <row r="3155" spans="1:2">
      <c r="A3155" s="122">
        <v>4307201</v>
      </c>
      <c r="B3155" s="120" t="s">
        <v>630</v>
      </c>
    </row>
    <row r="3156" spans="1:2">
      <c r="A3156" s="122">
        <v>4307202</v>
      </c>
      <c r="B3156" s="120" t="s">
        <v>631</v>
      </c>
    </row>
    <row r="3157" spans="1:2">
      <c r="A3157" s="122">
        <v>4307203</v>
      </c>
      <c r="B3157" s="120" t="s">
        <v>574</v>
      </c>
    </row>
    <row r="3158" spans="1:2">
      <c r="A3158" s="122">
        <v>4307300</v>
      </c>
      <c r="B3158" s="120" t="s">
        <v>50</v>
      </c>
    </row>
    <row r="3159" spans="1:2">
      <c r="A3159" s="122">
        <v>4307600</v>
      </c>
      <c r="B3159" s="120" t="s">
        <v>1112</v>
      </c>
    </row>
    <row r="3160" spans="1:2">
      <c r="A3160" s="122">
        <v>4309200</v>
      </c>
      <c r="B3160" s="120" t="s">
        <v>1620</v>
      </c>
    </row>
    <row r="3161" spans="1:2">
      <c r="A3161" s="122">
        <v>4309900</v>
      </c>
      <c r="B3161" s="120" t="s">
        <v>57</v>
      </c>
    </row>
    <row r="3162" spans="1:2">
      <c r="A3162" s="122">
        <v>4310000</v>
      </c>
      <c r="B3162" s="120" t="s">
        <v>285</v>
      </c>
    </row>
    <row r="3163" spans="1:2">
      <c r="A3163" s="122">
        <v>4310100</v>
      </c>
      <c r="B3163" s="120" t="s">
        <v>250</v>
      </c>
    </row>
    <row r="3164" spans="1:2">
      <c r="A3164" s="122">
        <v>4310102</v>
      </c>
      <c r="B3164" s="120" t="s">
        <v>2143</v>
      </c>
    </row>
    <row r="3165" spans="1:2">
      <c r="A3165" s="122">
        <v>4310104</v>
      </c>
      <c r="B3165" s="120" t="s">
        <v>250</v>
      </c>
    </row>
    <row r="3166" spans="1:2" ht="25.5">
      <c r="A3166" s="122">
        <v>4310200</v>
      </c>
      <c r="B3166" s="120" t="s">
        <v>1826</v>
      </c>
    </row>
    <row r="3167" spans="1:2">
      <c r="A3167" s="122">
        <v>4319400</v>
      </c>
      <c r="B3167" s="120" t="s">
        <v>621</v>
      </c>
    </row>
    <row r="3168" spans="1:2">
      <c r="A3168" s="122">
        <v>4319900</v>
      </c>
      <c r="B3168" s="120" t="s">
        <v>57</v>
      </c>
    </row>
    <row r="3169" spans="1:2">
      <c r="A3169" s="122">
        <v>4320000</v>
      </c>
      <c r="B3169" s="120" t="s">
        <v>212</v>
      </c>
    </row>
    <row r="3170" spans="1:2">
      <c r="A3170" s="122">
        <v>4320100</v>
      </c>
      <c r="B3170" s="120" t="s">
        <v>389</v>
      </c>
    </row>
    <row r="3171" spans="1:2">
      <c r="A3171" s="122">
        <v>4320200</v>
      </c>
      <c r="B3171" s="120" t="s">
        <v>1087</v>
      </c>
    </row>
    <row r="3172" spans="1:2">
      <c r="A3172" s="122">
        <v>4320201</v>
      </c>
      <c r="B3172" s="120" t="s">
        <v>648</v>
      </c>
    </row>
    <row r="3173" spans="1:2">
      <c r="A3173" s="122">
        <v>4320202</v>
      </c>
      <c r="B3173" s="120" t="s">
        <v>1827</v>
      </c>
    </row>
    <row r="3174" spans="1:2">
      <c r="A3174" s="122">
        <v>4320203</v>
      </c>
      <c r="B3174" s="120" t="s">
        <v>1955</v>
      </c>
    </row>
    <row r="3175" spans="1:2">
      <c r="A3175" s="122">
        <v>4325800</v>
      </c>
      <c r="B3175" s="120" t="s">
        <v>577</v>
      </c>
    </row>
    <row r="3176" spans="1:2">
      <c r="A3176" s="122">
        <v>4326200</v>
      </c>
      <c r="B3176" s="120" t="s">
        <v>159</v>
      </c>
    </row>
    <row r="3177" spans="1:2">
      <c r="A3177" s="122">
        <v>4326800</v>
      </c>
      <c r="B3177" s="120" t="s">
        <v>616</v>
      </c>
    </row>
    <row r="3178" spans="1:2">
      <c r="A3178" s="122">
        <v>4326801</v>
      </c>
      <c r="B3178" s="120" t="s">
        <v>388</v>
      </c>
    </row>
    <row r="3179" spans="1:2" ht="25.5">
      <c r="A3179" s="122">
        <v>4326802</v>
      </c>
      <c r="B3179" s="120" t="s">
        <v>166</v>
      </c>
    </row>
    <row r="3180" spans="1:2">
      <c r="A3180" s="122">
        <v>4327100</v>
      </c>
      <c r="B3180" s="120" t="s">
        <v>891</v>
      </c>
    </row>
    <row r="3181" spans="1:2">
      <c r="A3181" s="122">
        <v>4327101</v>
      </c>
      <c r="B3181" s="120" t="s">
        <v>294</v>
      </c>
    </row>
    <row r="3182" spans="1:2">
      <c r="A3182" s="122">
        <v>4327102</v>
      </c>
      <c r="B3182" s="120" t="s">
        <v>174</v>
      </c>
    </row>
    <row r="3183" spans="1:2">
      <c r="A3183" s="122">
        <v>4327103</v>
      </c>
      <c r="B3183" s="120" t="s">
        <v>175</v>
      </c>
    </row>
    <row r="3184" spans="1:2">
      <c r="A3184" s="122">
        <v>4327200</v>
      </c>
      <c r="B3184" s="120" t="s">
        <v>238</v>
      </c>
    </row>
    <row r="3185" spans="1:2">
      <c r="A3185" s="122">
        <v>4327201</v>
      </c>
      <c r="B3185" s="120" t="s">
        <v>630</v>
      </c>
    </row>
    <row r="3186" spans="1:2">
      <c r="A3186" s="122">
        <v>4327202</v>
      </c>
      <c r="B3186" s="120" t="s">
        <v>631</v>
      </c>
    </row>
    <row r="3187" spans="1:2">
      <c r="A3187" s="122">
        <v>4327203</v>
      </c>
      <c r="B3187" s="120" t="s">
        <v>574</v>
      </c>
    </row>
    <row r="3188" spans="1:2">
      <c r="A3188" s="122">
        <v>4329900</v>
      </c>
      <c r="B3188" s="120" t="s">
        <v>57</v>
      </c>
    </row>
    <row r="3189" spans="1:2">
      <c r="A3189" s="122">
        <v>4350000</v>
      </c>
      <c r="B3189" s="120" t="s">
        <v>41</v>
      </c>
    </row>
    <row r="3190" spans="1:2">
      <c r="A3190" s="122">
        <v>4359900</v>
      </c>
      <c r="B3190" s="120" t="s">
        <v>57</v>
      </c>
    </row>
    <row r="3191" spans="1:2">
      <c r="A3191" s="122">
        <v>4360000</v>
      </c>
      <c r="B3191" s="120" t="s">
        <v>4</v>
      </c>
    </row>
    <row r="3192" spans="1:2">
      <c r="A3192" s="122">
        <v>4360100</v>
      </c>
      <c r="B3192" s="120" t="s">
        <v>225</v>
      </c>
    </row>
    <row r="3193" spans="1:2">
      <c r="A3193" s="122">
        <v>4360200</v>
      </c>
      <c r="B3193" s="120" t="s">
        <v>1088</v>
      </c>
    </row>
    <row r="3194" spans="1:2">
      <c r="A3194" s="122">
        <v>4360300</v>
      </c>
      <c r="B3194" s="120" t="s">
        <v>1015</v>
      </c>
    </row>
    <row r="3195" spans="1:2">
      <c r="A3195" s="122">
        <v>4360400</v>
      </c>
      <c r="B3195" s="120" t="s">
        <v>658</v>
      </c>
    </row>
    <row r="3196" spans="1:2">
      <c r="A3196" s="122">
        <v>4360500</v>
      </c>
      <c r="B3196" s="120" t="s">
        <v>34</v>
      </c>
    </row>
    <row r="3197" spans="1:2">
      <c r="A3197" s="122">
        <v>4360600</v>
      </c>
      <c r="B3197" s="120" t="s">
        <v>35</v>
      </c>
    </row>
    <row r="3198" spans="1:2">
      <c r="A3198" s="122">
        <v>4360700</v>
      </c>
      <c r="B3198" s="120" t="s">
        <v>527</v>
      </c>
    </row>
    <row r="3199" spans="1:2" ht="25.5">
      <c r="A3199" s="122">
        <v>4360800</v>
      </c>
      <c r="B3199" s="120" t="s">
        <v>1292</v>
      </c>
    </row>
    <row r="3200" spans="1:2">
      <c r="A3200" s="122">
        <v>4360900</v>
      </c>
      <c r="B3200" s="120" t="s">
        <v>250</v>
      </c>
    </row>
    <row r="3201" spans="1:2">
      <c r="A3201" s="122">
        <v>4361000</v>
      </c>
      <c r="B3201" s="120" t="s">
        <v>1226</v>
      </c>
    </row>
    <row r="3202" spans="1:2">
      <c r="A3202" s="122">
        <v>4361100</v>
      </c>
      <c r="B3202" s="120" t="s">
        <v>1293</v>
      </c>
    </row>
    <row r="3203" spans="1:2">
      <c r="A3203" s="122">
        <v>4361200</v>
      </c>
      <c r="B3203" s="120" t="s">
        <v>162</v>
      </c>
    </row>
    <row r="3204" spans="1:2">
      <c r="A3204" s="122">
        <v>4361400</v>
      </c>
      <c r="B3204" s="120" t="s">
        <v>1828</v>
      </c>
    </row>
    <row r="3205" spans="1:2" ht="25.5">
      <c r="A3205" s="122">
        <v>4361500</v>
      </c>
      <c r="B3205" s="120" t="s">
        <v>1829</v>
      </c>
    </row>
    <row r="3206" spans="1:2">
      <c r="A3206" s="122">
        <v>4361600</v>
      </c>
      <c r="B3206" s="120" t="s">
        <v>1830</v>
      </c>
    </row>
    <row r="3207" spans="1:2">
      <c r="A3207" s="122">
        <v>4361700</v>
      </c>
      <c r="B3207" s="120" t="s">
        <v>1831</v>
      </c>
    </row>
    <row r="3208" spans="1:2">
      <c r="A3208" s="122">
        <v>4361800</v>
      </c>
      <c r="B3208" s="120" t="s">
        <v>1832</v>
      </c>
    </row>
    <row r="3209" spans="1:2">
      <c r="A3209" s="122">
        <v>4361900</v>
      </c>
      <c r="B3209" s="120" t="s">
        <v>1833</v>
      </c>
    </row>
    <row r="3210" spans="1:2" ht="25.5">
      <c r="A3210" s="122">
        <v>4361901</v>
      </c>
      <c r="B3210" s="120" t="s">
        <v>1274</v>
      </c>
    </row>
    <row r="3211" spans="1:2" ht="25.5">
      <c r="A3211" s="122">
        <v>4361902</v>
      </c>
      <c r="B3211" s="120" t="s">
        <v>1275</v>
      </c>
    </row>
    <row r="3212" spans="1:2">
      <c r="A3212" s="122">
        <v>4362000</v>
      </c>
      <c r="B3212" s="120" t="s">
        <v>1276</v>
      </c>
    </row>
    <row r="3213" spans="1:2">
      <c r="A3213" s="122">
        <v>4362100</v>
      </c>
      <c r="B3213" s="120" t="s">
        <v>1277</v>
      </c>
    </row>
    <row r="3214" spans="1:2" ht="25.5">
      <c r="A3214" s="122">
        <v>4369300</v>
      </c>
      <c r="B3214" s="120" t="s">
        <v>657</v>
      </c>
    </row>
    <row r="3215" spans="1:2">
      <c r="A3215" s="122">
        <v>4369400</v>
      </c>
      <c r="B3215" s="120" t="s">
        <v>621</v>
      </c>
    </row>
    <row r="3216" spans="1:2">
      <c r="A3216" s="122">
        <v>4400000</v>
      </c>
      <c r="B3216" s="120" t="s">
        <v>1278</v>
      </c>
    </row>
    <row r="3217" spans="1:2">
      <c r="A3217" s="122">
        <v>4400100</v>
      </c>
      <c r="B3217" s="120" t="s">
        <v>1241</v>
      </c>
    </row>
    <row r="3218" spans="1:2">
      <c r="A3218" s="122">
        <v>4400200</v>
      </c>
      <c r="B3218" s="120" t="s">
        <v>963</v>
      </c>
    </row>
    <row r="3219" spans="1:2" ht="25.5">
      <c r="A3219" s="122">
        <v>4400300</v>
      </c>
      <c r="B3219" s="120" t="s">
        <v>1990</v>
      </c>
    </row>
    <row r="3220" spans="1:2">
      <c r="A3220" s="122">
        <v>4400400</v>
      </c>
      <c r="B3220" s="120" t="s">
        <v>1991</v>
      </c>
    </row>
    <row r="3221" spans="1:2">
      <c r="A3221" s="122">
        <v>4400500</v>
      </c>
      <c r="B3221" s="120" t="s">
        <v>1119</v>
      </c>
    </row>
    <row r="3222" spans="1:2">
      <c r="A3222" s="122">
        <v>4400600</v>
      </c>
      <c r="B3222" s="120" t="s">
        <v>443</v>
      </c>
    </row>
    <row r="3223" spans="1:2">
      <c r="A3223" s="122">
        <v>4400700</v>
      </c>
      <c r="B3223" s="120" t="s">
        <v>343</v>
      </c>
    </row>
    <row r="3224" spans="1:2" ht="25.5">
      <c r="A3224" s="122">
        <v>4400800</v>
      </c>
      <c r="B3224" s="120" t="s">
        <v>1992</v>
      </c>
    </row>
    <row r="3225" spans="1:2">
      <c r="A3225" s="122">
        <v>4400900</v>
      </c>
      <c r="B3225" s="120" t="s">
        <v>1993</v>
      </c>
    </row>
    <row r="3226" spans="1:2">
      <c r="A3226" s="122">
        <v>4405800</v>
      </c>
      <c r="B3226" s="120" t="s">
        <v>577</v>
      </c>
    </row>
    <row r="3227" spans="1:2">
      <c r="A3227" s="122">
        <v>4409200</v>
      </c>
      <c r="B3227" s="120" t="s">
        <v>1620</v>
      </c>
    </row>
    <row r="3228" spans="1:2">
      <c r="A3228" s="122">
        <v>4409400</v>
      </c>
      <c r="B3228" s="120" t="s">
        <v>621</v>
      </c>
    </row>
    <row r="3229" spans="1:2">
      <c r="A3229" s="122">
        <v>4409900</v>
      </c>
      <c r="B3229" s="120" t="s">
        <v>57</v>
      </c>
    </row>
    <row r="3230" spans="1:2">
      <c r="A3230" s="122">
        <v>4410000</v>
      </c>
      <c r="B3230" s="120" t="s">
        <v>1507</v>
      </c>
    </row>
    <row r="3231" spans="1:2">
      <c r="A3231" s="122">
        <v>4415800</v>
      </c>
      <c r="B3231" s="120" t="s">
        <v>577</v>
      </c>
    </row>
    <row r="3232" spans="1:2">
      <c r="A3232" s="122">
        <v>4417100</v>
      </c>
      <c r="B3232" s="120" t="s">
        <v>891</v>
      </c>
    </row>
    <row r="3233" spans="1:2">
      <c r="A3233" s="122">
        <v>4417101</v>
      </c>
      <c r="B3233" s="120" t="s">
        <v>294</v>
      </c>
    </row>
    <row r="3234" spans="1:2">
      <c r="A3234" s="122">
        <v>4417102</v>
      </c>
      <c r="B3234" s="120" t="s">
        <v>174</v>
      </c>
    </row>
    <row r="3235" spans="1:2">
      <c r="A3235" s="122">
        <v>4417103</v>
      </c>
      <c r="B3235" s="120" t="s">
        <v>175</v>
      </c>
    </row>
    <row r="3236" spans="1:2">
      <c r="A3236" s="122">
        <v>4417200</v>
      </c>
      <c r="B3236" s="120" t="s">
        <v>238</v>
      </c>
    </row>
    <row r="3237" spans="1:2">
      <c r="A3237" s="122">
        <v>4417201</v>
      </c>
      <c r="B3237" s="120" t="s">
        <v>630</v>
      </c>
    </row>
    <row r="3238" spans="1:2">
      <c r="A3238" s="122">
        <v>4417202</v>
      </c>
      <c r="B3238" s="120" t="s">
        <v>631</v>
      </c>
    </row>
    <row r="3239" spans="1:2">
      <c r="A3239" s="122">
        <v>4417203</v>
      </c>
      <c r="B3239" s="120" t="s">
        <v>574</v>
      </c>
    </row>
    <row r="3240" spans="1:2">
      <c r="A3240" s="122">
        <v>4419200</v>
      </c>
      <c r="B3240" s="120" t="s">
        <v>1620</v>
      </c>
    </row>
    <row r="3241" spans="1:2">
      <c r="A3241" s="122">
        <v>4419900</v>
      </c>
      <c r="B3241" s="120" t="s">
        <v>57</v>
      </c>
    </row>
    <row r="3242" spans="1:2">
      <c r="A3242" s="122">
        <v>4420000</v>
      </c>
      <c r="B3242" s="120" t="s">
        <v>302</v>
      </c>
    </row>
    <row r="3243" spans="1:2">
      <c r="A3243" s="122">
        <v>4420100</v>
      </c>
      <c r="B3243" s="120" t="s">
        <v>234</v>
      </c>
    </row>
    <row r="3244" spans="1:2">
      <c r="A3244" s="122">
        <v>4429200</v>
      </c>
      <c r="B3244" s="120" t="s">
        <v>1620</v>
      </c>
    </row>
    <row r="3245" spans="1:2">
      <c r="A3245" s="122">
        <v>4429900</v>
      </c>
      <c r="B3245" s="120" t="s">
        <v>57</v>
      </c>
    </row>
    <row r="3246" spans="1:2">
      <c r="A3246" s="122">
        <v>4430000</v>
      </c>
      <c r="B3246" s="120" t="s">
        <v>1530</v>
      </c>
    </row>
    <row r="3247" spans="1:2">
      <c r="A3247" s="122">
        <v>4430100</v>
      </c>
      <c r="B3247" s="120" t="s">
        <v>1669</v>
      </c>
    </row>
    <row r="3248" spans="1:2">
      <c r="A3248" s="122">
        <v>4438500</v>
      </c>
      <c r="B3248" s="120" t="s">
        <v>1521</v>
      </c>
    </row>
    <row r="3249" spans="1:2">
      <c r="A3249" s="122">
        <v>4439200</v>
      </c>
      <c r="B3249" s="120" t="s">
        <v>1620</v>
      </c>
    </row>
    <row r="3250" spans="1:2">
      <c r="A3250" s="122">
        <v>4439900</v>
      </c>
      <c r="B3250" s="120" t="s">
        <v>57</v>
      </c>
    </row>
    <row r="3251" spans="1:2">
      <c r="A3251" s="122">
        <v>4440000</v>
      </c>
      <c r="B3251" s="120" t="s">
        <v>1994</v>
      </c>
    </row>
    <row r="3252" spans="1:2">
      <c r="A3252" s="122">
        <v>4440100</v>
      </c>
      <c r="B3252" s="120" t="s">
        <v>1995</v>
      </c>
    </row>
    <row r="3253" spans="1:2">
      <c r="A3253" s="122">
        <v>4440200</v>
      </c>
      <c r="B3253" s="120" t="s">
        <v>1996</v>
      </c>
    </row>
    <row r="3254" spans="1:2">
      <c r="A3254" s="122">
        <v>4500000</v>
      </c>
      <c r="B3254" s="120" t="s">
        <v>1997</v>
      </c>
    </row>
    <row r="3255" spans="1:2">
      <c r="A3255" s="122">
        <v>4500100</v>
      </c>
      <c r="B3255" s="120" t="s">
        <v>1119</v>
      </c>
    </row>
    <row r="3256" spans="1:2">
      <c r="A3256" s="122">
        <v>4500200</v>
      </c>
      <c r="B3256" s="120" t="s">
        <v>443</v>
      </c>
    </row>
    <row r="3257" spans="1:2">
      <c r="A3257" s="122">
        <v>4500300</v>
      </c>
      <c r="B3257" s="120" t="s">
        <v>343</v>
      </c>
    </row>
    <row r="3258" spans="1:2">
      <c r="A3258" s="122">
        <v>4500500</v>
      </c>
      <c r="B3258" s="120" t="s">
        <v>176</v>
      </c>
    </row>
    <row r="3259" spans="1:2">
      <c r="A3259" s="122">
        <v>4500600</v>
      </c>
      <c r="B3259" s="120" t="s">
        <v>963</v>
      </c>
    </row>
    <row r="3260" spans="1:2" ht="25.5">
      <c r="A3260" s="122">
        <v>4500700</v>
      </c>
      <c r="B3260" s="120" t="s">
        <v>1998</v>
      </c>
    </row>
    <row r="3261" spans="1:2">
      <c r="A3261" s="122">
        <v>4505800</v>
      </c>
      <c r="B3261" s="120" t="s">
        <v>577</v>
      </c>
    </row>
    <row r="3262" spans="1:2">
      <c r="A3262" s="122">
        <v>4506700</v>
      </c>
      <c r="B3262" s="120" t="s">
        <v>53</v>
      </c>
    </row>
    <row r="3263" spans="1:2">
      <c r="A3263" s="122">
        <v>4508500</v>
      </c>
      <c r="B3263" s="120" t="s">
        <v>1521</v>
      </c>
    </row>
    <row r="3264" spans="1:2">
      <c r="A3264" s="122">
        <v>4509000</v>
      </c>
      <c r="B3264" s="120" t="s">
        <v>942</v>
      </c>
    </row>
    <row r="3265" spans="1:2" ht="25.5">
      <c r="A3265" s="122">
        <v>4509300</v>
      </c>
      <c r="B3265" s="120" t="s">
        <v>657</v>
      </c>
    </row>
    <row r="3266" spans="1:2">
      <c r="A3266" s="122">
        <v>4509400</v>
      </c>
      <c r="B3266" s="120" t="s">
        <v>621</v>
      </c>
    </row>
    <row r="3267" spans="1:2">
      <c r="A3267" s="122">
        <v>4510000</v>
      </c>
      <c r="B3267" s="120" t="s">
        <v>1531</v>
      </c>
    </row>
    <row r="3268" spans="1:2">
      <c r="A3268" s="122">
        <v>4510100</v>
      </c>
      <c r="B3268" s="120" t="s">
        <v>664</v>
      </c>
    </row>
    <row r="3269" spans="1:2" ht="76.5">
      <c r="A3269" s="122">
        <v>4510102</v>
      </c>
      <c r="B3269" s="121" t="s">
        <v>47</v>
      </c>
    </row>
    <row r="3270" spans="1:2" ht="63.75">
      <c r="A3270" s="122">
        <v>4510103</v>
      </c>
      <c r="B3270" s="121" t="s">
        <v>797</v>
      </c>
    </row>
    <row r="3271" spans="1:2">
      <c r="A3271" s="122">
        <v>4518500</v>
      </c>
      <c r="B3271" s="120" t="s">
        <v>1521</v>
      </c>
    </row>
    <row r="3272" spans="1:2" ht="25.5">
      <c r="A3272" s="122">
        <v>4520000</v>
      </c>
      <c r="B3272" s="120" t="s">
        <v>31</v>
      </c>
    </row>
    <row r="3273" spans="1:2">
      <c r="A3273" s="122">
        <v>4529900</v>
      </c>
      <c r="B3273" s="120" t="s">
        <v>57</v>
      </c>
    </row>
    <row r="3274" spans="1:2">
      <c r="A3274" s="122">
        <v>4530000</v>
      </c>
      <c r="B3274" s="120" t="s">
        <v>32</v>
      </c>
    </row>
    <row r="3275" spans="1:2">
      <c r="A3275" s="122">
        <v>4530100</v>
      </c>
      <c r="B3275" s="120" t="s">
        <v>33</v>
      </c>
    </row>
    <row r="3276" spans="1:2" ht="38.25">
      <c r="A3276" s="122">
        <v>4530101</v>
      </c>
      <c r="B3276" s="121" t="s">
        <v>909</v>
      </c>
    </row>
    <row r="3277" spans="1:2" ht="63.75">
      <c r="A3277" s="122">
        <v>4530102</v>
      </c>
      <c r="B3277" s="121" t="s">
        <v>256</v>
      </c>
    </row>
    <row r="3278" spans="1:2" ht="63.75">
      <c r="A3278" s="122">
        <v>4530103</v>
      </c>
      <c r="B3278" s="121" t="s">
        <v>1999</v>
      </c>
    </row>
    <row r="3279" spans="1:2" ht="51">
      <c r="A3279" s="122">
        <v>4530104</v>
      </c>
      <c r="B3279" s="121" t="s">
        <v>1136</v>
      </c>
    </row>
    <row r="3280" spans="1:2" ht="25.5">
      <c r="A3280" s="122">
        <v>4530105</v>
      </c>
      <c r="B3280" s="120" t="s">
        <v>2000</v>
      </c>
    </row>
    <row r="3281" spans="1:2" ht="38.25">
      <c r="A3281" s="122">
        <v>4530106</v>
      </c>
      <c r="B3281" s="120" t="s">
        <v>2001</v>
      </c>
    </row>
    <row r="3282" spans="1:2" ht="51">
      <c r="A3282" s="122">
        <v>4530107</v>
      </c>
      <c r="B3282" s="121" t="s">
        <v>2002</v>
      </c>
    </row>
    <row r="3283" spans="1:2" ht="25.5">
      <c r="A3283" s="122">
        <v>4530109</v>
      </c>
      <c r="B3283" s="120" t="s">
        <v>2003</v>
      </c>
    </row>
    <row r="3284" spans="1:2" ht="25.5">
      <c r="A3284" s="122">
        <v>4530111</v>
      </c>
      <c r="B3284" s="120" t="s">
        <v>2004</v>
      </c>
    </row>
    <row r="3285" spans="1:2">
      <c r="A3285" s="122">
        <v>4538500</v>
      </c>
      <c r="B3285" s="120" t="s">
        <v>1521</v>
      </c>
    </row>
    <row r="3286" spans="1:2">
      <c r="A3286" s="122">
        <v>4539400</v>
      </c>
      <c r="B3286" s="120" t="s">
        <v>621</v>
      </c>
    </row>
    <row r="3287" spans="1:2">
      <c r="A3287" s="122">
        <v>4539900</v>
      </c>
      <c r="B3287" s="120" t="s">
        <v>57</v>
      </c>
    </row>
    <row r="3288" spans="1:2">
      <c r="A3288" s="122">
        <v>4550000</v>
      </c>
      <c r="B3288" s="120" t="s">
        <v>806</v>
      </c>
    </row>
    <row r="3289" spans="1:2" ht="25.5">
      <c r="A3289" s="122">
        <v>4550100</v>
      </c>
      <c r="B3289" s="120" t="s">
        <v>497</v>
      </c>
    </row>
    <row r="3290" spans="1:2" ht="25.5">
      <c r="A3290" s="122">
        <v>4550101</v>
      </c>
      <c r="B3290" s="120" t="s">
        <v>251</v>
      </c>
    </row>
    <row r="3291" spans="1:2" ht="25.5">
      <c r="A3291" s="122">
        <v>4550102</v>
      </c>
      <c r="B3291" s="120" t="s">
        <v>418</v>
      </c>
    </row>
    <row r="3292" spans="1:2">
      <c r="A3292" s="122">
        <v>4555800</v>
      </c>
      <c r="B3292" s="120" t="s">
        <v>577</v>
      </c>
    </row>
    <row r="3293" spans="1:2">
      <c r="A3293" s="122">
        <v>4556800</v>
      </c>
      <c r="B3293" s="120" t="s">
        <v>616</v>
      </c>
    </row>
    <row r="3294" spans="1:2">
      <c r="A3294" s="122">
        <v>4556801</v>
      </c>
      <c r="B3294" s="120" t="s">
        <v>388</v>
      </c>
    </row>
    <row r="3295" spans="1:2" ht="13.5" customHeight="1">
      <c r="A3295" s="122">
        <v>4556802</v>
      </c>
      <c r="B3295" s="120" t="s">
        <v>166</v>
      </c>
    </row>
    <row r="3296" spans="1:2">
      <c r="A3296" s="122">
        <v>4557100</v>
      </c>
      <c r="B3296" s="120" t="s">
        <v>891</v>
      </c>
    </row>
    <row r="3297" spans="1:2">
      <c r="A3297" s="122">
        <v>4557101</v>
      </c>
      <c r="B3297" s="120" t="s">
        <v>294</v>
      </c>
    </row>
    <row r="3298" spans="1:2">
      <c r="A3298" s="122">
        <v>4557102</v>
      </c>
      <c r="B3298" s="120" t="s">
        <v>174</v>
      </c>
    </row>
    <row r="3299" spans="1:2">
      <c r="A3299" s="122">
        <v>4557103</v>
      </c>
      <c r="B3299" s="120" t="s">
        <v>175</v>
      </c>
    </row>
    <row r="3300" spans="1:2">
      <c r="A3300" s="122">
        <v>4557200</v>
      </c>
      <c r="B3300" s="120" t="s">
        <v>238</v>
      </c>
    </row>
    <row r="3301" spans="1:2">
      <c r="A3301" s="122">
        <v>4557201</v>
      </c>
      <c r="B3301" s="120" t="s">
        <v>630</v>
      </c>
    </row>
    <row r="3302" spans="1:2">
      <c r="A3302" s="122">
        <v>4557202</v>
      </c>
      <c r="B3302" s="120" t="s">
        <v>631</v>
      </c>
    </row>
    <row r="3303" spans="1:2">
      <c r="A3303" s="122">
        <v>4557203</v>
      </c>
      <c r="B3303" s="120" t="s">
        <v>574</v>
      </c>
    </row>
    <row r="3304" spans="1:2">
      <c r="A3304" s="122">
        <v>4558500</v>
      </c>
      <c r="B3304" s="120" t="s">
        <v>1521</v>
      </c>
    </row>
    <row r="3305" spans="1:2">
      <c r="A3305" s="122">
        <v>4559900</v>
      </c>
      <c r="B3305" s="120" t="s">
        <v>57</v>
      </c>
    </row>
    <row r="3306" spans="1:2">
      <c r="A3306" s="122">
        <v>4560000</v>
      </c>
      <c r="B3306" s="120" t="s">
        <v>60</v>
      </c>
    </row>
    <row r="3307" spans="1:2" ht="25.5">
      <c r="A3307" s="122">
        <v>4560100</v>
      </c>
      <c r="B3307" s="120" t="s">
        <v>1253</v>
      </c>
    </row>
    <row r="3308" spans="1:2">
      <c r="A3308" s="122">
        <v>4560101</v>
      </c>
      <c r="B3308" s="120" t="s">
        <v>1577</v>
      </c>
    </row>
    <row r="3309" spans="1:2">
      <c r="A3309" s="122">
        <v>4560102</v>
      </c>
      <c r="B3309" s="120" t="s">
        <v>1578</v>
      </c>
    </row>
    <row r="3310" spans="1:2">
      <c r="A3310" s="122">
        <v>4568500</v>
      </c>
      <c r="B3310" s="120" t="s">
        <v>1521</v>
      </c>
    </row>
    <row r="3311" spans="1:2">
      <c r="A3311" s="122">
        <v>4570000</v>
      </c>
      <c r="B3311" s="120" t="s">
        <v>869</v>
      </c>
    </row>
    <row r="3312" spans="1:2" ht="25.5">
      <c r="A3312" s="122">
        <v>4570100</v>
      </c>
      <c r="B3312" s="120" t="s">
        <v>2005</v>
      </c>
    </row>
    <row r="3313" spans="1:2">
      <c r="A3313" s="122">
        <v>4575800</v>
      </c>
      <c r="B3313" s="120" t="s">
        <v>577</v>
      </c>
    </row>
    <row r="3314" spans="1:2">
      <c r="A3314" s="122">
        <v>4577100</v>
      </c>
      <c r="B3314" s="120" t="s">
        <v>891</v>
      </c>
    </row>
    <row r="3315" spans="1:2">
      <c r="A3315" s="122">
        <v>4577101</v>
      </c>
      <c r="B3315" s="120" t="s">
        <v>294</v>
      </c>
    </row>
    <row r="3316" spans="1:2">
      <c r="A3316" s="122">
        <v>4577102</v>
      </c>
      <c r="B3316" s="120" t="s">
        <v>174</v>
      </c>
    </row>
    <row r="3317" spans="1:2">
      <c r="A3317" s="122">
        <v>4577103</v>
      </c>
      <c r="B3317" s="120" t="s">
        <v>175</v>
      </c>
    </row>
    <row r="3318" spans="1:2">
      <c r="A3318" s="122">
        <v>4577200</v>
      </c>
      <c r="B3318" s="120" t="s">
        <v>238</v>
      </c>
    </row>
    <row r="3319" spans="1:2">
      <c r="A3319" s="122">
        <v>4577201</v>
      </c>
      <c r="B3319" s="120" t="s">
        <v>630</v>
      </c>
    </row>
    <row r="3320" spans="1:2">
      <c r="A3320" s="122">
        <v>4577202</v>
      </c>
      <c r="B3320" s="120" t="s">
        <v>631</v>
      </c>
    </row>
    <row r="3321" spans="1:2">
      <c r="A3321" s="122">
        <v>4577203</v>
      </c>
      <c r="B3321" s="120" t="s">
        <v>574</v>
      </c>
    </row>
    <row r="3322" spans="1:2">
      <c r="A3322" s="122">
        <v>4577600</v>
      </c>
      <c r="B3322" s="120" t="s">
        <v>1112</v>
      </c>
    </row>
    <row r="3323" spans="1:2">
      <c r="A3323" s="122">
        <v>4578500</v>
      </c>
      <c r="B3323" s="120" t="s">
        <v>1521</v>
      </c>
    </row>
    <row r="3324" spans="1:2">
      <c r="A3324" s="122">
        <v>4579900</v>
      </c>
      <c r="B3324" s="120" t="s">
        <v>57</v>
      </c>
    </row>
    <row r="3325" spans="1:2">
      <c r="A3325" s="122">
        <v>4680000</v>
      </c>
      <c r="B3325" s="120" t="s">
        <v>478</v>
      </c>
    </row>
    <row r="3326" spans="1:2">
      <c r="A3326" s="122">
        <v>4689900</v>
      </c>
      <c r="B3326" s="120" t="s">
        <v>57</v>
      </c>
    </row>
    <row r="3327" spans="1:2">
      <c r="A3327" s="122">
        <v>4690000</v>
      </c>
      <c r="B3327" s="120" t="s">
        <v>870</v>
      </c>
    </row>
    <row r="3328" spans="1:2">
      <c r="A3328" s="122">
        <v>4695800</v>
      </c>
      <c r="B3328" s="120" t="s">
        <v>577</v>
      </c>
    </row>
    <row r="3329" spans="1:2">
      <c r="A3329" s="122">
        <v>4697100</v>
      </c>
      <c r="B3329" s="120" t="s">
        <v>891</v>
      </c>
    </row>
    <row r="3330" spans="1:2">
      <c r="A3330" s="122">
        <v>4697101</v>
      </c>
      <c r="B3330" s="120" t="s">
        <v>294</v>
      </c>
    </row>
    <row r="3331" spans="1:2">
      <c r="A3331" s="122">
        <v>4697102</v>
      </c>
      <c r="B3331" s="120" t="s">
        <v>174</v>
      </c>
    </row>
    <row r="3332" spans="1:2">
      <c r="A3332" s="122">
        <v>4697103</v>
      </c>
      <c r="B3332" s="120" t="s">
        <v>175</v>
      </c>
    </row>
    <row r="3333" spans="1:2">
      <c r="A3333" s="122">
        <v>4697200</v>
      </c>
      <c r="B3333" s="120" t="s">
        <v>238</v>
      </c>
    </row>
    <row r="3334" spans="1:2">
      <c r="A3334" s="122">
        <v>4697201</v>
      </c>
      <c r="B3334" s="120" t="s">
        <v>630</v>
      </c>
    </row>
    <row r="3335" spans="1:2">
      <c r="A3335" s="122">
        <v>4697202</v>
      </c>
      <c r="B3335" s="120" t="s">
        <v>631</v>
      </c>
    </row>
    <row r="3336" spans="1:2">
      <c r="A3336" s="122">
        <v>4697203</v>
      </c>
      <c r="B3336" s="120" t="s">
        <v>574</v>
      </c>
    </row>
    <row r="3337" spans="1:2">
      <c r="A3337" s="122">
        <v>4699900</v>
      </c>
      <c r="B3337" s="120" t="s">
        <v>57</v>
      </c>
    </row>
    <row r="3338" spans="1:2">
      <c r="A3338" s="122">
        <v>4700000</v>
      </c>
      <c r="B3338" s="120" t="s">
        <v>1395</v>
      </c>
    </row>
    <row r="3339" spans="1:2" ht="51">
      <c r="A3339" s="122">
        <v>4700100</v>
      </c>
      <c r="B3339" s="121" t="s">
        <v>1261</v>
      </c>
    </row>
    <row r="3340" spans="1:2">
      <c r="A3340" s="122">
        <v>4700200</v>
      </c>
      <c r="B3340" s="120" t="s">
        <v>480</v>
      </c>
    </row>
    <row r="3341" spans="1:2" ht="38.25">
      <c r="A3341" s="122">
        <v>4700300</v>
      </c>
      <c r="B3341" s="121" t="s">
        <v>1262</v>
      </c>
    </row>
    <row r="3342" spans="1:2">
      <c r="A3342" s="122">
        <v>4705800</v>
      </c>
      <c r="B3342" s="120" t="s">
        <v>577</v>
      </c>
    </row>
    <row r="3343" spans="1:2">
      <c r="A3343" s="122">
        <v>4706200</v>
      </c>
      <c r="B3343" s="120" t="s">
        <v>159</v>
      </c>
    </row>
    <row r="3344" spans="1:2">
      <c r="A3344" s="122">
        <v>4706800</v>
      </c>
      <c r="B3344" s="120" t="s">
        <v>616</v>
      </c>
    </row>
    <row r="3345" spans="1:2">
      <c r="A3345" s="122">
        <v>4706801</v>
      </c>
      <c r="B3345" s="120" t="s">
        <v>388</v>
      </c>
    </row>
    <row r="3346" spans="1:2" ht="25.5">
      <c r="A3346" s="122">
        <v>4706802</v>
      </c>
      <c r="B3346" s="120" t="s">
        <v>166</v>
      </c>
    </row>
    <row r="3347" spans="1:2">
      <c r="A3347" s="122">
        <v>4707100</v>
      </c>
      <c r="B3347" s="120" t="s">
        <v>891</v>
      </c>
    </row>
    <row r="3348" spans="1:2">
      <c r="A3348" s="122">
        <v>4707101</v>
      </c>
      <c r="B3348" s="120" t="s">
        <v>294</v>
      </c>
    </row>
    <row r="3349" spans="1:2">
      <c r="A3349" s="122">
        <v>4707102</v>
      </c>
      <c r="B3349" s="120" t="s">
        <v>174</v>
      </c>
    </row>
    <row r="3350" spans="1:2">
      <c r="A3350" s="122">
        <v>4707103</v>
      </c>
      <c r="B3350" s="120" t="s">
        <v>175</v>
      </c>
    </row>
    <row r="3351" spans="1:2">
      <c r="A3351" s="122">
        <v>4707200</v>
      </c>
      <c r="B3351" s="120" t="s">
        <v>238</v>
      </c>
    </row>
    <row r="3352" spans="1:2">
      <c r="A3352" s="122">
        <v>4707201</v>
      </c>
      <c r="B3352" s="120" t="s">
        <v>630</v>
      </c>
    </row>
    <row r="3353" spans="1:2">
      <c r="A3353" s="122">
        <v>4707202</v>
      </c>
      <c r="B3353" s="120" t="s">
        <v>631</v>
      </c>
    </row>
    <row r="3354" spans="1:2">
      <c r="A3354" s="122">
        <v>4707203</v>
      </c>
      <c r="B3354" s="120" t="s">
        <v>574</v>
      </c>
    </row>
    <row r="3355" spans="1:2">
      <c r="A3355" s="122">
        <v>4707600</v>
      </c>
      <c r="B3355" s="120" t="s">
        <v>1112</v>
      </c>
    </row>
    <row r="3356" spans="1:2">
      <c r="A3356" s="122">
        <v>4709900</v>
      </c>
      <c r="B3356" s="120" t="s">
        <v>57</v>
      </c>
    </row>
    <row r="3357" spans="1:2">
      <c r="A3357" s="122">
        <v>4710000</v>
      </c>
      <c r="B3357" s="120" t="s">
        <v>871</v>
      </c>
    </row>
    <row r="3358" spans="1:2">
      <c r="A3358" s="122">
        <v>4715800</v>
      </c>
      <c r="B3358" s="120" t="s">
        <v>577</v>
      </c>
    </row>
    <row r="3359" spans="1:2">
      <c r="A3359" s="122">
        <v>4716200</v>
      </c>
      <c r="B3359" s="120" t="s">
        <v>159</v>
      </c>
    </row>
    <row r="3360" spans="1:2">
      <c r="A3360" s="122">
        <v>4716800</v>
      </c>
      <c r="B3360" s="120" t="s">
        <v>54</v>
      </c>
    </row>
    <row r="3361" spans="1:2">
      <c r="A3361" s="122">
        <v>4716801</v>
      </c>
      <c r="B3361" s="120" t="s">
        <v>388</v>
      </c>
    </row>
    <row r="3362" spans="1:2" ht="25.5">
      <c r="A3362" s="122">
        <v>4716802</v>
      </c>
      <c r="B3362" s="120" t="s">
        <v>166</v>
      </c>
    </row>
    <row r="3363" spans="1:2">
      <c r="A3363" s="122">
        <v>4717100</v>
      </c>
      <c r="B3363" s="120" t="s">
        <v>891</v>
      </c>
    </row>
    <row r="3364" spans="1:2">
      <c r="A3364" s="122">
        <v>4717101</v>
      </c>
      <c r="B3364" s="120" t="s">
        <v>294</v>
      </c>
    </row>
    <row r="3365" spans="1:2">
      <c r="A3365" s="122">
        <v>4717102</v>
      </c>
      <c r="B3365" s="120" t="s">
        <v>174</v>
      </c>
    </row>
    <row r="3366" spans="1:2">
      <c r="A3366" s="122">
        <v>4717103</v>
      </c>
      <c r="B3366" s="120" t="s">
        <v>175</v>
      </c>
    </row>
    <row r="3367" spans="1:2">
      <c r="A3367" s="122">
        <v>4717200</v>
      </c>
      <c r="B3367" s="120" t="s">
        <v>238</v>
      </c>
    </row>
    <row r="3368" spans="1:2">
      <c r="A3368" s="122">
        <v>4717201</v>
      </c>
      <c r="B3368" s="120" t="s">
        <v>630</v>
      </c>
    </row>
    <row r="3369" spans="1:2">
      <c r="A3369" s="122">
        <v>4717202</v>
      </c>
      <c r="B3369" s="120" t="s">
        <v>631</v>
      </c>
    </row>
    <row r="3370" spans="1:2">
      <c r="A3370" s="122">
        <v>4717203</v>
      </c>
      <c r="B3370" s="120" t="s">
        <v>574</v>
      </c>
    </row>
    <row r="3371" spans="1:2">
      <c r="A3371" s="122">
        <v>4717600</v>
      </c>
      <c r="B3371" s="120" t="s">
        <v>1180</v>
      </c>
    </row>
    <row r="3372" spans="1:2">
      <c r="A3372" s="122">
        <v>4719900</v>
      </c>
      <c r="B3372" s="120" t="s">
        <v>57</v>
      </c>
    </row>
    <row r="3373" spans="1:2">
      <c r="A3373" s="122">
        <v>4720000</v>
      </c>
      <c r="B3373" s="120" t="s">
        <v>185</v>
      </c>
    </row>
    <row r="3374" spans="1:2">
      <c r="A3374" s="122">
        <v>4729900</v>
      </c>
      <c r="B3374" s="120" t="s">
        <v>57</v>
      </c>
    </row>
    <row r="3375" spans="1:2">
      <c r="A3375" s="122">
        <v>4730000</v>
      </c>
      <c r="B3375" s="120" t="s">
        <v>804</v>
      </c>
    </row>
    <row r="3376" spans="1:2">
      <c r="A3376" s="122">
        <v>4739900</v>
      </c>
      <c r="B3376" s="120" t="s">
        <v>57</v>
      </c>
    </row>
    <row r="3377" spans="1:2">
      <c r="A3377" s="122">
        <v>4740000</v>
      </c>
      <c r="B3377" s="120" t="s">
        <v>291</v>
      </c>
    </row>
    <row r="3378" spans="1:2">
      <c r="A3378" s="122">
        <v>4749900</v>
      </c>
      <c r="B3378" s="120" t="s">
        <v>57</v>
      </c>
    </row>
    <row r="3379" spans="1:2">
      <c r="A3379" s="122">
        <v>4750000</v>
      </c>
      <c r="B3379" s="120" t="s">
        <v>914</v>
      </c>
    </row>
    <row r="3380" spans="1:2">
      <c r="A3380" s="122">
        <v>4755800</v>
      </c>
      <c r="B3380" s="120" t="s">
        <v>577</v>
      </c>
    </row>
    <row r="3381" spans="1:2">
      <c r="A3381" s="122">
        <v>4756800</v>
      </c>
      <c r="B3381" s="120" t="s">
        <v>616</v>
      </c>
    </row>
    <row r="3382" spans="1:2">
      <c r="A3382" s="122">
        <v>4756801</v>
      </c>
      <c r="B3382" s="120" t="s">
        <v>388</v>
      </c>
    </row>
    <row r="3383" spans="1:2" ht="25.5">
      <c r="A3383" s="122">
        <v>4756802</v>
      </c>
      <c r="B3383" s="120" t="s">
        <v>166</v>
      </c>
    </row>
    <row r="3384" spans="1:2">
      <c r="A3384" s="122">
        <v>4757100</v>
      </c>
      <c r="B3384" s="120" t="s">
        <v>891</v>
      </c>
    </row>
    <row r="3385" spans="1:2">
      <c r="A3385" s="122">
        <v>4757101</v>
      </c>
      <c r="B3385" s="120" t="s">
        <v>294</v>
      </c>
    </row>
    <row r="3386" spans="1:2">
      <c r="A3386" s="122">
        <v>4757102</v>
      </c>
      <c r="B3386" s="120" t="s">
        <v>174</v>
      </c>
    </row>
    <row r="3387" spans="1:2">
      <c r="A3387" s="122">
        <v>4757103</v>
      </c>
      <c r="B3387" s="120" t="s">
        <v>175</v>
      </c>
    </row>
    <row r="3388" spans="1:2">
      <c r="A3388" s="122">
        <v>4757200</v>
      </c>
      <c r="B3388" s="120" t="s">
        <v>238</v>
      </c>
    </row>
    <row r="3389" spans="1:2">
      <c r="A3389" s="122">
        <v>4757201</v>
      </c>
      <c r="B3389" s="120" t="s">
        <v>630</v>
      </c>
    </row>
    <row r="3390" spans="1:2">
      <c r="A3390" s="122">
        <v>4757202</v>
      </c>
      <c r="B3390" s="120" t="s">
        <v>631</v>
      </c>
    </row>
    <row r="3391" spans="1:2">
      <c r="A3391" s="122">
        <v>4757203</v>
      </c>
      <c r="B3391" s="120" t="s">
        <v>574</v>
      </c>
    </row>
    <row r="3392" spans="1:2">
      <c r="A3392" s="122">
        <v>4757600</v>
      </c>
      <c r="B3392" s="120" t="s">
        <v>1112</v>
      </c>
    </row>
    <row r="3393" spans="1:2">
      <c r="A3393" s="122">
        <v>4759900</v>
      </c>
      <c r="B3393" s="120" t="s">
        <v>57</v>
      </c>
    </row>
    <row r="3394" spans="1:2">
      <c r="A3394" s="122">
        <v>4790000</v>
      </c>
      <c r="B3394" s="120" t="s">
        <v>187</v>
      </c>
    </row>
    <row r="3395" spans="1:2">
      <c r="A3395" s="122">
        <v>4799900</v>
      </c>
      <c r="B3395" s="120" t="s">
        <v>57</v>
      </c>
    </row>
    <row r="3396" spans="1:2">
      <c r="A3396" s="122">
        <v>4800000</v>
      </c>
      <c r="B3396" s="120" t="s">
        <v>932</v>
      </c>
    </row>
    <row r="3397" spans="1:2">
      <c r="A3397" s="122">
        <v>4805800</v>
      </c>
      <c r="B3397" s="120" t="s">
        <v>577</v>
      </c>
    </row>
    <row r="3398" spans="1:2">
      <c r="A3398" s="122">
        <v>4806800</v>
      </c>
      <c r="B3398" s="120" t="s">
        <v>54</v>
      </c>
    </row>
    <row r="3399" spans="1:2">
      <c r="A3399" s="122">
        <v>4806801</v>
      </c>
      <c r="B3399" s="120" t="s">
        <v>388</v>
      </c>
    </row>
    <row r="3400" spans="1:2" ht="25.5">
      <c r="A3400" s="122">
        <v>4806802</v>
      </c>
      <c r="B3400" s="120" t="s">
        <v>166</v>
      </c>
    </row>
    <row r="3401" spans="1:2">
      <c r="A3401" s="122">
        <v>4807100</v>
      </c>
      <c r="B3401" s="120" t="s">
        <v>891</v>
      </c>
    </row>
    <row r="3402" spans="1:2">
      <c r="A3402" s="122">
        <v>4807101</v>
      </c>
      <c r="B3402" s="120" t="s">
        <v>294</v>
      </c>
    </row>
    <row r="3403" spans="1:2">
      <c r="A3403" s="122">
        <v>4807102</v>
      </c>
      <c r="B3403" s="120" t="s">
        <v>174</v>
      </c>
    </row>
    <row r="3404" spans="1:2">
      <c r="A3404" s="122">
        <v>4807103</v>
      </c>
      <c r="B3404" s="120" t="s">
        <v>175</v>
      </c>
    </row>
    <row r="3405" spans="1:2">
      <c r="A3405" s="122">
        <v>4807200</v>
      </c>
      <c r="B3405" s="120" t="s">
        <v>238</v>
      </c>
    </row>
    <row r="3406" spans="1:2">
      <c r="A3406" s="122">
        <v>4807201</v>
      </c>
      <c r="B3406" s="120" t="s">
        <v>630</v>
      </c>
    </row>
    <row r="3407" spans="1:2">
      <c r="A3407" s="122">
        <v>4807202</v>
      </c>
      <c r="B3407" s="120" t="s">
        <v>631</v>
      </c>
    </row>
    <row r="3408" spans="1:2">
      <c r="A3408" s="122">
        <v>4807203</v>
      </c>
      <c r="B3408" s="120" t="s">
        <v>574</v>
      </c>
    </row>
    <row r="3409" spans="1:2">
      <c r="A3409" s="122">
        <v>4807600</v>
      </c>
      <c r="B3409" s="120" t="s">
        <v>1112</v>
      </c>
    </row>
    <row r="3410" spans="1:2">
      <c r="A3410" s="122">
        <v>4809900</v>
      </c>
      <c r="B3410" s="120" t="s">
        <v>57</v>
      </c>
    </row>
    <row r="3411" spans="1:2">
      <c r="A3411" s="122">
        <v>4810000</v>
      </c>
      <c r="B3411" s="120" t="s">
        <v>67</v>
      </c>
    </row>
    <row r="3412" spans="1:2">
      <c r="A3412" s="122">
        <v>4810100</v>
      </c>
      <c r="B3412" s="120" t="s">
        <v>493</v>
      </c>
    </row>
    <row r="3413" spans="1:2">
      <c r="A3413" s="122">
        <v>4810200</v>
      </c>
      <c r="B3413" s="120" t="s">
        <v>1619</v>
      </c>
    </row>
    <row r="3414" spans="1:2" ht="25.5">
      <c r="A3414" s="122">
        <v>4810300</v>
      </c>
      <c r="B3414" s="120" t="s">
        <v>1263</v>
      </c>
    </row>
    <row r="3415" spans="1:2" ht="25.5">
      <c r="A3415" s="122">
        <v>4810400</v>
      </c>
      <c r="B3415" s="120" t="s">
        <v>1264</v>
      </c>
    </row>
    <row r="3416" spans="1:2">
      <c r="A3416" s="122">
        <v>4817700</v>
      </c>
      <c r="B3416" s="120" t="s">
        <v>1237</v>
      </c>
    </row>
    <row r="3417" spans="1:2">
      <c r="A3417" s="122">
        <v>4820000</v>
      </c>
      <c r="B3417" s="120" t="s">
        <v>68</v>
      </c>
    </row>
    <row r="3418" spans="1:2">
      <c r="A3418" s="122">
        <v>4825800</v>
      </c>
      <c r="B3418" s="120" t="s">
        <v>577</v>
      </c>
    </row>
    <row r="3419" spans="1:2">
      <c r="A3419" s="122">
        <v>4827100</v>
      </c>
      <c r="B3419" s="120" t="s">
        <v>891</v>
      </c>
    </row>
    <row r="3420" spans="1:2">
      <c r="A3420" s="122">
        <v>4827101</v>
      </c>
      <c r="B3420" s="120" t="s">
        <v>294</v>
      </c>
    </row>
    <row r="3421" spans="1:2">
      <c r="A3421" s="122">
        <v>4827102</v>
      </c>
      <c r="B3421" s="120" t="s">
        <v>174</v>
      </c>
    </row>
    <row r="3422" spans="1:2">
      <c r="A3422" s="122">
        <v>4827103</v>
      </c>
      <c r="B3422" s="120" t="s">
        <v>175</v>
      </c>
    </row>
    <row r="3423" spans="1:2">
      <c r="A3423" s="122">
        <v>4827200</v>
      </c>
      <c r="B3423" s="120" t="s">
        <v>238</v>
      </c>
    </row>
    <row r="3424" spans="1:2">
      <c r="A3424" s="122">
        <v>4827201</v>
      </c>
      <c r="B3424" s="120" t="s">
        <v>630</v>
      </c>
    </row>
    <row r="3425" spans="1:2">
      <c r="A3425" s="122">
        <v>4827202</v>
      </c>
      <c r="B3425" s="120" t="s">
        <v>631</v>
      </c>
    </row>
    <row r="3426" spans="1:2">
      <c r="A3426" s="122">
        <v>4827203</v>
      </c>
      <c r="B3426" s="120" t="s">
        <v>574</v>
      </c>
    </row>
    <row r="3427" spans="1:2">
      <c r="A3427" s="122">
        <v>4829900</v>
      </c>
      <c r="B3427" s="120" t="s">
        <v>57</v>
      </c>
    </row>
    <row r="3428" spans="1:2">
      <c r="A3428" s="122">
        <v>4830000</v>
      </c>
      <c r="B3428" s="120" t="s">
        <v>69</v>
      </c>
    </row>
    <row r="3429" spans="1:2">
      <c r="A3429" s="122">
        <v>4839900</v>
      </c>
      <c r="B3429" s="120" t="s">
        <v>57</v>
      </c>
    </row>
    <row r="3430" spans="1:2">
      <c r="A3430" s="122">
        <v>4840000</v>
      </c>
      <c r="B3430" s="120" t="s">
        <v>265</v>
      </c>
    </row>
    <row r="3431" spans="1:2">
      <c r="A3431" s="122">
        <v>4849900</v>
      </c>
      <c r="B3431" s="120" t="s">
        <v>57</v>
      </c>
    </row>
    <row r="3432" spans="1:2">
      <c r="A3432" s="122">
        <v>4850000</v>
      </c>
      <c r="B3432" s="120" t="s">
        <v>1265</v>
      </c>
    </row>
    <row r="3433" spans="1:2">
      <c r="A3433" s="122">
        <v>4850100</v>
      </c>
      <c r="B3433" s="120" t="s">
        <v>361</v>
      </c>
    </row>
    <row r="3434" spans="1:2">
      <c r="A3434" s="122">
        <v>4850200</v>
      </c>
      <c r="B3434" s="120" t="s">
        <v>309</v>
      </c>
    </row>
    <row r="3435" spans="1:2" ht="38.25">
      <c r="A3435" s="122">
        <v>4850300</v>
      </c>
      <c r="B3435" s="121" t="s">
        <v>1266</v>
      </c>
    </row>
    <row r="3436" spans="1:2" ht="25.5">
      <c r="A3436" s="122">
        <v>4850400</v>
      </c>
      <c r="B3436" s="120" t="s">
        <v>1267</v>
      </c>
    </row>
    <row r="3437" spans="1:2">
      <c r="A3437" s="122">
        <v>4850500</v>
      </c>
      <c r="B3437" s="120" t="s">
        <v>1268</v>
      </c>
    </row>
    <row r="3438" spans="1:2">
      <c r="A3438" s="122">
        <v>4850600</v>
      </c>
      <c r="B3438" s="120" t="s">
        <v>289</v>
      </c>
    </row>
    <row r="3439" spans="1:2">
      <c r="A3439" s="122">
        <v>4850700</v>
      </c>
      <c r="B3439" s="120" t="s">
        <v>1226</v>
      </c>
    </row>
    <row r="3440" spans="1:2">
      <c r="A3440" s="122">
        <v>4850800</v>
      </c>
      <c r="B3440" s="120" t="s">
        <v>513</v>
      </c>
    </row>
    <row r="3441" spans="1:2">
      <c r="A3441" s="122">
        <v>4850900</v>
      </c>
      <c r="B3441" s="120" t="s">
        <v>186</v>
      </c>
    </row>
    <row r="3442" spans="1:2" ht="38.25">
      <c r="A3442" s="122">
        <v>4851000</v>
      </c>
      <c r="B3442" s="121" t="s">
        <v>672</v>
      </c>
    </row>
    <row r="3443" spans="1:2">
      <c r="A3443" s="122">
        <v>4851300</v>
      </c>
      <c r="B3443" s="120" t="s">
        <v>673</v>
      </c>
    </row>
    <row r="3444" spans="1:2" ht="51">
      <c r="A3444" s="122">
        <v>4851400</v>
      </c>
      <c r="B3444" s="121" t="s">
        <v>674</v>
      </c>
    </row>
    <row r="3445" spans="1:2">
      <c r="A3445" s="122">
        <v>4851600</v>
      </c>
      <c r="B3445" s="120" t="s">
        <v>675</v>
      </c>
    </row>
    <row r="3446" spans="1:2" ht="25.5">
      <c r="A3446" s="122">
        <v>4851700</v>
      </c>
      <c r="B3446" s="120" t="s">
        <v>676</v>
      </c>
    </row>
    <row r="3447" spans="1:2">
      <c r="A3447" s="122">
        <v>4851800</v>
      </c>
      <c r="B3447" s="120" t="s">
        <v>677</v>
      </c>
    </row>
    <row r="3448" spans="1:2" ht="25.5">
      <c r="A3448" s="122">
        <v>4851900</v>
      </c>
      <c r="B3448" s="120" t="s">
        <v>678</v>
      </c>
    </row>
    <row r="3449" spans="1:2">
      <c r="A3449" s="122">
        <v>4852000</v>
      </c>
      <c r="B3449" s="120" t="s">
        <v>679</v>
      </c>
    </row>
    <row r="3450" spans="1:2">
      <c r="A3450" s="122">
        <v>4852300</v>
      </c>
      <c r="B3450" s="120" t="s">
        <v>680</v>
      </c>
    </row>
    <row r="3451" spans="1:2">
      <c r="A3451" s="122">
        <v>4852400</v>
      </c>
      <c r="B3451" s="120" t="s">
        <v>1271</v>
      </c>
    </row>
    <row r="3452" spans="1:2">
      <c r="A3452" s="122">
        <v>4852500</v>
      </c>
      <c r="B3452" s="120" t="s">
        <v>1272</v>
      </c>
    </row>
    <row r="3453" spans="1:2">
      <c r="A3453" s="122">
        <v>4857700</v>
      </c>
      <c r="B3453" s="120" t="s">
        <v>1273</v>
      </c>
    </row>
    <row r="3454" spans="1:2">
      <c r="A3454" s="122">
        <v>4859700</v>
      </c>
      <c r="B3454" s="120" t="s">
        <v>1134</v>
      </c>
    </row>
    <row r="3455" spans="1:2">
      <c r="A3455" s="122">
        <v>4870000</v>
      </c>
      <c r="B3455" s="120" t="s">
        <v>681</v>
      </c>
    </row>
    <row r="3456" spans="1:2">
      <c r="A3456" s="122">
        <v>4870100</v>
      </c>
      <c r="B3456" s="120" t="s">
        <v>361</v>
      </c>
    </row>
    <row r="3457" spans="1:2" ht="25.5">
      <c r="A3457" s="122">
        <v>4870200</v>
      </c>
      <c r="B3457" s="120" t="s">
        <v>682</v>
      </c>
    </row>
    <row r="3458" spans="1:2">
      <c r="A3458" s="122">
        <v>4880000</v>
      </c>
      <c r="B3458" s="120" t="s">
        <v>683</v>
      </c>
    </row>
    <row r="3459" spans="1:2">
      <c r="A3459" s="122">
        <v>4900000</v>
      </c>
      <c r="B3459" s="120" t="s">
        <v>287</v>
      </c>
    </row>
    <row r="3460" spans="1:2" ht="38.25">
      <c r="A3460" s="122">
        <v>4900100</v>
      </c>
      <c r="B3460" s="121" t="s">
        <v>229</v>
      </c>
    </row>
    <row r="3461" spans="1:2" ht="25.5">
      <c r="A3461" s="122">
        <v>4900101</v>
      </c>
      <c r="B3461" s="120" t="s">
        <v>684</v>
      </c>
    </row>
    <row r="3462" spans="1:2" ht="38.25">
      <c r="A3462" s="122">
        <v>4900200</v>
      </c>
      <c r="B3462" s="120" t="s">
        <v>131</v>
      </c>
    </row>
    <row r="3463" spans="1:2">
      <c r="A3463" s="122">
        <v>4900201</v>
      </c>
      <c r="B3463" s="120" t="s">
        <v>132</v>
      </c>
    </row>
    <row r="3464" spans="1:2" ht="25.5">
      <c r="A3464" s="122">
        <v>4900300</v>
      </c>
      <c r="B3464" s="120" t="s">
        <v>685</v>
      </c>
    </row>
    <row r="3465" spans="1:2">
      <c r="A3465" s="122">
        <v>4900301</v>
      </c>
      <c r="B3465" s="120" t="s">
        <v>258</v>
      </c>
    </row>
    <row r="3466" spans="1:2">
      <c r="A3466" s="122">
        <v>4900400</v>
      </c>
      <c r="B3466" s="120" t="s">
        <v>686</v>
      </c>
    </row>
    <row r="3467" spans="1:2" ht="56.25" customHeight="1">
      <c r="A3467" s="122">
        <v>4900500</v>
      </c>
      <c r="B3467" s="120" t="s">
        <v>687</v>
      </c>
    </row>
    <row r="3468" spans="1:2">
      <c r="A3468" s="122">
        <v>4900501</v>
      </c>
      <c r="B3468" s="120" t="s">
        <v>688</v>
      </c>
    </row>
    <row r="3469" spans="1:2">
      <c r="A3469" s="122">
        <v>4910000</v>
      </c>
      <c r="B3469" s="120" t="s">
        <v>161</v>
      </c>
    </row>
    <row r="3470" spans="1:2">
      <c r="A3470" s="122">
        <v>4910100</v>
      </c>
      <c r="B3470" s="120" t="s">
        <v>894</v>
      </c>
    </row>
    <row r="3471" spans="1:2">
      <c r="A3471" s="122">
        <v>5000000</v>
      </c>
      <c r="B3471" s="120" t="s">
        <v>764</v>
      </c>
    </row>
    <row r="3472" spans="1:2">
      <c r="A3472" s="122">
        <v>5009900</v>
      </c>
      <c r="B3472" s="120" t="s">
        <v>57</v>
      </c>
    </row>
    <row r="3473" spans="1:2">
      <c r="A3473" s="122">
        <v>5010000</v>
      </c>
      <c r="B3473" s="120" t="s">
        <v>1931</v>
      </c>
    </row>
    <row r="3474" spans="1:2">
      <c r="A3474" s="122">
        <v>5019900</v>
      </c>
      <c r="B3474" s="120" t="s">
        <v>57</v>
      </c>
    </row>
    <row r="3475" spans="1:2">
      <c r="A3475" s="122">
        <v>5020000</v>
      </c>
      <c r="B3475" s="120" t="s">
        <v>1932</v>
      </c>
    </row>
    <row r="3476" spans="1:2">
      <c r="A3476" s="122">
        <v>5029900</v>
      </c>
      <c r="B3476" s="120" t="s">
        <v>57</v>
      </c>
    </row>
    <row r="3477" spans="1:2">
      <c r="A3477" s="122">
        <v>5050000</v>
      </c>
      <c r="B3477" s="120" t="s">
        <v>259</v>
      </c>
    </row>
    <row r="3478" spans="1:2" ht="25.5">
      <c r="A3478" s="122">
        <v>5050100</v>
      </c>
      <c r="B3478" s="120" t="s">
        <v>375</v>
      </c>
    </row>
    <row r="3479" spans="1:2" ht="25.5">
      <c r="A3479" s="122">
        <v>5050101</v>
      </c>
      <c r="B3479" s="120" t="s">
        <v>911</v>
      </c>
    </row>
    <row r="3480" spans="1:2" ht="25.5">
      <c r="A3480" s="122">
        <v>5050102</v>
      </c>
      <c r="B3480" s="120" t="s">
        <v>1508</v>
      </c>
    </row>
    <row r="3481" spans="1:2">
      <c r="A3481" s="122">
        <v>5050103</v>
      </c>
      <c r="B3481" s="120" t="s">
        <v>1446</v>
      </c>
    </row>
    <row r="3482" spans="1:2">
      <c r="A3482" s="122">
        <v>5050104</v>
      </c>
      <c r="B3482" s="120" t="s">
        <v>455</v>
      </c>
    </row>
    <row r="3483" spans="1:2">
      <c r="A3483" s="122">
        <v>5050105</v>
      </c>
      <c r="B3483" s="120" t="s">
        <v>724</v>
      </c>
    </row>
    <row r="3484" spans="1:2">
      <c r="A3484" s="122">
        <v>5050200</v>
      </c>
      <c r="B3484" s="120" t="s">
        <v>725</v>
      </c>
    </row>
    <row r="3485" spans="1:2" ht="25.5">
      <c r="A3485" s="122">
        <v>5050201</v>
      </c>
      <c r="B3485" s="120" t="s">
        <v>1606</v>
      </c>
    </row>
    <row r="3486" spans="1:2">
      <c r="A3486" s="122">
        <v>5050202</v>
      </c>
      <c r="B3486" s="120" t="s">
        <v>614</v>
      </c>
    </row>
    <row r="3487" spans="1:2">
      <c r="A3487" s="122">
        <v>5050300</v>
      </c>
      <c r="B3487" s="120" t="s">
        <v>689</v>
      </c>
    </row>
    <row r="3488" spans="1:2" ht="25.5">
      <c r="A3488" s="122">
        <v>5050301</v>
      </c>
      <c r="B3488" s="120" t="s">
        <v>690</v>
      </c>
    </row>
    <row r="3489" spans="1:2" ht="38.25">
      <c r="A3489" s="122">
        <v>5050302</v>
      </c>
      <c r="B3489" s="120" t="s">
        <v>691</v>
      </c>
    </row>
    <row r="3490" spans="1:2" ht="25.5">
      <c r="A3490" s="122">
        <v>5050303</v>
      </c>
      <c r="B3490" s="120" t="s">
        <v>1039</v>
      </c>
    </row>
    <row r="3491" spans="1:2">
      <c r="A3491" s="122">
        <v>5050304</v>
      </c>
      <c r="B3491" s="120" t="s">
        <v>692</v>
      </c>
    </row>
    <row r="3492" spans="1:2">
      <c r="A3492" s="122">
        <v>5050400</v>
      </c>
      <c r="B3492" s="120" t="s">
        <v>178</v>
      </c>
    </row>
    <row r="3493" spans="1:2">
      <c r="A3493" s="122">
        <v>5050401</v>
      </c>
      <c r="B3493" s="120" t="s">
        <v>2</v>
      </c>
    </row>
    <row r="3494" spans="1:2">
      <c r="A3494" s="122">
        <v>5050500</v>
      </c>
      <c r="B3494" s="120" t="s">
        <v>3</v>
      </c>
    </row>
    <row r="3495" spans="1:2" ht="25.5">
      <c r="A3495" s="122">
        <v>5050501</v>
      </c>
      <c r="B3495" s="120" t="s">
        <v>693</v>
      </c>
    </row>
    <row r="3496" spans="1:2">
      <c r="A3496" s="122">
        <v>5050502</v>
      </c>
      <c r="B3496" s="120" t="s">
        <v>365</v>
      </c>
    </row>
    <row r="3497" spans="1:2" ht="25.5">
      <c r="A3497" s="122">
        <v>5050503</v>
      </c>
      <c r="B3497" s="120" t="s">
        <v>1283</v>
      </c>
    </row>
    <row r="3498" spans="1:2" ht="25.5">
      <c r="A3498" s="122">
        <v>5050504</v>
      </c>
      <c r="B3498" s="120" t="s">
        <v>1284</v>
      </c>
    </row>
    <row r="3499" spans="1:2" ht="38.25">
      <c r="A3499" s="122">
        <v>5050505</v>
      </c>
      <c r="B3499" s="120" t="s">
        <v>1285</v>
      </c>
    </row>
    <row r="3500" spans="1:2">
      <c r="A3500" s="122">
        <v>5050506</v>
      </c>
      <c r="B3500" s="120" t="s">
        <v>524</v>
      </c>
    </row>
    <row r="3501" spans="1:2" ht="25.5">
      <c r="A3501" s="122">
        <v>5050507</v>
      </c>
      <c r="B3501" s="120" t="s">
        <v>2036</v>
      </c>
    </row>
    <row r="3502" spans="1:2" ht="38.25">
      <c r="A3502" s="122">
        <v>5050508</v>
      </c>
      <c r="B3502" s="120" t="s">
        <v>1550</v>
      </c>
    </row>
    <row r="3503" spans="1:2" ht="25.5">
      <c r="A3503" s="122">
        <v>5050509</v>
      </c>
      <c r="B3503" s="120" t="s">
        <v>1551</v>
      </c>
    </row>
    <row r="3504" spans="1:2" ht="25.5">
      <c r="A3504" s="122">
        <v>5050600</v>
      </c>
      <c r="B3504" s="120" t="s">
        <v>362</v>
      </c>
    </row>
    <row r="3505" spans="1:2" ht="25.5">
      <c r="A3505" s="122">
        <v>5050601</v>
      </c>
      <c r="B3505" s="120" t="s">
        <v>911</v>
      </c>
    </row>
    <row r="3506" spans="1:2" ht="25.5">
      <c r="A3506" s="122">
        <v>5050602</v>
      </c>
      <c r="B3506" s="120" t="s">
        <v>1508</v>
      </c>
    </row>
    <row r="3507" spans="1:2">
      <c r="A3507" s="122">
        <v>5050604</v>
      </c>
      <c r="B3507" s="120" t="s">
        <v>455</v>
      </c>
    </row>
    <row r="3508" spans="1:2" ht="38.25">
      <c r="A3508" s="122">
        <v>5050700</v>
      </c>
      <c r="B3508" s="120" t="s">
        <v>1552</v>
      </c>
    </row>
    <row r="3509" spans="1:2" ht="25.5">
      <c r="A3509" s="122">
        <v>5050701</v>
      </c>
      <c r="B3509" s="120" t="s">
        <v>911</v>
      </c>
    </row>
    <row r="3510" spans="1:2" ht="25.5">
      <c r="A3510" s="122">
        <v>5050702</v>
      </c>
      <c r="B3510" s="120" t="s">
        <v>1508</v>
      </c>
    </row>
    <row r="3511" spans="1:2">
      <c r="A3511" s="122">
        <v>5050703</v>
      </c>
      <c r="B3511" s="120" t="s">
        <v>1446</v>
      </c>
    </row>
    <row r="3512" spans="1:2">
      <c r="A3512" s="122">
        <v>5050704</v>
      </c>
      <c r="B3512" s="120" t="s">
        <v>455</v>
      </c>
    </row>
    <row r="3513" spans="1:2">
      <c r="A3513" s="122">
        <v>5050705</v>
      </c>
      <c r="B3513" s="120" t="s">
        <v>724</v>
      </c>
    </row>
    <row r="3514" spans="1:2" ht="25.5">
      <c r="A3514" s="122">
        <v>5050800</v>
      </c>
      <c r="B3514" s="120" t="s">
        <v>1390</v>
      </c>
    </row>
    <row r="3515" spans="1:2" ht="25.5">
      <c r="A3515" s="122">
        <v>5050801</v>
      </c>
      <c r="B3515" s="120" t="s">
        <v>179</v>
      </c>
    </row>
    <row r="3516" spans="1:2">
      <c r="A3516" s="122">
        <v>5050802</v>
      </c>
      <c r="B3516" s="120" t="s">
        <v>426</v>
      </c>
    </row>
    <row r="3517" spans="1:2" ht="25.5">
      <c r="A3517" s="122">
        <v>5050900</v>
      </c>
      <c r="B3517" s="120" t="s">
        <v>1553</v>
      </c>
    </row>
    <row r="3518" spans="1:2" ht="25.5">
      <c r="A3518" s="122">
        <v>5050901</v>
      </c>
      <c r="B3518" s="120" t="s">
        <v>571</v>
      </c>
    </row>
    <row r="3519" spans="1:2">
      <c r="A3519" s="122">
        <v>5050902</v>
      </c>
      <c r="B3519" s="120" t="s">
        <v>1554</v>
      </c>
    </row>
    <row r="3520" spans="1:2" ht="25.5">
      <c r="A3520" s="122">
        <v>5051000</v>
      </c>
      <c r="B3520" s="120" t="s">
        <v>889</v>
      </c>
    </row>
    <row r="3521" spans="1:2">
      <c r="A3521" s="122">
        <v>5051001</v>
      </c>
      <c r="B3521" s="120" t="s">
        <v>393</v>
      </c>
    </row>
    <row r="3522" spans="1:2" ht="38.25">
      <c r="A3522" s="122">
        <v>5051100</v>
      </c>
      <c r="B3522" s="120" t="s">
        <v>1555</v>
      </c>
    </row>
    <row r="3523" spans="1:2" ht="25.5">
      <c r="A3523" s="122">
        <v>5051101</v>
      </c>
      <c r="B3523" s="120" t="s">
        <v>1872</v>
      </c>
    </row>
    <row r="3524" spans="1:2" ht="25.5">
      <c r="A3524" s="122">
        <v>5051200</v>
      </c>
      <c r="B3524" s="120" t="s">
        <v>1873</v>
      </c>
    </row>
    <row r="3525" spans="1:2">
      <c r="A3525" s="122">
        <v>5051201</v>
      </c>
      <c r="B3525" s="120" t="s">
        <v>415</v>
      </c>
    </row>
    <row r="3526" spans="1:2">
      <c r="A3526" s="122">
        <v>5051300</v>
      </c>
      <c r="B3526" s="120" t="s">
        <v>95</v>
      </c>
    </row>
    <row r="3527" spans="1:2">
      <c r="A3527" s="122">
        <v>5051301</v>
      </c>
      <c r="B3527" s="120" t="s">
        <v>1169</v>
      </c>
    </row>
    <row r="3528" spans="1:2">
      <c r="A3528" s="122">
        <v>5051302</v>
      </c>
      <c r="B3528" s="120" t="s">
        <v>1257</v>
      </c>
    </row>
    <row r="3529" spans="1:2">
      <c r="A3529" s="122">
        <v>5051303</v>
      </c>
      <c r="B3529" s="120" t="s">
        <v>1097</v>
      </c>
    </row>
    <row r="3530" spans="1:2">
      <c r="A3530" s="122">
        <v>5051304</v>
      </c>
      <c r="B3530" s="120" t="s">
        <v>771</v>
      </c>
    </row>
    <row r="3531" spans="1:2" ht="25.5">
      <c r="A3531" s="122">
        <v>5051400</v>
      </c>
      <c r="B3531" s="120" t="s">
        <v>1380</v>
      </c>
    </row>
    <row r="3532" spans="1:2">
      <c r="A3532" s="122">
        <v>5051401</v>
      </c>
      <c r="B3532" s="120" t="s">
        <v>823</v>
      </c>
    </row>
    <row r="3533" spans="1:2" ht="25.5">
      <c r="A3533" s="122">
        <v>5051500</v>
      </c>
      <c r="B3533" s="120" t="s">
        <v>862</v>
      </c>
    </row>
    <row r="3534" spans="1:2">
      <c r="A3534" s="122">
        <v>5051501</v>
      </c>
      <c r="B3534" s="120" t="s">
        <v>330</v>
      </c>
    </row>
    <row r="3535" spans="1:2" ht="63.75">
      <c r="A3535" s="122">
        <v>5051600</v>
      </c>
      <c r="B3535" s="121" t="s">
        <v>1874</v>
      </c>
    </row>
    <row r="3536" spans="1:2">
      <c r="A3536" s="122">
        <v>5051601</v>
      </c>
      <c r="B3536" s="120" t="s">
        <v>1308</v>
      </c>
    </row>
    <row r="3537" spans="1:2" ht="25.5">
      <c r="A3537" s="122">
        <v>5051700</v>
      </c>
      <c r="B3537" s="120" t="s">
        <v>1875</v>
      </c>
    </row>
    <row r="3538" spans="1:2">
      <c r="A3538" s="122">
        <v>5051701</v>
      </c>
      <c r="B3538" s="120" t="s">
        <v>1248</v>
      </c>
    </row>
    <row r="3539" spans="1:2" ht="25.5">
      <c r="A3539" s="122">
        <v>5051702</v>
      </c>
      <c r="B3539" s="120" t="s">
        <v>169</v>
      </c>
    </row>
    <row r="3540" spans="1:2" ht="25.5">
      <c r="A3540" s="122">
        <v>5051703</v>
      </c>
      <c r="B3540" s="120" t="s">
        <v>811</v>
      </c>
    </row>
    <row r="3541" spans="1:2">
      <c r="A3541" s="122">
        <v>5051704</v>
      </c>
      <c r="B3541" s="120" t="s">
        <v>946</v>
      </c>
    </row>
    <row r="3542" spans="1:2" ht="25.5">
      <c r="A3542" s="122">
        <v>5051800</v>
      </c>
      <c r="B3542" s="120" t="s">
        <v>570</v>
      </c>
    </row>
    <row r="3543" spans="1:2" ht="25.5">
      <c r="A3543" s="122">
        <v>5051900</v>
      </c>
      <c r="B3543" s="120" t="s">
        <v>1876</v>
      </c>
    </row>
    <row r="3544" spans="1:2" ht="25.5">
      <c r="A3544" s="122">
        <v>5052000</v>
      </c>
      <c r="B3544" s="120" t="s">
        <v>1565</v>
      </c>
    </row>
    <row r="3545" spans="1:2">
      <c r="A3545" s="122">
        <v>5052001</v>
      </c>
      <c r="B3545" s="120" t="s">
        <v>1566</v>
      </c>
    </row>
    <row r="3546" spans="1:2" ht="25.5">
      <c r="A3546" s="122">
        <v>5052100</v>
      </c>
      <c r="B3546" s="120" t="s">
        <v>2144</v>
      </c>
    </row>
    <row r="3547" spans="1:2" ht="25.5">
      <c r="A3547" s="122">
        <v>5052102</v>
      </c>
      <c r="B3547" s="120" t="s">
        <v>1516</v>
      </c>
    </row>
    <row r="3548" spans="1:2">
      <c r="A3548" s="122">
        <v>5052200</v>
      </c>
      <c r="B3548" s="120" t="s">
        <v>948</v>
      </c>
    </row>
    <row r="3549" spans="1:2" ht="25.5">
      <c r="A3549" s="122">
        <v>5052201</v>
      </c>
      <c r="B3549" s="120" t="s">
        <v>1567</v>
      </c>
    </row>
    <row r="3550" spans="1:2" ht="25.5">
      <c r="A3550" s="122">
        <v>5052202</v>
      </c>
      <c r="B3550" s="120" t="s">
        <v>1333</v>
      </c>
    </row>
    <row r="3551" spans="1:2" ht="38.25">
      <c r="A3551" s="122">
        <v>5052203</v>
      </c>
      <c r="B3551" s="120" t="s">
        <v>1334</v>
      </c>
    </row>
    <row r="3552" spans="1:2" ht="25.5">
      <c r="A3552" s="122">
        <v>5052204</v>
      </c>
      <c r="B3552" s="120" t="s">
        <v>1335</v>
      </c>
    </row>
    <row r="3553" spans="1:2">
      <c r="A3553" s="122">
        <v>5052205</v>
      </c>
      <c r="B3553" s="120" t="s">
        <v>1336</v>
      </c>
    </row>
    <row r="3554" spans="1:2" ht="25.5">
      <c r="A3554" s="122">
        <v>5052300</v>
      </c>
      <c r="B3554" s="120" t="s">
        <v>1115</v>
      </c>
    </row>
    <row r="3555" spans="1:2" ht="25.5">
      <c r="A3555" s="122">
        <v>5052301</v>
      </c>
      <c r="B3555" s="120" t="s">
        <v>575</v>
      </c>
    </row>
    <row r="3556" spans="1:2">
      <c r="A3556" s="122">
        <v>5052302</v>
      </c>
      <c r="B3556" s="120" t="s">
        <v>167</v>
      </c>
    </row>
    <row r="3557" spans="1:2">
      <c r="A3557" s="122">
        <v>5052400</v>
      </c>
      <c r="B3557" s="120" t="s">
        <v>168</v>
      </c>
    </row>
    <row r="3558" spans="1:2" ht="25.5">
      <c r="A3558" s="122">
        <v>5052500</v>
      </c>
      <c r="B3558" s="120" t="s">
        <v>501</v>
      </c>
    </row>
    <row r="3559" spans="1:2">
      <c r="A3559" s="122">
        <v>5052501</v>
      </c>
      <c r="B3559" s="120" t="s">
        <v>502</v>
      </c>
    </row>
    <row r="3560" spans="1:2" ht="38.25">
      <c r="A3560" s="122">
        <v>5052600</v>
      </c>
      <c r="B3560" s="120" t="s">
        <v>738</v>
      </c>
    </row>
    <row r="3561" spans="1:2">
      <c r="A3561" s="122">
        <v>5052601</v>
      </c>
      <c r="B3561" s="120" t="s">
        <v>739</v>
      </c>
    </row>
    <row r="3562" spans="1:2" ht="38.25">
      <c r="A3562" s="122">
        <v>5052700</v>
      </c>
      <c r="B3562" s="120" t="s">
        <v>740</v>
      </c>
    </row>
    <row r="3563" spans="1:2" ht="25.5">
      <c r="A3563" s="122">
        <v>5052701</v>
      </c>
      <c r="B3563" s="120" t="s">
        <v>741</v>
      </c>
    </row>
    <row r="3564" spans="1:2">
      <c r="A3564" s="122">
        <v>5052800</v>
      </c>
      <c r="B3564" s="120" t="s">
        <v>882</v>
      </c>
    </row>
    <row r="3565" spans="1:2">
      <c r="A3565" s="122">
        <v>5052900</v>
      </c>
      <c r="B3565" s="120" t="s">
        <v>1132</v>
      </c>
    </row>
    <row r="3566" spans="1:2" ht="25.5">
      <c r="A3566" s="122">
        <v>5052901</v>
      </c>
      <c r="B3566" s="120" t="s">
        <v>742</v>
      </c>
    </row>
    <row r="3567" spans="1:2">
      <c r="A3567" s="122">
        <v>5053000</v>
      </c>
      <c r="B3567" s="120" t="s">
        <v>642</v>
      </c>
    </row>
    <row r="3568" spans="1:2">
      <c r="A3568" s="122">
        <v>5053100</v>
      </c>
      <c r="B3568" s="120" t="s">
        <v>642</v>
      </c>
    </row>
    <row r="3569" spans="1:2">
      <c r="A3569" s="122">
        <v>5053110</v>
      </c>
      <c r="B3569" s="120" t="s">
        <v>642</v>
      </c>
    </row>
    <row r="3570" spans="1:2">
      <c r="A3570" s="122">
        <v>5053120</v>
      </c>
      <c r="B3570" s="120" t="s">
        <v>642</v>
      </c>
    </row>
    <row r="3571" spans="1:2" ht="25.5">
      <c r="A3571" s="122">
        <v>5053200</v>
      </c>
      <c r="B3571" s="120" t="s">
        <v>743</v>
      </c>
    </row>
    <row r="3572" spans="1:2" ht="25.5">
      <c r="A3572" s="122">
        <v>5053201</v>
      </c>
      <c r="B3572" s="120" t="s">
        <v>744</v>
      </c>
    </row>
    <row r="3573" spans="1:2" ht="25.5">
      <c r="A3573" s="122">
        <v>5053202</v>
      </c>
      <c r="B3573" s="120" t="s">
        <v>745</v>
      </c>
    </row>
    <row r="3574" spans="1:2" ht="25.5">
      <c r="A3574" s="122">
        <v>5053204</v>
      </c>
      <c r="B3574" s="120" t="s">
        <v>746</v>
      </c>
    </row>
    <row r="3575" spans="1:2" ht="25.5">
      <c r="A3575" s="122">
        <v>5053205</v>
      </c>
      <c r="B3575" s="120" t="s">
        <v>747</v>
      </c>
    </row>
    <row r="3576" spans="1:2">
      <c r="A3576" s="122">
        <v>5053300</v>
      </c>
      <c r="B3576" s="120" t="s">
        <v>1298</v>
      </c>
    </row>
    <row r="3577" spans="1:2">
      <c r="A3577" s="122">
        <v>5053301</v>
      </c>
      <c r="B3577" s="120" t="s">
        <v>956</v>
      </c>
    </row>
    <row r="3578" spans="1:2">
      <c r="A3578" s="122">
        <v>5053302</v>
      </c>
      <c r="B3578" s="120" t="s">
        <v>394</v>
      </c>
    </row>
    <row r="3579" spans="1:2" ht="63.75">
      <c r="A3579" s="122">
        <v>5053400</v>
      </c>
      <c r="B3579" s="121" t="s">
        <v>748</v>
      </c>
    </row>
    <row r="3580" spans="1:2" ht="38.25">
      <c r="A3580" s="122">
        <v>5053401</v>
      </c>
      <c r="B3580" s="121" t="s">
        <v>749</v>
      </c>
    </row>
    <row r="3581" spans="1:2" ht="25.5">
      <c r="A3581" s="122">
        <v>5053402</v>
      </c>
      <c r="B3581" s="120" t="s">
        <v>750</v>
      </c>
    </row>
    <row r="3582" spans="1:2" ht="25.5">
      <c r="A3582" s="122">
        <v>5053500</v>
      </c>
      <c r="B3582" s="120" t="s">
        <v>751</v>
      </c>
    </row>
    <row r="3583" spans="1:2" ht="25.5">
      <c r="A3583" s="122">
        <v>5053600</v>
      </c>
      <c r="B3583" s="120" t="s">
        <v>1516</v>
      </c>
    </row>
    <row r="3584" spans="1:2" ht="25.5">
      <c r="A3584" s="122">
        <v>5053601</v>
      </c>
      <c r="B3584" s="120" t="s">
        <v>1516</v>
      </c>
    </row>
    <row r="3585" spans="1:2" ht="25.5">
      <c r="A3585" s="122">
        <v>5053602</v>
      </c>
      <c r="B3585" s="120" t="s">
        <v>752</v>
      </c>
    </row>
    <row r="3586" spans="1:2" ht="38.25">
      <c r="A3586" s="122">
        <v>5053700</v>
      </c>
      <c r="B3586" s="121" t="s">
        <v>816</v>
      </c>
    </row>
    <row r="3587" spans="1:2">
      <c r="A3587" s="122">
        <v>5053800</v>
      </c>
      <c r="B3587" s="120" t="s">
        <v>753</v>
      </c>
    </row>
    <row r="3588" spans="1:2" ht="25.5">
      <c r="A3588" s="122">
        <v>5053801</v>
      </c>
      <c r="B3588" s="120" t="s">
        <v>754</v>
      </c>
    </row>
    <row r="3589" spans="1:2" ht="25.5">
      <c r="A3589" s="122">
        <v>5053900</v>
      </c>
      <c r="B3589" s="120" t="s">
        <v>509</v>
      </c>
    </row>
    <row r="3590" spans="1:2" ht="25.5">
      <c r="A3590" s="122">
        <v>5053901</v>
      </c>
      <c r="B3590" s="120" t="s">
        <v>872</v>
      </c>
    </row>
    <row r="3591" spans="1:2">
      <c r="A3591" s="122">
        <v>5053902</v>
      </c>
      <c r="B3591" s="120" t="s">
        <v>226</v>
      </c>
    </row>
    <row r="3592" spans="1:2">
      <c r="A3592" s="122">
        <v>5053903</v>
      </c>
      <c r="B3592" s="120" t="s">
        <v>227</v>
      </c>
    </row>
    <row r="3593" spans="1:2" ht="25.5">
      <c r="A3593" s="122">
        <v>5053904</v>
      </c>
      <c r="B3593" s="120" t="s">
        <v>514</v>
      </c>
    </row>
    <row r="3594" spans="1:2">
      <c r="A3594" s="122">
        <v>5053905</v>
      </c>
      <c r="B3594" s="120" t="s">
        <v>515</v>
      </c>
    </row>
    <row r="3595" spans="1:2">
      <c r="A3595" s="122">
        <v>5053906</v>
      </c>
      <c r="B3595" s="120" t="s">
        <v>855</v>
      </c>
    </row>
    <row r="3596" spans="1:2">
      <c r="A3596" s="122">
        <v>5053907</v>
      </c>
      <c r="B3596" s="120" t="s">
        <v>856</v>
      </c>
    </row>
    <row r="3597" spans="1:2" ht="25.5">
      <c r="A3597" s="122">
        <v>5054000</v>
      </c>
      <c r="B3597" s="120" t="s">
        <v>1670</v>
      </c>
    </row>
    <row r="3598" spans="1:2" ht="63.75">
      <c r="A3598" s="122">
        <v>5054100</v>
      </c>
      <c r="B3598" s="121" t="s">
        <v>546</v>
      </c>
    </row>
    <row r="3599" spans="1:2" ht="25.5">
      <c r="A3599" s="122">
        <v>5054200</v>
      </c>
      <c r="B3599" s="120" t="s">
        <v>547</v>
      </c>
    </row>
    <row r="3600" spans="1:2">
      <c r="A3600" s="122">
        <v>5054201</v>
      </c>
      <c r="B3600" s="120" t="s">
        <v>755</v>
      </c>
    </row>
    <row r="3601" spans="1:2" ht="25.5">
      <c r="A3601" s="122">
        <v>5054202</v>
      </c>
      <c r="B3601" s="120" t="s">
        <v>1629</v>
      </c>
    </row>
    <row r="3602" spans="1:2">
      <c r="A3602" s="122">
        <v>5054300</v>
      </c>
      <c r="B3602" s="120" t="s">
        <v>1590</v>
      </c>
    </row>
    <row r="3603" spans="1:2">
      <c r="A3603" s="122">
        <v>5054301</v>
      </c>
      <c r="B3603" s="120" t="s">
        <v>1087</v>
      </c>
    </row>
    <row r="3604" spans="1:2">
      <c r="A3604" s="122">
        <v>5054302</v>
      </c>
      <c r="B3604" s="120" t="s">
        <v>1518</v>
      </c>
    </row>
    <row r="3605" spans="1:2">
      <c r="A3605" s="122">
        <v>5054400</v>
      </c>
      <c r="B3605" s="120" t="s">
        <v>1519</v>
      </c>
    </row>
    <row r="3606" spans="1:2" ht="25.5">
      <c r="A3606" s="122">
        <v>5054401</v>
      </c>
      <c r="B3606" s="120" t="s">
        <v>923</v>
      </c>
    </row>
    <row r="3607" spans="1:2" ht="25.5">
      <c r="A3607" s="122">
        <v>5054500</v>
      </c>
      <c r="B3607" s="120" t="s">
        <v>208</v>
      </c>
    </row>
    <row r="3608" spans="1:2">
      <c r="A3608" s="122">
        <v>5054600</v>
      </c>
      <c r="B3608" s="120" t="s">
        <v>1133</v>
      </c>
    </row>
    <row r="3609" spans="1:2">
      <c r="A3609" s="122">
        <v>5054700</v>
      </c>
      <c r="B3609" s="120" t="s">
        <v>642</v>
      </c>
    </row>
    <row r="3610" spans="1:2">
      <c r="A3610" s="122">
        <v>5054800</v>
      </c>
      <c r="B3610" s="120" t="s">
        <v>1819</v>
      </c>
    </row>
    <row r="3611" spans="1:2">
      <c r="A3611" s="122">
        <v>5054900</v>
      </c>
      <c r="B3611" s="120" t="s">
        <v>130</v>
      </c>
    </row>
    <row r="3612" spans="1:2">
      <c r="A3612" s="122">
        <v>5054901</v>
      </c>
      <c r="B3612" s="120" t="s">
        <v>173</v>
      </c>
    </row>
    <row r="3613" spans="1:2" ht="25.5">
      <c r="A3613" s="122">
        <v>5055000</v>
      </c>
      <c r="B3613" s="120" t="s">
        <v>993</v>
      </c>
    </row>
    <row r="3614" spans="1:2">
      <c r="A3614" s="122">
        <v>5055100</v>
      </c>
      <c r="B3614" s="120" t="s">
        <v>994</v>
      </c>
    </row>
    <row r="3615" spans="1:2">
      <c r="A3615" s="122">
        <v>5055101</v>
      </c>
      <c r="B3615" s="120" t="s">
        <v>295</v>
      </c>
    </row>
    <row r="3616" spans="1:2" ht="25.5">
      <c r="A3616" s="122">
        <v>5055200</v>
      </c>
      <c r="B3616" s="120" t="s">
        <v>995</v>
      </c>
    </row>
    <row r="3617" spans="1:2">
      <c r="A3617" s="122">
        <v>5055201</v>
      </c>
      <c r="B3617" s="120" t="s">
        <v>996</v>
      </c>
    </row>
    <row r="3618" spans="1:2" ht="25.5">
      <c r="A3618" s="122">
        <v>5055300</v>
      </c>
      <c r="B3618" s="120" t="s">
        <v>997</v>
      </c>
    </row>
    <row r="3619" spans="1:2" ht="25.5">
      <c r="A3619" s="122">
        <v>5055400</v>
      </c>
      <c r="B3619" s="120" t="s">
        <v>998</v>
      </c>
    </row>
    <row r="3620" spans="1:2" ht="38.25">
      <c r="A3620" s="122">
        <v>5055402</v>
      </c>
      <c r="B3620" s="120" t="s">
        <v>999</v>
      </c>
    </row>
    <row r="3621" spans="1:2">
      <c r="A3621" s="122">
        <v>5055500</v>
      </c>
      <c r="B3621" s="120" t="s">
        <v>88</v>
      </c>
    </row>
    <row r="3622" spans="1:2">
      <c r="A3622" s="122">
        <v>5055510</v>
      </c>
      <c r="B3622" s="120" t="s">
        <v>1000</v>
      </c>
    </row>
    <row r="3623" spans="1:2">
      <c r="A3623" s="122">
        <v>5055520</v>
      </c>
      <c r="B3623" s="120" t="s">
        <v>1001</v>
      </c>
    </row>
    <row r="3624" spans="1:2">
      <c r="A3624" s="122">
        <v>5055521</v>
      </c>
      <c r="B3624" s="120" t="s">
        <v>89</v>
      </c>
    </row>
    <row r="3625" spans="1:2">
      <c r="A3625" s="122">
        <v>5055522</v>
      </c>
      <c r="B3625" s="120" t="s">
        <v>1117</v>
      </c>
    </row>
    <row r="3626" spans="1:2" ht="25.5">
      <c r="A3626" s="122">
        <v>5055530</v>
      </c>
      <c r="B3626" s="120" t="s">
        <v>1002</v>
      </c>
    </row>
    <row r="3627" spans="1:2" ht="25.5">
      <c r="A3627" s="122">
        <v>5055531</v>
      </c>
      <c r="B3627" s="120" t="s">
        <v>1002</v>
      </c>
    </row>
    <row r="3628" spans="1:2">
      <c r="A3628" s="122">
        <v>5055900</v>
      </c>
      <c r="B3628" s="120" t="s">
        <v>1003</v>
      </c>
    </row>
    <row r="3629" spans="1:2">
      <c r="A3629" s="122">
        <v>5055901</v>
      </c>
      <c r="B3629" s="120" t="s">
        <v>1004</v>
      </c>
    </row>
    <row r="3630" spans="1:2">
      <c r="A3630" s="122">
        <v>5055902</v>
      </c>
      <c r="B3630" s="120" t="s">
        <v>1005</v>
      </c>
    </row>
    <row r="3631" spans="1:2">
      <c r="A3631" s="122">
        <v>5055903</v>
      </c>
      <c r="B3631" s="120" t="s">
        <v>1006</v>
      </c>
    </row>
    <row r="3632" spans="1:2">
      <c r="A3632" s="122">
        <v>5055904</v>
      </c>
      <c r="B3632" s="120" t="s">
        <v>1007</v>
      </c>
    </row>
    <row r="3633" spans="1:2">
      <c r="A3633" s="122">
        <v>5056400</v>
      </c>
      <c r="B3633" s="120" t="s">
        <v>1038</v>
      </c>
    </row>
    <row r="3634" spans="1:2">
      <c r="A3634" s="122">
        <v>5057600</v>
      </c>
      <c r="B3634" s="120" t="s">
        <v>1180</v>
      </c>
    </row>
    <row r="3635" spans="1:2">
      <c r="A3635" s="122">
        <v>5058000</v>
      </c>
      <c r="B3635" s="120" t="s">
        <v>1008</v>
      </c>
    </row>
    <row r="3636" spans="1:2">
      <c r="A3636" s="122">
        <v>5058001</v>
      </c>
      <c r="B3636" s="120" t="s">
        <v>1009</v>
      </c>
    </row>
    <row r="3637" spans="1:2" ht="38.25">
      <c r="A3637" s="122">
        <v>5058100</v>
      </c>
      <c r="B3637" s="121" t="s">
        <v>1649</v>
      </c>
    </row>
    <row r="3638" spans="1:2" ht="25.5">
      <c r="A3638" s="122">
        <v>5058101</v>
      </c>
      <c r="B3638" s="120" t="s">
        <v>1650</v>
      </c>
    </row>
    <row r="3639" spans="1:2">
      <c r="A3639" s="122">
        <v>5058500</v>
      </c>
      <c r="B3639" s="120" t="s">
        <v>1256</v>
      </c>
    </row>
    <row r="3640" spans="1:2">
      <c r="A3640" s="122">
        <v>5058600</v>
      </c>
      <c r="B3640" s="120" t="s">
        <v>1256</v>
      </c>
    </row>
    <row r="3641" spans="1:2">
      <c r="A3641" s="122">
        <v>5058610</v>
      </c>
      <c r="B3641" s="120" t="s">
        <v>1182</v>
      </c>
    </row>
    <row r="3642" spans="1:2">
      <c r="A3642" s="122">
        <v>5060000</v>
      </c>
      <c r="B3642" s="120" t="s">
        <v>1595</v>
      </c>
    </row>
    <row r="3643" spans="1:2">
      <c r="A3643" s="122">
        <v>5060100</v>
      </c>
      <c r="B3643" s="120" t="s">
        <v>1651</v>
      </c>
    </row>
    <row r="3644" spans="1:2">
      <c r="A3644" s="122">
        <v>5060200</v>
      </c>
      <c r="B3644" s="120" t="s">
        <v>1688</v>
      </c>
    </row>
    <row r="3645" spans="1:2" ht="25.5">
      <c r="A3645" s="122">
        <v>5060300</v>
      </c>
      <c r="B3645" s="120" t="s">
        <v>1652</v>
      </c>
    </row>
    <row r="3646" spans="1:2">
      <c r="A3646" s="122">
        <v>5070000</v>
      </c>
      <c r="B3646" s="120" t="s">
        <v>1653</v>
      </c>
    </row>
    <row r="3647" spans="1:2">
      <c r="A3647" s="122">
        <v>5070100</v>
      </c>
      <c r="B3647" s="120" t="s">
        <v>1654</v>
      </c>
    </row>
    <row r="3648" spans="1:2">
      <c r="A3648" s="122">
        <v>5079900</v>
      </c>
      <c r="B3648" s="120" t="s">
        <v>642</v>
      </c>
    </row>
    <row r="3649" spans="1:2">
      <c r="A3649" s="122">
        <v>5080000</v>
      </c>
      <c r="B3649" s="120" t="s">
        <v>895</v>
      </c>
    </row>
    <row r="3650" spans="1:2">
      <c r="A3650" s="122">
        <v>5089900</v>
      </c>
      <c r="B3650" s="120" t="s">
        <v>57</v>
      </c>
    </row>
    <row r="3651" spans="1:2">
      <c r="A3651" s="122">
        <v>5090000</v>
      </c>
      <c r="B3651" s="120" t="s">
        <v>1655</v>
      </c>
    </row>
    <row r="3652" spans="1:2" ht="25.5">
      <c r="A3652" s="122">
        <v>5090100</v>
      </c>
      <c r="B3652" s="120" t="s">
        <v>1656</v>
      </c>
    </row>
    <row r="3653" spans="1:2">
      <c r="A3653" s="122">
        <v>5090101</v>
      </c>
      <c r="B3653" s="120" t="s">
        <v>1657</v>
      </c>
    </row>
    <row r="3654" spans="1:2" ht="25.5">
      <c r="A3654" s="122">
        <v>5090200</v>
      </c>
      <c r="B3654" s="120" t="s">
        <v>1942</v>
      </c>
    </row>
    <row r="3655" spans="1:2">
      <c r="A3655" s="122">
        <v>5090201</v>
      </c>
      <c r="B3655" s="120" t="s">
        <v>1943</v>
      </c>
    </row>
    <row r="3656" spans="1:2" ht="25.5">
      <c r="A3656" s="122">
        <v>5090300</v>
      </c>
      <c r="B3656" s="120" t="s">
        <v>1412</v>
      </c>
    </row>
    <row r="3657" spans="1:2">
      <c r="A3657" s="122">
        <v>5090301</v>
      </c>
      <c r="B3657" s="120" t="s">
        <v>1413</v>
      </c>
    </row>
    <row r="3658" spans="1:2" ht="25.5">
      <c r="A3658" s="122">
        <v>5090400</v>
      </c>
      <c r="B3658" s="120" t="s">
        <v>1414</v>
      </c>
    </row>
    <row r="3659" spans="1:2" ht="25.5">
      <c r="A3659" s="122">
        <v>5090401</v>
      </c>
      <c r="B3659" s="120" t="s">
        <v>1415</v>
      </c>
    </row>
    <row r="3660" spans="1:2" ht="51">
      <c r="A3660" s="122">
        <v>5090500</v>
      </c>
      <c r="B3660" s="121" t="s">
        <v>1416</v>
      </c>
    </row>
    <row r="3661" spans="1:2" ht="38.25">
      <c r="A3661" s="122">
        <v>5090501</v>
      </c>
      <c r="B3661" s="121" t="s">
        <v>1417</v>
      </c>
    </row>
    <row r="3662" spans="1:2" ht="25.5">
      <c r="A3662" s="122">
        <v>5090600</v>
      </c>
      <c r="B3662" s="120" t="s">
        <v>1418</v>
      </c>
    </row>
    <row r="3663" spans="1:2">
      <c r="A3663" s="122">
        <v>5090601</v>
      </c>
      <c r="B3663" s="120" t="s">
        <v>830</v>
      </c>
    </row>
    <row r="3664" spans="1:2" ht="25.5">
      <c r="A3664" s="122">
        <v>5090700</v>
      </c>
      <c r="B3664" s="120" t="s">
        <v>831</v>
      </c>
    </row>
    <row r="3665" spans="1:2">
      <c r="A3665" s="122">
        <v>5090701</v>
      </c>
      <c r="B3665" s="120" t="s">
        <v>832</v>
      </c>
    </row>
    <row r="3666" spans="1:2" ht="25.5">
      <c r="A3666" s="122">
        <v>5090800</v>
      </c>
      <c r="B3666" s="120" t="s">
        <v>833</v>
      </c>
    </row>
    <row r="3667" spans="1:2">
      <c r="A3667" s="122">
        <v>5090801</v>
      </c>
      <c r="B3667" s="120" t="s">
        <v>834</v>
      </c>
    </row>
    <row r="3668" spans="1:2" ht="25.5">
      <c r="A3668" s="122">
        <v>5090900</v>
      </c>
      <c r="B3668" s="120" t="s">
        <v>1426</v>
      </c>
    </row>
    <row r="3669" spans="1:2">
      <c r="A3669" s="122">
        <v>5090901</v>
      </c>
      <c r="B3669" s="120" t="s">
        <v>1427</v>
      </c>
    </row>
    <row r="3670" spans="1:2" ht="25.5">
      <c r="A3670" s="122">
        <v>5091000</v>
      </c>
      <c r="B3670" s="120" t="s">
        <v>1428</v>
      </c>
    </row>
    <row r="3671" spans="1:2">
      <c r="A3671" s="122">
        <v>5091001</v>
      </c>
      <c r="B3671" s="120" t="s">
        <v>1429</v>
      </c>
    </row>
    <row r="3672" spans="1:2" ht="25.5">
      <c r="A3672" s="122">
        <v>5091100</v>
      </c>
      <c r="B3672" s="120" t="s">
        <v>1430</v>
      </c>
    </row>
    <row r="3673" spans="1:2">
      <c r="A3673" s="122">
        <v>5091101</v>
      </c>
      <c r="B3673" s="120" t="s">
        <v>1431</v>
      </c>
    </row>
    <row r="3674" spans="1:2" ht="25.5">
      <c r="A3674" s="122">
        <v>5091200</v>
      </c>
      <c r="B3674" s="120" t="s">
        <v>1432</v>
      </c>
    </row>
    <row r="3675" spans="1:2">
      <c r="A3675" s="122">
        <v>5091201</v>
      </c>
      <c r="B3675" s="120" t="s">
        <v>1433</v>
      </c>
    </row>
    <row r="3676" spans="1:2" ht="25.5">
      <c r="A3676" s="122">
        <v>5091300</v>
      </c>
      <c r="B3676" s="120" t="s">
        <v>1434</v>
      </c>
    </row>
    <row r="3677" spans="1:2">
      <c r="A3677" s="122">
        <v>5091301</v>
      </c>
      <c r="B3677" s="120" t="s">
        <v>1435</v>
      </c>
    </row>
    <row r="3678" spans="1:2">
      <c r="A3678" s="122">
        <v>5100000</v>
      </c>
      <c r="B3678" s="120" t="s">
        <v>866</v>
      </c>
    </row>
    <row r="3679" spans="1:2">
      <c r="A3679" s="122">
        <v>5100100</v>
      </c>
      <c r="B3679" s="120" t="s">
        <v>722</v>
      </c>
    </row>
    <row r="3680" spans="1:2" ht="25.5">
      <c r="A3680" s="122">
        <v>5100200</v>
      </c>
      <c r="B3680" s="120" t="s">
        <v>550</v>
      </c>
    </row>
    <row r="3681" spans="1:2" ht="25.5">
      <c r="A3681" s="122">
        <v>5100300</v>
      </c>
      <c r="B3681" s="120" t="s">
        <v>338</v>
      </c>
    </row>
    <row r="3682" spans="1:2">
      <c r="A3682" s="122">
        <v>5110000</v>
      </c>
      <c r="B3682" s="120" t="s">
        <v>300</v>
      </c>
    </row>
    <row r="3683" spans="1:2" ht="25.5">
      <c r="A3683" s="122">
        <v>5110200</v>
      </c>
      <c r="B3683" s="120" t="s">
        <v>624</v>
      </c>
    </row>
    <row r="3684" spans="1:2">
      <c r="A3684" s="122">
        <v>5120000</v>
      </c>
      <c r="B3684" s="120" t="s">
        <v>1506</v>
      </c>
    </row>
    <row r="3685" spans="1:2">
      <c r="A3685" s="122">
        <v>5129400</v>
      </c>
      <c r="B3685" s="120" t="s">
        <v>621</v>
      </c>
    </row>
    <row r="3686" spans="1:2">
      <c r="A3686" s="122">
        <v>5129700</v>
      </c>
      <c r="B3686" s="120" t="s">
        <v>1134</v>
      </c>
    </row>
    <row r="3687" spans="1:2">
      <c r="A3687" s="122">
        <v>5130000</v>
      </c>
      <c r="B3687" s="120" t="s">
        <v>1933</v>
      </c>
    </row>
    <row r="3688" spans="1:2">
      <c r="A3688" s="122">
        <v>5139700</v>
      </c>
      <c r="B3688" s="120" t="s">
        <v>1134</v>
      </c>
    </row>
    <row r="3689" spans="1:2">
      <c r="A3689" s="122">
        <v>5140000</v>
      </c>
      <c r="B3689" s="120" t="s">
        <v>1934</v>
      </c>
    </row>
    <row r="3690" spans="1:2">
      <c r="A3690" s="122">
        <v>5140100</v>
      </c>
      <c r="B3690" s="120" t="s">
        <v>1298</v>
      </c>
    </row>
    <row r="3691" spans="1:2">
      <c r="A3691" s="122">
        <v>5140101</v>
      </c>
      <c r="B3691" s="120" t="s">
        <v>1436</v>
      </c>
    </row>
    <row r="3692" spans="1:2">
      <c r="A3692" s="122">
        <v>5140102</v>
      </c>
      <c r="B3692" s="120" t="s">
        <v>1437</v>
      </c>
    </row>
    <row r="3693" spans="1:2">
      <c r="A3693" s="122">
        <v>5140103</v>
      </c>
      <c r="B3693" s="120" t="s">
        <v>1436</v>
      </c>
    </row>
    <row r="3694" spans="1:2">
      <c r="A3694" s="122">
        <v>5140110</v>
      </c>
      <c r="B3694" s="120" t="s">
        <v>1042</v>
      </c>
    </row>
    <row r="3695" spans="1:2">
      <c r="A3695" s="122">
        <v>5140200</v>
      </c>
      <c r="B3695" s="120" t="s">
        <v>177</v>
      </c>
    </row>
    <row r="3696" spans="1:2">
      <c r="A3696" s="122">
        <v>5140300</v>
      </c>
      <c r="B3696" s="120" t="s">
        <v>1411</v>
      </c>
    </row>
    <row r="3697" spans="1:2">
      <c r="A3697" s="122">
        <v>5140400</v>
      </c>
      <c r="B3697" s="120" t="s">
        <v>1691</v>
      </c>
    </row>
    <row r="3698" spans="1:2">
      <c r="A3698" s="122">
        <v>5140500</v>
      </c>
      <c r="B3698" s="120" t="s">
        <v>1692</v>
      </c>
    </row>
    <row r="3699" spans="1:2" ht="25.5">
      <c r="A3699" s="122">
        <v>5140600</v>
      </c>
      <c r="B3699" s="120" t="s">
        <v>1438</v>
      </c>
    </row>
    <row r="3700" spans="1:2">
      <c r="A3700" s="122">
        <v>5140700</v>
      </c>
      <c r="B3700" s="120" t="s">
        <v>1693</v>
      </c>
    </row>
    <row r="3701" spans="1:2">
      <c r="A3701" s="122">
        <v>5140800</v>
      </c>
      <c r="B3701" s="120" t="s">
        <v>1439</v>
      </c>
    </row>
    <row r="3702" spans="1:2">
      <c r="A3702" s="122">
        <v>5140900</v>
      </c>
      <c r="B3702" s="120" t="s">
        <v>1440</v>
      </c>
    </row>
    <row r="3703" spans="1:2" ht="38.25">
      <c r="A3703" s="122">
        <v>5141000</v>
      </c>
      <c r="B3703" s="121" t="s">
        <v>1903</v>
      </c>
    </row>
    <row r="3704" spans="1:2" ht="25.5">
      <c r="A3704" s="122">
        <v>5141500</v>
      </c>
      <c r="B3704" s="121" t="s">
        <v>2187</v>
      </c>
    </row>
    <row r="3705" spans="1:2" ht="38.25">
      <c r="A3705" s="122">
        <v>5142000</v>
      </c>
      <c r="B3705" s="120" t="s">
        <v>711</v>
      </c>
    </row>
    <row r="3706" spans="1:2">
      <c r="A3706" s="122">
        <v>5142100</v>
      </c>
      <c r="B3706" s="120" t="s">
        <v>1663</v>
      </c>
    </row>
    <row r="3707" spans="1:2">
      <c r="A3707" s="122">
        <v>5142200</v>
      </c>
      <c r="B3707" s="120" t="s">
        <v>1904</v>
      </c>
    </row>
    <row r="3708" spans="1:2" ht="25.5">
      <c r="A3708" s="122">
        <v>5142201</v>
      </c>
      <c r="B3708" s="120" t="s">
        <v>1905</v>
      </c>
    </row>
    <row r="3709" spans="1:2">
      <c r="A3709" s="122">
        <v>5142202</v>
      </c>
      <c r="B3709" s="120" t="s">
        <v>1906</v>
      </c>
    </row>
    <row r="3710" spans="1:2">
      <c r="A3710" s="122">
        <v>5142300</v>
      </c>
      <c r="B3710" s="120" t="s">
        <v>1907</v>
      </c>
    </row>
    <row r="3711" spans="1:2" ht="38.25">
      <c r="A3711" s="122">
        <v>5142301</v>
      </c>
      <c r="B3711" s="120" t="s">
        <v>1698</v>
      </c>
    </row>
    <row r="3712" spans="1:2" ht="38.25">
      <c r="A3712" s="122">
        <v>5142400</v>
      </c>
      <c r="B3712" s="120" t="s">
        <v>1699</v>
      </c>
    </row>
    <row r="3713" spans="1:2" ht="25.5">
      <c r="A3713" s="122">
        <v>5142401</v>
      </c>
      <c r="B3713" s="120" t="s">
        <v>1700</v>
      </c>
    </row>
    <row r="3714" spans="1:2">
      <c r="A3714" s="122">
        <v>5142500</v>
      </c>
      <c r="B3714" s="120" t="s">
        <v>1701</v>
      </c>
    </row>
    <row r="3715" spans="1:2">
      <c r="A3715" s="122">
        <v>5142501</v>
      </c>
      <c r="B3715" s="120" t="s">
        <v>1702</v>
      </c>
    </row>
    <row r="3716" spans="1:2">
      <c r="A3716" s="122">
        <v>5142600</v>
      </c>
      <c r="B3716" s="120" t="s">
        <v>1703</v>
      </c>
    </row>
    <row r="3717" spans="1:2" ht="25.5">
      <c r="A3717" s="122">
        <v>5142601</v>
      </c>
      <c r="B3717" s="120" t="s">
        <v>1704</v>
      </c>
    </row>
    <row r="3718" spans="1:2">
      <c r="A3718" s="122">
        <v>5142800</v>
      </c>
      <c r="B3718" s="120" t="s">
        <v>1705</v>
      </c>
    </row>
    <row r="3719" spans="1:2" ht="25.5">
      <c r="A3719" s="122">
        <v>5142801</v>
      </c>
      <c r="B3719" s="120" t="s">
        <v>1706</v>
      </c>
    </row>
    <row r="3720" spans="1:2">
      <c r="A3720" s="122">
        <v>5142900</v>
      </c>
      <c r="B3720" s="120" t="s">
        <v>1707</v>
      </c>
    </row>
    <row r="3721" spans="1:2" ht="25.5">
      <c r="A3721" s="122">
        <v>5142901</v>
      </c>
      <c r="B3721" s="120" t="s">
        <v>1708</v>
      </c>
    </row>
    <row r="3722" spans="1:2">
      <c r="A3722" s="122">
        <v>5143100</v>
      </c>
      <c r="B3722" s="120" t="s">
        <v>1709</v>
      </c>
    </row>
    <row r="3723" spans="1:2" ht="38.25">
      <c r="A3723" s="122">
        <v>5143101</v>
      </c>
      <c r="B3723" s="121" t="s">
        <v>1710</v>
      </c>
    </row>
    <row r="3724" spans="1:2">
      <c r="A3724" s="122">
        <v>5143300</v>
      </c>
      <c r="B3724" s="120" t="s">
        <v>1711</v>
      </c>
    </row>
    <row r="3725" spans="1:2" ht="25.5">
      <c r="A3725" s="122">
        <v>5143301</v>
      </c>
      <c r="B3725" s="120" t="s">
        <v>1712</v>
      </c>
    </row>
    <row r="3726" spans="1:2">
      <c r="A3726" s="122">
        <v>5143400</v>
      </c>
      <c r="B3726" s="120" t="s">
        <v>1713</v>
      </c>
    </row>
    <row r="3727" spans="1:2">
      <c r="A3727" s="122">
        <v>5143401</v>
      </c>
      <c r="B3727" s="120" t="s">
        <v>1714</v>
      </c>
    </row>
    <row r="3728" spans="1:2" ht="25.5">
      <c r="A3728" s="122">
        <v>5143500</v>
      </c>
      <c r="B3728" s="120" t="s">
        <v>1715</v>
      </c>
    </row>
    <row r="3729" spans="1:2">
      <c r="A3729" s="122">
        <v>5143501</v>
      </c>
      <c r="B3729" s="120" t="s">
        <v>1716</v>
      </c>
    </row>
    <row r="3730" spans="1:2" ht="38.25">
      <c r="A3730" s="122">
        <v>5143600</v>
      </c>
      <c r="B3730" s="121" t="s">
        <v>1717</v>
      </c>
    </row>
    <row r="3731" spans="1:2">
      <c r="A3731" s="122">
        <v>5143601</v>
      </c>
      <c r="B3731" s="120" t="s">
        <v>1718</v>
      </c>
    </row>
    <row r="3732" spans="1:2" ht="38.25">
      <c r="A3732" s="122">
        <v>5143700</v>
      </c>
      <c r="B3732" s="121" t="s">
        <v>1719</v>
      </c>
    </row>
    <row r="3733" spans="1:2" ht="38.25">
      <c r="A3733" s="122">
        <v>5143701</v>
      </c>
      <c r="B3733" s="120" t="s">
        <v>1986</v>
      </c>
    </row>
    <row r="3734" spans="1:2" ht="25.5">
      <c r="A3734" s="122">
        <v>5143800</v>
      </c>
      <c r="B3734" s="120" t="s">
        <v>1987</v>
      </c>
    </row>
    <row r="3735" spans="1:2" ht="25.5">
      <c r="A3735" s="122">
        <v>5143801</v>
      </c>
      <c r="B3735" s="120" t="s">
        <v>1988</v>
      </c>
    </row>
    <row r="3736" spans="1:2" ht="102">
      <c r="A3736" s="122">
        <v>5143900</v>
      </c>
      <c r="B3736" s="121" t="s">
        <v>1478</v>
      </c>
    </row>
    <row r="3737" spans="1:2" ht="51">
      <c r="A3737" s="122">
        <v>5143901</v>
      </c>
      <c r="B3737" s="121" t="s">
        <v>1269</v>
      </c>
    </row>
    <row r="3738" spans="1:2">
      <c r="A3738" s="122">
        <v>5144000</v>
      </c>
      <c r="B3738" s="120" t="s">
        <v>1270</v>
      </c>
    </row>
    <row r="3739" spans="1:2" ht="38.25">
      <c r="A3739" s="122">
        <v>5144001</v>
      </c>
      <c r="B3739" s="121" t="s">
        <v>1351</v>
      </c>
    </row>
    <row r="3740" spans="1:2" ht="38.25">
      <c r="A3740" s="122">
        <v>5144100</v>
      </c>
      <c r="B3740" s="120" t="s">
        <v>1352</v>
      </c>
    </row>
    <row r="3741" spans="1:2" ht="38.25">
      <c r="A3741" s="122">
        <v>5150000</v>
      </c>
      <c r="B3741" s="120" t="s">
        <v>643</v>
      </c>
    </row>
    <row r="3742" spans="1:2" ht="38.25">
      <c r="A3742" s="122">
        <v>5150100</v>
      </c>
      <c r="B3742" s="120" t="s">
        <v>643</v>
      </c>
    </row>
    <row r="3743" spans="1:2">
      <c r="A3743" s="122">
        <v>5160000</v>
      </c>
      <c r="B3743" s="120" t="s">
        <v>644</v>
      </c>
    </row>
    <row r="3744" spans="1:2">
      <c r="A3744" s="122">
        <v>5160100</v>
      </c>
      <c r="B3744" s="120" t="s">
        <v>644</v>
      </c>
    </row>
    <row r="3745" spans="1:2">
      <c r="A3745" s="122">
        <v>5160130</v>
      </c>
      <c r="B3745" s="120" t="s">
        <v>1235</v>
      </c>
    </row>
    <row r="3746" spans="1:2">
      <c r="A3746" s="122">
        <v>5170000</v>
      </c>
      <c r="B3746" s="120" t="s">
        <v>645</v>
      </c>
    </row>
    <row r="3747" spans="1:2">
      <c r="A3747" s="122">
        <v>5170100</v>
      </c>
      <c r="B3747" s="120" t="s">
        <v>188</v>
      </c>
    </row>
    <row r="3748" spans="1:2">
      <c r="A3748" s="122">
        <v>5170200</v>
      </c>
      <c r="B3748" s="120" t="s">
        <v>1527</v>
      </c>
    </row>
    <row r="3749" spans="1:2">
      <c r="A3749" s="122">
        <v>5170220</v>
      </c>
      <c r="B3749" s="120" t="s">
        <v>396</v>
      </c>
    </row>
    <row r="3750" spans="1:2">
      <c r="A3750" s="122">
        <v>5170400</v>
      </c>
      <c r="B3750" s="120" t="s">
        <v>1525</v>
      </c>
    </row>
    <row r="3751" spans="1:2">
      <c r="A3751" s="122">
        <v>5170500</v>
      </c>
      <c r="B3751" s="120" t="s">
        <v>1447</v>
      </c>
    </row>
    <row r="3752" spans="1:2" ht="25.5">
      <c r="A3752" s="122">
        <v>5170600</v>
      </c>
      <c r="B3752" s="120" t="s">
        <v>487</v>
      </c>
    </row>
    <row r="3753" spans="1:2">
      <c r="A3753" s="122">
        <v>5170700</v>
      </c>
      <c r="B3753" s="120" t="s">
        <v>1353</v>
      </c>
    </row>
    <row r="3754" spans="1:2" ht="25.5">
      <c r="A3754" s="122">
        <v>5171000</v>
      </c>
      <c r="B3754" s="120" t="s">
        <v>2145</v>
      </c>
    </row>
    <row r="3755" spans="1:2">
      <c r="A3755" s="122">
        <v>5180000</v>
      </c>
      <c r="B3755" s="120" t="s">
        <v>488</v>
      </c>
    </row>
    <row r="3756" spans="1:2">
      <c r="A3756" s="122">
        <v>5180100</v>
      </c>
      <c r="B3756" s="120" t="s">
        <v>1245</v>
      </c>
    </row>
    <row r="3757" spans="1:2">
      <c r="A3757" s="122">
        <v>5180101</v>
      </c>
      <c r="B3757" s="120" t="s">
        <v>1354</v>
      </c>
    </row>
    <row r="3758" spans="1:2">
      <c r="A3758" s="122">
        <v>5180200</v>
      </c>
      <c r="B3758" s="120" t="s">
        <v>358</v>
      </c>
    </row>
    <row r="3759" spans="1:2">
      <c r="A3759" s="122">
        <v>5190000</v>
      </c>
      <c r="B3759" s="120" t="s">
        <v>1355</v>
      </c>
    </row>
    <row r="3760" spans="1:2" ht="25.5">
      <c r="A3760" s="122">
        <v>5190100</v>
      </c>
      <c r="B3760" s="120" t="s">
        <v>1356</v>
      </c>
    </row>
    <row r="3761" spans="1:2">
      <c r="A3761" s="122">
        <v>5200000</v>
      </c>
      <c r="B3761" s="120" t="s">
        <v>972</v>
      </c>
    </row>
    <row r="3762" spans="1:2">
      <c r="A3762" s="122">
        <v>5200100</v>
      </c>
      <c r="B3762" s="120" t="s">
        <v>761</v>
      </c>
    </row>
    <row r="3763" spans="1:2">
      <c r="A3763" s="122">
        <v>5200200</v>
      </c>
      <c r="B3763" s="120" t="s">
        <v>858</v>
      </c>
    </row>
    <row r="3764" spans="1:2" ht="25.5">
      <c r="A3764" s="122">
        <v>5200300</v>
      </c>
      <c r="B3764" s="120" t="s">
        <v>496</v>
      </c>
    </row>
    <row r="3765" spans="1:2" ht="25.5">
      <c r="A3765" s="122">
        <v>5200302</v>
      </c>
      <c r="B3765" s="120" t="s">
        <v>1357</v>
      </c>
    </row>
    <row r="3766" spans="1:2">
      <c r="A3766" s="122">
        <v>5200400</v>
      </c>
      <c r="B3766" s="120" t="s">
        <v>329</v>
      </c>
    </row>
    <row r="3767" spans="1:2" ht="25.5">
      <c r="A3767" s="122">
        <v>5200402</v>
      </c>
      <c r="B3767" s="120" t="s">
        <v>1358</v>
      </c>
    </row>
    <row r="3768" spans="1:2">
      <c r="A3768" s="122">
        <v>5200500</v>
      </c>
      <c r="B3768" s="120" t="s">
        <v>210</v>
      </c>
    </row>
    <row r="3769" spans="1:2">
      <c r="A3769" s="122">
        <v>5200600</v>
      </c>
      <c r="B3769" s="120" t="s">
        <v>1230</v>
      </c>
    </row>
    <row r="3770" spans="1:2" ht="25.5">
      <c r="A3770" s="122">
        <v>5200700</v>
      </c>
      <c r="B3770" s="120" t="s">
        <v>517</v>
      </c>
    </row>
    <row r="3771" spans="1:2">
      <c r="A3771" s="122">
        <v>5200800</v>
      </c>
      <c r="B3771" s="120" t="s">
        <v>349</v>
      </c>
    </row>
    <row r="3772" spans="1:2">
      <c r="A3772" s="122">
        <v>5200900</v>
      </c>
      <c r="B3772" s="120" t="s">
        <v>350</v>
      </c>
    </row>
    <row r="3773" spans="1:2">
      <c r="A3773" s="122">
        <v>5200901</v>
      </c>
      <c r="B3773" s="120" t="s">
        <v>350</v>
      </c>
    </row>
    <row r="3774" spans="1:2" ht="25.5">
      <c r="A3774" s="122">
        <v>5201000</v>
      </c>
      <c r="B3774" s="120" t="s">
        <v>772</v>
      </c>
    </row>
    <row r="3775" spans="1:2">
      <c r="A3775" s="122">
        <v>5201001</v>
      </c>
      <c r="B3775" s="120" t="s">
        <v>2146</v>
      </c>
    </row>
    <row r="3776" spans="1:2">
      <c r="A3776" s="122">
        <v>5201100</v>
      </c>
      <c r="B3776" s="120" t="s">
        <v>1293</v>
      </c>
    </row>
    <row r="3777" spans="1:2">
      <c r="A3777" s="122">
        <v>5201200</v>
      </c>
      <c r="B3777" s="120" t="s">
        <v>773</v>
      </c>
    </row>
    <row r="3778" spans="1:2">
      <c r="A3778" s="122">
        <v>5201300</v>
      </c>
      <c r="B3778" s="120" t="s">
        <v>1234</v>
      </c>
    </row>
    <row r="3779" spans="1:2">
      <c r="A3779" s="122">
        <v>5201301</v>
      </c>
      <c r="B3779" s="120" t="s">
        <v>1234</v>
      </c>
    </row>
    <row r="3780" spans="1:2">
      <c r="A3780" s="122">
        <v>5201311</v>
      </c>
      <c r="B3780" s="120" t="s">
        <v>189</v>
      </c>
    </row>
    <row r="3781" spans="1:2">
      <c r="A3781" s="122">
        <v>5201312</v>
      </c>
      <c r="B3781" s="120" t="s">
        <v>191</v>
      </c>
    </row>
    <row r="3782" spans="1:2">
      <c r="A3782" s="122">
        <v>5201313</v>
      </c>
      <c r="B3782" s="120" t="s">
        <v>434</v>
      </c>
    </row>
    <row r="3783" spans="1:2">
      <c r="A3783" s="122">
        <v>5201320</v>
      </c>
      <c r="B3783" s="120" t="s">
        <v>434</v>
      </c>
    </row>
    <row r="3784" spans="1:2">
      <c r="A3784" s="122">
        <v>5201400</v>
      </c>
      <c r="B3784" s="120" t="s">
        <v>957</v>
      </c>
    </row>
    <row r="3785" spans="1:2" ht="25.5">
      <c r="A3785" s="122">
        <v>5201500</v>
      </c>
      <c r="B3785" s="120" t="s">
        <v>1359</v>
      </c>
    </row>
    <row r="3786" spans="1:2" ht="25.5">
      <c r="A3786" s="122">
        <v>5201600</v>
      </c>
      <c r="B3786" s="120" t="s">
        <v>1685</v>
      </c>
    </row>
    <row r="3787" spans="1:2" ht="25.5">
      <c r="A3787" s="122">
        <v>5201800</v>
      </c>
      <c r="B3787" s="120" t="s">
        <v>134</v>
      </c>
    </row>
    <row r="3788" spans="1:2">
      <c r="A3788" s="122">
        <v>5202000</v>
      </c>
      <c r="B3788" s="120" t="s">
        <v>1360</v>
      </c>
    </row>
    <row r="3789" spans="1:2" ht="51">
      <c r="A3789" s="122">
        <v>5202100</v>
      </c>
      <c r="B3789" s="121" t="s">
        <v>503</v>
      </c>
    </row>
    <row r="3790" spans="1:2">
      <c r="A3790" s="122">
        <v>5202300</v>
      </c>
      <c r="B3790" s="120" t="s">
        <v>1361</v>
      </c>
    </row>
    <row r="3791" spans="1:2">
      <c r="A3791" s="122">
        <v>5202400</v>
      </c>
      <c r="B3791" s="120" t="s">
        <v>1362</v>
      </c>
    </row>
    <row r="3792" spans="1:2" ht="25.5">
      <c r="A3792" s="122">
        <v>5202500</v>
      </c>
      <c r="B3792" s="120" t="s">
        <v>1363</v>
      </c>
    </row>
    <row r="3793" spans="1:2">
      <c r="A3793" s="122">
        <v>5202600</v>
      </c>
      <c r="B3793" s="120" t="s">
        <v>1364</v>
      </c>
    </row>
    <row r="3794" spans="1:2" ht="38.25">
      <c r="A3794" s="122">
        <v>5202700</v>
      </c>
      <c r="B3794" s="121" t="s">
        <v>1365</v>
      </c>
    </row>
    <row r="3795" spans="1:2">
      <c r="A3795" s="122">
        <v>5202800</v>
      </c>
      <c r="B3795" s="120" t="s">
        <v>1366</v>
      </c>
    </row>
    <row r="3796" spans="1:2">
      <c r="A3796" s="122">
        <v>5203010</v>
      </c>
      <c r="B3796" s="120" t="s">
        <v>1367</v>
      </c>
    </row>
    <row r="3797" spans="1:2">
      <c r="A3797" s="122">
        <v>5203012</v>
      </c>
      <c r="B3797" s="120" t="s">
        <v>90</v>
      </c>
    </row>
    <row r="3798" spans="1:2">
      <c r="A3798" s="122">
        <v>5210000</v>
      </c>
      <c r="B3798" s="121" t="s">
        <v>2125</v>
      </c>
    </row>
    <row r="3799" spans="1:2" ht="25.5">
      <c r="A3799" s="122">
        <v>5210100</v>
      </c>
      <c r="B3799" s="121" t="s">
        <v>2189</v>
      </c>
    </row>
    <row r="3800" spans="1:2">
      <c r="A3800" s="122">
        <v>5210110</v>
      </c>
      <c r="B3800" s="120" t="s">
        <v>1368</v>
      </c>
    </row>
    <row r="3801" spans="1:2">
      <c r="A3801" s="122">
        <v>5210112</v>
      </c>
      <c r="B3801" s="120" t="s">
        <v>66</v>
      </c>
    </row>
    <row r="3802" spans="1:2" ht="25.5">
      <c r="A3802" s="122">
        <v>5210113</v>
      </c>
      <c r="B3802" s="120" t="s">
        <v>1859</v>
      </c>
    </row>
    <row r="3803" spans="1:2">
      <c r="A3803" s="122">
        <v>5210114</v>
      </c>
      <c r="B3803" s="120" t="s">
        <v>1860</v>
      </c>
    </row>
    <row r="3804" spans="1:2" ht="25.5">
      <c r="A3804" s="122">
        <v>5210125</v>
      </c>
      <c r="B3804" s="120" t="s">
        <v>2064</v>
      </c>
    </row>
    <row r="3805" spans="1:2">
      <c r="A3805" s="122">
        <v>5210129</v>
      </c>
      <c r="B3805" s="120" t="s">
        <v>2147</v>
      </c>
    </row>
    <row r="3806" spans="1:2">
      <c r="A3806" s="122">
        <v>5210300</v>
      </c>
      <c r="B3806" s="120" t="s">
        <v>1861</v>
      </c>
    </row>
    <row r="3807" spans="1:2">
      <c r="A3807" s="122">
        <v>5210301</v>
      </c>
      <c r="B3807" s="120" t="s">
        <v>701</v>
      </c>
    </row>
    <row r="3808" spans="1:2" ht="25.5">
      <c r="A3808" s="122">
        <v>5210302</v>
      </c>
      <c r="B3808" s="120" t="s">
        <v>961</v>
      </c>
    </row>
    <row r="3809" spans="1:2" ht="25.5">
      <c r="A3809" s="122">
        <v>5210303</v>
      </c>
      <c r="B3809" s="120" t="s">
        <v>962</v>
      </c>
    </row>
    <row r="3810" spans="1:2">
      <c r="A3810" s="122">
        <v>5220000</v>
      </c>
      <c r="B3810" s="120" t="s">
        <v>484</v>
      </c>
    </row>
    <row r="3811" spans="1:2">
      <c r="A3811" s="122">
        <v>5220100</v>
      </c>
      <c r="B3811" s="120" t="s">
        <v>1862</v>
      </c>
    </row>
    <row r="3812" spans="1:2">
      <c r="A3812" s="122">
        <v>5220200</v>
      </c>
      <c r="B3812" s="120" t="s">
        <v>1625</v>
      </c>
    </row>
    <row r="3813" spans="1:2" ht="25.5">
      <c r="A3813" s="122">
        <v>5220202</v>
      </c>
      <c r="B3813" s="120" t="s">
        <v>1101</v>
      </c>
    </row>
    <row r="3814" spans="1:2">
      <c r="A3814" s="122">
        <v>5220400</v>
      </c>
      <c r="B3814" s="120" t="s">
        <v>1767</v>
      </c>
    </row>
    <row r="3815" spans="1:2" ht="25.5">
      <c r="A3815" s="122">
        <v>5220700</v>
      </c>
      <c r="B3815" s="120" t="s">
        <v>1768</v>
      </c>
    </row>
    <row r="3816" spans="1:2">
      <c r="A3816" s="122">
        <v>5220900</v>
      </c>
      <c r="B3816" s="120" t="s">
        <v>1956</v>
      </c>
    </row>
    <row r="3817" spans="1:2">
      <c r="A3817" s="122">
        <v>5221200</v>
      </c>
      <c r="B3817" s="120" t="s">
        <v>1769</v>
      </c>
    </row>
    <row r="3818" spans="1:2">
      <c r="A3818" s="122">
        <v>5221201</v>
      </c>
      <c r="B3818" s="120" t="s">
        <v>1770</v>
      </c>
    </row>
    <row r="3819" spans="1:2" ht="25.5">
      <c r="A3819" s="122">
        <v>5221202</v>
      </c>
      <c r="B3819" s="120" t="s">
        <v>2148</v>
      </c>
    </row>
    <row r="3820" spans="1:2">
      <c r="A3820" s="122">
        <v>5221300</v>
      </c>
      <c r="B3820" s="120" t="s">
        <v>1771</v>
      </c>
    </row>
    <row r="3821" spans="1:2">
      <c r="A3821" s="122">
        <v>5221301</v>
      </c>
      <c r="B3821" s="120" t="s">
        <v>1956</v>
      </c>
    </row>
    <row r="3822" spans="1:2">
      <c r="A3822" s="122">
        <v>5221302</v>
      </c>
      <c r="B3822" s="120" t="s">
        <v>1436</v>
      </c>
    </row>
    <row r="3823" spans="1:2">
      <c r="A3823" s="122">
        <v>5221303</v>
      </c>
      <c r="B3823" s="120" t="s">
        <v>1436</v>
      </c>
    </row>
    <row r="3824" spans="1:2">
      <c r="A3824" s="122">
        <v>5221304</v>
      </c>
      <c r="B3824" s="120" t="s">
        <v>1436</v>
      </c>
    </row>
    <row r="3825" spans="1:2">
      <c r="A3825" s="122">
        <v>5221305</v>
      </c>
      <c r="B3825" s="120" t="s">
        <v>1436</v>
      </c>
    </row>
    <row r="3826" spans="1:2">
      <c r="A3826" s="122">
        <v>5221306</v>
      </c>
      <c r="B3826" s="120" t="s">
        <v>1772</v>
      </c>
    </row>
    <row r="3827" spans="1:2">
      <c r="A3827" s="122">
        <v>5221307</v>
      </c>
      <c r="B3827" s="120" t="s">
        <v>1436</v>
      </c>
    </row>
    <row r="3828" spans="1:2">
      <c r="A3828" s="122">
        <v>5221308</v>
      </c>
      <c r="B3828" s="120" t="s">
        <v>1773</v>
      </c>
    </row>
    <row r="3829" spans="1:2" ht="25.5">
      <c r="A3829" s="122">
        <v>5221309</v>
      </c>
      <c r="B3829" s="120" t="s">
        <v>1774</v>
      </c>
    </row>
    <row r="3830" spans="1:2">
      <c r="A3830" s="122">
        <v>5221310</v>
      </c>
      <c r="B3830" s="120" t="s">
        <v>1775</v>
      </c>
    </row>
    <row r="3831" spans="1:2">
      <c r="A3831" s="122">
        <v>5221312</v>
      </c>
      <c r="B3831" s="120" t="s">
        <v>1957</v>
      </c>
    </row>
    <row r="3832" spans="1:2">
      <c r="A3832" s="122">
        <v>5221313</v>
      </c>
      <c r="B3832" s="120" t="s">
        <v>2210</v>
      </c>
    </row>
    <row r="3833" spans="1:2" ht="25.5">
      <c r="A3833" s="122">
        <v>5221314</v>
      </c>
      <c r="B3833" s="120" t="s">
        <v>2149</v>
      </c>
    </row>
    <row r="3834" spans="1:2">
      <c r="A3834" s="122">
        <v>5221315</v>
      </c>
      <c r="B3834" s="120" t="s">
        <v>2150</v>
      </c>
    </row>
    <row r="3835" spans="1:2">
      <c r="A3835" s="122">
        <v>5221400</v>
      </c>
      <c r="B3835" s="120" t="s">
        <v>2151</v>
      </c>
    </row>
    <row r="3836" spans="1:2">
      <c r="A3836" s="122">
        <v>5221401</v>
      </c>
      <c r="B3836" s="120" t="s">
        <v>1776</v>
      </c>
    </row>
    <row r="3837" spans="1:2">
      <c r="A3837" s="122">
        <v>5221900</v>
      </c>
      <c r="B3837" s="120" t="s">
        <v>1777</v>
      </c>
    </row>
    <row r="3838" spans="1:2" ht="25.5">
      <c r="A3838" s="122">
        <v>5222100</v>
      </c>
      <c r="B3838" s="120" t="s">
        <v>2194</v>
      </c>
    </row>
    <row r="3839" spans="1:2" ht="25.5">
      <c r="A3839" s="122">
        <v>5222101</v>
      </c>
      <c r="B3839" s="120" t="s">
        <v>2195</v>
      </c>
    </row>
    <row r="3840" spans="1:2" ht="25.5">
      <c r="A3840" s="122">
        <v>5222900</v>
      </c>
      <c r="B3840" s="120" t="s">
        <v>703</v>
      </c>
    </row>
    <row r="3841" spans="1:2" ht="25.5">
      <c r="A3841" s="122">
        <v>5222902</v>
      </c>
      <c r="B3841" s="120" t="s">
        <v>703</v>
      </c>
    </row>
    <row r="3842" spans="1:2">
      <c r="A3842" s="122">
        <v>5223100</v>
      </c>
      <c r="B3842" s="120" t="s">
        <v>1778</v>
      </c>
    </row>
    <row r="3843" spans="1:2">
      <c r="A3843" s="122">
        <v>5223101</v>
      </c>
      <c r="B3843" s="120" t="s">
        <v>1779</v>
      </c>
    </row>
    <row r="3844" spans="1:2" ht="25.5">
      <c r="A3844" s="122">
        <v>5223102</v>
      </c>
      <c r="B3844" s="120" t="s">
        <v>1780</v>
      </c>
    </row>
    <row r="3845" spans="1:2" ht="25.5">
      <c r="A3845" s="122">
        <v>5223103</v>
      </c>
      <c r="B3845" s="120" t="s">
        <v>1781</v>
      </c>
    </row>
    <row r="3846" spans="1:2">
      <c r="A3846" s="122">
        <v>5223200</v>
      </c>
      <c r="B3846" s="120" t="s">
        <v>1782</v>
      </c>
    </row>
    <row r="3847" spans="1:2">
      <c r="A3847" s="122">
        <v>5223300</v>
      </c>
      <c r="B3847" s="120" t="s">
        <v>774</v>
      </c>
    </row>
    <row r="3848" spans="1:2" ht="38.25">
      <c r="A3848" s="122">
        <v>5223302</v>
      </c>
      <c r="B3848" s="120" t="s">
        <v>1783</v>
      </c>
    </row>
    <row r="3849" spans="1:2" ht="25.5">
      <c r="A3849" s="122">
        <v>5223400</v>
      </c>
      <c r="B3849" s="120" t="s">
        <v>1784</v>
      </c>
    </row>
    <row r="3850" spans="1:2">
      <c r="A3850" s="122">
        <v>5223500</v>
      </c>
      <c r="B3850" s="120" t="s">
        <v>1785</v>
      </c>
    </row>
    <row r="3851" spans="1:2">
      <c r="A3851" s="122">
        <v>5223502</v>
      </c>
      <c r="B3851" s="120" t="s">
        <v>1785</v>
      </c>
    </row>
    <row r="3852" spans="1:2" ht="25.5">
      <c r="A3852" s="122">
        <v>5223800</v>
      </c>
      <c r="B3852" s="120" t="s">
        <v>522</v>
      </c>
    </row>
    <row r="3853" spans="1:2" ht="25.5">
      <c r="A3853" s="122">
        <v>5223803</v>
      </c>
      <c r="B3853" s="120" t="s">
        <v>1958</v>
      </c>
    </row>
    <row r="3854" spans="1:2">
      <c r="A3854" s="122">
        <v>5224000</v>
      </c>
      <c r="B3854" s="120" t="s">
        <v>1813</v>
      </c>
    </row>
    <row r="3855" spans="1:2">
      <c r="A3855" s="122">
        <v>5224002</v>
      </c>
      <c r="B3855" s="120" t="s">
        <v>1786</v>
      </c>
    </row>
    <row r="3856" spans="1:2">
      <c r="A3856" s="122">
        <v>5224005</v>
      </c>
      <c r="B3856" s="120" t="s">
        <v>1787</v>
      </c>
    </row>
    <row r="3857" spans="1:2">
      <c r="A3857" s="122">
        <v>5224400</v>
      </c>
      <c r="B3857" s="120" t="s">
        <v>356</v>
      </c>
    </row>
    <row r="3858" spans="1:2" ht="25.5">
      <c r="A3858" s="122">
        <v>5224600</v>
      </c>
      <c r="B3858" s="120" t="s">
        <v>2152</v>
      </c>
    </row>
    <row r="3859" spans="1:2" ht="25.5">
      <c r="A3859" s="122">
        <v>5224602</v>
      </c>
      <c r="B3859" s="120" t="s">
        <v>2188</v>
      </c>
    </row>
    <row r="3860" spans="1:2" ht="38.25">
      <c r="A3860" s="122">
        <v>5224603</v>
      </c>
      <c r="B3860" s="121" t="s">
        <v>2153</v>
      </c>
    </row>
    <row r="3861" spans="1:2" ht="25.5">
      <c r="A3861" s="122">
        <v>5225100</v>
      </c>
      <c r="B3861" s="120" t="s">
        <v>1044</v>
      </c>
    </row>
    <row r="3862" spans="1:2">
      <c r="A3862" s="122">
        <v>5225101</v>
      </c>
      <c r="B3862" s="120" t="s">
        <v>2032</v>
      </c>
    </row>
    <row r="3863" spans="1:2">
      <c r="A3863" s="122">
        <v>5225300</v>
      </c>
      <c r="B3863" s="120" t="s">
        <v>1106</v>
      </c>
    </row>
    <row r="3864" spans="1:2" ht="25.5">
      <c r="A3864" s="122">
        <v>5225301</v>
      </c>
      <c r="B3864" s="120" t="s">
        <v>128</v>
      </c>
    </row>
    <row r="3865" spans="1:2">
      <c r="A3865" s="122">
        <v>5225302</v>
      </c>
      <c r="B3865" s="120" t="s">
        <v>129</v>
      </c>
    </row>
    <row r="3866" spans="1:2">
      <c r="A3866" s="122">
        <v>5225600</v>
      </c>
      <c r="B3866" s="120" t="s">
        <v>2033</v>
      </c>
    </row>
    <row r="3867" spans="1:2">
      <c r="A3867" s="122">
        <v>5225700</v>
      </c>
      <c r="B3867" s="120" t="s">
        <v>326</v>
      </c>
    </row>
    <row r="3868" spans="1:2" ht="25.5">
      <c r="A3868" s="122">
        <v>5225705</v>
      </c>
      <c r="B3868" s="120" t="s">
        <v>327</v>
      </c>
    </row>
    <row r="3869" spans="1:2" ht="25.5">
      <c r="A3869" s="122">
        <v>5225800</v>
      </c>
      <c r="B3869" s="120" t="s">
        <v>2154</v>
      </c>
    </row>
    <row r="3870" spans="1:2" ht="25.5">
      <c r="A3870" s="122">
        <v>5225803</v>
      </c>
      <c r="B3870" s="120" t="s">
        <v>2034</v>
      </c>
    </row>
    <row r="3871" spans="1:2" ht="38.25">
      <c r="A3871" s="122">
        <v>5225900</v>
      </c>
      <c r="B3871" s="120" t="s">
        <v>2035</v>
      </c>
    </row>
    <row r="3872" spans="1:2" ht="25.5">
      <c r="A3872" s="122">
        <v>5225901</v>
      </c>
      <c r="B3872" s="120" t="s">
        <v>1539</v>
      </c>
    </row>
    <row r="3873" spans="1:2">
      <c r="A3873" s="122">
        <v>5226000</v>
      </c>
      <c r="B3873" s="153" t="s">
        <v>2155</v>
      </c>
    </row>
    <row r="3874" spans="1:2" ht="25.5">
      <c r="A3874" s="122">
        <v>5226003</v>
      </c>
      <c r="B3874" s="120" t="s">
        <v>1236</v>
      </c>
    </row>
    <row r="3875" spans="1:2" ht="25.5">
      <c r="A3875" s="122">
        <v>5226004</v>
      </c>
      <c r="B3875" s="120" t="s">
        <v>1540</v>
      </c>
    </row>
    <row r="3876" spans="1:2" ht="25.5">
      <c r="A3876" s="122">
        <v>5226006</v>
      </c>
      <c r="B3876" s="178" t="s">
        <v>171</v>
      </c>
    </row>
    <row r="3877" spans="1:2">
      <c r="A3877" s="122">
        <v>5226100</v>
      </c>
      <c r="B3877" s="120" t="s">
        <v>1541</v>
      </c>
    </row>
    <row r="3878" spans="1:2">
      <c r="A3878" s="122">
        <v>5226102</v>
      </c>
      <c r="B3878" s="120" t="s">
        <v>1542</v>
      </c>
    </row>
    <row r="3879" spans="1:2">
      <c r="A3879" s="122">
        <v>5226400</v>
      </c>
      <c r="B3879" s="120" t="s">
        <v>2156</v>
      </c>
    </row>
    <row r="3880" spans="1:2" ht="25.5">
      <c r="A3880" s="122">
        <v>5226401</v>
      </c>
      <c r="B3880" s="120" t="s">
        <v>1543</v>
      </c>
    </row>
    <row r="3881" spans="1:2" ht="25.5">
      <c r="A3881" s="122">
        <v>5226404</v>
      </c>
      <c r="B3881" s="120" t="s">
        <v>2157</v>
      </c>
    </row>
    <row r="3882" spans="1:2">
      <c r="A3882" s="122">
        <v>5226900</v>
      </c>
      <c r="B3882" s="120" t="s">
        <v>1597</v>
      </c>
    </row>
    <row r="3883" spans="1:2" ht="25.5">
      <c r="A3883" s="122">
        <v>5226902</v>
      </c>
      <c r="B3883" s="120" t="s">
        <v>1544</v>
      </c>
    </row>
    <row r="3884" spans="1:2">
      <c r="A3884" s="122">
        <v>5226904</v>
      </c>
      <c r="B3884" s="120" t="s">
        <v>1598</v>
      </c>
    </row>
    <row r="3885" spans="1:2" ht="25.5">
      <c r="A3885" s="122">
        <v>5226905</v>
      </c>
      <c r="B3885" s="120" t="s">
        <v>421</v>
      </c>
    </row>
    <row r="3886" spans="1:2">
      <c r="A3886" s="122">
        <v>5227200</v>
      </c>
      <c r="B3886" s="120" t="s">
        <v>2185</v>
      </c>
    </row>
    <row r="3887" spans="1:2">
      <c r="A3887" s="122">
        <v>5227201</v>
      </c>
      <c r="B3887" s="120" t="s">
        <v>2186</v>
      </c>
    </row>
    <row r="3888" spans="1:2" ht="25.5">
      <c r="A3888" s="122">
        <v>5227209</v>
      </c>
      <c r="B3888" s="120" t="s">
        <v>2216</v>
      </c>
    </row>
    <row r="3889" spans="1:2">
      <c r="A3889" s="122">
        <v>5227210</v>
      </c>
      <c r="B3889" s="120" t="s">
        <v>2214</v>
      </c>
    </row>
    <row r="3890" spans="1:2">
      <c r="A3890" s="122">
        <v>5228000</v>
      </c>
      <c r="B3890" s="120" t="s">
        <v>2160</v>
      </c>
    </row>
    <row r="3891" spans="1:2" ht="25.5">
      <c r="A3891" s="122">
        <v>5228001</v>
      </c>
      <c r="B3891" s="120" t="s">
        <v>2161</v>
      </c>
    </row>
    <row r="3892" spans="1:2">
      <c r="A3892" s="122">
        <v>5230000</v>
      </c>
      <c r="B3892" s="120" t="s">
        <v>665</v>
      </c>
    </row>
    <row r="3893" spans="1:2">
      <c r="A3893" s="122">
        <v>5230100</v>
      </c>
      <c r="B3893" s="120" t="s">
        <v>1671</v>
      </c>
    </row>
    <row r="3894" spans="1:2" ht="25.5">
      <c r="A3894" s="122">
        <v>5260000</v>
      </c>
      <c r="B3894" s="120" t="s">
        <v>1545</v>
      </c>
    </row>
    <row r="3895" spans="1:2" ht="25.5">
      <c r="A3895" s="122">
        <v>5260100</v>
      </c>
      <c r="B3895" s="120" t="s">
        <v>1672</v>
      </c>
    </row>
    <row r="3896" spans="1:2" ht="25.5">
      <c r="A3896" s="122">
        <v>5260200</v>
      </c>
      <c r="B3896" s="120" t="s">
        <v>1546</v>
      </c>
    </row>
    <row r="3897" spans="1:2">
      <c r="A3897" s="122">
        <v>5268200</v>
      </c>
      <c r="B3897" s="120" t="s">
        <v>1114</v>
      </c>
    </row>
    <row r="3898" spans="1:2" ht="25.5">
      <c r="A3898" s="122">
        <v>5270000</v>
      </c>
      <c r="B3898" s="120" t="s">
        <v>1547</v>
      </c>
    </row>
    <row r="3899" spans="1:2" ht="51">
      <c r="A3899" s="122">
        <v>5300000</v>
      </c>
      <c r="B3899" s="121" t="s">
        <v>1391</v>
      </c>
    </row>
    <row r="3900" spans="1:2">
      <c r="A3900" s="122">
        <v>5300100</v>
      </c>
      <c r="B3900" s="120" t="s">
        <v>1392</v>
      </c>
    </row>
    <row r="3901" spans="1:2" ht="25.5">
      <c r="A3901" s="122">
        <v>5500000</v>
      </c>
      <c r="B3901" s="120" t="s">
        <v>1548</v>
      </c>
    </row>
    <row r="3902" spans="1:2">
      <c r="A3902" s="122">
        <v>5500200</v>
      </c>
      <c r="B3902" s="120" t="s">
        <v>211</v>
      </c>
    </row>
    <row r="3903" spans="1:2">
      <c r="A3903" s="122">
        <v>5500300</v>
      </c>
      <c r="B3903" s="120" t="s">
        <v>1549</v>
      </c>
    </row>
    <row r="3904" spans="1:2">
      <c r="A3904" s="122">
        <v>5500301</v>
      </c>
      <c r="B3904" s="120" t="s">
        <v>992</v>
      </c>
    </row>
    <row r="3905" spans="1:2">
      <c r="A3905" s="122">
        <v>5500302</v>
      </c>
      <c r="B3905" s="120" t="s">
        <v>982</v>
      </c>
    </row>
    <row r="3906" spans="1:2" ht="25.5">
      <c r="A3906" s="122">
        <v>5500303</v>
      </c>
      <c r="B3906" s="120" t="s">
        <v>983</v>
      </c>
    </row>
    <row r="3907" spans="1:2">
      <c r="A3907" s="122">
        <v>5500400</v>
      </c>
      <c r="B3907" s="120" t="s">
        <v>1094</v>
      </c>
    </row>
    <row r="3908" spans="1:2">
      <c r="A3908" s="122">
        <v>5500500</v>
      </c>
      <c r="B3908" s="120" t="s">
        <v>1175</v>
      </c>
    </row>
    <row r="3909" spans="1:2">
      <c r="A3909" s="122">
        <v>5500600</v>
      </c>
      <c r="B3909" s="120" t="s">
        <v>984</v>
      </c>
    </row>
    <row r="3910" spans="1:2">
      <c r="A3910" s="122">
        <v>5500601</v>
      </c>
      <c r="B3910" s="120" t="s">
        <v>985</v>
      </c>
    </row>
    <row r="3911" spans="1:2">
      <c r="A3911" s="122">
        <v>6000000</v>
      </c>
      <c r="B3911" s="120" t="s">
        <v>335</v>
      </c>
    </row>
    <row r="3912" spans="1:2">
      <c r="A3912" s="122">
        <v>6000100</v>
      </c>
      <c r="B3912" s="120" t="s">
        <v>313</v>
      </c>
    </row>
    <row r="3913" spans="1:2" ht="25.5">
      <c r="A3913" s="122">
        <v>6000200</v>
      </c>
      <c r="B3913" s="120" t="s">
        <v>206</v>
      </c>
    </row>
    <row r="3914" spans="1:2">
      <c r="A3914" s="122">
        <v>6000300</v>
      </c>
      <c r="B3914" s="120" t="s">
        <v>207</v>
      </c>
    </row>
    <row r="3915" spans="1:2">
      <c r="A3915" s="122">
        <v>6000400</v>
      </c>
      <c r="B3915" s="120" t="s">
        <v>986</v>
      </c>
    </row>
    <row r="3916" spans="1:2">
      <c r="A3916" s="122">
        <v>6000500</v>
      </c>
      <c r="B3916" s="120" t="s">
        <v>508</v>
      </c>
    </row>
    <row r="3917" spans="1:2" ht="25.5">
      <c r="A3917" s="122">
        <v>6010000</v>
      </c>
      <c r="B3917" s="120" t="s">
        <v>987</v>
      </c>
    </row>
    <row r="3918" spans="1:2">
      <c r="A3918" s="122">
        <v>7010000</v>
      </c>
      <c r="B3918" s="120" t="s">
        <v>988</v>
      </c>
    </row>
    <row r="3919" spans="1:2">
      <c r="A3919" s="122">
        <v>7010100</v>
      </c>
      <c r="B3919" s="120" t="s">
        <v>989</v>
      </c>
    </row>
    <row r="3920" spans="1:2" ht="25.5">
      <c r="A3920" s="122">
        <v>7050000</v>
      </c>
      <c r="B3920" s="120" t="s">
        <v>704</v>
      </c>
    </row>
    <row r="3921" spans="1:2" ht="38.25">
      <c r="A3921" s="122">
        <v>7050100</v>
      </c>
      <c r="B3921" s="120" t="s">
        <v>213</v>
      </c>
    </row>
    <row r="3922" spans="1:2" ht="25.5">
      <c r="A3922" s="122">
        <v>7050200</v>
      </c>
      <c r="B3922" s="120" t="s">
        <v>52</v>
      </c>
    </row>
    <row r="3923" spans="1:2" ht="25.5">
      <c r="A3923" s="122">
        <v>7050300</v>
      </c>
      <c r="B3923" s="120" t="s">
        <v>1246</v>
      </c>
    </row>
    <row r="3924" spans="1:2" ht="25.5">
      <c r="A3924" s="122">
        <v>7050400</v>
      </c>
      <c r="B3924" s="120" t="s">
        <v>390</v>
      </c>
    </row>
    <row r="3925" spans="1:2">
      <c r="A3925" s="122">
        <v>7050401</v>
      </c>
      <c r="B3925" s="120" t="s">
        <v>391</v>
      </c>
    </row>
    <row r="3926" spans="1:2">
      <c r="A3926" s="122">
        <v>7050402</v>
      </c>
      <c r="B3926" s="120" t="s">
        <v>927</v>
      </c>
    </row>
    <row r="3927" spans="1:2">
      <c r="A3927" s="122">
        <v>7050403</v>
      </c>
      <c r="B3927" s="120" t="s">
        <v>519</v>
      </c>
    </row>
    <row r="3928" spans="1:2">
      <c r="A3928" s="122">
        <v>7050404</v>
      </c>
      <c r="B3928" s="120" t="s">
        <v>1251</v>
      </c>
    </row>
    <row r="3929" spans="1:2">
      <c r="A3929" s="122">
        <v>7050405</v>
      </c>
      <c r="B3929" s="120" t="s">
        <v>857</v>
      </c>
    </row>
    <row r="3930" spans="1:2">
      <c r="A3930" s="122">
        <v>7050406</v>
      </c>
      <c r="B3930" s="120" t="s">
        <v>1452</v>
      </c>
    </row>
    <row r="3931" spans="1:2">
      <c r="A3931" s="122">
        <v>7050407</v>
      </c>
      <c r="B3931" s="120" t="s">
        <v>1453</v>
      </c>
    </row>
    <row r="3932" spans="1:2">
      <c r="A3932" s="122">
        <v>7050408</v>
      </c>
      <c r="B3932" s="120" t="s">
        <v>919</v>
      </c>
    </row>
    <row r="3933" spans="1:2">
      <c r="A3933" s="122">
        <v>7050409</v>
      </c>
      <c r="B3933" s="120" t="s">
        <v>1389</v>
      </c>
    </row>
    <row r="3934" spans="1:2" ht="25.5">
      <c r="A3934" s="122">
        <v>7050500</v>
      </c>
      <c r="B3934" s="120" t="s">
        <v>947</v>
      </c>
    </row>
    <row r="3935" spans="1:2">
      <c r="A3935" s="122">
        <v>7050501</v>
      </c>
      <c r="B3935" s="120" t="s">
        <v>391</v>
      </c>
    </row>
    <row r="3936" spans="1:2">
      <c r="A3936" s="122">
        <v>7050502</v>
      </c>
      <c r="B3936" s="120" t="s">
        <v>927</v>
      </c>
    </row>
    <row r="3937" spans="1:2">
      <c r="A3937" s="122">
        <v>7050503</v>
      </c>
      <c r="B3937" s="120" t="s">
        <v>519</v>
      </c>
    </row>
    <row r="3938" spans="1:2">
      <c r="A3938" s="122">
        <v>7050505</v>
      </c>
      <c r="B3938" s="120" t="s">
        <v>857</v>
      </c>
    </row>
    <row r="3939" spans="1:2">
      <c r="A3939" s="122">
        <v>7050506</v>
      </c>
      <c r="B3939" s="120" t="s">
        <v>1452</v>
      </c>
    </row>
    <row r="3940" spans="1:2">
      <c r="A3940" s="122">
        <v>7050507</v>
      </c>
      <c r="B3940" s="120" t="s">
        <v>1453</v>
      </c>
    </row>
    <row r="3941" spans="1:2">
      <c r="A3941" s="122">
        <v>7050508</v>
      </c>
      <c r="B3941" s="120" t="s">
        <v>919</v>
      </c>
    </row>
    <row r="3942" spans="1:2">
      <c r="A3942" s="122">
        <v>7050509</v>
      </c>
      <c r="B3942" s="120" t="s">
        <v>1389</v>
      </c>
    </row>
    <row r="3943" spans="1:2" ht="25.5">
      <c r="A3943" s="122">
        <v>7050600</v>
      </c>
      <c r="B3943" s="120" t="s">
        <v>1086</v>
      </c>
    </row>
    <row r="3944" spans="1:2">
      <c r="A3944" s="122">
        <v>7050601</v>
      </c>
      <c r="B3944" s="120" t="s">
        <v>391</v>
      </c>
    </row>
    <row r="3945" spans="1:2">
      <c r="A3945" s="122">
        <v>7050602</v>
      </c>
      <c r="B3945" s="120" t="s">
        <v>927</v>
      </c>
    </row>
    <row r="3946" spans="1:2">
      <c r="A3946" s="122">
        <v>7050603</v>
      </c>
      <c r="B3946" s="120" t="s">
        <v>519</v>
      </c>
    </row>
    <row r="3947" spans="1:2">
      <c r="A3947" s="122">
        <v>7050604</v>
      </c>
      <c r="B3947" s="120" t="s">
        <v>1251</v>
      </c>
    </row>
    <row r="3948" spans="1:2">
      <c r="A3948" s="122">
        <v>7050605</v>
      </c>
      <c r="B3948" s="120" t="s">
        <v>857</v>
      </c>
    </row>
    <row r="3949" spans="1:2">
      <c r="A3949" s="122">
        <v>7050606</v>
      </c>
      <c r="B3949" s="120" t="s">
        <v>1452</v>
      </c>
    </row>
    <row r="3950" spans="1:2">
      <c r="A3950" s="122">
        <v>7050607</v>
      </c>
      <c r="B3950" s="120" t="s">
        <v>1453</v>
      </c>
    </row>
    <row r="3951" spans="1:2">
      <c r="A3951" s="122">
        <v>7050608</v>
      </c>
      <c r="B3951" s="120" t="s">
        <v>919</v>
      </c>
    </row>
    <row r="3952" spans="1:2">
      <c r="A3952" s="122">
        <v>7050609</v>
      </c>
      <c r="B3952" s="120" t="s">
        <v>1389</v>
      </c>
    </row>
    <row r="3953" spans="1:2" ht="25.5">
      <c r="A3953" s="122">
        <v>7050700</v>
      </c>
      <c r="B3953" s="120" t="s">
        <v>430</v>
      </c>
    </row>
    <row r="3954" spans="1:2">
      <c r="A3954" s="122">
        <v>7050703</v>
      </c>
      <c r="B3954" s="120" t="s">
        <v>519</v>
      </c>
    </row>
    <row r="3955" spans="1:2">
      <c r="A3955" s="122">
        <v>7050706</v>
      </c>
      <c r="B3955" s="120" t="s">
        <v>1452</v>
      </c>
    </row>
    <row r="3956" spans="1:2">
      <c r="A3956" s="122">
        <v>7050707</v>
      </c>
      <c r="B3956" s="120" t="s">
        <v>1453</v>
      </c>
    </row>
    <row r="3957" spans="1:2">
      <c r="A3957" s="122">
        <v>7050708</v>
      </c>
      <c r="B3957" s="120" t="s">
        <v>919</v>
      </c>
    </row>
    <row r="3958" spans="1:2">
      <c r="A3958" s="122">
        <v>7050709</v>
      </c>
      <c r="B3958" s="120" t="s">
        <v>1389</v>
      </c>
    </row>
    <row r="3959" spans="1:2">
      <c r="A3959" s="122">
        <v>7950000</v>
      </c>
      <c r="B3959" s="120" t="s">
        <v>1019</v>
      </c>
    </row>
    <row r="3960" spans="1:2">
      <c r="A3960" s="122">
        <v>7950100</v>
      </c>
      <c r="B3960" s="120" t="s">
        <v>2179</v>
      </c>
    </row>
    <row r="3961" spans="1:2">
      <c r="A3961" s="122">
        <v>7950200</v>
      </c>
      <c r="B3961" s="120" t="s">
        <v>2196</v>
      </c>
    </row>
    <row r="3962" spans="1:2">
      <c r="A3962" s="122">
        <v>7950300</v>
      </c>
      <c r="B3962" s="120" t="s">
        <v>990</v>
      </c>
    </row>
    <row r="3963" spans="1:2">
      <c r="A3963" s="122">
        <v>7950400</v>
      </c>
      <c r="B3963" s="120" t="s">
        <v>1393</v>
      </c>
    </row>
    <row r="3964" spans="1:2" ht="25.5">
      <c r="A3964" s="122">
        <v>7950500</v>
      </c>
      <c r="B3964" s="120" t="s">
        <v>1959</v>
      </c>
    </row>
    <row r="3965" spans="1:2" ht="25.5">
      <c r="A3965" s="122">
        <v>7950600</v>
      </c>
      <c r="B3965" s="120" t="s">
        <v>1394</v>
      </c>
    </row>
    <row r="3966" spans="1:2" ht="25.5">
      <c r="A3966" s="122">
        <v>7950700</v>
      </c>
      <c r="B3966" s="120" t="s">
        <v>2178</v>
      </c>
    </row>
    <row r="3967" spans="1:2" ht="15" customHeight="1">
      <c r="A3967" s="122">
        <v>7950800</v>
      </c>
      <c r="B3967" s="120" t="s">
        <v>70</v>
      </c>
    </row>
    <row r="3968" spans="1:2">
      <c r="A3968" s="122">
        <v>7950900</v>
      </c>
      <c r="B3968" s="120" t="s">
        <v>2182</v>
      </c>
    </row>
    <row r="3969" spans="1:2">
      <c r="A3969" s="122">
        <v>7951000</v>
      </c>
      <c r="B3969" s="120" t="s">
        <v>1948</v>
      </c>
    </row>
    <row r="3970" spans="1:2">
      <c r="A3970" s="122">
        <v>7951100</v>
      </c>
      <c r="B3970" s="120" t="s">
        <v>730</v>
      </c>
    </row>
    <row r="3971" spans="1:2">
      <c r="A3971" s="122">
        <v>7951200</v>
      </c>
      <c r="B3971" s="120" t="s">
        <v>1949</v>
      </c>
    </row>
    <row r="3972" spans="1:2">
      <c r="A3972" s="122">
        <v>7951300</v>
      </c>
      <c r="B3972" s="120" t="s">
        <v>283</v>
      </c>
    </row>
    <row r="3973" spans="1:2" ht="25.5">
      <c r="A3973" s="122">
        <v>7951301</v>
      </c>
      <c r="B3973" s="120" t="s">
        <v>2158</v>
      </c>
    </row>
    <row r="3974" spans="1:2" ht="25.5">
      <c r="A3974" s="122">
        <v>7951302</v>
      </c>
      <c r="B3974" s="120" t="s">
        <v>1753</v>
      </c>
    </row>
    <row r="3975" spans="1:2" ht="25.5">
      <c r="A3975" s="122">
        <v>7951303</v>
      </c>
      <c r="B3975" s="120" t="s">
        <v>16</v>
      </c>
    </row>
    <row r="3976" spans="1:2" ht="25.5">
      <c r="A3976" s="122">
        <v>7951304</v>
      </c>
      <c r="B3976" s="120" t="s">
        <v>17</v>
      </c>
    </row>
    <row r="3977" spans="1:2" ht="25.5">
      <c r="A3977" s="122">
        <v>7951400</v>
      </c>
      <c r="B3977" s="120" t="s">
        <v>2163</v>
      </c>
    </row>
    <row r="3978" spans="1:2" ht="17.25" customHeight="1">
      <c r="A3978" s="122">
        <v>7951500</v>
      </c>
      <c r="B3978" s="120" t="s">
        <v>2164</v>
      </c>
    </row>
    <row r="3979" spans="1:2">
      <c r="A3979" s="122">
        <v>7951600</v>
      </c>
      <c r="B3979" s="120" t="s">
        <v>2165</v>
      </c>
    </row>
    <row r="3980" spans="1:2">
      <c r="A3980" s="122">
        <v>7951700</v>
      </c>
      <c r="B3980" s="120" t="s">
        <v>2193</v>
      </c>
    </row>
    <row r="3981" spans="1:2">
      <c r="A3981" s="122">
        <v>7951800</v>
      </c>
      <c r="B3981" s="120" t="s">
        <v>2176</v>
      </c>
    </row>
    <row r="3982" spans="1:2">
      <c r="A3982" s="122">
        <v>7951900</v>
      </c>
      <c r="B3982" s="120" t="s">
        <v>2177</v>
      </c>
    </row>
    <row r="3983" spans="1:2">
      <c r="A3983" s="122">
        <v>7952000</v>
      </c>
      <c r="B3983" s="120" t="s">
        <v>2180</v>
      </c>
    </row>
    <row r="3984" spans="1:2">
      <c r="A3984" s="122">
        <v>7952100</v>
      </c>
      <c r="B3984" s="120" t="s">
        <v>2181</v>
      </c>
    </row>
    <row r="3985" spans="1:2">
      <c r="A3985" s="122">
        <v>7952200</v>
      </c>
      <c r="B3985" s="120" t="s">
        <v>2184</v>
      </c>
    </row>
    <row r="3986" spans="1:2">
      <c r="A3986" s="122">
        <v>7952300</v>
      </c>
      <c r="B3986" s="196" t="s">
        <v>2198</v>
      </c>
    </row>
    <row r="3987" spans="1:2" ht="25.5">
      <c r="A3987" s="122">
        <v>7952400</v>
      </c>
      <c r="B3987" s="196" t="s">
        <v>2211</v>
      </c>
    </row>
    <row r="3988" spans="1:2" ht="25.5">
      <c r="A3988" s="122">
        <v>9907123</v>
      </c>
      <c r="B3988" s="196" t="s">
        <v>2681</v>
      </c>
    </row>
    <row r="3989" spans="1:2">
      <c r="A3989" s="122">
        <v>9907294</v>
      </c>
      <c r="B3989" s="196" t="s">
        <v>2626</v>
      </c>
    </row>
    <row r="3990" spans="1:2">
      <c r="A3990" s="122">
        <v>9980000</v>
      </c>
      <c r="B3990" s="120" t="s">
        <v>2159</v>
      </c>
    </row>
    <row r="3991" spans="1:2">
      <c r="A3991" s="122">
        <v>9990000</v>
      </c>
      <c r="B3991" s="120" t="s">
        <v>1950</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Лист28"/>
  <dimension ref="A1:B1930"/>
  <sheetViews>
    <sheetView showGridLines="0" topLeftCell="A1820" zoomScaleSheetLayoutView="120" workbookViewId="0">
      <selection activeCell="B1835" sqref="B1835"/>
    </sheetView>
  </sheetViews>
  <sheetFormatPr defaultColWidth="9.140625" defaultRowHeight="12.75"/>
  <cols>
    <col min="1" max="1" width="7.140625" style="66" customWidth="1"/>
    <col min="2" max="2" width="128" style="115" customWidth="1"/>
    <col min="3" max="16384" width="9.140625" style="50"/>
  </cols>
  <sheetData>
    <row r="1" spans="2:2" hidden="1">
      <c r="B1" s="114"/>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5.5">
      <c r="A1820" s="113">
        <v>100</v>
      </c>
      <c r="B1820" s="116" t="s">
        <v>1138</v>
      </c>
    </row>
    <row r="1821" spans="1:2">
      <c r="A1821" s="113">
        <v>110</v>
      </c>
      <c r="B1821" s="116" t="s">
        <v>1139</v>
      </c>
    </row>
    <row r="1822" spans="1:2">
      <c r="A1822" s="113">
        <v>111</v>
      </c>
      <c r="B1822" s="116" t="s">
        <v>1140</v>
      </c>
    </row>
    <row r="1823" spans="1:2">
      <c r="A1823" s="113">
        <v>112</v>
      </c>
      <c r="B1823" s="116" t="s">
        <v>1141</v>
      </c>
    </row>
    <row r="1824" spans="1:2">
      <c r="A1824" s="113">
        <v>120</v>
      </c>
      <c r="B1824" s="116" t="s">
        <v>1142</v>
      </c>
    </row>
    <row r="1825" spans="1:2">
      <c r="A1825" s="113">
        <v>121</v>
      </c>
      <c r="B1825" s="116" t="s">
        <v>1140</v>
      </c>
    </row>
    <row r="1826" spans="1:2">
      <c r="A1826" s="113">
        <v>122</v>
      </c>
      <c r="B1826" s="116" t="s">
        <v>1141</v>
      </c>
    </row>
    <row r="1827" spans="1:2">
      <c r="A1827" s="113">
        <v>130</v>
      </c>
      <c r="B1827" s="116" t="s">
        <v>532</v>
      </c>
    </row>
    <row r="1828" spans="1:2">
      <c r="A1828" s="113">
        <v>131</v>
      </c>
      <c r="B1828" s="116" t="s">
        <v>533</v>
      </c>
    </row>
    <row r="1829" spans="1:2">
      <c r="A1829" s="113">
        <v>132</v>
      </c>
      <c r="B1829" s="116" t="s">
        <v>534</v>
      </c>
    </row>
    <row r="1830" spans="1:2">
      <c r="A1830" s="113">
        <v>133</v>
      </c>
      <c r="B1830" s="116" t="s">
        <v>535</v>
      </c>
    </row>
    <row r="1831" spans="1:2">
      <c r="A1831" s="113">
        <v>134</v>
      </c>
      <c r="B1831" s="116" t="s">
        <v>536</v>
      </c>
    </row>
    <row r="1832" spans="1:2">
      <c r="A1832" s="113">
        <v>140</v>
      </c>
      <c r="B1832" s="116" t="s">
        <v>537</v>
      </c>
    </row>
    <row r="1833" spans="1:2">
      <c r="A1833" s="113">
        <v>141</v>
      </c>
      <c r="B1833" s="116" t="s">
        <v>1140</v>
      </c>
    </row>
    <row r="1834" spans="1:2" ht="25.5">
      <c r="A1834" s="113">
        <v>142</v>
      </c>
      <c r="B1834" s="116" t="s">
        <v>538</v>
      </c>
    </row>
    <row r="1835" spans="1:2">
      <c r="A1835" s="113">
        <v>200</v>
      </c>
      <c r="B1835" s="116" t="s">
        <v>539</v>
      </c>
    </row>
    <row r="1836" spans="1:2">
      <c r="A1836" s="113">
        <v>210</v>
      </c>
      <c r="B1836" s="116" t="s">
        <v>540</v>
      </c>
    </row>
    <row r="1837" spans="1:2" ht="25.5">
      <c r="A1837" s="113">
        <v>211</v>
      </c>
      <c r="B1837" s="116" t="s">
        <v>541</v>
      </c>
    </row>
    <row r="1838" spans="1:2" ht="25.5">
      <c r="A1838" s="113">
        <v>212</v>
      </c>
      <c r="B1838" s="116" t="s">
        <v>542</v>
      </c>
    </row>
    <row r="1839" spans="1:2" ht="25.5">
      <c r="A1839" s="113">
        <v>213</v>
      </c>
      <c r="B1839" s="116" t="s">
        <v>543</v>
      </c>
    </row>
    <row r="1840" spans="1:2" ht="25.5">
      <c r="A1840" s="113">
        <v>214</v>
      </c>
      <c r="B1840" s="116" t="s">
        <v>544</v>
      </c>
    </row>
    <row r="1841" spans="1:2" ht="25.5">
      <c r="A1841" s="113">
        <v>215</v>
      </c>
      <c r="B1841" s="116" t="s">
        <v>545</v>
      </c>
    </row>
    <row r="1842" spans="1:2" ht="25.5">
      <c r="A1842" s="113">
        <v>216</v>
      </c>
      <c r="B1842" s="116" t="s">
        <v>1149</v>
      </c>
    </row>
    <row r="1843" spans="1:2" ht="25.5">
      <c r="A1843" s="113">
        <v>217</v>
      </c>
      <c r="B1843" s="116" t="s">
        <v>1150</v>
      </c>
    </row>
    <row r="1844" spans="1:2" ht="25.5">
      <c r="A1844" s="113">
        <v>218</v>
      </c>
      <c r="B1844" s="116" t="s">
        <v>1148</v>
      </c>
    </row>
    <row r="1845" spans="1:2">
      <c r="A1845" s="113">
        <v>219</v>
      </c>
      <c r="B1845" s="116" t="s">
        <v>1721</v>
      </c>
    </row>
    <row r="1846" spans="1:2" ht="25.5">
      <c r="A1846" s="113">
        <v>220</v>
      </c>
      <c r="B1846" s="116" t="s">
        <v>1722</v>
      </c>
    </row>
    <row r="1847" spans="1:2">
      <c r="A1847" s="113">
        <v>221</v>
      </c>
      <c r="B1847" s="116" t="s">
        <v>1723</v>
      </c>
    </row>
    <row r="1848" spans="1:2">
      <c r="A1848" s="113">
        <v>222</v>
      </c>
      <c r="B1848" s="116" t="s">
        <v>1724</v>
      </c>
    </row>
    <row r="1849" spans="1:2">
      <c r="A1849" s="113">
        <v>223</v>
      </c>
      <c r="B1849" s="116" t="s">
        <v>294</v>
      </c>
    </row>
    <row r="1850" spans="1:2">
      <c r="A1850" s="113">
        <v>224</v>
      </c>
      <c r="B1850" s="116" t="s">
        <v>174</v>
      </c>
    </row>
    <row r="1851" spans="1:2">
      <c r="A1851" s="113">
        <v>225</v>
      </c>
      <c r="B1851" s="116" t="s">
        <v>630</v>
      </c>
    </row>
    <row r="1852" spans="1:2">
      <c r="A1852" s="113">
        <v>226</v>
      </c>
      <c r="B1852" s="116" t="s">
        <v>631</v>
      </c>
    </row>
    <row r="1853" spans="1:2">
      <c r="A1853" s="113">
        <v>230</v>
      </c>
      <c r="B1853" s="116" t="s">
        <v>1725</v>
      </c>
    </row>
    <row r="1854" spans="1:2">
      <c r="A1854" s="113">
        <v>240</v>
      </c>
      <c r="B1854" s="116" t="s">
        <v>1726</v>
      </c>
    </row>
    <row r="1855" spans="1:2">
      <c r="A1855" s="113">
        <v>241</v>
      </c>
      <c r="B1855" s="116" t="s">
        <v>218</v>
      </c>
    </row>
    <row r="1856" spans="1:2">
      <c r="A1856" s="113">
        <v>242</v>
      </c>
      <c r="B1856" s="116" t="s">
        <v>1727</v>
      </c>
    </row>
    <row r="1857" spans="1:2">
      <c r="A1857" s="113">
        <v>243</v>
      </c>
      <c r="B1857" s="116" t="s">
        <v>1728</v>
      </c>
    </row>
    <row r="1858" spans="1:2">
      <c r="A1858" s="113">
        <v>244</v>
      </c>
      <c r="B1858" s="116" t="s">
        <v>1729</v>
      </c>
    </row>
    <row r="1859" spans="1:2">
      <c r="A1859" s="113">
        <v>300</v>
      </c>
      <c r="B1859" s="116" t="s">
        <v>1730</v>
      </c>
    </row>
    <row r="1860" spans="1:2">
      <c r="A1860" s="113">
        <v>310</v>
      </c>
      <c r="B1860" s="116" t="s">
        <v>1731</v>
      </c>
    </row>
    <row r="1861" spans="1:2">
      <c r="A1861" s="113">
        <v>311</v>
      </c>
      <c r="B1861" s="116" t="s">
        <v>1732</v>
      </c>
    </row>
    <row r="1862" spans="1:2">
      <c r="A1862" s="113">
        <v>312</v>
      </c>
      <c r="B1862" s="116" t="s">
        <v>1733</v>
      </c>
    </row>
    <row r="1863" spans="1:2">
      <c r="A1863" s="113">
        <v>313</v>
      </c>
      <c r="B1863" s="116" t="s">
        <v>1734</v>
      </c>
    </row>
    <row r="1864" spans="1:2">
      <c r="A1864" s="113">
        <v>314</v>
      </c>
      <c r="B1864" s="116" t="s">
        <v>1735</v>
      </c>
    </row>
    <row r="1865" spans="1:2">
      <c r="A1865" s="113">
        <v>320</v>
      </c>
      <c r="B1865" s="116" t="s">
        <v>1736</v>
      </c>
    </row>
    <row r="1866" spans="1:2">
      <c r="A1866" s="113">
        <v>321</v>
      </c>
      <c r="B1866" s="116" t="s">
        <v>1737</v>
      </c>
    </row>
    <row r="1867" spans="1:2">
      <c r="A1867" s="113">
        <v>322</v>
      </c>
      <c r="B1867" s="116" t="s">
        <v>1738</v>
      </c>
    </row>
    <row r="1868" spans="1:2">
      <c r="A1868" s="113">
        <v>323</v>
      </c>
      <c r="B1868" s="116" t="s">
        <v>1739</v>
      </c>
    </row>
    <row r="1869" spans="1:2">
      <c r="A1869" s="113">
        <v>330</v>
      </c>
      <c r="B1869" s="116" t="s">
        <v>1740</v>
      </c>
    </row>
    <row r="1870" spans="1:2">
      <c r="A1870" s="113">
        <v>340</v>
      </c>
      <c r="B1870" s="116" t="s">
        <v>1741</v>
      </c>
    </row>
    <row r="1871" spans="1:2">
      <c r="A1871" s="113">
        <v>350</v>
      </c>
      <c r="B1871" s="116" t="s">
        <v>1742</v>
      </c>
    </row>
    <row r="1872" spans="1:2">
      <c r="A1872" s="113">
        <v>360</v>
      </c>
      <c r="B1872" s="116" t="s">
        <v>1743</v>
      </c>
    </row>
    <row r="1873" spans="1:2" ht="12.75" customHeight="1">
      <c r="A1873" s="113">
        <v>400</v>
      </c>
      <c r="B1873" s="116" t="s">
        <v>1309</v>
      </c>
    </row>
    <row r="1874" spans="1:2">
      <c r="A1874" s="113">
        <v>410</v>
      </c>
      <c r="B1874" s="116" t="s">
        <v>1744</v>
      </c>
    </row>
    <row r="1875" spans="1:2">
      <c r="A1875" s="113">
        <v>411</v>
      </c>
      <c r="B1875" s="116" t="s">
        <v>1745</v>
      </c>
    </row>
    <row r="1876" spans="1:2">
      <c r="A1876" s="113">
        <v>412</v>
      </c>
      <c r="B1876" s="116" t="s">
        <v>1746</v>
      </c>
    </row>
    <row r="1877" spans="1:2">
      <c r="A1877" s="113">
        <v>413</v>
      </c>
      <c r="B1877" s="116" t="s">
        <v>139</v>
      </c>
    </row>
    <row r="1878" spans="1:2">
      <c r="A1878" s="113">
        <v>414</v>
      </c>
      <c r="B1878" s="116" t="s">
        <v>140</v>
      </c>
    </row>
    <row r="1879" spans="1:2">
      <c r="A1879" s="113">
        <v>415</v>
      </c>
      <c r="B1879" s="116" t="s">
        <v>141</v>
      </c>
    </row>
    <row r="1880" spans="1:2">
      <c r="A1880" s="113">
        <v>420</v>
      </c>
      <c r="B1880" s="116" t="s">
        <v>142</v>
      </c>
    </row>
    <row r="1881" spans="1:2" ht="25.5">
      <c r="A1881" s="113">
        <v>421</v>
      </c>
      <c r="B1881" s="116" t="s">
        <v>143</v>
      </c>
    </row>
    <row r="1882" spans="1:2" ht="25.5">
      <c r="A1882" s="113">
        <v>422</v>
      </c>
      <c r="B1882" s="116" t="s">
        <v>144</v>
      </c>
    </row>
    <row r="1883" spans="1:2">
      <c r="A1883" s="113">
        <v>430</v>
      </c>
      <c r="B1883" s="116" t="s">
        <v>145</v>
      </c>
    </row>
    <row r="1884" spans="1:2">
      <c r="A1884" s="113">
        <v>440</v>
      </c>
      <c r="B1884" s="176" t="s">
        <v>2460</v>
      </c>
    </row>
    <row r="1885" spans="1:2">
      <c r="A1885" s="113">
        <v>500</v>
      </c>
      <c r="B1885" s="116" t="s">
        <v>2459</v>
      </c>
    </row>
    <row r="1886" spans="1:2">
      <c r="A1886" s="113">
        <v>510</v>
      </c>
      <c r="B1886" s="116" t="s">
        <v>645</v>
      </c>
    </row>
    <row r="1887" spans="1:2">
      <c r="A1887" s="113">
        <v>511</v>
      </c>
      <c r="B1887" s="116" t="s">
        <v>146</v>
      </c>
    </row>
    <row r="1888" spans="1:2">
      <c r="A1888" s="113">
        <v>512</v>
      </c>
      <c r="B1888" s="116" t="s">
        <v>147</v>
      </c>
    </row>
    <row r="1889" spans="1:2" ht="25.5">
      <c r="A1889" s="113">
        <v>513</v>
      </c>
      <c r="B1889" s="116" t="s">
        <v>148</v>
      </c>
    </row>
    <row r="1890" spans="1:2">
      <c r="A1890" s="113">
        <v>514</v>
      </c>
      <c r="B1890" s="116" t="s">
        <v>149</v>
      </c>
    </row>
    <row r="1891" spans="1:2">
      <c r="A1891" s="113">
        <v>515</v>
      </c>
      <c r="B1891" s="176" t="s">
        <v>876</v>
      </c>
    </row>
    <row r="1892" spans="1:2">
      <c r="A1892" s="113">
        <v>520</v>
      </c>
      <c r="B1892" s="116" t="s">
        <v>1113</v>
      </c>
    </row>
    <row r="1893" spans="1:2" ht="25.5">
      <c r="A1893" s="113">
        <v>521</v>
      </c>
      <c r="B1893" s="116" t="s">
        <v>150</v>
      </c>
    </row>
    <row r="1894" spans="1:2">
      <c r="A1894" s="113">
        <v>522</v>
      </c>
      <c r="B1894" s="116" t="s">
        <v>151</v>
      </c>
    </row>
    <row r="1895" spans="1:2">
      <c r="A1895" s="113">
        <v>530</v>
      </c>
      <c r="B1895" s="116" t="s">
        <v>152</v>
      </c>
    </row>
    <row r="1896" spans="1:2">
      <c r="A1896" s="113">
        <v>540</v>
      </c>
      <c r="B1896" s="176" t="s">
        <v>2124</v>
      </c>
    </row>
    <row r="1897" spans="1:2">
      <c r="A1897" s="113">
        <v>560</v>
      </c>
      <c r="B1897" s="116" t="s">
        <v>153</v>
      </c>
    </row>
    <row r="1898" spans="1:2">
      <c r="A1898" s="113">
        <v>570</v>
      </c>
      <c r="B1898" s="116" t="s">
        <v>154</v>
      </c>
    </row>
    <row r="1899" spans="1:2">
      <c r="A1899" s="113">
        <v>580</v>
      </c>
      <c r="B1899" s="116" t="s">
        <v>155</v>
      </c>
    </row>
    <row r="1900" spans="1:2">
      <c r="A1900" s="113">
        <v>600</v>
      </c>
      <c r="B1900" s="176" t="s">
        <v>2472</v>
      </c>
    </row>
    <row r="1901" spans="1:2">
      <c r="A1901" s="113">
        <v>610</v>
      </c>
      <c r="B1901" s="116" t="s">
        <v>1151</v>
      </c>
    </row>
    <row r="1902" spans="1:2">
      <c r="A1902" s="113">
        <v>611</v>
      </c>
      <c r="B1902" s="116" t="s">
        <v>1152</v>
      </c>
    </row>
    <row r="1903" spans="1:2">
      <c r="A1903" s="113">
        <v>612</v>
      </c>
      <c r="B1903" s="116" t="s">
        <v>1153</v>
      </c>
    </row>
    <row r="1904" spans="1:2">
      <c r="A1904" s="113">
        <v>620</v>
      </c>
      <c r="B1904" s="116" t="s">
        <v>1154</v>
      </c>
    </row>
    <row r="1905" spans="1:2">
      <c r="A1905" s="113">
        <v>621</v>
      </c>
      <c r="B1905" s="116" t="s">
        <v>1155</v>
      </c>
    </row>
    <row r="1906" spans="1:2">
      <c r="A1906" s="113">
        <v>622</v>
      </c>
      <c r="B1906" s="176" t="s">
        <v>1156</v>
      </c>
    </row>
    <row r="1907" spans="1:2">
      <c r="A1907" s="113">
        <v>630</v>
      </c>
      <c r="B1907" s="176" t="s">
        <v>2197</v>
      </c>
    </row>
    <row r="1908" spans="1:2">
      <c r="A1908" s="113">
        <v>700</v>
      </c>
      <c r="B1908" s="116" t="s">
        <v>1157</v>
      </c>
    </row>
    <row r="1909" spans="1:2">
      <c r="A1909" s="113">
        <v>710</v>
      </c>
      <c r="B1909" s="116" t="s">
        <v>1157</v>
      </c>
    </row>
    <row r="1910" spans="1:2">
      <c r="A1910" s="113">
        <v>800</v>
      </c>
      <c r="B1910" s="116" t="s">
        <v>1158</v>
      </c>
    </row>
    <row r="1911" spans="1:2">
      <c r="A1911" s="113">
        <v>810</v>
      </c>
      <c r="B1911" s="116" t="s">
        <v>1159</v>
      </c>
    </row>
    <row r="1912" spans="1:2">
      <c r="A1912" s="113">
        <v>820</v>
      </c>
      <c r="B1912" s="116" t="s">
        <v>1160</v>
      </c>
    </row>
    <row r="1913" spans="1:2">
      <c r="A1913" s="113">
        <v>821</v>
      </c>
      <c r="B1913" s="116" t="s">
        <v>1161</v>
      </c>
    </row>
    <row r="1914" spans="1:2">
      <c r="A1914" s="113">
        <v>822</v>
      </c>
      <c r="B1914" s="116" t="s">
        <v>1162</v>
      </c>
    </row>
    <row r="1915" spans="1:2">
      <c r="A1915" s="113">
        <v>823</v>
      </c>
      <c r="B1915" s="116" t="s">
        <v>1163</v>
      </c>
    </row>
    <row r="1916" spans="1:2">
      <c r="A1916" s="113">
        <v>830</v>
      </c>
      <c r="B1916" s="116" t="s">
        <v>1214</v>
      </c>
    </row>
    <row r="1917" spans="1:2" ht="38.25">
      <c r="A1917" s="113">
        <v>831</v>
      </c>
      <c r="B1917" s="117" t="s">
        <v>1215</v>
      </c>
    </row>
    <row r="1918" spans="1:2" ht="51">
      <c r="A1918" s="113">
        <v>832</v>
      </c>
      <c r="B1918" s="117" t="s">
        <v>1216</v>
      </c>
    </row>
    <row r="1919" spans="1:2">
      <c r="A1919" s="113">
        <v>833</v>
      </c>
      <c r="B1919" s="116" t="s">
        <v>1217</v>
      </c>
    </row>
    <row r="1920" spans="1:2" ht="25.5">
      <c r="A1920" s="113">
        <v>840</v>
      </c>
      <c r="B1920" s="116" t="s">
        <v>1218</v>
      </c>
    </row>
    <row r="1921" spans="1:2">
      <c r="A1921" s="113">
        <v>841</v>
      </c>
      <c r="B1921" s="116" t="s">
        <v>1219</v>
      </c>
    </row>
    <row r="1922" spans="1:2">
      <c r="A1922" s="113">
        <v>850</v>
      </c>
      <c r="B1922" s="116" t="s">
        <v>1220</v>
      </c>
    </row>
    <row r="1923" spans="1:2">
      <c r="A1923" s="113">
        <v>851</v>
      </c>
      <c r="B1923" s="116" t="s">
        <v>1221</v>
      </c>
    </row>
    <row r="1924" spans="1:2" ht="12.75" customHeight="1">
      <c r="A1924" s="113">
        <v>852</v>
      </c>
      <c r="B1924" s="116" t="s">
        <v>1222</v>
      </c>
    </row>
    <row r="1925" spans="1:2">
      <c r="A1925" s="113">
        <v>860</v>
      </c>
      <c r="B1925" s="116" t="s">
        <v>1788</v>
      </c>
    </row>
    <row r="1926" spans="1:2">
      <c r="A1926" s="113">
        <v>861</v>
      </c>
      <c r="B1926" s="116" t="s">
        <v>1789</v>
      </c>
    </row>
    <row r="1927" spans="1:2">
      <c r="A1927" s="113">
        <v>862</v>
      </c>
      <c r="B1927" s="116" t="s">
        <v>1790</v>
      </c>
    </row>
    <row r="1928" spans="1:2">
      <c r="A1928" s="113">
        <v>863</v>
      </c>
      <c r="B1928" s="116" t="s">
        <v>1791</v>
      </c>
    </row>
    <row r="1929" spans="1:2">
      <c r="A1929" s="113">
        <v>870</v>
      </c>
      <c r="B1929" s="116" t="s">
        <v>1792</v>
      </c>
    </row>
    <row r="1930" spans="1:2">
      <c r="A1930" s="113">
        <v>880</v>
      </c>
      <c r="B1930" s="116" t="s">
        <v>1793</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Лист29"/>
  <dimension ref="A1:E14"/>
  <sheetViews>
    <sheetView showGridLines="0" view="pageBreakPreview" zoomScaleSheetLayoutView="100" workbookViewId="0">
      <selection activeCell="A9" sqref="A9:E9"/>
    </sheetView>
  </sheetViews>
  <sheetFormatPr defaultColWidth="9.140625" defaultRowHeight="12.75"/>
  <cols>
    <col min="1" max="1" width="5.85546875" style="146" customWidth="1"/>
    <col min="2" max="2" width="54.42578125" style="146" customWidth="1"/>
    <col min="3" max="4" width="0" style="146" hidden="1" customWidth="1"/>
    <col min="5" max="5" width="13.5703125" style="146" customWidth="1"/>
    <col min="6" max="16384" width="9.140625" style="146"/>
  </cols>
  <sheetData>
    <row r="1" spans="1:5" ht="15.75">
      <c r="A1" s="424" t="s">
        <v>2040</v>
      </c>
      <c r="B1" s="521"/>
      <c r="C1" s="521"/>
      <c r="D1" s="521"/>
      <c r="E1" s="521"/>
    </row>
    <row r="2" spans="1:5" ht="15.75">
      <c r="A2"/>
      <c r="B2" s="424" t="s">
        <v>1051</v>
      </c>
      <c r="C2" s="424"/>
      <c r="D2" s="424"/>
      <c r="E2" s="424"/>
    </row>
    <row r="3" spans="1:5" ht="15.75">
      <c r="A3"/>
      <c r="B3" s="424" t="s">
        <v>700</v>
      </c>
      <c r="C3" s="424"/>
      <c r="D3" s="424"/>
      <c r="E3" s="424"/>
    </row>
    <row r="4" spans="1:5" ht="15.75">
      <c r="A4"/>
      <c r="B4" s="424" t="s">
        <v>1258</v>
      </c>
      <c r="C4" s="424"/>
      <c r="D4" s="424"/>
      <c r="E4" s="424"/>
    </row>
    <row r="5" spans="1:5">
      <c r="A5"/>
      <c r="B5" s="109"/>
      <c r="C5" s="109"/>
      <c r="D5" s="109"/>
      <c r="E5"/>
    </row>
    <row r="6" spans="1:5">
      <c r="A6"/>
      <c r="B6"/>
      <c r="C6"/>
      <c r="D6"/>
      <c r="E6"/>
    </row>
    <row r="7" spans="1:5" ht="63.75" customHeight="1">
      <c r="A7" s="543" t="s">
        <v>2041</v>
      </c>
      <c r="B7" s="543"/>
      <c r="C7" s="543"/>
      <c r="D7" s="543"/>
      <c r="E7" s="543"/>
    </row>
    <row r="8" spans="1:5" ht="18.75">
      <c r="A8" s="5"/>
      <c r="B8" s="5"/>
      <c r="C8" s="5"/>
      <c r="D8" s="5"/>
      <c r="E8" s="5"/>
    </row>
    <row r="9" spans="1:5" ht="53.25" customHeight="1">
      <c r="A9" s="542" t="s">
        <v>2113</v>
      </c>
      <c r="B9" s="542"/>
      <c r="C9" s="542"/>
      <c r="D9" s="542"/>
      <c r="E9" s="542"/>
    </row>
    <row r="10" spans="1:5" ht="47.25">
      <c r="A10" s="541" t="s">
        <v>7</v>
      </c>
      <c r="B10" s="541"/>
      <c r="C10" s="103" t="s">
        <v>2039</v>
      </c>
      <c r="D10" s="96" t="s">
        <v>615</v>
      </c>
      <c r="E10" s="104" t="s">
        <v>1085</v>
      </c>
    </row>
    <row r="11" spans="1:5" ht="15.75">
      <c r="A11" s="537" t="s">
        <v>1377</v>
      </c>
      <c r="B11" s="538"/>
      <c r="C11" s="137">
        <v>989000</v>
      </c>
      <c r="D11" s="137">
        <v>0</v>
      </c>
      <c r="E11" s="137"/>
    </row>
    <row r="12" spans="1:5" ht="15.75">
      <c r="A12" s="537" t="s">
        <v>633</v>
      </c>
      <c r="B12" s="538"/>
      <c r="C12" s="137">
        <v>892000</v>
      </c>
      <c r="D12" s="137">
        <v>0</v>
      </c>
      <c r="E12" s="137"/>
    </row>
    <row r="13" spans="1:5" ht="15.75">
      <c r="A13" s="537" t="s">
        <v>634</v>
      </c>
      <c r="B13" s="538"/>
      <c r="C13" s="137">
        <v>684000</v>
      </c>
      <c r="D13" s="137">
        <v>0</v>
      </c>
      <c r="E13" s="137"/>
    </row>
    <row r="14" spans="1:5" ht="15.75" customHeight="1">
      <c r="A14" s="539" t="s">
        <v>1130</v>
      </c>
      <c r="B14" s="540"/>
      <c r="C14" s="137"/>
      <c r="D14" s="137"/>
      <c r="E14" s="137"/>
    </row>
  </sheetData>
  <mergeCells count="11">
    <mergeCell ref="A9:E9"/>
    <mergeCell ref="A1:E1"/>
    <mergeCell ref="B2:E2"/>
    <mergeCell ref="B3:E3"/>
    <mergeCell ref="B4:E4"/>
    <mergeCell ref="A7:E7"/>
    <mergeCell ref="A11:B11"/>
    <mergeCell ref="A12:B12"/>
    <mergeCell ref="A13:B13"/>
    <mergeCell ref="A14:B14"/>
    <mergeCell ref="A10:B10"/>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codeName="Лист30"/>
  <dimension ref="A1:F14"/>
  <sheetViews>
    <sheetView showGridLines="0" workbookViewId="0">
      <selection activeCell="A7" sqref="A7:F7"/>
    </sheetView>
  </sheetViews>
  <sheetFormatPr defaultColWidth="9.140625" defaultRowHeight="12.75"/>
  <cols>
    <col min="1" max="1" width="5.85546875" style="146" customWidth="1"/>
    <col min="2" max="2" width="54.42578125" style="146" customWidth="1"/>
    <col min="3" max="4" width="0" style="146" hidden="1" customWidth="1"/>
    <col min="5" max="5" width="13.5703125" style="146" customWidth="1"/>
    <col min="6" max="6" width="12.85546875" style="146" customWidth="1"/>
    <col min="7" max="16384" width="9.140625" style="146"/>
  </cols>
  <sheetData>
    <row r="1" spans="1:6" ht="15.75">
      <c r="A1" s="424" t="s">
        <v>2042</v>
      </c>
      <c r="B1" s="521"/>
      <c r="C1" s="521"/>
      <c r="D1" s="521"/>
      <c r="E1" s="521"/>
      <c r="F1" s="521"/>
    </row>
    <row r="2" spans="1:6" ht="15.75">
      <c r="A2"/>
      <c r="B2" s="424" t="s">
        <v>1051</v>
      </c>
      <c r="C2" s="424"/>
      <c r="D2" s="424"/>
      <c r="E2" s="424"/>
      <c r="F2" s="522"/>
    </row>
    <row r="3" spans="1:6" ht="15.75">
      <c r="A3"/>
      <c r="B3" s="424" t="s">
        <v>700</v>
      </c>
      <c r="C3" s="424"/>
      <c r="D3" s="424"/>
      <c r="E3" s="424"/>
      <c r="F3" s="522"/>
    </row>
    <row r="4" spans="1:6" ht="15.75">
      <c r="A4"/>
      <c r="B4" s="424" t="s">
        <v>1258</v>
      </c>
      <c r="C4" s="424"/>
      <c r="D4" s="424"/>
      <c r="E4" s="424"/>
      <c r="F4" s="522"/>
    </row>
    <row r="5" spans="1:6">
      <c r="A5"/>
      <c r="B5" s="109"/>
      <c r="C5" s="109"/>
      <c r="D5" s="109"/>
      <c r="E5"/>
      <c r="F5" s="147"/>
    </row>
    <row r="6" spans="1:6">
      <c r="A6"/>
      <c r="B6"/>
      <c r="C6"/>
      <c r="D6"/>
      <c r="E6"/>
      <c r="F6" s="147"/>
    </row>
    <row r="7" spans="1:6" ht="57" customHeight="1">
      <c r="A7" s="543" t="s">
        <v>2115</v>
      </c>
      <c r="B7" s="543"/>
      <c r="C7" s="543"/>
      <c r="D7" s="543"/>
      <c r="E7" s="543"/>
      <c r="F7" s="522"/>
    </row>
    <row r="8" spans="1:6" ht="18.75">
      <c r="A8" s="5"/>
      <c r="B8" s="5"/>
      <c r="C8" s="5"/>
      <c r="D8" s="5"/>
      <c r="E8" s="5"/>
      <c r="F8" s="147"/>
    </row>
    <row r="9" spans="1:6" ht="48.75" customHeight="1">
      <c r="A9" s="542" t="s">
        <v>2113</v>
      </c>
      <c r="B9" s="542"/>
      <c r="C9" s="542"/>
      <c r="D9" s="542"/>
      <c r="E9" s="542"/>
      <c r="F9" s="544"/>
    </row>
    <row r="10" spans="1:6" ht="47.25">
      <c r="A10" s="541" t="s">
        <v>7</v>
      </c>
      <c r="B10" s="541"/>
      <c r="C10" s="103" t="s">
        <v>2039</v>
      </c>
      <c r="D10" s="96" t="s">
        <v>615</v>
      </c>
      <c r="E10" s="173" t="s">
        <v>2112</v>
      </c>
      <c r="F10" s="173" t="s">
        <v>2114</v>
      </c>
    </row>
    <row r="11" spans="1:6" ht="15.75">
      <c r="A11" s="537" t="s">
        <v>1377</v>
      </c>
      <c r="B11" s="538"/>
      <c r="C11" s="137">
        <v>989000</v>
      </c>
      <c r="D11" s="137">
        <v>0</v>
      </c>
      <c r="E11" s="137"/>
      <c r="F11" s="137"/>
    </row>
    <row r="12" spans="1:6" ht="15.75">
      <c r="A12" s="537" t="s">
        <v>633</v>
      </c>
      <c r="B12" s="538"/>
      <c r="C12" s="137">
        <v>892000</v>
      </c>
      <c r="D12" s="137">
        <v>0</v>
      </c>
      <c r="E12" s="137"/>
      <c r="F12" s="137"/>
    </row>
    <row r="13" spans="1:6" ht="15.75">
      <c r="A13" s="537" t="s">
        <v>634</v>
      </c>
      <c r="B13" s="538"/>
      <c r="C13" s="137">
        <v>684000</v>
      </c>
      <c r="D13" s="137">
        <v>0</v>
      </c>
      <c r="E13" s="137"/>
      <c r="F13" s="137"/>
    </row>
    <row r="14" spans="1:6" ht="15.75">
      <c r="A14" s="539" t="s">
        <v>1130</v>
      </c>
      <c r="B14" s="539"/>
      <c r="C14" s="175"/>
      <c r="D14" s="137"/>
      <c r="E14" s="137"/>
      <c r="F14" s="137"/>
    </row>
  </sheetData>
  <mergeCells count="11">
    <mergeCell ref="A9:F9"/>
    <mergeCell ref="A1:F1"/>
    <mergeCell ref="B2:F2"/>
    <mergeCell ref="B3:F3"/>
    <mergeCell ref="B4:F4"/>
    <mergeCell ref="A7:F7"/>
    <mergeCell ref="A11:B11"/>
    <mergeCell ref="A12:B12"/>
    <mergeCell ref="A13:B13"/>
    <mergeCell ref="A14:B14"/>
    <mergeCell ref="A10:B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codeName="Лист31"/>
  <dimension ref="A1:E10"/>
  <sheetViews>
    <sheetView showGridLines="0" workbookViewId="0">
      <selection activeCell="H34" sqref="H34"/>
    </sheetView>
  </sheetViews>
  <sheetFormatPr defaultColWidth="9.140625" defaultRowHeight="12.75"/>
  <cols>
    <col min="1" max="1" width="5.85546875" style="146" customWidth="1"/>
    <col min="2" max="2" width="54.42578125" style="146" customWidth="1"/>
    <col min="3" max="4" width="0" style="146" hidden="1" customWidth="1"/>
    <col min="5" max="5" width="13.5703125" style="146" customWidth="1"/>
    <col min="6" max="16384" width="9.140625" style="146"/>
  </cols>
  <sheetData>
    <row r="1" spans="1:5" ht="15.75">
      <c r="A1" s="424" t="s">
        <v>2043</v>
      </c>
      <c r="B1" s="521"/>
      <c r="C1" s="521"/>
      <c r="D1" s="521"/>
      <c r="E1" s="521"/>
    </row>
    <row r="2" spans="1:5" ht="15.75">
      <c r="A2"/>
      <c r="B2" s="424" t="s">
        <v>1051</v>
      </c>
      <c r="C2" s="424"/>
      <c r="D2" s="424"/>
      <c r="E2" s="424"/>
    </row>
    <row r="3" spans="1:5" ht="15.75">
      <c r="A3"/>
      <c r="B3" s="424" t="s">
        <v>700</v>
      </c>
      <c r="C3" s="424"/>
      <c r="D3" s="424"/>
      <c r="E3" s="424"/>
    </row>
    <row r="4" spans="1:5" ht="15.75">
      <c r="A4"/>
      <c r="B4" s="424" t="s">
        <v>1258</v>
      </c>
      <c r="C4" s="424"/>
      <c r="D4" s="424"/>
      <c r="E4" s="424"/>
    </row>
    <row r="5" spans="1:5">
      <c r="A5"/>
      <c r="B5" s="109"/>
      <c r="C5" s="109"/>
      <c r="D5" s="109"/>
      <c r="E5"/>
    </row>
    <row r="6" spans="1:5">
      <c r="A6"/>
      <c r="B6"/>
      <c r="C6"/>
      <c r="D6"/>
      <c r="E6"/>
    </row>
    <row r="7" spans="1:5" ht="66" customHeight="1">
      <c r="A7" s="543" t="s">
        <v>2116</v>
      </c>
      <c r="B7" s="543"/>
      <c r="C7" s="543"/>
      <c r="D7" s="543"/>
      <c r="E7" s="543"/>
    </row>
    <row r="8" spans="1:5" ht="18.75" hidden="1">
      <c r="A8" s="174"/>
      <c r="B8" s="174"/>
      <c r="C8" s="174"/>
      <c r="D8" s="174"/>
      <c r="E8" s="174"/>
    </row>
    <row r="9" spans="1:5" ht="67.5" customHeight="1">
      <c r="A9" s="542" t="s">
        <v>2117</v>
      </c>
      <c r="B9" s="542"/>
      <c r="C9" s="542"/>
      <c r="D9" s="542"/>
      <c r="E9" s="542"/>
    </row>
    <row r="10" spans="1:5" ht="55.5" customHeight="1">
      <c r="A10" s="136"/>
      <c r="B10" s="139"/>
      <c r="C10" s="148"/>
      <c r="D10" s="148"/>
      <c r="E10" s="148"/>
    </row>
  </sheetData>
  <mergeCells count="6">
    <mergeCell ref="A9:E9"/>
    <mergeCell ref="A1:E1"/>
    <mergeCell ref="B2:E2"/>
    <mergeCell ref="B3:E3"/>
    <mergeCell ref="B4:E4"/>
    <mergeCell ref="A7:E7"/>
  </mergeCells>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Лист32"/>
  <dimension ref="A1"/>
  <sheetViews>
    <sheetView workbookViewId="0">
      <selection activeCell="G29" sqref="G29"/>
    </sheetView>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Лист5">
    <pageSetUpPr fitToPage="1"/>
  </sheetPr>
  <dimension ref="A1:E26"/>
  <sheetViews>
    <sheetView showGridLines="0" view="pageBreakPreview" topLeftCell="A12" zoomScaleSheetLayoutView="100" workbookViewId="0">
      <selection activeCell="E26" sqref="E26"/>
    </sheetView>
  </sheetViews>
  <sheetFormatPr defaultRowHeight="12.75"/>
  <cols>
    <col min="1" max="1" width="28.5703125" customWidth="1"/>
    <col min="2" max="2" width="41.28515625" customWidth="1"/>
    <col min="3" max="3" width="17.85546875" hidden="1" customWidth="1"/>
    <col min="4" max="4" width="14.140625" hidden="1" customWidth="1"/>
    <col min="5" max="5" width="15.140625" bestFit="1" customWidth="1"/>
    <col min="8" max="8" width="43.42578125" customWidth="1"/>
  </cols>
  <sheetData>
    <row r="1" spans="1:5" ht="15.75">
      <c r="A1" s="424" t="s">
        <v>2052</v>
      </c>
      <c r="B1" s="424"/>
      <c r="C1" s="424"/>
      <c r="D1" s="424"/>
      <c r="E1" s="424"/>
    </row>
    <row r="2" spans="1:5" ht="15.75">
      <c r="A2" s="424" t="s">
        <v>1051</v>
      </c>
      <c r="B2" s="424"/>
      <c r="C2" s="424"/>
      <c r="D2" s="424"/>
      <c r="E2" s="424"/>
    </row>
    <row r="3" spans="1:5" ht="15.75">
      <c r="A3" s="424" t="s">
        <v>700</v>
      </c>
      <c r="B3" s="424"/>
      <c r="C3" s="424"/>
      <c r="D3" s="424"/>
      <c r="E3" s="424"/>
    </row>
    <row r="4" spans="1:5" ht="15.75">
      <c r="A4" s="424" t="s">
        <v>2621</v>
      </c>
      <c r="B4" s="424"/>
      <c r="C4" s="424"/>
      <c r="D4" s="424"/>
      <c r="E4" s="424"/>
    </row>
    <row r="6" spans="1:5" ht="15.75">
      <c r="A6" s="34"/>
      <c r="B6" s="1"/>
    </row>
    <row r="7" spans="1:5" ht="33" customHeight="1">
      <c r="A7" s="425" t="s">
        <v>2485</v>
      </c>
      <c r="B7" s="425"/>
      <c r="C7" s="425"/>
      <c r="D7" s="425"/>
      <c r="E7" s="425"/>
    </row>
    <row r="8" spans="1:5" ht="19.5" thickBot="1">
      <c r="A8" s="5"/>
      <c r="B8" s="1"/>
    </row>
    <row r="9" spans="1:5" ht="48" thickBot="1">
      <c r="A9" s="308" t="s">
        <v>951</v>
      </c>
      <c r="B9" s="308" t="s">
        <v>241</v>
      </c>
      <c r="C9" s="308" t="s">
        <v>2754</v>
      </c>
      <c r="D9" s="308" t="s">
        <v>1122</v>
      </c>
      <c r="E9" s="308" t="s">
        <v>2789</v>
      </c>
    </row>
    <row r="10" spans="1:5" ht="32.25" thickBot="1">
      <c r="A10" s="309" t="s">
        <v>2295</v>
      </c>
      <c r="B10" s="310" t="s">
        <v>43</v>
      </c>
      <c r="C10" s="311">
        <v>7638501</v>
      </c>
      <c r="D10" s="311">
        <f>D11+D13</f>
        <v>0</v>
      </c>
      <c r="E10" s="311">
        <f>E11+E13</f>
        <v>7638501</v>
      </c>
    </row>
    <row r="11" spans="1:5" ht="48" thickBot="1">
      <c r="A11" s="312" t="s">
        <v>44</v>
      </c>
      <c r="B11" s="313" t="s">
        <v>1386</v>
      </c>
      <c r="C11" s="314">
        <v>7638501</v>
      </c>
      <c r="D11" s="314">
        <f>D12</f>
        <v>0</v>
      </c>
      <c r="E11" s="314">
        <f>E12</f>
        <v>7638501</v>
      </c>
    </row>
    <row r="12" spans="1:5" ht="63.75" thickBot="1">
      <c r="A12" s="312" t="s">
        <v>1387</v>
      </c>
      <c r="B12" s="313" t="s">
        <v>2287</v>
      </c>
      <c r="C12" s="314">
        <v>7638501</v>
      </c>
      <c r="D12" s="314"/>
      <c r="E12" s="314">
        <f>C12+D12</f>
        <v>7638501</v>
      </c>
    </row>
    <row r="13" spans="1:5" ht="48" hidden="1" thickBot="1">
      <c r="A13" s="312" t="s">
        <v>1314</v>
      </c>
      <c r="B13" s="313" t="s">
        <v>1313</v>
      </c>
      <c r="C13" s="314">
        <v>0</v>
      </c>
      <c r="D13" s="314">
        <f>D14</f>
        <v>0</v>
      </c>
      <c r="E13" s="314">
        <f t="shared" ref="E13:E14" si="0">SUM(C13:D13)</f>
        <v>0</v>
      </c>
    </row>
    <row r="14" spans="1:5" ht="63.75" hidden="1" thickBot="1">
      <c r="A14" s="312" t="s">
        <v>775</v>
      </c>
      <c r="B14" s="313" t="s">
        <v>2288</v>
      </c>
      <c r="C14" s="314">
        <v>0</v>
      </c>
      <c r="D14" s="314">
        <v>0</v>
      </c>
      <c r="E14" s="314">
        <f t="shared" si="0"/>
        <v>0</v>
      </c>
    </row>
    <row r="15" spans="1:5" ht="48" thickBot="1">
      <c r="A15" s="309" t="s">
        <v>2294</v>
      </c>
      <c r="B15" s="310" t="s">
        <v>1794</v>
      </c>
      <c r="C15" s="311">
        <v>18471614</v>
      </c>
      <c r="D15" s="311">
        <f>D18+D16</f>
        <v>0</v>
      </c>
      <c r="E15" s="311">
        <f>E18+E16</f>
        <v>18471614</v>
      </c>
    </row>
    <row r="16" spans="1:5" ht="79.5" thickBot="1">
      <c r="A16" s="382" t="s">
        <v>2709</v>
      </c>
      <c r="B16" s="383" t="s">
        <v>2710</v>
      </c>
      <c r="C16" s="316">
        <v>58000000</v>
      </c>
      <c r="D16" s="316">
        <f>D17</f>
        <v>0</v>
      </c>
      <c r="E16" s="316">
        <f>E17</f>
        <v>58000000</v>
      </c>
    </row>
    <row r="17" spans="1:5" ht="79.5" thickBot="1">
      <c r="A17" s="382" t="s">
        <v>2711</v>
      </c>
      <c r="B17" s="383" t="s">
        <v>2712</v>
      </c>
      <c r="C17" s="316">
        <v>58000000</v>
      </c>
      <c r="D17" s="316"/>
      <c r="E17" s="316">
        <v>58000000</v>
      </c>
    </row>
    <row r="18" spans="1:5" ht="79.5" thickBot="1">
      <c r="A18" s="312" t="s">
        <v>2246</v>
      </c>
      <c r="B18" s="313" t="s">
        <v>578</v>
      </c>
      <c r="C18" s="314">
        <v>-39528386</v>
      </c>
      <c r="D18" s="314">
        <f>D19</f>
        <v>0</v>
      </c>
      <c r="E18" s="314">
        <f>E19</f>
        <v>-39528386</v>
      </c>
    </row>
    <row r="19" spans="1:5" ht="79.5" thickBot="1">
      <c r="A19" s="312" t="s">
        <v>2247</v>
      </c>
      <c r="B19" s="313" t="s">
        <v>2289</v>
      </c>
      <c r="C19" s="314">
        <v>-39528386</v>
      </c>
      <c r="D19" s="314"/>
      <c r="E19" s="314">
        <f t="shared" ref="E19" si="1">SUM(C19:D19)</f>
        <v>-39528386</v>
      </c>
    </row>
    <row r="20" spans="1:5" ht="32.25" thickBot="1">
      <c r="A20" s="309" t="s">
        <v>2293</v>
      </c>
      <c r="B20" s="310" t="s">
        <v>734</v>
      </c>
      <c r="C20" s="311">
        <f>C21+C22</f>
        <v>23662822.099999905</v>
      </c>
      <c r="D20" s="311">
        <f>D22+D21</f>
        <v>299999.97000000253</v>
      </c>
      <c r="E20" s="311">
        <f>E22+E21</f>
        <v>23962822.069999933</v>
      </c>
    </row>
    <row r="21" spans="1:5" ht="48" thickBot="1">
      <c r="A21" s="312" t="s">
        <v>735</v>
      </c>
      <c r="B21" s="313" t="s">
        <v>2290</v>
      </c>
      <c r="C21" s="314">
        <f>-(Пр1!I149+Пр_3!C17+Пр_3!C12+C24)</f>
        <v>-1817637306.9000001</v>
      </c>
      <c r="D21" s="314">
        <f>-(Пр1!J149+D11+D24+D16)</f>
        <v>17639476.330000002</v>
      </c>
      <c r="E21" s="314">
        <f>SUM(C21:D21)</f>
        <v>-1799997830.5700002</v>
      </c>
    </row>
    <row r="22" spans="1:5" ht="48" thickBot="1">
      <c r="A22" s="312" t="s">
        <v>721</v>
      </c>
      <c r="B22" s="313" t="s">
        <v>2291</v>
      </c>
      <c r="C22" s="314">
        <f>1841600129-300000</f>
        <v>1841300129</v>
      </c>
      <c r="D22" s="314">
        <f>Пр_2!D120+D19</f>
        <v>-17339476.359999999</v>
      </c>
      <c r="E22" s="314">
        <f>SUM(C22:D22)</f>
        <v>1823960652.6400001</v>
      </c>
    </row>
    <row r="23" spans="1:5" ht="48" thickBot="1">
      <c r="A23" s="309" t="s">
        <v>2292</v>
      </c>
      <c r="B23" s="310" t="s">
        <v>486</v>
      </c>
      <c r="C23" s="311">
        <v>528386</v>
      </c>
      <c r="D23" s="311">
        <f>D24</f>
        <v>0</v>
      </c>
      <c r="E23" s="311">
        <f>E24</f>
        <v>528386</v>
      </c>
    </row>
    <row r="24" spans="1:5" ht="48" thickBot="1">
      <c r="A24" s="312" t="s">
        <v>564</v>
      </c>
      <c r="B24" s="313" t="s">
        <v>554</v>
      </c>
      <c r="C24" s="314">
        <v>528386</v>
      </c>
      <c r="D24" s="314">
        <f>D25</f>
        <v>0</v>
      </c>
      <c r="E24" s="314">
        <f>E25</f>
        <v>528386</v>
      </c>
    </row>
    <row r="25" spans="1:5" ht="63.75" thickBot="1">
      <c r="A25" s="312" t="s">
        <v>1118</v>
      </c>
      <c r="B25" s="313" t="s">
        <v>1526</v>
      </c>
      <c r="C25" s="314">
        <v>528386</v>
      </c>
      <c r="D25" s="314"/>
      <c r="E25" s="314">
        <f t="shared" ref="E25" si="2">SUM(C25:D25)</f>
        <v>528386</v>
      </c>
    </row>
    <row r="26" spans="1:5" ht="16.5" thickBot="1">
      <c r="A26" s="429" t="s">
        <v>507</v>
      </c>
      <c r="B26" s="429"/>
      <c r="C26" s="315">
        <f>C23+C20+C15+C10</f>
        <v>50301323.099999905</v>
      </c>
      <c r="D26" s="315">
        <f>D20+D10+D23+D15</f>
        <v>299999.97000000253</v>
      </c>
      <c r="E26" s="315">
        <f>E20+E10+E23+E15</f>
        <v>50601323.069999933</v>
      </c>
    </row>
  </sheetData>
  <sheetProtection selectLockedCells="1" selectUnlockedCells="1"/>
  <customSheetViews>
    <customSheetView guid="{91923F83-3A6B-4204-9891-178562AB34F1}" hiddenRows="1" hiddenColumns="1" showRuler="0">
      <selection sqref="A1:IV65536"/>
      <pageMargins left="0.75" right="0.75" top="1" bottom="1" header="0.5" footer="0.5"/>
      <headerFooter alignWithMargins="0"/>
    </customSheetView>
    <customSheetView guid="{66DBF0AC-E9A0-482F-9E41-1928B6CA83DC}" showPageBreaks="1" fitToPage="1" hiddenRows="1" hiddenColumns="1" view="pageBreakPreview" showRuler="0" topLeftCell="A17">
      <selection activeCell="F21" sqref="F21"/>
      <pageMargins left="0.75" right="0.75" top="1" bottom="1" header="0.5" footer="0.5"/>
      <pageSetup paperSize="9" scale="88" orientation="portrait" r:id="rId1"/>
      <headerFooter alignWithMargins="0"/>
    </customSheetView>
    <customSheetView guid="{A5E41FC9-89B1-40D2-B587-57BC4C5E4715}" hiddenRows="1" hiddenColumns="1" showRuler="0">
      <selection sqref="A1:IV65536"/>
      <pageMargins left="0.75" right="0.75" top="1" bottom="1" header="0.5" footer="0.5"/>
      <headerFooter alignWithMargins="0"/>
    </customSheetView>
    <customSheetView guid="{F3607253-7816-4CF7-9CFD-2ADFFAD916F8}" hiddenRows="1" hiddenColumns="1" showRuler="0">
      <selection sqref="A1:IV65536"/>
      <pageMargins left="0.75" right="0.75" top="1" bottom="1" header="0.5" footer="0.5"/>
      <pageSetup paperSize="9" scale="88" orientation="portrait" r:id="rId2"/>
      <headerFooter alignWithMargins="0"/>
    </customSheetView>
    <customSheetView guid="{B3311466-F005-49F1-A579-3E6CECE305A8}" hiddenRows="1" hiddenColumns="1" showRuler="0">
      <selection sqref="A1:IV65536"/>
      <pageMargins left="0.75" right="0.75" top="1" bottom="1" header="0.5" footer="0.5"/>
      <pageSetup paperSize="9" scale="88" orientation="portrait" r:id="rId3"/>
      <headerFooter alignWithMargins="0"/>
    </customSheetView>
    <customSheetView guid="{E5662E33-D4B0-43EA-9B06-C8DA9DFDBEF6}" printArea="1" hiddenRows="1" hiddenColumns="1" showRuler="0">
      <selection activeCell="B9" sqref="B9"/>
      <pageMargins left="0.75" right="0.75" top="1" bottom="1" header="0.5" footer="0.5"/>
      <pageSetup paperSize="9" scale="88" orientation="portrait" r:id="rId4"/>
      <headerFooter alignWithMargins="0"/>
    </customSheetView>
  </customSheetViews>
  <mergeCells count="6">
    <mergeCell ref="A26:B26"/>
    <mergeCell ref="A1:E1"/>
    <mergeCell ref="A2:E2"/>
    <mergeCell ref="A3:E3"/>
    <mergeCell ref="A4:E4"/>
    <mergeCell ref="A7:E7"/>
  </mergeCells>
  <phoneticPr fontId="0" type="noConversion"/>
  <pageMargins left="0.70866141732283472" right="0.70866141732283472" top="0.74803149606299213" bottom="0.74803149606299213" header="0.31496062992125984" footer="0.31496062992125984"/>
  <pageSetup paperSize="9" fitToHeight="0" orientation="portrait" r:id="rId5"/>
  <headerFooter alignWithMargins="0">
    <oddFooter>&amp;C&amp;P</oddFooter>
  </headerFooter>
</worksheet>
</file>

<file path=xl/worksheets/sheet30.xml><?xml version="1.0" encoding="utf-8"?>
<worksheet xmlns="http://schemas.openxmlformats.org/spreadsheetml/2006/main" xmlns:r="http://schemas.openxmlformats.org/officeDocument/2006/relationships">
  <sheetPr codeName="Лист33"/>
  <dimension ref="A1"/>
  <sheetViews>
    <sheetView workbookViewId="0"/>
  </sheetViews>
  <sheetFormatPr defaultRowHeight="12.75"/>
  <sheetData/>
  <pageMargins left="0.7" right="0.7" top="0.75" bottom="0.75" header="0.3" footer="0.3"/>
</worksheet>
</file>

<file path=xl/worksheets/sheet31.xml><?xml version="1.0" encoding="utf-8"?>
<worksheet xmlns="http://schemas.openxmlformats.org/spreadsheetml/2006/main" xmlns:r="http://schemas.openxmlformats.org/officeDocument/2006/relationships">
  <sheetPr codeName="Лист38"/>
  <dimension ref="A1:B68"/>
  <sheetViews>
    <sheetView topLeftCell="A46" workbookViewId="0">
      <selection activeCell="B43" sqref="B43"/>
    </sheetView>
  </sheetViews>
  <sheetFormatPr defaultColWidth="9.140625" defaultRowHeight="12.75"/>
  <cols>
    <col min="1" max="1" width="48.42578125" style="146" customWidth="1"/>
    <col min="2" max="2" width="80.85546875" style="146" customWidth="1"/>
    <col min="3" max="16384" width="9.140625" style="146"/>
  </cols>
  <sheetData>
    <row r="1" spans="1:2" ht="18">
      <c r="A1" s="224" t="s">
        <v>2303</v>
      </c>
      <c r="B1" s="224" t="s">
        <v>2338</v>
      </c>
    </row>
    <row r="2" spans="1:2" ht="16.5" thickBot="1">
      <c r="A2" s="222">
        <v>10</v>
      </c>
      <c r="B2" s="217" t="s">
        <v>2306</v>
      </c>
    </row>
    <row r="3" spans="1:2" ht="16.5" thickBot="1">
      <c r="A3" s="223">
        <v>11</v>
      </c>
      <c r="B3" s="218" t="s">
        <v>2474</v>
      </c>
    </row>
    <row r="4" spans="1:2" ht="48" thickBot="1">
      <c r="A4" s="223">
        <v>12</v>
      </c>
      <c r="B4" s="218" t="s">
        <v>2307</v>
      </c>
    </row>
    <row r="5" spans="1:2" ht="32.25" thickBot="1">
      <c r="A5" s="223">
        <v>13</v>
      </c>
      <c r="B5" s="218" t="s">
        <v>2308</v>
      </c>
    </row>
    <row r="6" spans="1:2" ht="16.5" thickBot="1">
      <c r="A6" s="222">
        <v>20</v>
      </c>
      <c r="B6" s="219" t="s">
        <v>2309</v>
      </c>
    </row>
    <row r="7" spans="1:2" ht="32.25" thickBot="1">
      <c r="A7" s="223">
        <v>21</v>
      </c>
      <c r="B7" s="218" t="s">
        <v>2475</v>
      </c>
    </row>
    <row r="8" spans="1:2" ht="48" thickBot="1">
      <c r="A8" s="223">
        <v>22</v>
      </c>
      <c r="B8" s="218" t="s">
        <v>2478</v>
      </c>
    </row>
    <row r="9" spans="1:2" ht="16.5" thickBot="1">
      <c r="A9" s="222">
        <v>30</v>
      </c>
      <c r="B9" s="219" t="s">
        <v>2310</v>
      </c>
    </row>
    <row r="10" spans="1:2" ht="32.25" thickBot="1">
      <c r="A10" s="223">
        <v>31</v>
      </c>
      <c r="B10" s="218" t="s">
        <v>2476</v>
      </c>
    </row>
    <row r="11" spans="1:2" ht="48" thickBot="1">
      <c r="A11" s="223">
        <v>32</v>
      </c>
      <c r="B11" s="218" t="s">
        <v>2481</v>
      </c>
    </row>
    <row r="12" spans="1:2" ht="16.5" thickBot="1">
      <c r="A12" s="222">
        <v>40</v>
      </c>
      <c r="B12" s="220" t="s">
        <v>2311</v>
      </c>
    </row>
    <row r="13" spans="1:2" ht="32.25" thickBot="1">
      <c r="A13" s="223">
        <v>41</v>
      </c>
      <c r="B13" s="218" t="s">
        <v>2312</v>
      </c>
    </row>
    <row r="14" spans="1:2" ht="16.5" thickBot="1">
      <c r="A14" s="222">
        <v>50</v>
      </c>
      <c r="B14" s="219" t="s">
        <v>2313</v>
      </c>
    </row>
    <row r="15" spans="1:2" ht="32.25" thickBot="1">
      <c r="A15" s="223">
        <v>51</v>
      </c>
      <c r="B15" s="218" t="s">
        <v>2477</v>
      </c>
    </row>
    <row r="16" spans="1:2" ht="16.5" thickBot="1">
      <c r="A16" s="222">
        <v>60</v>
      </c>
      <c r="B16" s="219" t="s">
        <v>2314</v>
      </c>
    </row>
    <row r="17" spans="1:2" ht="16.5" thickBot="1">
      <c r="A17" s="223">
        <v>61</v>
      </c>
      <c r="B17" s="218" t="s">
        <v>2315</v>
      </c>
    </row>
    <row r="18" spans="1:2" ht="16.5" thickBot="1">
      <c r="A18" s="222">
        <v>70</v>
      </c>
      <c r="B18" s="219" t="s">
        <v>2316</v>
      </c>
    </row>
    <row r="19" spans="1:2" ht="48" thickBot="1">
      <c r="A19" s="223">
        <v>71</v>
      </c>
      <c r="B19" s="218" t="s">
        <v>2317</v>
      </c>
    </row>
    <row r="20" spans="1:2" ht="48" thickBot="1">
      <c r="A20" s="223">
        <v>72</v>
      </c>
      <c r="B20" s="218" t="s">
        <v>2318</v>
      </c>
    </row>
    <row r="21" spans="1:2" ht="48" thickBot="1">
      <c r="A21" s="223">
        <v>73</v>
      </c>
      <c r="B21" s="218" t="s">
        <v>2674</v>
      </c>
    </row>
    <row r="22" spans="1:2" ht="16.5" thickBot="1">
      <c r="A22" s="222">
        <v>80</v>
      </c>
      <c r="B22" s="219" t="s">
        <v>2319</v>
      </c>
    </row>
    <row r="23" spans="1:2" ht="32.25" thickBot="1">
      <c r="A23" s="223">
        <v>81</v>
      </c>
      <c r="B23" s="218" t="s">
        <v>2479</v>
      </c>
    </row>
    <row r="24" spans="1:2" ht="16.5" thickBot="1">
      <c r="A24" s="222">
        <v>90</v>
      </c>
      <c r="B24" s="219" t="s">
        <v>2320</v>
      </c>
    </row>
    <row r="25" spans="1:2" ht="32.25" thickBot="1">
      <c r="A25" s="223">
        <v>91</v>
      </c>
      <c r="B25" s="218" t="s">
        <v>2321</v>
      </c>
    </row>
    <row r="26" spans="1:2" ht="32.25" thickBot="1">
      <c r="A26" s="222">
        <v>100</v>
      </c>
      <c r="B26" s="219" t="s">
        <v>2322</v>
      </c>
    </row>
    <row r="27" spans="1:2" ht="48" thickBot="1">
      <c r="A27" s="223">
        <v>101</v>
      </c>
      <c r="B27" s="218" t="s">
        <v>2323</v>
      </c>
    </row>
    <row r="28" spans="1:2" ht="16.5" thickBot="1">
      <c r="A28" s="222">
        <v>110</v>
      </c>
      <c r="B28" s="219" t="s">
        <v>2324</v>
      </c>
    </row>
    <row r="29" spans="1:2" ht="32.25" thickBot="1">
      <c r="A29" s="223">
        <v>111</v>
      </c>
      <c r="B29" s="218" t="s">
        <v>2325</v>
      </c>
    </row>
    <row r="30" spans="1:2" ht="16.5" thickBot="1">
      <c r="A30" s="222">
        <v>120</v>
      </c>
      <c r="B30" s="219" t="s">
        <v>2326</v>
      </c>
    </row>
    <row r="31" spans="1:2" ht="32.25" thickBot="1">
      <c r="A31" s="223">
        <v>121</v>
      </c>
      <c r="B31" s="218" t="s">
        <v>2327</v>
      </c>
    </row>
    <row r="32" spans="1:2" ht="16.5" thickBot="1">
      <c r="A32" s="222">
        <v>130</v>
      </c>
      <c r="B32" s="219" t="s">
        <v>2328</v>
      </c>
    </row>
    <row r="33" spans="1:2" ht="32.25" thickBot="1">
      <c r="A33" s="223">
        <v>131</v>
      </c>
      <c r="B33" s="218" t="s">
        <v>2329</v>
      </c>
    </row>
    <row r="34" spans="1:2" ht="16.5" thickBot="1">
      <c r="A34" s="222">
        <v>140</v>
      </c>
      <c r="B34" s="219" t="s">
        <v>2330</v>
      </c>
    </row>
    <row r="35" spans="1:2" ht="32.25" thickBot="1">
      <c r="A35" s="223">
        <v>141</v>
      </c>
      <c r="B35" s="218" t="s">
        <v>2331</v>
      </c>
    </row>
    <row r="36" spans="1:2" ht="48" thickBot="1">
      <c r="A36" s="223">
        <v>142</v>
      </c>
      <c r="B36" s="218" t="s">
        <v>2332</v>
      </c>
    </row>
    <row r="37" spans="1:2" ht="16.5" thickBot="1">
      <c r="A37" s="222">
        <v>150</v>
      </c>
      <c r="B37" s="219" t="s">
        <v>2333</v>
      </c>
    </row>
    <row r="38" spans="1:2" ht="48" thickBot="1">
      <c r="A38" s="223">
        <v>151</v>
      </c>
      <c r="B38" s="218" t="s">
        <v>2334</v>
      </c>
    </row>
    <row r="39" spans="1:2" ht="32.25" thickBot="1">
      <c r="A39" s="223">
        <v>152</v>
      </c>
      <c r="B39" s="218" t="s">
        <v>2335</v>
      </c>
    </row>
    <row r="40" spans="1:2" ht="32.25" thickBot="1">
      <c r="A40" s="222">
        <v>160</v>
      </c>
      <c r="B40" s="219" t="s">
        <v>2336</v>
      </c>
    </row>
    <row r="41" spans="1:2" ht="63.75" thickBot="1">
      <c r="A41" s="223">
        <v>161</v>
      </c>
      <c r="B41" s="218" t="s">
        <v>2337</v>
      </c>
    </row>
    <row r="42" spans="1:2" ht="16.5" thickBot="1">
      <c r="A42" s="223">
        <v>170</v>
      </c>
      <c r="B42" s="341" t="s">
        <v>2608</v>
      </c>
    </row>
    <row r="43" spans="1:2" ht="48" thickBot="1">
      <c r="A43" s="223">
        <v>171</v>
      </c>
      <c r="B43" s="342" t="s">
        <v>2609</v>
      </c>
    </row>
    <row r="44" spans="1:2" ht="16.5" thickBot="1">
      <c r="A44" s="223">
        <v>180</v>
      </c>
      <c r="B44" s="221" t="s">
        <v>2665</v>
      </c>
    </row>
    <row r="45" spans="1:2" ht="32.25" thickBot="1">
      <c r="A45" s="223">
        <v>181</v>
      </c>
      <c r="B45" s="365" t="s">
        <v>2664</v>
      </c>
    </row>
    <row r="46" spans="1:2" ht="16.5" thickBot="1">
      <c r="A46" s="223"/>
      <c r="B46" s="365"/>
    </row>
    <row r="47" spans="1:2" ht="16.5" thickBot="1">
      <c r="A47" s="223"/>
      <c r="B47" s="365"/>
    </row>
    <row r="48" spans="1:2" ht="16.5" thickBot="1">
      <c r="A48" s="223"/>
      <c r="B48" s="365"/>
    </row>
    <row r="49" spans="1:2" ht="16.5" thickBot="1">
      <c r="A49" s="222">
        <v>409</v>
      </c>
      <c r="B49" s="221" t="s">
        <v>2467</v>
      </c>
    </row>
    <row r="50" spans="1:2" ht="16.5" thickBot="1">
      <c r="A50" s="222">
        <v>990</v>
      </c>
      <c r="B50" s="221" t="s">
        <v>2458</v>
      </c>
    </row>
    <row r="51" spans="1:2">
      <c r="A51" s="216"/>
      <c r="B51" s="215"/>
    </row>
    <row r="52" spans="1:2">
      <c r="A52" s="216"/>
      <c r="B52" s="215"/>
    </row>
    <row r="53" spans="1:2">
      <c r="A53" s="216"/>
      <c r="B53" s="215"/>
    </row>
    <row r="54" spans="1:2">
      <c r="A54" s="216"/>
      <c r="B54" s="215"/>
    </row>
    <row r="55" spans="1:2">
      <c r="A55" s="216"/>
      <c r="B55" s="215"/>
    </row>
    <row r="56" spans="1:2">
      <c r="A56" s="216"/>
      <c r="B56" s="215"/>
    </row>
    <row r="57" spans="1:2">
      <c r="A57" s="216"/>
      <c r="B57" s="215"/>
    </row>
    <row r="58" spans="1:2">
      <c r="A58" s="216"/>
      <c r="B58" s="215"/>
    </row>
    <row r="59" spans="1:2">
      <c r="A59" s="216"/>
      <c r="B59" s="215"/>
    </row>
    <row r="60" spans="1:2">
      <c r="A60" s="216"/>
      <c r="B60" s="215"/>
    </row>
    <row r="61" spans="1:2">
      <c r="A61" s="216"/>
      <c r="B61" s="215"/>
    </row>
    <row r="62" spans="1:2">
      <c r="A62" s="216"/>
      <c r="B62" s="215"/>
    </row>
    <row r="63" spans="1:2">
      <c r="A63" s="216"/>
      <c r="B63" s="215"/>
    </row>
    <row r="64" spans="1:2">
      <c r="A64" s="216"/>
      <c r="B64" s="215"/>
    </row>
    <row r="65" spans="1:2">
      <c r="A65" s="216"/>
      <c r="B65" s="215"/>
    </row>
    <row r="66" spans="1:2">
      <c r="A66" s="216"/>
      <c r="B66" s="215"/>
    </row>
    <row r="67" spans="1:2">
      <c r="A67" s="216"/>
      <c r="B67" s="215"/>
    </row>
    <row r="68" spans="1:2">
      <c r="A68" s="216"/>
      <c r="B68" s="215"/>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sheetPr codeName="Лист39"/>
  <dimension ref="A1:D17"/>
  <sheetViews>
    <sheetView showGridLines="0" workbookViewId="0">
      <selection activeCell="G16" sqref="G16"/>
    </sheetView>
  </sheetViews>
  <sheetFormatPr defaultColWidth="9.140625" defaultRowHeight="12.75"/>
  <cols>
    <col min="1" max="1" width="64" style="146" customWidth="1"/>
    <col min="2" max="3" width="9.140625" style="146" customWidth="1"/>
    <col min="4" max="4" width="18" style="146" customWidth="1"/>
    <col min="5" max="7" width="9.140625" style="146"/>
    <col min="8" max="8" width="43.42578125" style="146" customWidth="1"/>
    <col min="9" max="16384" width="9.140625" style="146"/>
  </cols>
  <sheetData>
    <row r="1" spans="1:4" ht="15.75">
      <c r="A1" s="424" t="s">
        <v>2667</v>
      </c>
      <c r="B1" s="424"/>
      <c r="C1" s="424"/>
      <c r="D1" s="424"/>
    </row>
    <row r="2" spans="1:4" ht="15.75">
      <c r="A2" s="424" t="s">
        <v>1051</v>
      </c>
      <c r="B2" s="424"/>
      <c r="C2" s="424"/>
      <c r="D2" s="424"/>
    </row>
    <row r="3" spans="1:4" ht="15.75">
      <c r="A3" s="424" t="s">
        <v>700</v>
      </c>
      <c r="B3" s="424"/>
      <c r="C3" s="424"/>
      <c r="D3" s="424"/>
    </row>
    <row r="4" spans="1:4" ht="15.75">
      <c r="A4" s="424" t="s">
        <v>2623</v>
      </c>
      <c r="B4" s="424"/>
      <c r="C4" s="424"/>
      <c r="D4" s="424"/>
    </row>
    <row r="5" spans="1:4">
      <c r="A5" s="357"/>
      <c r="B5" s="357"/>
      <c r="C5" s="357"/>
      <c r="D5"/>
    </row>
    <row r="6" spans="1:4">
      <c r="A6"/>
      <c r="B6"/>
      <c r="C6"/>
      <c r="D6"/>
    </row>
    <row r="7" spans="1:4" ht="15.75">
      <c r="A7" s="425" t="s">
        <v>2463</v>
      </c>
      <c r="B7" s="425"/>
      <c r="C7" s="425"/>
      <c r="D7" s="425"/>
    </row>
    <row r="8" spans="1:4" ht="18.75">
      <c r="A8" s="356"/>
      <c r="B8" s="356"/>
      <c r="C8" s="356"/>
      <c r="D8"/>
    </row>
    <row r="9" spans="1:4" ht="15.75">
      <c r="A9" s="425" t="s">
        <v>720</v>
      </c>
      <c r="B9" s="425"/>
      <c r="C9" s="425"/>
      <c r="D9" s="425"/>
    </row>
    <row r="10" spans="1:4" ht="18.75">
      <c r="A10" s="22"/>
      <c r="B10" s="22"/>
      <c r="C10" s="22"/>
      <c r="D10"/>
    </row>
    <row r="11" spans="1:4" ht="19.5" thickBot="1">
      <c r="A11" s="22"/>
      <c r="B11" s="22"/>
      <c r="C11" s="22"/>
      <c r="D11"/>
    </row>
    <row r="12" spans="1:4" ht="47.25">
      <c r="A12" s="142" t="s">
        <v>1628</v>
      </c>
      <c r="B12" s="143" t="s">
        <v>2668</v>
      </c>
      <c r="C12" s="143" t="s">
        <v>615</v>
      </c>
      <c r="D12" s="355" t="s">
        <v>2482</v>
      </c>
    </row>
    <row r="13" spans="1:4" ht="15.75">
      <c r="A13" s="144" t="s">
        <v>1377</v>
      </c>
      <c r="B13" s="203">
        <v>58000</v>
      </c>
      <c r="C13" s="205"/>
      <c r="D13" s="203">
        <f>SUM(B13:C13)</f>
        <v>58000</v>
      </c>
    </row>
    <row r="14" spans="1:4" ht="15.75">
      <c r="A14" s="144" t="s">
        <v>633</v>
      </c>
      <c r="B14" s="203">
        <v>58000</v>
      </c>
      <c r="C14" s="205"/>
      <c r="D14" s="203">
        <f t="shared" ref="D14:D16" si="0">SUM(B14:C14)</f>
        <v>58000</v>
      </c>
    </row>
    <row r="15" spans="1:4" ht="15.75">
      <c r="A15" s="144" t="s">
        <v>8</v>
      </c>
      <c r="B15" s="203">
        <v>384000</v>
      </c>
      <c r="C15" s="205"/>
      <c r="D15" s="203">
        <f t="shared" si="0"/>
        <v>384000</v>
      </c>
    </row>
    <row r="16" spans="1:4" ht="15.75">
      <c r="A16" s="144" t="s">
        <v>634</v>
      </c>
      <c r="B16" s="203">
        <v>384000</v>
      </c>
      <c r="C16" s="205"/>
      <c r="D16" s="203">
        <f t="shared" si="0"/>
        <v>384000</v>
      </c>
    </row>
    <row r="17" spans="1:4" ht="16.5" thickBot="1">
      <c r="A17" s="145" t="s">
        <v>1130</v>
      </c>
      <c r="B17" s="360">
        <v>884000</v>
      </c>
      <c r="C17" s="204">
        <f>SUM(C13:C16)</f>
        <v>0</v>
      </c>
      <c r="D17" s="360">
        <f>SUM(D13:D16)</f>
        <v>884000</v>
      </c>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codeName="Лист40"/>
  <dimension ref="A1:G17"/>
  <sheetViews>
    <sheetView workbookViewId="0">
      <selection activeCell="J13" sqref="J13"/>
    </sheetView>
  </sheetViews>
  <sheetFormatPr defaultColWidth="9.140625" defaultRowHeight="15.75"/>
  <cols>
    <col min="1" max="1" width="59" style="279" customWidth="1"/>
    <col min="2" max="2" width="9.140625" style="279" customWidth="1"/>
    <col min="3" max="3" width="10.140625" style="279" customWidth="1"/>
    <col min="4" max="6" width="14.85546875" style="279" customWidth="1"/>
    <col min="7" max="7" width="14.42578125" style="279" customWidth="1"/>
    <col min="8" max="9" width="9.140625" style="279"/>
    <col min="10" max="10" width="43.42578125" style="279" customWidth="1"/>
    <col min="11" max="16384" width="9.140625" style="279"/>
  </cols>
  <sheetData>
    <row r="1" spans="1:7">
      <c r="A1" s="469" t="s">
        <v>2628</v>
      </c>
      <c r="B1" s="469"/>
      <c r="C1" s="469"/>
      <c r="D1" s="469"/>
      <c r="E1" s="469"/>
      <c r="F1" s="469"/>
      <c r="G1" s="454"/>
    </row>
    <row r="2" spans="1:7">
      <c r="A2" s="469" t="s">
        <v>1051</v>
      </c>
      <c r="B2" s="469"/>
      <c r="C2" s="469"/>
      <c r="D2" s="469"/>
      <c r="E2" s="469"/>
      <c r="F2" s="469"/>
      <c r="G2" s="454"/>
    </row>
    <row r="3" spans="1:7">
      <c r="A3" s="469" t="s">
        <v>700</v>
      </c>
      <c r="B3" s="469"/>
      <c r="C3" s="469"/>
      <c r="D3" s="469"/>
      <c r="E3" s="469"/>
      <c r="F3" s="469"/>
      <c r="G3" s="454"/>
    </row>
    <row r="4" spans="1:7">
      <c r="A4" s="469" t="s">
        <v>2623</v>
      </c>
      <c r="B4" s="469"/>
      <c r="C4" s="469"/>
      <c r="D4" s="469"/>
      <c r="E4" s="469"/>
      <c r="F4" s="469"/>
      <c r="G4" s="454"/>
    </row>
    <row r="5" spans="1:7">
      <c r="A5" s="358"/>
      <c r="B5" s="358"/>
      <c r="C5" s="358"/>
      <c r="D5" s="242"/>
      <c r="E5" s="242"/>
      <c r="F5" s="242"/>
      <c r="G5" s="256"/>
    </row>
    <row r="6" spans="1:7">
      <c r="A6" s="242"/>
      <c r="B6" s="242"/>
      <c r="C6" s="242"/>
      <c r="D6" s="242"/>
      <c r="E6" s="242"/>
      <c r="F6" s="242"/>
      <c r="G6" s="256"/>
    </row>
    <row r="7" spans="1:7" ht="42" customHeight="1">
      <c r="A7" s="466" t="s">
        <v>2462</v>
      </c>
      <c r="B7" s="466"/>
      <c r="C7" s="466"/>
      <c r="D7" s="466"/>
      <c r="E7" s="466"/>
      <c r="F7" s="466"/>
      <c r="G7" s="476"/>
    </row>
    <row r="8" spans="1:7">
      <c r="A8" s="359"/>
      <c r="B8" s="359"/>
      <c r="C8" s="359"/>
      <c r="D8" s="242"/>
      <c r="E8" s="242"/>
      <c r="F8" s="242"/>
      <c r="G8" s="256"/>
    </row>
    <row r="9" spans="1:7" ht="32.25" customHeight="1">
      <c r="A9" s="466" t="s">
        <v>720</v>
      </c>
      <c r="B9" s="466"/>
      <c r="C9" s="466"/>
      <c r="D9" s="466"/>
      <c r="E9" s="466"/>
      <c r="F9" s="466"/>
      <c r="G9" s="517"/>
    </row>
    <row r="10" spans="1:7" ht="16.5" thickBot="1">
      <c r="A10" s="280"/>
      <c r="B10" s="280"/>
      <c r="C10" s="280"/>
      <c r="D10" s="242"/>
      <c r="E10" s="242"/>
      <c r="F10" s="242"/>
      <c r="G10" s="256"/>
    </row>
    <row r="11" spans="1:7" ht="16.5" hidden="1" thickBot="1">
      <c r="A11" s="280"/>
      <c r="B11" s="280"/>
      <c r="C11" s="280"/>
      <c r="D11" s="242"/>
      <c r="E11" s="242"/>
      <c r="F11" s="242"/>
      <c r="G11" s="256"/>
    </row>
    <row r="12" spans="1:7" ht="47.25">
      <c r="A12" s="275" t="s">
        <v>1628</v>
      </c>
      <c r="B12" s="276" t="s">
        <v>2668</v>
      </c>
      <c r="C12" s="276" t="s">
        <v>615</v>
      </c>
      <c r="D12" s="355" t="s">
        <v>2483</v>
      </c>
      <c r="E12" s="276" t="s">
        <v>2668</v>
      </c>
      <c r="F12" s="276" t="s">
        <v>615</v>
      </c>
      <c r="G12" s="355" t="s">
        <v>2484</v>
      </c>
    </row>
    <row r="13" spans="1:7">
      <c r="A13" s="277" t="s">
        <v>1377</v>
      </c>
      <c r="B13" s="281">
        <v>59000</v>
      </c>
      <c r="C13" s="110"/>
      <c r="D13" s="281">
        <f>SUM(B13:C13)</f>
        <v>59000</v>
      </c>
      <c r="E13" s="281">
        <v>59000</v>
      </c>
      <c r="F13" s="110"/>
      <c r="G13" s="281">
        <f>SUM(E13:F13)</f>
        <v>59000</v>
      </c>
    </row>
    <row r="14" spans="1:7">
      <c r="A14" s="277" t="s">
        <v>633</v>
      </c>
      <c r="B14" s="281">
        <v>59000</v>
      </c>
      <c r="C14" s="110"/>
      <c r="D14" s="281">
        <f t="shared" ref="D14:D17" si="0">SUM(B14:C14)</f>
        <v>59000</v>
      </c>
      <c r="E14" s="281">
        <v>59000</v>
      </c>
      <c r="F14" s="110"/>
      <c r="G14" s="281">
        <f t="shared" ref="G14:G17" si="1">SUM(E14:F14)</f>
        <v>59000</v>
      </c>
    </row>
    <row r="15" spans="1:7">
      <c r="A15" s="277" t="s">
        <v>8</v>
      </c>
      <c r="B15" s="281">
        <v>384000</v>
      </c>
      <c r="C15" s="110"/>
      <c r="D15" s="281">
        <f t="shared" si="0"/>
        <v>384000</v>
      </c>
      <c r="E15" s="281">
        <v>384000</v>
      </c>
      <c r="F15" s="110"/>
      <c r="G15" s="281">
        <f t="shared" si="1"/>
        <v>384000</v>
      </c>
    </row>
    <row r="16" spans="1:7">
      <c r="A16" s="277" t="s">
        <v>634</v>
      </c>
      <c r="B16" s="281">
        <v>384000</v>
      </c>
      <c r="C16" s="110"/>
      <c r="D16" s="281">
        <f t="shared" si="0"/>
        <v>384000</v>
      </c>
      <c r="E16" s="281">
        <v>384000</v>
      </c>
      <c r="F16" s="110"/>
      <c r="G16" s="281">
        <f t="shared" si="1"/>
        <v>384000</v>
      </c>
    </row>
    <row r="17" spans="1:7" ht="16.5" thickBot="1">
      <c r="A17" s="278" t="s">
        <v>1130</v>
      </c>
      <c r="B17" s="283">
        <v>886000</v>
      </c>
      <c r="C17" s="282">
        <f>SUM(C13:C16)</f>
        <v>0</v>
      </c>
      <c r="D17" s="281">
        <f t="shared" si="0"/>
        <v>886000</v>
      </c>
      <c r="E17" s="283">
        <v>886000</v>
      </c>
      <c r="F17" s="282">
        <f>SUM(F13:F16)</f>
        <v>0</v>
      </c>
      <c r="G17" s="281">
        <f t="shared" si="1"/>
        <v>886000</v>
      </c>
    </row>
  </sheetData>
  <mergeCells count="6">
    <mergeCell ref="A9:G9"/>
    <mergeCell ref="A1:G1"/>
    <mergeCell ref="A2:G2"/>
    <mergeCell ref="A3:G3"/>
    <mergeCell ref="A4:G4"/>
    <mergeCell ref="A7:G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codeName="Лист41"/>
  <dimension ref="A1:B195"/>
  <sheetViews>
    <sheetView workbookViewId="0">
      <selection activeCell="B16" sqref="B16"/>
    </sheetView>
  </sheetViews>
  <sheetFormatPr defaultColWidth="9.140625" defaultRowHeight="12.75"/>
  <cols>
    <col min="1" max="1" width="9.42578125" style="146" customWidth="1"/>
    <col min="2" max="2" width="107.85546875" style="146" customWidth="1"/>
    <col min="3" max="16384" width="9.140625" style="146"/>
  </cols>
  <sheetData>
    <row r="1" spans="1:2" ht="13.5" thickBot="1">
      <c r="A1" s="215" t="s">
        <v>2305</v>
      </c>
      <c r="B1" s="215" t="s">
        <v>2304</v>
      </c>
    </row>
    <row r="2" spans="1:2" ht="16.5" thickBot="1">
      <c r="A2" s="213">
        <v>1001</v>
      </c>
      <c r="B2" s="225" t="s">
        <v>2339</v>
      </c>
    </row>
    <row r="3" spans="1:2" ht="16.5" thickBot="1">
      <c r="A3" s="162">
        <v>1002</v>
      </c>
      <c r="B3" s="226" t="s">
        <v>2340</v>
      </c>
    </row>
    <row r="4" spans="1:2" ht="16.5" thickBot="1">
      <c r="A4" s="162">
        <v>1003</v>
      </c>
      <c r="B4" s="226" t="s">
        <v>2341</v>
      </c>
    </row>
    <row r="5" spans="1:2" ht="16.5" thickBot="1">
      <c r="A5" s="162">
        <v>1004</v>
      </c>
      <c r="B5" s="226" t="s">
        <v>2342</v>
      </c>
    </row>
    <row r="6" spans="1:2" ht="16.5" thickBot="1">
      <c r="A6" s="162">
        <v>1005</v>
      </c>
      <c r="B6" s="226" t="s">
        <v>2343</v>
      </c>
    </row>
    <row r="7" spans="1:2" ht="16.5" thickBot="1">
      <c r="A7" s="162">
        <v>1006</v>
      </c>
      <c r="B7" s="353" t="s">
        <v>2344</v>
      </c>
    </row>
    <row r="8" spans="1:2" ht="48" thickBot="1">
      <c r="A8" s="347">
        <v>1007</v>
      </c>
      <c r="B8" s="45" t="s">
        <v>2611</v>
      </c>
    </row>
    <row r="9" spans="1:2" ht="31.5">
      <c r="A9" s="398">
        <v>1008</v>
      </c>
      <c r="B9" s="399" t="s">
        <v>2762</v>
      </c>
    </row>
    <row r="10" spans="1:2" ht="31.5">
      <c r="A10" s="387">
        <v>1009</v>
      </c>
      <c r="B10" s="401" t="s">
        <v>2780</v>
      </c>
    </row>
    <row r="11" spans="1:2" ht="32.25" thickBot="1">
      <c r="A11" s="347">
        <v>1010</v>
      </c>
      <c r="B11" s="400" t="s">
        <v>2345</v>
      </c>
    </row>
    <row r="12" spans="1:2" ht="16.5" thickBot="1">
      <c r="A12" s="162">
        <v>1020</v>
      </c>
      <c r="B12" s="226" t="s">
        <v>2480</v>
      </c>
    </row>
    <row r="13" spans="1:2" ht="32.25" thickBot="1">
      <c r="A13" s="162">
        <v>1021</v>
      </c>
      <c r="B13" s="226" t="s">
        <v>2346</v>
      </c>
    </row>
    <row r="14" spans="1:2" ht="16.5" thickBot="1">
      <c r="A14" s="162">
        <v>1022</v>
      </c>
      <c r="B14" s="226" t="s">
        <v>2347</v>
      </c>
    </row>
    <row r="15" spans="1:2" ht="16.5" thickBot="1">
      <c r="A15" s="162">
        <v>1023</v>
      </c>
      <c r="B15" s="226" t="s">
        <v>2348</v>
      </c>
    </row>
    <row r="16" spans="1:2" ht="16.5" thickBot="1">
      <c r="A16" s="162">
        <v>1024</v>
      </c>
      <c r="B16" s="226" t="s">
        <v>2349</v>
      </c>
    </row>
    <row r="17" spans="1:2" ht="16.5" thickBot="1">
      <c r="A17" s="162">
        <v>1030</v>
      </c>
      <c r="B17" s="226" t="s">
        <v>2350</v>
      </c>
    </row>
    <row r="18" spans="1:2" ht="16.5" thickBot="1">
      <c r="A18" s="162">
        <v>1040</v>
      </c>
      <c r="B18" s="226" t="s">
        <v>2351</v>
      </c>
    </row>
    <row r="19" spans="1:2" ht="16.5" thickBot="1">
      <c r="A19" s="162">
        <v>1050</v>
      </c>
      <c r="B19" s="226" t="s">
        <v>2352</v>
      </c>
    </row>
    <row r="20" spans="1:2" ht="16.5" thickBot="1">
      <c r="A20" s="162">
        <v>1051</v>
      </c>
      <c r="B20" s="226" t="s">
        <v>1108</v>
      </c>
    </row>
    <row r="21" spans="1:2" ht="16.5" thickBot="1">
      <c r="A21" s="162">
        <v>1060</v>
      </c>
      <c r="B21" s="226" t="s">
        <v>2353</v>
      </c>
    </row>
    <row r="22" spans="1:2" ht="16.5" thickBot="1">
      <c r="A22" s="162">
        <v>1070</v>
      </c>
      <c r="B22" s="226" t="s">
        <v>2354</v>
      </c>
    </row>
    <row r="23" spans="1:2" ht="32.25" thickBot="1">
      <c r="A23" s="162">
        <v>1071</v>
      </c>
      <c r="B23" s="226" t="s">
        <v>2355</v>
      </c>
    </row>
    <row r="24" spans="1:2" ht="16.5" thickBot="1">
      <c r="A24" s="162">
        <v>1080</v>
      </c>
      <c r="B24" s="226" t="s">
        <v>2356</v>
      </c>
    </row>
    <row r="25" spans="1:2" ht="16.5" thickBot="1">
      <c r="A25" s="162">
        <v>1090</v>
      </c>
      <c r="B25" s="226" t="s">
        <v>2357</v>
      </c>
    </row>
    <row r="26" spans="1:2" ht="16.5" thickBot="1">
      <c r="A26" s="162">
        <v>1201</v>
      </c>
      <c r="B26" s="226" t="s">
        <v>2358</v>
      </c>
    </row>
    <row r="27" spans="1:2" ht="16.5" thickBot="1">
      <c r="A27" s="162">
        <v>1202</v>
      </c>
      <c r="B27" s="226" t="s">
        <v>2359</v>
      </c>
    </row>
    <row r="28" spans="1:2" ht="16.5" thickBot="1">
      <c r="A28" s="162">
        <v>1203</v>
      </c>
      <c r="B28" s="226" t="s">
        <v>2360</v>
      </c>
    </row>
    <row r="29" spans="1:2" ht="16.5" thickBot="1">
      <c r="A29" s="162">
        <v>1208</v>
      </c>
      <c r="B29" s="226" t="s">
        <v>2361</v>
      </c>
    </row>
    <row r="30" spans="1:2" ht="16.5" thickBot="1">
      <c r="A30" s="162">
        <v>1209</v>
      </c>
      <c r="B30" s="226" t="s">
        <v>2362</v>
      </c>
    </row>
    <row r="31" spans="1:2" ht="16.5" thickBot="1">
      <c r="A31" s="162">
        <v>1210</v>
      </c>
      <c r="B31" s="226" t="s">
        <v>2363</v>
      </c>
    </row>
    <row r="32" spans="1:2" ht="16.5" thickBot="1">
      <c r="A32" s="162">
        <v>1213</v>
      </c>
      <c r="B32" s="226" t="s">
        <v>2364</v>
      </c>
    </row>
    <row r="33" spans="1:2" ht="16.5" thickBot="1">
      <c r="A33" s="162">
        <v>1220</v>
      </c>
      <c r="B33" s="226" t="s">
        <v>2365</v>
      </c>
    </row>
    <row r="34" spans="1:2" ht="16.5" thickBot="1">
      <c r="A34" s="162">
        <v>1221</v>
      </c>
      <c r="B34" s="227" t="s">
        <v>2366</v>
      </c>
    </row>
    <row r="35" spans="1:2" ht="16.5" thickBot="1">
      <c r="A35" s="162">
        <v>1222</v>
      </c>
      <c r="B35" s="226" t="s">
        <v>2367</v>
      </c>
    </row>
    <row r="36" spans="1:2" ht="16.5" thickBot="1">
      <c r="A36" s="162">
        <v>1224</v>
      </c>
      <c r="B36" s="226" t="s">
        <v>2368</v>
      </c>
    </row>
    <row r="37" spans="1:2" ht="16.5" thickBot="1">
      <c r="A37" s="162">
        <v>1225</v>
      </c>
      <c r="B37" s="226" t="s">
        <v>2666</v>
      </c>
    </row>
    <row r="38" spans="1:2" ht="16.5" thickBot="1">
      <c r="A38" s="162">
        <v>1226</v>
      </c>
      <c r="B38" s="226" t="s">
        <v>2704</v>
      </c>
    </row>
    <row r="39" spans="1:2" ht="16.5" thickBot="1">
      <c r="A39" s="162">
        <v>1230</v>
      </c>
      <c r="B39" s="226" t="s">
        <v>2705</v>
      </c>
    </row>
    <row r="40" spans="1:2" ht="16.5" thickBot="1">
      <c r="A40" s="162">
        <v>1231</v>
      </c>
      <c r="B40" s="226" t="s">
        <v>1818</v>
      </c>
    </row>
    <row r="41" spans="1:2" ht="16.5" thickBot="1">
      <c r="A41" s="162">
        <v>1232</v>
      </c>
      <c r="B41" s="226" t="s">
        <v>781</v>
      </c>
    </row>
    <row r="42" spans="1:2" ht="16.5" thickBot="1">
      <c r="A42" s="162">
        <v>1260</v>
      </c>
      <c r="B42" s="226" t="s">
        <v>2369</v>
      </c>
    </row>
    <row r="43" spans="1:2" ht="16.5" thickBot="1">
      <c r="A43" s="162">
        <v>1270</v>
      </c>
      <c r="B43" s="226" t="s">
        <v>2370</v>
      </c>
    </row>
    <row r="44" spans="1:2" ht="16.5" thickBot="1">
      <c r="A44" s="162">
        <v>1275</v>
      </c>
      <c r="B44" s="226" t="s">
        <v>2371</v>
      </c>
    </row>
    <row r="45" spans="1:2" ht="16.5" thickBot="1">
      <c r="A45" s="162">
        <v>1280</v>
      </c>
      <c r="B45" s="227" t="s">
        <v>2372</v>
      </c>
    </row>
    <row r="46" spans="1:2" ht="16.5" thickBot="1">
      <c r="A46" s="162">
        <v>1290</v>
      </c>
      <c r="B46" s="226" t="s">
        <v>2126</v>
      </c>
    </row>
    <row r="47" spans="1:2" ht="16.5" thickBot="1">
      <c r="A47" s="162">
        <v>1301</v>
      </c>
      <c r="B47" s="226" t="s">
        <v>2373</v>
      </c>
    </row>
    <row r="48" spans="1:2" ht="16.5" thickBot="1">
      <c r="A48" s="162">
        <v>1305</v>
      </c>
      <c r="B48" s="226" t="s">
        <v>2374</v>
      </c>
    </row>
    <row r="49" spans="1:2" ht="16.5" thickBot="1">
      <c r="A49" s="162">
        <v>1311</v>
      </c>
      <c r="B49" s="226" t="s">
        <v>2375</v>
      </c>
    </row>
    <row r="50" spans="1:2" ht="16.5" thickBot="1">
      <c r="A50" s="162">
        <v>1321</v>
      </c>
      <c r="B50" s="226" t="s">
        <v>2376</v>
      </c>
    </row>
    <row r="51" spans="1:2" ht="32.25" thickBot="1">
      <c r="A51" s="162">
        <v>1325</v>
      </c>
      <c r="B51" s="226" t="s">
        <v>2768</v>
      </c>
    </row>
    <row r="52" spans="1:2" ht="16.5" thickBot="1">
      <c r="A52" s="162">
        <v>1331</v>
      </c>
      <c r="B52" s="226" t="s">
        <v>2378</v>
      </c>
    </row>
    <row r="53" spans="1:2" ht="16.5" thickBot="1">
      <c r="A53" s="162">
        <v>1332</v>
      </c>
      <c r="B53" s="226" t="s">
        <v>2379</v>
      </c>
    </row>
    <row r="54" spans="1:2" ht="16.5" thickBot="1">
      <c r="A54" s="162">
        <v>1333</v>
      </c>
      <c r="B54" s="226" t="s">
        <v>2380</v>
      </c>
    </row>
    <row r="55" spans="1:2" ht="16.5" thickBot="1">
      <c r="A55" s="162">
        <v>1334</v>
      </c>
      <c r="B55" s="226" t="s">
        <v>2381</v>
      </c>
    </row>
    <row r="56" spans="1:2" ht="16.5" thickBot="1">
      <c r="A56" s="162">
        <v>1338</v>
      </c>
      <c r="B56" s="226" t="s">
        <v>2382</v>
      </c>
    </row>
    <row r="57" spans="1:2" ht="32.25" thickBot="1">
      <c r="A57" s="162">
        <v>1339</v>
      </c>
      <c r="B57" s="226" t="s">
        <v>2473</v>
      </c>
    </row>
    <row r="58" spans="1:2" ht="32.25" thickBot="1">
      <c r="A58" s="162">
        <v>1340</v>
      </c>
      <c r="B58" s="226" t="s">
        <v>2377</v>
      </c>
    </row>
    <row r="59" spans="1:2" ht="32.25" thickBot="1">
      <c r="A59" s="162">
        <v>1341</v>
      </c>
      <c r="B59" s="226" t="s">
        <v>2763</v>
      </c>
    </row>
    <row r="60" spans="1:2" ht="32.25" thickBot="1">
      <c r="A60" s="162">
        <v>1351</v>
      </c>
      <c r="B60" s="226" t="s">
        <v>2383</v>
      </c>
    </row>
    <row r="61" spans="1:2" ht="16.5" thickBot="1">
      <c r="A61" s="162">
        <v>1371</v>
      </c>
      <c r="B61" s="226" t="s">
        <v>225</v>
      </c>
    </row>
    <row r="62" spans="1:2" ht="16.5" thickBot="1">
      <c r="A62" s="162">
        <v>1401</v>
      </c>
      <c r="B62" s="226" t="s">
        <v>2384</v>
      </c>
    </row>
    <row r="63" spans="1:2" ht="16.5" thickBot="1">
      <c r="A63" s="162">
        <v>1410</v>
      </c>
      <c r="B63" s="226" t="s">
        <v>2659</v>
      </c>
    </row>
    <row r="64" spans="1:2" ht="16.5" thickBot="1">
      <c r="A64" s="162">
        <v>1451</v>
      </c>
      <c r="B64" s="226" t="s">
        <v>2385</v>
      </c>
    </row>
    <row r="65" spans="1:2" ht="16.5" thickBot="1">
      <c r="A65" s="162">
        <v>1453</v>
      </c>
      <c r="B65" s="226" t="s">
        <v>2386</v>
      </c>
    </row>
    <row r="66" spans="1:2" ht="32.25" thickBot="1">
      <c r="A66" s="162">
        <v>1455</v>
      </c>
      <c r="B66" s="226" t="s">
        <v>2387</v>
      </c>
    </row>
    <row r="67" spans="1:2" ht="16.5" thickBot="1">
      <c r="A67" s="162">
        <v>1456</v>
      </c>
      <c r="B67" s="226" t="s">
        <v>2388</v>
      </c>
    </row>
    <row r="68" spans="1:2" ht="16.5" thickBot="1">
      <c r="A68" s="162">
        <v>1457</v>
      </c>
      <c r="B68" s="226" t="s">
        <v>2389</v>
      </c>
    </row>
    <row r="69" spans="1:2" ht="32.25" thickBot="1">
      <c r="A69" s="162">
        <v>1458</v>
      </c>
      <c r="B69" s="226" t="s">
        <v>2390</v>
      </c>
    </row>
    <row r="70" spans="1:2" ht="16.5" thickBot="1">
      <c r="A70" s="162">
        <v>1501</v>
      </c>
      <c r="B70" s="227" t="s">
        <v>2391</v>
      </c>
    </row>
    <row r="71" spans="1:2" ht="32.25" thickBot="1">
      <c r="A71" s="162">
        <v>1503</v>
      </c>
      <c r="B71" s="226" t="s">
        <v>2392</v>
      </c>
    </row>
    <row r="72" spans="1:2" ht="16.5" thickBot="1">
      <c r="A72" s="162">
        <v>1511</v>
      </c>
      <c r="B72" s="227" t="s">
        <v>2393</v>
      </c>
    </row>
    <row r="73" spans="1:2" ht="16.5" thickBot="1">
      <c r="A73" s="162">
        <v>1521</v>
      </c>
      <c r="B73" s="226" t="s">
        <v>2394</v>
      </c>
    </row>
    <row r="74" spans="1:2" ht="16.5" thickBot="1">
      <c r="A74" s="162">
        <v>1522</v>
      </c>
      <c r="B74" s="226" t="s">
        <v>2395</v>
      </c>
    </row>
    <row r="75" spans="1:2" ht="32.25" thickBot="1">
      <c r="A75" s="162">
        <v>1525</v>
      </c>
      <c r="B75" s="226" t="s">
        <v>2396</v>
      </c>
    </row>
    <row r="76" spans="1:2" ht="16.5" thickBot="1">
      <c r="A76" s="162">
        <v>1526</v>
      </c>
      <c r="B76" s="226" t="s">
        <v>2397</v>
      </c>
    </row>
    <row r="77" spans="1:2" ht="16.5" thickBot="1">
      <c r="A77" s="162">
        <v>1601</v>
      </c>
      <c r="B77" s="226" t="s">
        <v>2398</v>
      </c>
    </row>
    <row r="78" spans="1:2" ht="16.5" thickBot="1">
      <c r="A78" s="162">
        <v>1605</v>
      </c>
      <c r="B78" s="226" t="s">
        <v>2660</v>
      </c>
    </row>
    <row r="79" spans="1:2" ht="32.25" thickBot="1">
      <c r="A79" s="162">
        <v>1611</v>
      </c>
      <c r="B79" s="226" t="s">
        <v>2399</v>
      </c>
    </row>
    <row r="80" spans="1:2" ht="15.75">
      <c r="A80" s="386">
        <v>1621</v>
      </c>
      <c r="B80" s="353" t="s">
        <v>2566</v>
      </c>
    </row>
    <row r="81" spans="1:2" ht="18.75" customHeight="1">
      <c r="A81" s="387">
        <v>2901</v>
      </c>
      <c r="B81" s="390" t="s">
        <v>2718</v>
      </c>
    </row>
    <row r="82" spans="1:2" ht="15.75">
      <c r="A82" s="387">
        <v>2902</v>
      </c>
      <c r="B82" s="388" t="s">
        <v>2719</v>
      </c>
    </row>
    <row r="83" spans="1:2" ht="15.75">
      <c r="A83" s="387">
        <v>2903</v>
      </c>
      <c r="B83" s="45" t="s">
        <v>2627</v>
      </c>
    </row>
    <row r="84" spans="1:2" ht="15.75">
      <c r="A84" s="387">
        <v>2904</v>
      </c>
      <c r="B84" s="389" t="s">
        <v>2729</v>
      </c>
    </row>
    <row r="85" spans="1:2" ht="15.75">
      <c r="A85" s="387">
        <v>2905</v>
      </c>
      <c r="B85" s="45" t="s">
        <v>2606</v>
      </c>
    </row>
    <row r="86" spans="1:2" ht="15.75">
      <c r="A86" s="387">
        <v>2906</v>
      </c>
      <c r="B86" s="45" t="s">
        <v>2612</v>
      </c>
    </row>
    <row r="87" spans="1:2" ht="15.75">
      <c r="A87" s="387">
        <v>2907</v>
      </c>
      <c r="B87" s="45" t="s">
        <v>2720</v>
      </c>
    </row>
    <row r="88" spans="1:2" ht="15.75">
      <c r="A88" s="387">
        <v>2908</v>
      </c>
      <c r="B88" s="392" t="s">
        <v>2721</v>
      </c>
    </row>
    <row r="89" spans="1:2" ht="31.5">
      <c r="A89" s="387">
        <v>2909</v>
      </c>
      <c r="B89" s="192" t="s">
        <v>2728</v>
      </c>
    </row>
    <row r="90" spans="1:2" ht="40.5" customHeight="1">
      <c r="A90" s="387">
        <v>2910</v>
      </c>
      <c r="B90" s="45" t="s">
        <v>2610</v>
      </c>
    </row>
    <row r="91" spans="1:2" ht="31.5">
      <c r="A91" s="387">
        <v>2911</v>
      </c>
      <c r="B91" s="391" t="s">
        <v>2723</v>
      </c>
    </row>
    <row r="92" spans="1:2" ht="15.75">
      <c r="A92" s="387">
        <v>2912</v>
      </c>
      <c r="B92" s="392" t="s">
        <v>2722</v>
      </c>
    </row>
    <row r="93" spans="1:2" ht="15.75">
      <c r="A93" s="387">
        <v>2913</v>
      </c>
      <c r="B93" s="392" t="s">
        <v>2724</v>
      </c>
    </row>
    <row r="94" spans="1:2" ht="15.75">
      <c r="A94" s="387">
        <v>2914</v>
      </c>
      <c r="B94" s="45" t="s">
        <v>2615</v>
      </c>
    </row>
    <row r="95" spans="1:2" ht="31.5">
      <c r="A95" s="387">
        <v>2915</v>
      </c>
      <c r="B95" s="45" t="s">
        <v>2725</v>
      </c>
    </row>
    <row r="96" spans="1:2" ht="31.5">
      <c r="A96" s="387">
        <v>2916</v>
      </c>
      <c r="B96" s="45" t="s">
        <v>2654</v>
      </c>
    </row>
    <row r="97" spans="1:2" ht="31.5">
      <c r="A97" s="387">
        <v>2917</v>
      </c>
      <c r="B97" s="45" t="s">
        <v>2655</v>
      </c>
    </row>
    <row r="98" spans="1:2" ht="31.5">
      <c r="A98" s="387">
        <v>2918</v>
      </c>
      <c r="B98" s="45" t="s">
        <v>2726</v>
      </c>
    </row>
    <row r="99" spans="1:2" ht="15.75">
      <c r="A99" s="387">
        <v>2919</v>
      </c>
      <c r="B99" s="270" t="s">
        <v>2727</v>
      </c>
    </row>
    <row r="100" spans="1:2" ht="31.5">
      <c r="A100" s="387">
        <v>2920</v>
      </c>
      <c r="B100" s="192" t="s">
        <v>2730</v>
      </c>
    </row>
    <row r="101" spans="1:2" ht="31.5">
      <c r="A101" s="387">
        <v>5013</v>
      </c>
      <c r="B101" s="45" t="s">
        <v>2682</v>
      </c>
    </row>
    <row r="102" spans="1:2" ht="38.25" customHeight="1">
      <c r="A102" s="387">
        <v>5020</v>
      </c>
      <c r="B102" s="45" t="s">
        <v>2761</v>
      </c>
    </row>
    <row r="103" spans="1:2" ht="38.25" customHeight="1">
      <c r="A103" s="395">
        <v>5027</v>
      </c>
      <c r="B103" s="396" t="s">
        <v>2769</v>
      </c>
    </row>
    <row r="104" spans="1:2" ht="48" thickBot="1">
      <c r="A104" s="162">
        <v>5065</v>
      </c>
      <c r="B104" s="348" t="s">
        <v>2400</v>
      </c>
    </row>
    <row r="105" spans="1:2" ht="32.25" thickBot="1">
      <c r="A105" s="162">
        <v>5084</v>
      </c>
      <c r="B105" s="353" t="s">
        <v>2618</v>
      </c>
    </row>
    <row r="106" spans="1:2" ht="32.25" thickBot="1">
      <c r="A106" s="162">
        <v>5118</v>
      </c>
      <c r="B106" s="226" t="s">
        <v>2401</v>
      </c>
    </row>
    <row r="107" spans="1:2" ht="32.25" thickBot="1">
      <c r="A107" s="162">
        <v>5119</v>
      </c>
      <c r="B107" s="226" t="s">
        <v>2402</v>
      </c>
    </row>
    <row r="108" spans="1:2" ht="32.25" thickBot="1">
      <c r="A108" s="162">
        <v>5120</v>
      </c>
      <c r="B108" s="226" t="s">
        <v>2470</v>
      </c>
    </row>
    <row r="109" spans="1:2" ht="48" thickBot="1">
      <c r="A109" s="162">
        <v>5146</v>
      </c>
      <c r="B109" s="226" t="s">
        <v>2775</v>
      </c>
    </row>
    <row r="110" spans="1:2" ht="16.5" thickBot="1">
      <c r="A110" s="162">
        <v>5147</v>
      </c>
      <c r="B110" s="226" t="s">
        <v>2766</v>
      </c>
    </row>
    <row r="111" spans="1:2" ht="32.25" thickBot="1">
      <c r="A111" s="162">
        <v>5148</v>
      </c>
      <c r="B111" s="226" t="s">
        <v>2767</v>
      </c>
    </row>
    <row r="112" spans="1:2" ht="48" thickBot="1">
      <c r="A112" s="162">
        <v>5220</v>
      </c>
      <c r="B112" s="226" t="s">
        <v>2403</v>
      </c>
    </row>
    <row r="113" spans="1:2" ht="32.25" thickBot="1">
      <c r="A113" s="162">
        <v>5240</v>
      </c>
      <c r="B113" s="226" t="s">
        <v>2617</v>
      </c>
    </row>
    <row r="114" spans="1:2" ht="32.25" thickBot="1">
      <c r="A114" s="162">
        <v>5250</v>
      </c>
      <c r="B114" s="226" t="s">
        <v>2404</v>
      </c>
    </row>
    <row r="115" spans="1:2" ht="32.25" thickBot="1">
      <c r="A115" s="162">
        <v>5260</v>
      </c>
      <c r="B115" s="226" t="s">
        <v>2405</v>
      </c>
    </row>
    <row r="116" spans="1:2" ht="48" thickBot="1">
      <c r="A116" s="162">
        <v>5270</v>
      </c>
      <c r="B116" s="226" t="s">
        <v>2406</v>
      </c>
    </row>
    <row r="117" spans="1:2" ht="48" thickBot="1">
      <c r="A117" s="162">
        <v>5380</v>
      </c>
      <c r="B117" s="226" t="s">
        <v>2469</v>
      </c>
    </row>
    <row r="118" spans="1:2" ht="48" thickBot="1">
      <c r="A118" s="162">
        <v>5381</v>
      </c>
      <c r="B118" s="226" t="s">
        <v>2407</v>
      </c>
    </row>
    <row r="119" spans="1:2" ht="32.25" thickBot="1">
      <c r="A119" s="162">
        <v>5385</v>
      </c>
      <c r="B119" s="226" t="s">
        <v>2408</v>
      </c>
    </row>
    <row r="120" spans="1:2" ht="16.5" thickBot="1">
      <c r="A120" s="162">
        <v>5930</v>
      </c>
      <c r="B120" s="226" t="s">
        <v>2616</v>
      </c>
    </row>
    <row r="121" spans="1:2" ht="32.25" thickBot="1">
      <c r="A121" s="162">
        <v>7043</v>
      </c>
      <c r="B121" s="226" t="s">
        <v>2409</v>
      </c>
    </row>
    <row r="122" spans="1:2" ht="32.25" thickBot="1">
      <c r="A122" s="162">
        <v>7046</v>
      </c>
      <c r="B122" s="226" t="s">
        <v>2410</v>
      </c>
    </row>
    <row r="123" spans="1:2" ht="32.25" thickBot="1">
      <c r="A123" s="162">
        <v>7047</v>
      </c>
      <c r="B123" s="226" t="s">
        <v>2411</v>
      </c>
    </row>
    <row r="124" spans="1:2" ht="16.5" thickBot="1">
      <c r="A124" s="162">
        <v>7048</v>
      </c>
      <c r="B124" s="226" t="s">
        <v>2657</v>
      </c>
    </row>
    <row r="125" spans="1:2" ht="16.5" thickBot="1">
      <c r="A125" s="162">
        <v>7050</v>
      </c>
      <c r="B125" s="226" t="s">
        <v>2412</v>
      </c>
    </row>
    <row r="126" spans="1:2" ht="48" thickBot="1">
      <c r="A126" s="162">
        <v>7051</v>
      </c>
      <c r="B126" s="226" t="s">
        <v>2413</v>
      </c>
    </row>
    <row r="127" spans="1:2" ht="32.25" thickBot="1">
      <c r="A127" s="162">
        <v>7052</v>
      </c>
      <c r="B127" s="226" t="s">
        <v>2414</v>
      </c>
    </row>
    <row r="128" spans="1:2" ht="32.25" thickBot="1">
      <c r="A128" s="162">
        <v>7053</v>
      </c>
      <c r="B128" s="226" t="s">
        <v>2415</v>
      </c>
    </row>
    <row r="129" spans="1:2" ht="32.25" thickBot="1">
      <c r="A129" s="162">
        <v>7055</v>
      </c>
      <c r="B129" s="226" t="s">
        <v>2416</v>
      </c>
    </row>
    <row r="130" spans="1:2" ht="32.25" thickBot="1">
      <c r="A130" s="162">
        <v>7056</v>
      </c>
      <c r="B130" s="226" t="s">
        <v>2471</v>
      </c>
    </row>
    <row r="131" spans="1:2" ht="32.25" thickBot="1">
      <c r="A131" s="162">
        <v>7057</v>
      </c>
      <c r="B131" s="226" t="s">
        <v>2417</v>
      </c>
    </row>
    <row r="132" spans="1:2" ht="32.25" thickBot="1">
      <c r="A132" s="162">
        <v>7065</v>
      </c>
      <c r="B132" s="226" t="s">
        <v>2418</v>
      </c>
    </row>
    <row r="133" spans="1:2" ht="32.25" thickBot="1">
      <c r="A133" s="162">
        <v>7066</v>
      </c>
      <c r="B133" s="226" t="s">
        <v>2419</v>
      </c>
    </row>
    <row r="134" spans="1:2" ht="16.5" thickBot="1">
      <c r="A134" s="162">
        <v>7067</v>
      </c>
      <c r="B134" s="226" t="s">
        <v>2658</v>
      </c>
    </row>
    <row r="135" spans="1:2" ht="32.25" thickBot="1">
      <c r="A135" s="162">
        <v>7074</v>
      </c>
      <c r="B135" s="226" t="s">
        <v>2420</v>
      </c>
    </row>
    <row r="136" spans="1:2" ht="32.25" thickBot="1">
      <c r="A136" s="162">
        <v>7075</v>
      </c>
      <c r="B136" s="226" t="s">
        <v>2421</v>
      </c>
    </row>
    <row r="137" spans="1:2" ht="32.25" thickBot="1">
      <c r="A137" s="162">
        <v>7083</v>
      </c>
      <c r="B137" s="226" t="s">
        <v>2422</v>
      </c>
    </row>
    <row r="138" spans="1:2" ht="48" thickBot="1">
      <c r="A138" s="162">
        <v>7084</v>
      </c>
      <c r="B138" s="226" t="s">
        <v>2423</v>
      </c>
    </row>
    <row r="139" spans="1:2" ht="48" thickBot="1">
      <c r="A139" s="162">
        <v>7085</v>
      </c>
      <c r="B139" s="226" t="s">
        <v>2424</v>
      </c>
    </row>
    <row r="140" spans="1:2" ht="16.5" thickBot="1">
      <c r="A140" s="162">
        <v>7086</v>
      </c>
      <c r="B140" s="226" t="s">
        <v>2425</v>
      </c>
    </row>
    <row r="141" spans="1:2" ht="32.25" thickBot="1">
      <c r="A141" s="162">
        <v>7087</v>
      </c>
      <c r="B141" s="226" t="s">
        <v>2426</v>
      </c>
    </row>
    <row r="142" spans="1:2" ht="16.5" thickBot="1">
      <c r="A142" s="162">
        <v>7089</v>
      </c>
      <c r="B142" s="226" t="s">
        <v>2427</v>
      </c>
    </row>
    <row r="143" spans="1:2" ht="16.5" thickBot="1">
      <c r="A143" s="162">
        <v>7092</v>
      </c>
      <c r="B143" s="226" t="s">
        <v>2389</v>
      </c>
    </row>
    <row r="144" spans="1:2" ht="32.25" thickBot="1">
      <c r="A144" s="162">
        <v>7093</v>
      </c>
      <c r="B144" s="226" t="s">
        <v>2428</v>
      </c>
    </row>
    <row r="145" spans="1:2" ht="32.25" thickBot="1">
      <c r="A145" s="162">
        <v>7097</v>
      </c>
      <c r="B145" s="226" t="s">
        <v>2429</v>
      </c>
    </row>
    <row r="146" spans="1:2" ht="16.5" thickBot="1">
      <c r="A146" s="162">
        <v>7099</v>
      </c>
      <c r="B146" s="226" t="s">
        <v>2430</v>
      </c>
    </row>
    <row r="147" spans="1:2" ht="32.25" thickBot="1">
      <c r="A147" s="162">
        <v>7100</v>
      </c>
      <c r="B147" s="226" t="s">
        <v>2431</v>
      </c>
    </row>
    <row r="148" spans="1:2" ht="16.5" thickBot="1">
      <c r="A148" s="162">
        <v>7101</v>
      </c>
      <c r="B148" s="226" t="s">
        <v>2432</v>
      </c>
    </row>
    <row r="149" spans="1:2" ht="48" thickBot="1">
      <c r="A149" s="162">
        <v>7106</v>
      </c>
      <c r="B149" s="226" t="s">
        <v>2433</v>
      </c>
    </row>
    <row r="150" spans="1:2" ht="32.25" thickBot="1">
      <c r="A150" s="162">
        <v>7116</v>
      </c>
      <c r="B150" s="226" t="s">
        <v>2656</v>
      </c>
    </row>
    <row r="151" spans="1:2" ht="32.25" thickBot="1">
      <c r="A151" s="162">
        <v>7117</v>
      </c>
      <c r="B151" s="226" t="s">
        <v>2434</v>
      </c>
    </row>
    <row r="152" spans="1:2" ht="32.25" thickBot="1">
      <c r="A152" s="162">
        <v>7118</v>
      </c>
      <c r="B152" s="226" t="s">
        <v>2435</v>
      </c>
    </row>
    <row r="153" spans="1:2" ht="32.25" thickBot="1">
      <c r="A153" s="162">
        <v>7119</v>
      </c>
      <c r="B153" s="226" t="s">
        <v>2436</v>
      </c>
    </row>
    <row r="154" spans="1:2" ht="32.25" thickBot="1">
      <c r="A154" s="162">
        <v>7123</v>
      </c>
      <c r="B154" s="226" t="s">
        <v>2684</v>
      </c>
    </row>
    <row r="155" spans="1:2" ht="32.25" thickBot="1">
      <c r="A155" s="162">
        <v>7143</v>
      </c>
      <c r="B155" s="226" t="s">
        <v>2437</v>
      </c>
    </row>
    <row r="156" spans="1:2" ht="16.5" thickBot="1">
      <c r="A156" s="162">
        <v>7145</v>
      </c>
      <c r="B156" s="226" t="s">
        <v>2438</v>
      </c>
    </row>
    <row r="157" spans="1:2" ht="16.5" thickBot="1">
      <c r="A157" s="162">
        <v>7169</v>
      </c>
      <c r="B157" s="226" t="s">
        <v>2397</v>
      </c>
    </row>
    <row r="158" spans="1:2" ht="16.5" thickBot="1">
      <c r="A158" s="162">
        <v>7170</v>
      </c>
      <c r="B158" s="226" t="s">
        <v>2661</v>
      </c>
    </row>
    <row r="159" spans="1:2" ht="32.25" thickBot="1">
      <c r="A159" s="162">
        <v>7175</v>
      </c>
      <c r="B159" s="226" t="s">
        <v>2760</v>
      </c>
    </row>
    <row r="160" spans="1:2" ht="48" thickBot="1">
      <c r="A160" s="162">
        <v>7186</v>
      </c>
      <c r="B160" s="226" t="s">
        <v>2439</v>
      </c>
    </row>
    <row r="161" spans="1:2" ht="32.25" thickBot="1">
      <c r="A161" s="162">
        <v>7193</v>
      </c>
      <c r="B161" s="226" t="s">
        <v>2764</v>
      </c>
    </row>
    <row r="162" spans="1:2" ht="32.25" thickBot="1">
      <c r="A162" s="162">
        <v>7201</v>
      </c>
      <c r="B162" s="226" t="s">
        <v>2241</v>
      </c>
    </row>
    <row r="163" spans="1:2" ht="32.25" thickBot="1">
      <c r="A163" s="162">
        <v>7204</v>
      </c>
      <c r="B163" s="226" t="s">
        <v>2242</v>
      </c>
    </row>
    <row r="164" spans="1:2" ht="32.25" thickBot="1">
      <c r="A164" s="162">
        <v>7215</v>
      </c>
      <c r="B164" s="226" t="s">
        <v>2440</v>
      </c>
    </row>
    <row r="165" spans="1:2" ht="32.25" thickBot="1">
      <c r="A165" s="162">
        <v>7217</v>
      </c>
      <c r="B165" s="226" t="s">
        <v>2732</v>
      </c>
    </row>
    <row r="166" spans="1:2" ht="16.5" thickBot="1">
      <c r="A166" s="162">
        <v>7228</v>
      </c>
      <c r="B166" s="226" t="s">
        <v>2705</v>
      </c>
    </row>
    <row r="167" spans="1:2" ht="16.5" thickBot="1">
      <c r="A167" s="162">
        <v>7229</v>
      </c>
      <c r="B167" s="226" t="s">
        <v>2706</v>
      </c>
    </row>
    <row r="168" spans="1:2" ht="16.5" thickBot="1">
      <c r="A168" s="162">
        <v>7239</v>
      </c>
      <c r="B168" s="226" t="s">
        <v>2771</v>
      </c>
    </row>
    <row r="169" spans="1:2" ht="16.5" thickBot="1">
      <c r="A169" s="162">
        <v>7244</v>
      </c>
      <c r="B169" s="226" t="s">
        <v>2441</v>
      </c>
    </row>
    <row r="170" spans="1:2" ht="32.25" thickBot="1">
      <c r="A170" s="162">
        <v>7247</v>
      </c>
      <c r="B170" s="226" t="s">
        <v>2442</v>
      </c>
    </row>
    <row r="171" spans="1:2" ht="32.25" thickBot="1">
      <c r="A171" s="162">
        <v>7255</v>
      </c>
      <c r="B171" s="226" t="s">
        <v>2443</v>
      </c>
    </row>
    <row r="172" spans="1:2" ht="32.25" thickBot="1">
      <c r="A172" s="162">
        <v>7256</v>
      </c>
      <c r="B172" s="226" t="s">
        <v>2444</v>
      </c>
    </row>
    <row r="173" spans="1:2" ht="48" thickBot="1">
      <c r="A173" s="162">
        <v>7261</v>
      </c>
      <c r="B173" s="226" t="s">
        <v>2059</v>
      </c>
    </row>
    <row r="174" spans="1:2" ht="48" thickBot="1">
      <c r="A174" s="162">
        <v>7288</v>
      </c>
      <c r="B174" s="226" t="s">
        <v>2445</v>
      </c>
    </row>
    <row r="175" spans="1:2" ht="32.25" thickBot="1">
      <c r="A175" s="162">
        <v>7294</v>
      </c>
      <c r="B175" s="226" t="s">
        <v>2446</v>
      </c>
    </row>
    <row r="176" spans="1:2" ht="16.5" thickBot="1">
      <c r="A176" s="162">
        <v>7297</v>
      </c>
      <c r="B176" s="226" t="s">
        <v>2447</v>
      </c>
    </row>
    <row r="177" spans="1:2" ht="32.25" thickBot="1">
      <c r="A177" s="162">
        <v>7300</v>
      </c>
      <c r="B177" s="226" t="s">
        <v>2448</v>
      </c>
    </row>
    <row r="178" spans="1:2" ht="32.25" thickBot="1">
      <c r="A178" s="162">
        <v>7304</v>
      </c>
      <c r="B178" s="226" t="s">
        <v>2449</v>
      </c>
    </row>
    <row r="179" spans="1:2" ht="32.25" thickBot="1">
      <c r="A179" s="162">
        <v>7311</v>
      </c>
      <c r="B179" s="226" t="s">
        <v>2450</v>
      </c>
    </row>
    <row r="180" spans="1:2" ht="16.5" thickBot="1">
      <c r="A180" s="162">
        <v>7323</v>
      </c>
      <c r="B180" s="226" t="s">
        <v>2451</v>
      </c>
    </row>
    <row r="181" spans="1:2" ht="32.25" thickBot="1">
      <c r="A181" s="162">
        <v>7326</v>
      </c>
      <c r="B181" s="226" t="s">
        <v>2670</v>
      </c>
    </row>
    <row r="182" spans="1:2" ht="16.5" thickBot="1">
      <c r="A182" s="162">
        <v>7328</v>
      </c>
      <c r="B182" s="226" t="s">
        <v>2365</v>
      </c>
    </row>
    <row r="183" spans="1:2" ht="32.25" thickBot="1">
      <c r="A183" s="162">
        <v>7408</v>
      </c>
      <c r="B183" s="226" t="s">
        <v>2765</v>
      </c>
    </row>
    <row r="184" spans="1:2" ht="32.25" thickBot="1">
      <c r="A184" s="162">
        <v>7413</v>
      </c>
      <c r="B184" s="226" t="s">
        <v>2770</v>
      </c>
    </row>
    <row r="185" spans="1:2" ht="16.5" thickBot="1">
      <c r="A185" s="162">
        <v>8012</v>
      </c>
      <c r="B185" s="226" t="s">
        <v>2452</v>
      </c>
    </row>
    <row r="186" spans="1:2" ht="32.25" thickBot="1">
      <c r="A186" s="162">
        <v>8019</v>
      </c>
      <c r="B186" s="226" t="s">
        <v>2453</v>
      </c>
    </row>
    <row r="187" spans="1:2" ht="32.25" thickBot="1">
      <c r="A187" s="162">
        <v>8020</v>
      </c>
      <c r="B187" s="226" t="s">
        <v>2454</v>
      </c>
    </row>
    <row r="188" spans="1:2" ht="32.25" thickBot="1">
      <c r="A188" s="162">
        <v>9501</v>
      </c>
      <c r="B188" s="226" t="s">
        <v>2455</v>
      </c>
    </row>
    <row r="189" spans="1:2" ht="32.25" thickBot="1">
      <c r="A189" s="162">
        <v>9502</v>
      </c>
      <c r="B189" s="226" t="s">
        <v>2731</v>
      </c>
    </row>
    <row r="190" spans="1:2" ht="48" thickBot="1">
      <c r="A190" s="162">
        <v>9503</v>
      </c>
      <c r="B190" s="226" t="s">
        <v>2456</v>
      </c>
    </row>
    <row r="191" spans="1:2" ht="32.25" thickBot="1">
      <c r="A191" s="162">
        <v>9602</v>
      </c>
      <c r="B191" s="226" t="s">
        <v>2774</v>
      </c>
    </row>
    <row r="192" spans="1:2" ht="32.25" thickBot="1">
      <c r="A192" s="162">
        <v>9603</v>
      </c>
      <c r="B192" s="226" t="s">
        <v>2457</v>
      </c>
    </row>
    <row r="193" spans="1:2" ht="15">
      <c r="A193" s="228"/>
      <c r="B193"/>
    </row>
    <row r="194" spans="1:2" ht="15">
      <c r="A194" s="228"/>
      <c r="B194"/>
    </row>
    <row r="195" spans="1:2">
      <c r="A195"/>
      <c r="B195"/>
    </row>
  </sheetData>
  <pageMargins left="0.70866141732283472" right="0.70866141732283472" top="0.74803149606299213" bottom="0.74803149606299213" header="0.31496062992125984" footer="0.31496062992125984"/>
  <pageSetup paperSize="9" scale="75" orientation="portrait" r:id="rId1"/>
</worksheet>
</file>

<file path=xl/worksheets/sheet35.xml><?xml version="1.0" encoding="utf-8"?>
<worksheet xmlns="http://schemas.openxmlformats.org/spreadsheetml/2006/main" xmlns:r="http://schemas.openxmlformats.org/officeDocument/2006/relationships">
  <sheetPr codeName="Лист42"/>
  <dimension ref="A1"/>
  <sheetViews>
    <sheetView workbookViewId="0"/>
  </sheetViews>
  <sheetFormatPr defaultRowHeight="12.75"/>
  <sheetData/>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Лист43"/>
  <dimension ref="A1"/>
  <sheetViews>
    <sheetView workbookViewId="0"/>
  </sheetViews>
  <sheetFormatPr defaultRowHeight="12.75"/>
  <sheetData/>
  <pageMargins left="0.7" right="0.7" top="0.75" bottom="0.75" header="0.3" footer="0.3"/>
</worksheet>
</file>

<file path=xl/worksheets/sheet37.xml><?xml version="1.0" encoding="utf-8"?>
<worksheet xmlns="http://schemas.openxmlformats.org/spreadsheetml/2006/main" xmlns:r="http://schemas.openxmlformats.org/officeDocument/2006/relationships">
  <sheetPr codeName="Лист44"/>
  <dimension ref="A1"/>
  <sheetViews>
    <sheetView workbookViewId="0"/>
  </sheetViews>
  <sheetFormatPr defaultRowHeight="12.75"/>
  <sheetData/>
  <pageMargins left="0.7" right="0.7" top="0.75" bottom="0.75" header="0.3" footer="0.3"/>
</worksheet>
</file>

<file path=xl/worksheets/sheet38.xml><?xml version="1.0" encoding="utf-8"?>
<worksheet xmlns="http://schemas.openxmlformats.org/spreadsheetml/2006/main" xmlns:r="http://schemas.openxmlformats.org/officeDocument/2006/relationships">
  <sheetPr codeName="Лист45"/>
  <dimension ref="A2:F8"/>
  <sheetViews>
    <sheetView workbookViewId="0">
      <selection activeCell="E8" sqref="E8"/>
    </sheetView>
  </sheetViews>
  <sheetFormatPr defaultRowHeight="12.75"/>
  <cols>
    <col min="3" max="3" width="18.140625" bestFit="1" customWidth="1"/>
    <col min="5" max="5" width="33" customWidth="1"/>
  </cols>
  <sheetData>
    <row r="2" spans="1:6">
      <c r="E2" s="384"/>
      <c r="F2" s="384"/>
    </row>
    <row r="3" spans="1:6">
      <c r="E3" s="384"/>
      <c r="F3" s="384"/>
    </row>
    <row r="4" spans="1:6">
      <c r="B4">
        <v>1</v>
      </c>
      <c r="E4" s="384"/>
      <c r="F4" s="384"/>
    </row>
    <row r="5" spans="1:6">
      <c r="E5" s="384"/>
      <c r="F5" s="384"/>
    </row>
    <row r="6" spans="1:6">
      <c r="E6" s="384"/>
      <c r="F6" s="384"/>
    </row>
    <row r="7" spans="1:6">
      <c r="E7" s="384"/>
      <c r="F7" s="384"/>
    </row>
    <row r="8" spans="1:6">
      <c r="A8" t="s">
        <v>2713</v>
      </c>
      <c r="B8" t="s">
        <v>2714</v>
      </c>
      <c r="C8" t="s">
        <v>2715</v>
      </c>
      <c r="D8" t="s">
        <v>2716</v>
      </c>
      <c r="E8" s="384" t="s">
        <v>74</v>
      </c>
      <c r="F8" s="384" t="s">
        <v>2717</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E22"/>
  <sheetViews>
    <sheetView view="pageBreakPreview" zoomScaleNormal="100" zoomScaleSheetLayoutView="100" workbookViewId="0">
      <selection activeCell="B4" sqref="B4:E4"/>
    </sheetView>
  </sheetViews>
  <sheetFormatPr defaultColWidth="9.140625" defaultRowHeight="15.75"/>
  <cols>
    <col min="1" max="1" width="4.140625" style="242" customWidth="1"/>
    <col min="2" max="2" width="56.28515625" style="242" customWidth="1"/>
    <col min="3" max="4" width="13.42578125" style="242" hidden="1" customWidth="1"/>
    <col min="5" max="5" width="27.28515625" style="242" customWidth="1"/>
    <col min="6" max="7" width="9.140625" style="242"/>
    <col min="8" max="8" width="43.42578125" style="242" customWidth="1"/>
    <col min="9" max="16384" width="9.140625" style="242"/>
  </cols>
  <sheetData>
    <row r="1" spans="1:5">
      <c r="B1" s="469" t="s">
        <v>1244</v>
      </c>
      <c r="C1" s="469"/>
      <c r="D1" s="469"/>
      <c r="E1" s="469"/>
    </row>
    <row r="2" spans="1:5">
      <c r="B2" s="469" t="s">
        <v>1051</v>
      </c>
      <c r="C2" s="469"/>
      <c r="D2" s="469"/>
      <c r="E2" s="469"/>
    </row>
    <row r="3" spans="1:5">
      <c r="B3" s="469" t="s">
        <v>700</v>
      </c>
      <c r="C3" s="469"/>
      <c r="D3" s="469"/>
      <c r="E3" s="469"/>
    </row>
    <row r="4" spans="1:5">
      <c r="B4" s="469" t="s">
        <v>2623</v>
      </c>
      <c r="C4" s="469"/>
      <c r="D4" s="469"/>
      <c r="E4" s="469"/>
    </row>
    <row r="5" spans="1:5">
      <c r="B5" s="404"/>
      <c r="C5" s="404"/>
      <c r="D5" s="404"/>
    </row>
    <row r="7" spans="1:5" ht="51" customHeight="1">
      <c r="A7" s="466" t="s">
        <v>2781</v>
      </c>
      <c r="B7" s="466"/>
      <c r="C7" s="466"/>
      <c r="D7" s="466"/>
      <c r="E7" s="466"/>
    </row>
    <row r="8" spans="1:5" ht="57" customHeight="1">
      <c r="A8" s="467" t="s">
        <v>2783</v>
      </c>
      <c r="B8" s="467"/>
      <c r="C8" s="467"/>
      <c r="D8" s="467"/>
      <c r="E8" s="467"/>
    </row>
    <row r="9" spans="1:5" ht="31.5">
      <c r="A9" s="423" t="s">
        <v>7</v>
      </c>
      <c r="B9" s="423"/>
      <c r="C9" s="403" t="s">
        <v>2782</v>
      </c>
      <c r="D9" s="403" t="s">
        <v>615</v>
      </c>
      <c r="E9" s="403" t="s">
        <v>1085</v>
      </c>
    </row>
    <row r="10" spans="1:5">
      <c r="A10" s="270">
        <v>1</v>
      </c>
      <c r="B10" s="244" t="s">
        <v>634</v>
      </c>
      <c r="C10" s="271"/>
      <c r="D10" s="110">
        <f>99000+99000</f>
        <v>198000</v>
      </c>
      <c r="E10" s="271">
        <f>C10+D10</f>
        <v>198000</v>
      </c>
    </row>
    <row r="11" spans="1:5">
      <c r="A11" s="509" t="s">
        <v>1130</v>
      </c>
      <c r="B11" s="510"/>
      <c r="C11" s="272"/>
      <c r="D11" s="272">
        <f>D10</f>
        <v>198000</v>
      </c>
      <c r="E11" s="272">
        <f>E10</f>
        <v>198000</v>
      </c>
    </row>
    <row r="12" spans="1:5">
      <c r="A12" s="374"/>
      <c r="B12" s="374"/>
      <c r="C12" s="419"/>
      <c r="D12" s="419"/>
      <c r="E12" s="419"/>
    </row>
    <row r="13" spans="1:5" ht="48.75" customHeight="1">
      <c r="A13" s="467" t="s">
        <v>2788</v>
      </c>
      <c r="B13" s="467"/>
      <c r="C13" s="467"/>
      <c r="D13" s="467"/>
      <c r="E13" s="467"/>
    </row>
    <row r="14" spans="1:5" ht="31.5">
      <c r="A14" s="423" t="s">
        <v>7</v>
      </c>
      <c r="B14" s="423"/>
      <c r="C14" s="403" t="s">
        <v>2782</v>
      </c>
      <c r="D14" s="403" t="s">
        <v>615</v>
      </c>
      <c r="E14" s="403" t="s">
        <v>1085</v>
      </c>
    </row>
    <row r="15" spans="1:5">
      <c r="A15" s="270">
        <v>1</v>
      </c>
      <c r="B15" s="244" t="s">
        <v>1377</v>
      </c>
      <c r="C15" s="271"/>
      <c r="D15" s="110">
        <v>223819</v>
      </c>
      <c r="E15" s="271">
        <f>C15+D15</f>
        <v>223819</v>
      </c>
    </row>
    <row r="16" spans="1:5">
      <c r="A16" s="509" t="s">
        <v>1130</v>
      </c>
      <c r="B16" s="510"/>
      <c r="C16" s="272"/>
      <c r="D16" s="272">
        <f>D15</f>
        <v>223819</v>
      </c>
      <c r="E16" s="272">
        <f>E15</f>
        <v>223819</v>
      </c>
    </row>
    <row r="17" spans="1:5">
      <c r="A17" s="374"/>
      <c r="B17" s="374"/>
      <c r="C17" s="419"/>
      <c r="D17" s="419"/>
      <c r="E17" s="419"/>
    </row>
    <row r="18" spans="1:5" hidden="1">
      <c r="A18" s="374"/>
      <c r="B18" s="374"/>
      <c r="C18" s="419"/>
      <c r="D18" s="419"/>
      <c r="E18" s="419"/>
    </row>
    <row r="19" spans="1:5" hidden="1">
      <c r="A19" s="374"/>
      <c r="B19" s="374"/>
      <c r="C19" s="419"/>
      <c r="D19" s="419"/>
      <c r="E19" s="419"/>
    </row>
    <row r="20" spans="1:5" hidden="1">
      <c r="A20" s="374"/>
      <c r="B20" s="374"/>
      <c r="C20" s="419"/>
      <c r="D20" s="419"/>
      <c r="E20" s="419"/>
    </row>
    <row r="21" spans="1:5" hidden="1"/>
    <row r="22" spans="1:5">
      <c r="A22" s="484" t="s">
        <v>2529</v>
      </c>
      <c r="B22" s="545"/>
      <c r="C22" s="270"/>
      <c r="D22" s="421">
        <f>D11+D16</f>
        <v>421819</v>
      </c>
      <c r="E22" s="422">
        <f>E11+E16</f>
        <v>421819</v>
      </c>
    </row>
  </sheetData>
  <mergeCells count="12">
    <mergeCell ref="A8:E8"/>
    <mergeCell ref="B1:E1"/>
    <mergeCell ref="B2:E2"/>
    <mergeCell ref="B3:E3"/>
    <mergeCell ref="B4:E4"/>
    <mergeCell ref="A7:E7"/>
    <mergeCell ref="A22:B22"/>
    <mergeCell ref="A13:E13"/>
    <mergeCell ref="A14:B14"/>
    <mergeCell ref="A16:B16"/>
    <mergeCell ref="A9:B9"/>
    <mergeCell ref="A11:B11"/>
  </mergeCell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sheetPr codeName="Лист9"/>
  <dimension ref="A1:C171"/>
  <sheetViews>
    <sheetView showGridLines="0" view="pageBreakPreview" zoomScaleSheetLayoutView="100" workbookViewId="0">
      <selection activeCell="A4" sqref="A4:C4"/>
    </sheetView>
  </sheetViews>
  <sheetFormatPr defaultRowHeight="12.75"/>
  <cols>
    <col min="1" max="1" width="5.140625" bestFit="1" customWidth="1"/>
    <col min="2" max="2" width="24.42578125" customWidth="1"/>
    <col min="3" max="3" width="59.140625" customWidth="1"/>
    <col min="8" max="8" width="43.42578125" customWidth="1"/>
  </cols>
  <sheetData>
    <row r="1" spans="1:3" ht="15.75">
      <c r="A1" s="424" t="s">
        <v>1571</v>
      </c>
      <c r="B1" s="424"/>
      <c r="C1" s="424"/>
    </row>
    <row r="2" spans="1:3" ht="15.75">
      <c r="A2" s="424" t="s">
        <v>1051</v>
      </c>
      <c r="B2" s="424"/>
      <c r="C2" s="424"/>
    </row>
    <row r="3" spans="1:3" ht="15.75">
      <c r="A3" s="424" t="s">
        <v>700</v>
      </c>
      <c r="B3" s="424"/>
      <c r="C3" s="424"/>
    </row>
    <row r="4" spans="1:3" ht="15.75">
      <c r="A4" s="424" t="s">
        <v>2622</v>
      </c>
      <c r="B4" s="424"/>
      <c r="C4" s="424"/>
    </row>
    <row r="5" spans="1:3" ht="15.75">
      <c r="A5" s="131"/>
      <c r="B5" s="1"/>
      <c r="C5" s="1"/>
    </row>
    <row r="6" spans="1:3" ht="18" customHeight="1">
      <c r="A6" s="433" t="s">
        <v>2088</v>
      </c>
      <c r="B6" s="433"/>
      <c r="C6" s="433"/>
    </row>
    <row r="7" spans="1:3" ht="15.75">
      <c r="A7" s="132"/>
    </row>
    <row r="8" spans="1:3" ht="15.75">
      <c r="A8" s="434" t="s">
        <v>1194</v>
      </c>
      <c r="B8" s="434"/>
      <c r="C8" s="434"/>
    </row>
    <row r="9" spans="1:3" ht="31.5">
      <c r="A9" s="7">
        <v>950</v>
      </c>
      <c r="B9" s="7" t="s">
        <v>1195</v>
      </c>
      <c r="C9" s="7" t="s">
        <v>1196</v>
      </c>
    </row>
    <row r="10" spans="1:3" ht="47.25">
      <c r="A10" s="7">
        <v>950</v>
      </c>
      <c r="B10" s="209" t="s">
        <v>1558</v>
      </c>
      <c r="C10" s="7" t="s">
        <v>2107</v>
      </c>
    </row>
    <row r="11" spans="1:3" ht="31.5">
      <c r="A11" s="7">
        <v>950</v>
      </c>
      <c r="B11" s="209" t="s">
        <v>1559</v>
      </c>
      <c r="C11" s="7" t="s">
        <v>1560</v>
      </c>
    </row>
    <row r="12" spans="1:3" ht="78.75">
      <c r="A12" s="210">
        <v>950</v>
      </c>
      <c r="B12" s="7" t="s">
        <v>1561</v>
      </c>
      <c r="C12" s="7" t="s">
        <v>1562</v>
      </c>
    </row>
    <row r="13" spans="1:3" ht="63">
      <c r="A13" s="210">
        <v>950</v>
      </c>
      <c r="B13" s="7" t="s">
        <v>1563</v>
      </c>
      <c r="C13" s="7" t="s">
        <v>2011</v>
      </c>
    </row>
    <row r="14" spans="1:3" ht="47.25">
      <c r="A14" s="210">
        <v>950</v>
      </c>
      <c r="B14" s="7" t="s">
        <v>1197</v>
      </c>
      <c r="C14" s="7" t="s">
        <v>1198</v>
      </c>
    </row>
    <row r="15" spans="1:3" ht="31.5">
      <c r="A15" s="210">
        <v>950</v>
      </c>
      <c r="B15" s="209" t="s">
        <v>1199</v>
      </c>
      <c r="C15" s="7" t="s">
        <v>1200</v>
      </c>
    </row>
    <row r="16" spans="1:3" ht="31.5">
      <c r="A16" s="210">
        <v>950</v>
      </c>
      <c r="B16" s="7" t="s">
        <v>1201</v>
      </c>
      <c r="C16" s="7" t="s">
        <v>1419</v>
      </c>
    </row>
    <row r="17" spans="1:3" ht="47.25">
      <c r="A17" s="210">
        <v>950</v>
      </c>
      <c r="B17" s="7" t="s">
        <v>1420</v>
      </c>
      <c r="C17" s="7" t="s">
        <v>1564</v>
      </c>
    </row>
    <row r="18" spans="1:3" ht="31.5">
      <c r="A18" s="210">
        <v>950</v>
      </c>
      <c r="B18" s="7" t="s">
        <v>2012</v>
      </c>
      <c r="C18" s="7" t="s">
        <v>2013</v>
      </c>
    </row>
    <row r="19" spans="1:3" ht="63">
      <c r="A19" s="210">
        <v>950</v>
      </c>
      <c r="B19" s="7" t="s">
        <v>1421</v>
      </c>
      <c r="C19" s="7" t="s">
        <v>1422</v>
      </c>
    </row>
    <row r="20" spans="1:3" ht="63">
      <c r="A20" s="7">
        <v>950</v>
      </c>
      <c r="B20" s="7" t="s">
        <v>1982</v>
      </c>
      <c r="C20" s="7" t="s">
        <v>2296</v>
      </c>
    </row>
    <row r="21" spans="1:3" ht="47.25">
      <c r="A21" s="210">
        <v>950</v>
      </c>
      <c r="B21" s="7" t="s">
        <v>2090</v>
      </c>
      <c r="C21" s="2" t="s">
        <v>2489</v>
      </c>
    </row>
    <row r="22" spans="1:3" ht="63">
      <c r="A22" s="210">
        <v>950</v>
      </c>
      <c r="B22" s="7" t="s">
        <v>1485</v>
      </c>
      <c r="C22" s="2" t="s">
        <v>1486</v>
      </c>
    </row>
    <row r="23" spans="1:3" ht="110.25">
      <c r="A23" s="210">
        <v>950</v>
      </c>
      <c r="B23" s="7" t="s">
        <v>2093</v>
      </c>
      <c r="C23" s="7" t="s">
        <v>2257</v>
      </c>
    </row>
    <row r="24" spans="1:3" ht="78.75">
      <c r="A24" s="210">
        <v>950</v>
      </c>
      <c r="B24" s="7" t="s">
        <v>2094</v>
      </c>
      <c r="C24" s="7" t="s">
        <v>2095</v>
      </c>
    </row>
    <row r="25" spans="1:3" ht="15.75">
      <c r="A25" s="210">
        <v>950</v>
      </c>
      <c r="B25" s="7" t="s">
        <v>1423</v>
      </c>
      <c r="C25" s="2" t="s">
        <v>1424</v>
      </c>
    </row>
    <row r="26" spans="1:3" ht="55.5" customHeight="1">
      <c r="A26" s="210">
        <v>950</v>
      </c>
      <c r="B26" s="7" t="s">
        <v>1425</v>
      </c>
      <c r="C26" s="7" t="s">
        <v>1841</v>
      </c>
    </row>
    <row r="27" spans="1:3" ht="63">
      <c r="A27" s="210">
        <v>950</v>
      </c>
      <c r="B27" s="7" t="s">
        <v>499</v>
      </c>
      <c r="C27" s="7" t="s">
        <v>500</v>
      </c>
    </row>
    <row r="28" spans="1:3" ht="47.25">
      <c r="A28" s="210">
        <v>950</v>
      </c>
      <c r="B28" s="7" t="s">
        <v>1842</v>
      </c>
      <c r="C28" s="7" t="s">
        <v>1843</v>
      </c>
    </row>
    <row r="29" spans="1:3" ht="78.75">
      <c r="A29" s="209">
        <v>950</v>
      </c>
      <c r="B29" s="209" t="s">
        <v>901</v>
      </c>
      <c r="C29" s="7" t="s">
        <v>902</v>
      </c>
    </row>
    <row r="30" spans="1:3" ht="31.5">
      <c r="A30" s="209">
        <v>950</v>
      </c>
      <c r="B30" s="209" t="s">
        <v>2491</v>
      </c>
      <c r="C30" s="7" t="s">
        <v>904</v>
      </c>
    </row>
    <row r="31" spans="1:3" ht="35.25" customHeight="1">
      <c r="A31" s="434" t="s">
        <v>1844</v>
      </c>
      <c r="B31" s="434"/>
      <c r="C31" s="434"/>
    </row>
    <row r="32" spans="1:3" ht="63">
      <c r="A32" s="7">
        <v>952</v>
      </c>
      <c r="B32" s="7" t="s">
        <v>1845</v>
      </c>
      <c r="C32" s="7" t="s">
        <v>1846</v>
      </c>
    </row>
    <row r="33" spans="1:3" ht="94.5">
      <c r="A33" s="7">
        <v>952</v>
      </c>
      <c r="B33" s="7" t="s">
        <v>2103</v>
      </c>
      <c r="C33" s="7" t="s">
        <v>1847</v>
      </c>
    </row>
    <row r="34" spans="1:3" ht="94.5">
      <c r="A34" s="7">
        <v>952</v>
      </c>
      <c r="B34" s="7" t="s">
        <v>1848</v>
      </c>
      <c r="C34" s="7" t="s">
        <v>1849</v>
      </c>
    </row>
    <row r="35" spans="1:3" ht="78.75">
      <c r="A35" s="7">
        <v>952</v>
      </c>
      <c r="B35" s="7" t="s">
        <v>1850</v>
      </c>
      <c r="C35" s="7" t="s">
        <v>1851</v>
      </c>
    </row>
    <row r="36" spans="1:3" ht="47.25">
      <c r="A36" s="7">
        <v>952</v>
      </c>
      <c r="B36" s="7" t="s">
        <v>2263</v>
      </c>
      <c r="C36" s="7" t="s">
        <v>2264</v>
      </c>
    </row>
    <row r="37" spans="1:3" ht="63">
      <c r="A37" s="7">
        <v>952</v>
      </c>
      <c r="B37" s="7" t="s">
        <v>2265</v>
      </c>
      <c r="C37" s="7" t="s">
        <v>2266</v>
      </c>
    </row>
    <row r="38" spans="1:3" ht="94.5">
      <c r="A38" s="7">
        <v>952</v>
      </c>
      <c r="B38" s="7" t="s">
        <v>1852</v>
      </c>
      <c r="C38" s="7" t="s">
        <v>1279</v>
      </c>
    </row>
    <row r="39" spans="1:3" ht="31.5">
      <c r="A39" s="7">
        <v>952</v>
      </c>
      <c r="B39" s="7" t="s">
        <v>1280</v>
      </c>
      <c r="C39" s="7" t="s">
        <v>1281</v>
      </c>
    </row>
    <row r="40" spans="1:3" ht="110.25">
      <c r="A40" s="7">
        <v>952</v>
      </c>
      <c r="B40" s="7" t="s">
        <v>2104</v>
      </c>
      <c r="C40" s="7" t="s">
        <v>1282</v>
      </c>
    </row>
    <row r="41" spans="1:3" ht="110.25">
      <c r="A41" s="7">
        <v>952</v>
      </c>
      <c r="B41" s="7" t="s">
        <v>2105</v>
      </c>
      <c r="C41" s="7" t="s">
        <v>1854</v>
      </c>
    </row>
    <row r="42" spans="1:3" ht="31.5">
      <c r="A42" s="7">
        <v>952</v>
      </c>
      <c r="B42" s="7" t="s">
        <v>1855</v>
      </c>
      <c r="C42" s="7" t="s">
        <v>1856</v>
      </c>
    </row>
    <row r="43" spans="1:3" ht="47.25">
      <c r="A43" s="7">
        <v>952</v>
      </c>
      <c r="B43" s="7" t="s">
        <v>2102</v>
      </c>
      <c r="C43" s="7" t="s">
        <v>1857</v>
      </c>
    </row>
    <row r="44" spans="1:3" ht="63">
      <c r="A44" s="7">
        <v>952</v>
      </c>
      <c r="B44" s="7" t="s">
        <v>1858</v>
      </c>
      <c r="C44" s="7" t="s">
        <v>2106</v>
      </c>
    </row>
    <row r="45" spans="1:3" ht="78.75">
      <c r="A45" s="210">
        <v>952</v>
      </c>
      <c r="B45" s="7" t="s">
        <v>1561</v>
      </c>
      <c r="C45" s="7" t="s">
        <v>1562</v>
      </c>
    </row>
    <row r="46" spans="1:3" ht="63">
      <c r="A46" s="210">
        <v>952</v>
      </c>
      <c r="B46" s="7" t="s">
        <v>1563</v>
      </c>
      <c r="C46" s="7" t="s">
        <v>2011</v>
      </c>
    </row>
    <row r="47" spans="1:3" ht="47.25">
      <c r="A47" s="210">
        <v>952</v>
      </c>
      <c r="B47" s="7" t="s">
        <v>1197</v>
      </c>
      <c r="C47" s="7" t="s">
        <v>1198</v>
      </c>
    </row>
    <row r="48" spans="1:3" ht="31.5">
      <c r="A48" s="210">
        <v>952</v>
      </c>
      <c r="B48" s="209" t="s">
        <v>1199</v>
      </c>
      <c r="C48" s="7" t="s">
        <v>1200</v>
      </c>
    </row>
    <row r="49" spans="1:3" ht="31.5">
      <c r="A49" s="210">
        <v>952</v>
      </c>
      <c r="B49" s="7" t="s">
        <v>1201</v>
      </c>
      <c r="C49" s="7" t="s">
        <v>1419</v>
      </c>
    </row>
    <row r="50" spans="1:3" ht="47.25">
      <c r="A50" s="210">
        <v>952</v>
      </c>
      <c r="B50" s="7" t="s">
        <v>1420</v>
      </c>
      <c r="C50" s="7" t="s">
        <v>1564</v>
      </c>
    </row>
    <row r="51" spans="1:3" ht="31.5">
      <c r="A51" s="210">
        <v>952</v>
      </c>
      <c r="B51" s="7" t="s">
        <v>2012</v>
      </c>
      <c r="C51" s="7" t="s">
        <v>2013</v>
      </c>
    </row>
    <row r="52" spans="1:3" ht="63">
      <c r="A52" s="210">
        <v>952</v>
      </c>
      <c r="B52" s="7" t="s">
        <v>1421</v>
      </c>
      <c r="C52" s="7" t="s">
        <v>1422</v>
      </c>
    </row>
    <row r="53" spans="1:3" ht="47.25">
      <c r="A53" s="7">
        <v>952</v>
      </c>
      <c r="B53" s="7" t="s">
        <v>1623</v>
      </c>
      <c r="C53" s="7" t="s">
        <v>1624</v>
      </c>
    </row>
    <row r="54" spans="1:3" ht="15.75">
      <c r="A54" s="211">
        <v>952</v>
      </c>
      <c r="B54" s="7" t="s">
        <v>1423</v>
      </c>
      <c r="C54" s="2" t="s">
        <v>1424</v>
      </c>
    </row>
    <row r="55" spans="1:3" ht="15.75">
      <c r="A55" s="441" t="s">
        <v>1053</v>
      </c>
      <c r="B55" s="442"/>
      <c r="C55" s="443"/>
    </row>
    <row r="56" spans="1:3" ht="47.25">
      <c r="A56" s="24">
        <v>953</v>
      </c>
      <c r="B56" s="209" t="s">
        <v>1558</v>
      </c>
      <c r="C56" s="7" t="s">
        <v>2107</v>
      </c>
    </row>
    <row r="57" spans="1:3" ht="31.5">
      <c r="A57" s="211">
        <v>953</v>
      </c>
      <c r="B57" s="209" t="s">
        <v>1559</v>
      </c>
      <c r="C57" s="7" t="s">
        <v>1560</v>
      </c>
    </row>
    <row r="58" spans="1:3" ht="78.75">
      <c r="A58" s="210">
        <v>953</v>
      </c>
      <c r="B58" s="7" t="s">
        <v>1561</v>
      </c>
      <c r="C58" s="7" t="s">
        <v>1562</v>
      </c>
    </row>
    <row r="59" spans="1:3" ht="63">
      <c r="A59" s="210">
        <v>953</v>
      </c>
      <c r="B59" s="7" t="s">
        <v>1563</v>
      </c>
      <c r="C59" s="7" t="s">
        <v>2011</v>
      </c>
    </row>
    <row r="60" spans="1:3" ht="47.25">
      <c r="A60" s="210">
        <v>953</v>
      </c>
      <c r="B60" s="7" t="s">
        <v>1197</v>
      </c>
      <c r="C60" s="7" t="s">
        <v>1198</v>
      </c>
    </row>
    <row r="61" spans="1:3" ht="31.5">
      <c r="A61" s="210">
        <v>953</v>
      </c>
      <c r="B61" s="209" t="s">
        <v>1199</v>
      </c>
      <c r="C61" s="7" t="s">
        <v>1200</v>
      </c>
    </row>
    <row r="62" spans="1:3" ht="31.5">
      <c r="A62" s="210">
        <v>953</v>
      </c>
      <c r="B62" s="7" t="s">
        <v>1201</v>
      </c>
      <c r="C62" s="7" t="s">
        <v>1419</v>
      </c>
    </row>
    <row r="63" spans="1:3" ht="47.25">
      <c r="A63" s="210">
        <v>953</v>
      </c>
      <c r="B63" s="7" t="s">
        <v>1420</v>
      </c>
      <c r="C63" s="7" t="s">
        <v>1564</v>
      </c>
    </row>
    <row r="64" spans="1:3" ht="31.5">
      <c r="A64" s="210">
        <v>953</v>
      </c>
      <c r="B64" s="7" t="s">
        <v>2012</v>
      </c>
      <c r="C64" s="7" t="s">
        <v>2013</v>
      </c>
    </row>
    <row r="65" spans="1:3" ht="63">
      <c r="A65" s="210">
        <v>953</v>
      </c>
      <c r="B65" s="7" t="s">
        <v>1421</v>
      </c>
      <c r="C65" s="7" t="s">
        <v>1422</v>
      </c>
    </row>
    <row r="66" spans="1:3" ht="31.5">
      <c r="A66" s="210">
        <v>953</v>
      </c>
      <c r="B66" s="7" t="s">
        <v>2091</v>
      </c>
      <c r="C66" s="7" t="s">
        <v>2092</v>
      </c>
    </row>
    <row r="67" spans="1:3" ht="47.25">
      <c r="A67" s="210">
        <v>953</v>
      </c>
      <c r="B67" s="7" t="s">
        <v>2090</v>
      </c>
      <c r="C67" s="7" t="s">
        <v>2489</v>
      </c>
    </row>
    <row r="68" spans="1:3" ht="63">
      <c r="A68" s="210">
        <v>953</v>
      </c>
      <c r="B68" s="7" t="s">
        <v>2272</v>
      </c>
      <c r="C68" s="7" t="s">
        <v>2274</v>
      </c>
    </row>
    <row r="69" spans="1:3" ht="31.5">
      <c r="A69" s="210">
        <v>953</v>
      </c>
      <c r="B69" s="7" t="s">
        <v>2273</v>
      </c>
      <c r="C69" s="7" t="s">
        <v>2275</v>
      </c>
    </row>
    <row r="70" spans="1:3" ht="47.25">
      <c r="A70" s="210">
        <v>953</v>
      </c>
      <c r="B70" s="7" t="s">
        <v>2297</v>
      </c>
      <c r="C70" s="7" t="s">
        <v>2298</v>
      </c>
    </row>
    <row r="71" spans="1:3" ht="15.75">
      <c r="A71" s="210">
        <v>953</v>
      </c>
      <c r="B71" s="7" t="s">
        <v>1423</v>
      </c>
      <c r="C71" s="2" t="s">
        <v>1424</v>
      </c>
    </row>
    <row r="72" spans="1:3" ht="63">
      <c r="A72" s="210">
        <v>953</v>
      </c>
      <c r="B72" s="7" t="s">
        <v>1054</v>
      </c>
      <c r="C72" s="7" t="s">
        <v>1055</v>
      </c>
    </row>
    <row r="73" spans="1:3" ht="47.25">
      <c r="A73" s="210">
        <v>953</v>
      </c>
      <c r="B73" s="7" t="s">
        <v>1056</v>
      </c>
      <c r="C73" s="7" t="s">
        <v>1057</v>
      </c>
    </row>
    <row r="74" spans="1:3" ht="47.25">
      <c r="A74" s="210">
        <v>953</v>
      </c>
      <c r="B74" s="7" t="s">
        <v>1842</v>
      </c>
      <c r="C74" s="7" t="s">
        <v>1843</v>
      </c>
    </row>
    <row r="75" spans="1:3" ht="63">
      <c r="A75" s="210">
        <v>953</v>
      </c>
      <c r="B75" s="7" t="s">
        <v>1058</v>
      </c>
      <c r="C75" s="7" t="s">
        <v>1059</v>
      </c>
    </row>
    <row r="76" spans="1:3" ht="83.25" customHeight="1">
      <c r="A76" s="210">
        <v>953</v>
      </c>
      <c r="B76" s="7" t="s">
        <v>2564</v>
      </c>
      <c r="C76" s="7" t="s">
        <v>2565</v>
      </c>
    </row>
    <row r="77" spans="1:3" ht="31.5">
      <c r="A77" s="210">
        <v>953</v>
      </c>
      <c r="B77" s="7" t="s">
        <v>1060</v>
      </c>
      <c r="C77" s="7" t="s">
        <v>1061</v>
      </c>
    </row>
    <row r="78" spans="1:3" ht="78.75">
      <c r="A78" s="210">
        <v>953</v>
      </c>
      <c r="B78" s="7" t="s">
        <v>901</v>
      </c>
      <c r="C78" s="7" t="s">
        <v>902</v>
      </c>
    </row>
    <row r="79" spans="1:3" ht="31.5">
      <c r="A79" s="209">
        <v>953</v>
      </c>
      <c r="B79" s="209" t="s">
        <v>903</v>
      </c>
      <c r="C79" s="7" t="s">
        <v>904</v>
      </c>
    </row>
    <row r="80" spans="1:3" ht="35.25" customHeight="1">
      <c r="A80" s="444" t="s">
        <v>1062</v>
      </c>
      <c r="B80" s="445"/>
      <c r="C80" s="446"/>
    </row>
    <row r="81" spans="1:3" ht="47.25">
      <c r="A81" s="210">
        <v>954</v>
      </c>
      <c r="B81" s="209" t="s">
        <v>1558</v>
      </c>
      <c r="C81" s="7" t="s">
        <v>2107</v>
      </c>
    </row>
    <row r="82" spans="1:3" ht="31.5">
      <c r="A82" s="210">
        <v>954</v>
      </c>
      <c r="B82" s="209" t="s">
        <v>1559</v>
      </c>
      <c r="C82" s="7" t="s">
        <v>1560</v>
      </c>
    </row>
    <row r="83" spans="1:3" ht="78.75">
      <c r="A83" s="210">
        <v>954</v>
      </c>
      <c r="B83" s="7" t="s">
        <v>1561</v>
      </c>
      <c r="C83" s="7" t="s">
        <v>1562</v>
      </c>
    </row>
    <row r="84" spans="1:3" ht="63">
      <c r="A84" s="210">
        <v>954</v>
      </c>
      <c r="B84" s="7" t="s">
        <v>1563</v>
      </c>
      <c r="C84" s="7" t="s">
        <v>2011</v>
      </c>
    </row>
    <row r="85" spans="1:3" ht="47.25">
      <c r="A85" s="210">
        <v>954</v>
      </c>
      <c r="B85" s="7" t="s">
        <v>1197</v>
      </c>
      <c r="C85" s="7" t="s">
        <v>1198</v>
      </c>
    </row>
    <row r="86" spans="1:3" ht="31.5">
      <c r="A86" s="210">
        <v>954</v>
      </c>
      <c r="B86" s="209" t="s">
        <v>1199</v>
      </c>
      <c r="C86" s="7" t="s">
        <v>1200</v>
      </c>
    </row>
    <row r="87" spans="1:3" ht="31.5">
      <c r="A87" s="210">
        <v>954</v>
      </c>
      <c r="B87" s="7" t="s">
        <v>1201</v>
      </c>
      <c r="C87" s="7" t="s">
        <v>1419</v>
      </c>
    </row>
    <row r="88" spans="1:3" ht="47.25">
      <c r="A88" s="210">
        <v>954</v>
      </c>
      <c r="B88" s="7" t="s">
        <v>1420</v>
      </c>
      <c r="C88" s="7" t="s">
        <v>1564</v>
      </c>
    </row>
    <row r="89" spans="1:3" ht="31.5">
      <c r="A89" s="210">
        <v>954</v>
      </c>
      <c r="B89" s="7" t="s">
        <v>2012</v>
      </c>
      <c r="C89" s="7" t="s">
        <v>2013</v>
      </c>
    </row>
    <row r="90" spans="1:3" ht="63">
      <c r="A90" s="210">
        <v>954</v>
      </c>
      <c r="B90" s="7" t="s">
        <v>1421</v>
      </c>
      <c r="C90" s="7" t="s">
        <v>1422</v>
      </c>
    </row>
    <row r="91" spans="1:3" ht="47.25">
      <c r="A91" s="210">
        <v>954</v>
      </c>
      <c r="B91" s="7" t="s">
        <v>1063</v>
      </c>
      <c r="C91" s="7" t="s">
        <v>1064</v>
      </c>
    </row>
    <row r="92" spans="1:3" ht="63">
      <c r="A92" s="210">
        <v>954</v>
      </c>
      <c r="B92" s="7" t="s">
        <v>1065</v>
      </c>
      <c r="C92" s="7" t="s">
        <v>1066</v>
      </c>
    </row>
    <row r="93" spans="1:3" ht="109.5" customHeight="1">
      <c r="A93" s="210">
        <v>954</v>
      </c>
      <c r="B93" s="7" t="s">
        <v>2568</v>
      </c>
      <c r="C93" s="7" t="s">
        <v>2569</v>
      </c>
    </row>
    <row r="94" spans="1:3" ht="63">
      <c r="A94" s="210">
        <v>954</v>
      </c>
      <c r="B94" s="7" t="s">
        <v>1067</v>
      </c>
      <c r="C94" s="7" t="s">
        <v>1068</v>
      </c>
    </row>
    <row r="95" spans="1:3" ht="47.25">
      <c r="A95" s="210">
        <v>954</v>
      </c>
      <c r="B95" s="7" t="s">
        <v>1069</v>
      </c>
      <c r="C95" s="7" t="s">
        <v>1070</v>
      </c>
    </row>
    <row r="96" spans="1:3" ht="47.25">
      <c r="A96" s="210">
        <v>954</v>
      </c>
      <c r="B96" s="7" t="s">
        <v>1842</v>
      </c>
      <c r="C96" s="7" t="s">
        <v>1843</v>
      </c>
    </row>
    <row r="97" spans="1:3" ht="94.5">
      <c r="A97" s="210">
        <v>954</v>
      </c>
      <c r="B97" s="7" t="s">
        <v>1071</v>
      </c>
      <c r="C97" s="7" t="s">
        <v>1072</v>
      </c>
    </row>
    <row r="98" spans="1:3" ht="78.75">
      <c r="A98" s="210">
        <v>954</v>
      </c>
      <c r="B98" s="7" t="s">
        <v>2271</v>
      </c>
      <c r="C98" s="7" t="s">
        <v>2278</v>
      </c>
    </row>
    <row r="99" spans="1:3" ht="31.5">
      <c r="A99" s="210">
        <v>954</v>
      </c>
      <c r="B99" s="209" t="s">
        <v>903</v>
      </c>
      <c r="C99" s="7" t="s">
        <v>904</v>
      </c>
    </row>
    <row r="100" spans="1:3" ht="47.25">
      <c r="A100" s="210">
        <v>954</v>
      </c>
      <c r="B100" s="7" t="s">
        <v>1073</v>
      </c>
      <c r="C100" s="7" t="s">
        <v>1074</v>
      </c>
    </row>
    <row r="101" spans="1:3" ht="15.75">
      <c r="A101" s="434" t="s">
        <v>1075</v>
      </c>
      <c r="B101" s="434"/>
      <c r="C101" s="434"/>
    </row>
    <row r="102" spans="1:3" ht="31.5">
      <c r="A102" s="7">
        <v>955</v>
      </c>
      <c r="B102" s="209" t="s">
        <v>1076</v>
      </c>
      <c r="C102" s="7" t="s">
        <v>1077</v>
      </c>
    </row>
    <row r="103" spans="1:3" ht="47.25">
      <c r="A103" s="7">
        <v>955</v>
      </c>
      <c r="B103" s="209" t="s">
        <v>1558</v>
      </c>
      <c r="C103" s="7" t="s">
        <v>2107</v>
      </c>
    </row>
    <row r="104" spans="1:3" ht="31.5">
      <c r="A104" s="7">
        <v>955</v>
      </c>
      <c r="B104" s="209" t="s">
        <v>1559</v>
      </c>
      <c r="C104" s="7" t="s">
        <v>1560</v>
      </c>
    </row>
    <row r="105" spans="1:3" ht="47.25">
      <c r="A105" s="7">
        <v>955</v>
      </c>
      <c r="B105" s="209" t="s">
        <v>1078</v>
      </c>
      <c r="C105" s="7" t="s">
        <v>1079</v>
      </c>
    </row>
    <row r="106" spans="1:3" ht="78.75">
      <c r="A106" s="210">
        <v>955</v>
      </c>
      <c r="B106" s="7" t="s">
        <v>1561</v>
      </c>
      <c r="C106" s="7" t="s">
        <v>1562</v>
      </c>
    </row>
    <row r="107" spans="1:3" ht="63">
      <c r="A107" s="210">
        <v>955</v>
      </c>
      <c r="B107" s="7" t="s">
        <v>1563</v>
      </c>
      <c r="C107" s="7" t="s">
        <v>2011</v>
      </c>
    </row>
    <row r="108" spans="1:3" ht="63">
      <c r="A108" s="7">
        <v>955</v>
      </c>
      <c r="B108" s="7" t="s">
        <v>2108</v>
      </c>
      <c r="C108" s="7" t="s">
        <v>2109</v>
      </c>
    </row>
    <row r="109" spans="1:3" ht="47.25">
      <c r="A109" s="210">
        <v>955</v>
      </c>
      <c r="B109" s="7" t="s">
        <v>1197</v>
      </c>
      <c r="C109" s="7" t="s">
        <v>1198</v>
      </c>
    </row>
    <row r="110" spans="1:3" ht="31.5">
      <c r="A110" s="7">
        <v>955</v>
      </c>
      <c r="B110" s="209" t="s">
        <v>1199</v>
      </c>
      <c r="C110" s="7" t="s">
        <v>1200</v>
      </c>
    </row>
    <row r="111" spans="1:3" ht="31.5">
      <c r="A111" s="210">
        <v>955</v>
      </c>
      <c r="B111" s="7" t="s">
        <v>1201</v>
      </c>
      <c r="C111" s="7" t="s">
        <v>1419</v>
      </c>
    </row>
    <row r="112" spans="1:3" ht="63">
      <c r="A112" s="7">
        <v>955</v>
      </c>
      <c r="B112" s="7" t="s">
        <v>12</v>
      </c>
      <c r="C112" s="7" t="s">
        <v>1080</v>
      </c>
    </row>
    <row r="113" spans="1:3" ht="31.5">
      <c r="A113" s="7">
        <v>955</v>
      </c>
      <c r="B113" s="7" t="s">
        <v>2012</v>
      </c>
      <c r="C113" s="7" t="s">
        <v>2013</v>
      </c>
    </row>
    <row r="114" spans="1:3" ht="63">
      <c r="A114" s="7">
        <v>955</v>
      </c>
      <c r="B114" s="7" t="s">
        <v>1421</v>
      </c>
      <c r="C114" s="7" t="s">
        <v>1422</v>
      </c>
    </row>
    <row r="115" spans="1:3" ht="31.5">
      <c r="A115" s="7">
        <v>955</v>
      </c>
      <c r="B115" s="7" t="s">
        <v>1978</v>
      </c>
      <c r="C115" s="7" t="s">
        <v>1979</v>
      </c>
    </row>
    <row r="116" spans="1:3" ht="47.25">
      <c r="A116" s="7">
        <v>955</v>
      </c>
      <c r="B116" s="7" t="s">
        <v>1980</v>
      </c>
      <c r="C116" s="7" t="s">
        <v>1981</v>
      </c>
    </row>
    <row r="117" spans="1:3" ht="15.75">
      <c r="A117" s="7">
        <v>955</v>
      </c>
      <c r="B117" s="7" t="s">
        <v>1423</v>
      </c>
      <c r="C117" s="2" t="s">
        <v>1424</v>
      </c>
    </row>
    <row r="118" spans="1:3" ht="47.25">
      <c r="A118" s="7">
        <v>955</v>
      </c>
      <c r="B118" s="7" t="s">
        <v>1983</v>
      </c>
      <c r="C118" s="7" t="s">
        <v>1984</v>
      </c>
    </row>
    <row r="119" spans="1:3" ht="47.25">
      <c r="A119" s="7">
        <v>955</v>
      </c>
      <c r="B119" s="7" t="s">
        <v>1842</v>
      </c>
      <c r="C119" s="7" t="s">
        <v>1985</v>
      </c>
    </row>
    <row r="120" spans="1:3" ht="63">
      <c r="A120" s="7">
        <v>955</v>
      </c>
      <c r="B120" s="7" t="s">
        <v>899</v>
      </c>
      <c r="C120" s="7" t="s">
        <v>900</v>
      </c>
    </row>
    <row r="121" spans="1:3" ht="78.75">
      <c r="A121" s="7">
        <v>955</v>
      </c>
      <c r="B121" s="7" t="s">
        <v>901</v>
      </c>
      <c r="C121" s="7" t="s">
        <v>902</v>
      </c>
    </row>
    <row r="122" spans="1:3" ht="63">
      <c r="A122" s="7">
        <v>955</v>
      </c>
      <c r="B122" s="7" t="s">
        <v>2096</v>
      </c>
      <c r="C122" s="7" t="s">
        <v>2097</v>
      </c>
    </row>
    <row r="123" spans="1:3" ht="31.5">
      <c r="A123" s="7">
        <v>955</v>
      </c>
      <c r="B123" s="7" t="s">
        <v>903</v>
      </c>
      <c r="C123" s="7" t="s">
        <v>904</v>
      </c>
    </row>
    <row r="124" spans="1:3" ht="110.25">
      <c r="A124" s="7">
        <v>955</v>
      </c>
      <c r="B124" s="7" t="s">
        <v>905</v>
      </c>
      <c r="C124" s="7" t="s">
        <v>1480</v>
      </c>
    </row>
    <row r="125" spans="1:3" ht="33.75" customHeight="1">
      <c r="A125" s="435" t="s">
        <v>1481</v>
      </c>
      <c r="B125" s="436"/>
      <c r="C125" s="437"/>
    </row>
    <row r="126" spans="1:3" ht="47.25">
      <c r="A126" s="212">
        <v>956</v>
      </c>
      <c r="B126" s="209" t="s">
        <v>1558</v>
      </c>
      <c r="C126" s="7" t="s">
        <v>2107</v>
      </c>
    </row>
    <row r="127" spans="1:3" ht="31.5">
      <c r="A127" s="212">
        <v>956</v>
      </c>
      <c r="B127" s="209" t="s">
        <v>1559</v>
      </c>
      <c r="C127" s="7" t="s">
        <v>1560</v>
      </c>
    </row>
    <row r="128" spans="1:3" ht="78.75">
      <c r="A128" s="210">
        <v>956</v>
      </c>
      <c r="B128" s="7" t="s">
        <v>1561</v>
      </c>
      <c r="C128" s="7" t="s">
        <v>1562</v>
      </c>
    </row>
    <row r="129" spans="1:3" ht="63">
      <c r="A129" s="210">
        <v>956</v>
      </c>
      <c r="B129" s="7" t="s">
        <v>1563</v>
      </c>
      <c r="C129" s="7" t="s">
        <v>2011</v>
      </c>
    </row>
    <row r="130" spans="1:3" ht="47.25">
      <c r="A130" s="210">
        <v>956</v>
      </c>
      <c r="B130" s="7" t="s">
        <v>1197</v>
      </c>
      <c r="C130" s="7" t="s">
        <v>1198</v>
      </c>
    </row>
    <row r="131" spans="1:3" ht="31.5">
      <c r="A131" s="210">
        <v>956</v>
      </c>
      <c r="B131" s="209" t="s">
        <v>1199</v>
      </c>
      <c r="C131" s="7" t="s">
        <v>1200</v>
      </c>
    </row>
    <row r="132" spans="1:3" ht="31.5">
      <c r="A132" s="210">
        <v>956</v>
      </c>
      <c r="B132" s="7" t="s">
        <v>1201</v>
      </c>
      <c r="C132" s="7" t="s">
        <v>1419</v>
      </c>
    </row>
    <row r="133" spans="1:3" ht="47.25">
      <c r="A133" s="210">
        <v>956</v>
      </c>
      <c r="B133" s="7" t="s">
        <v>1420</v>
      </c>
      <c r="C133" s="7" t="s">
        <v>1564</v>
      </c>
    </row>
    <row r="134" spans="1:3" ht="31.5">
      <c r="A134" s="210">
        <v>956</v>
      </c>
      <c r="B134" s="7" t="s">
        <v>2012</v>
      </c>
      <c r="C134" s="7" t="s">
        <v>2013</v>
      </c>
    </row>
    <row r="135" spans="1:3" ht="63">
      <c r="A135" s="210">
        <v>956</v>
      </c>
      <c r="B135" s="7" t="s">
        <v>1421</v>
      </c>
      <c r="C135" s="7" t="s">
        <v>1422</v>
      </c>
    </row>
    <row r="136" spans="1:3" ht="51.75" customHeight="1">
      <c r="A136" s="210">
        <v>956</v>
      </c>
      <c r="B136" s="7" t="s">
        <v>1482</v>
      </c>
      <c r="C136" s="7" t="s">
        <v>2489</v>
      </c>
    </row>
    <row r="137" spans="1:3" ht="15.75">
      <c r="A137" s="7">
        <v>956</v>
      </c>
      <c r="B137" s="7" t="s">
        <v>1423</v>
      </c>
      <c r="C137" s="2" t="s">
        <v>1424</v>
      </c>
    </row>
    <row r="138" spans="1:3" ht="78.75">
      <c r="A138" s="7">
        <v>956</v>
      </c>
      <c r="B138" s="7" t="s">
        <v>901</v>
      </c>
      <c r="C138" s="2" t="s">
        <v>902</v>
      </c>
    </row>
    <row r="139" spans="1:3" ht="94.5">
      <c r="A139" s="7">
        <v>956</v>
      </c>
      <c r="B139" s="7" t="s">
        <v>2279</v>
      </c>
      <c r="C139" s="2" t="s">
        <v>2280</v>
      </c>
    </row>
    <row r="140" spans="1:3" ht="63">
      <c r="A140" s="7">
        <v>956</v>
      </c>
      <c r="B140" s="7" t="s">
        <v>2281</v>
      </c>
      <c r="C140" s="2" t="s">
        <v>2282</v>
      </c>
    </row>
    <row r="141" spans="1:3" ht="78.75">
      <c r="A141" s="7">
        <v>956</v>
      </c>
      <c r="B141" s="7" t="s">
        <v>2283</v>
      </c>
      <c r="C141" s="2" t="s">
        <v>2284</v>
      </c>
    </row>
    <row r="142" spans="1:3" ht="47.25">
      <c r="A142" s="210">
        <v>956</v>
      </c>
      <c r="B142" s="7" t="s">
        <v>1483</v>
      </c>
      <c r="C142" s="2" t="s">
        <v>1484</v>
      </c>
    </row>
    <row r="143" spans="1:3" ht="31.5">
      <c r="A143" s="209">
        <v>956</v>
      </c>
      <c r="B143" s="7" t="s">
        <v>903</v>
      </c>
      <c r="C143" s="7" t="s">
        <v>904</v>
      </c>
    </row>
    <row r="144" spans="1:3" ht="35.25" customHeight="1">
      <c r="A144" s="438" t="s">
        <v>1487</v>
      </c>
      <c r="B144" s="439"/>
      <c r="C144" s="440"/>
    </row>
    <row r="145" spans="1:3" ht="47.25">
      <c r="A145" s="211">
        <v>958</v>
      </c>
      <c r="B145" s="209" t="s">
        <v>1558</v>
      </c>
      <c r="C145" s="7" t="s">
        <v>2107</v>
      </c>
    </row>
    <row r="146" spans="1:3" ht="31.5">
      <c r="A146" s="211">
        <v>958</v>
      </c>
      <c r="B146" s="209" t="s">
        <v>1559</v>
      </c>
      <c r="C146" s="7" t="s">
        <v>1560</v>
      </c>
    </row>
    <row r="147" spans="1:3" ht="78.75">
      <c r="A147" s="210">
        <v>958</v>
      </c>
      <c r="B147" s="7" t="s">
        <v>1561</v>
      </c>
      <c r="C147" s="7" t="s">
        <v>1562</v>
      </c>
    </row>
    <row r="148" spans="1:3" ht="63">
      <c r="A148" s="210">
        <v>958</v>
      </c>
      <c r="B148" s="7" t="s">
        <v>1563</v>
      </c>
      <c r="C148" s="7" t="s">
        <v>2011</v>
      </c>
    </row>
    <row r="149" spans="1:3" ht="110.25">
      <c r="A149" s="210">
        <v>958</v>
      </c>
      <c r="B149" s="7" t="s">
        <v>2285</v>
      </c>
      <c r="C149" s="7" t="s">
        <v>2286</v>
      </c>
    </row>
    <row r="150" spans="1:3" ht="47.25">
      <c r="A150" s="210">
        <v>958</v>
      </c>
      <c r="B150" s="7" t="s">
        <v>1197</v>
      </c>
      <c r="C150" s="7" t="s">
        <v>1198</v>
      </c>
    </row>
    <row r="151" spans="1:3" ht="31.5">
      <c r="A151" s="210">
        <v>958</v>
      </c>
      <c r="B151" s="209" t="s">
        <v>1199</v>
      </c>
      <c r="C151" s="7" t="s">
        <v>1200</v>
      </c>
    </row>
    <row r="152" spans="1:3" ht="31.5">
      <c r="A152" s="210">
        <v>958</v>
      </c>
      <c r="B152" s="7" t="s">
        <v>1201</v>
      </c>
      <c r="C152" s="7" t="s">
        <v>1419</v>
      </c>
    </row>
    <row r="153" spans="1:3" ht="47.25">
      <c r="A153" s="210">
        <v>958</v>
      </c>
      <c r="B153" s="7" t="s">
        <v>1420</v>
      </c>
      <c r="C153" s="7" t="s">
        <v>1564</v>
      </c>
    </row>
    <row r="154" spans="1:3" ht="31.5">
      <c r="A154" s="210">
        <v>958</v>
      </c>
      <c r="B154" s="7" t="s">
        <v>2012</v>
      </c>
      <c r="C154" s="7" t="s">
        <v>2013</v>
      </c>
    </row>
    <row r="155" spans="1:3" ht="63">
      <c r="A155" s="210">
        <v>958</v>
      </c>
      <c r="B155" s="7" t="s">
        <v>1421</v>
      </c>
      <c r="C155" s="7" t="s">
        <v>1422</v>
      </c>
    </row>
    <row r="156" spans="1:3" ht="31.5">
      <c r="A156" s="210">
        <v>958</v>
      </c>
      <c r="B156" s="7" t="s">
        <v>1556</v>
      </c>
      <c r="C156" s="7" t="s">
        <v>1557</v>
      </c>
    </row>
    <row r="157" spans="1:3" ht="78.75">
      <c r="A157" s="210">
        <v>958</v>
      </c>
      <c r="B157" s="7" t="s">
        <v>2262</v>
      </c>
      <c r="C157" s="7" t="s">
        <v>2261</v>
      </c>
    </row>
    <row r="158" spans="1:3" ht="78.75">
      <c r="A158" s="210">
        <v>958</v>
      </c>
      <c r="B158" s="7" t="s">
        <v>2259</v>
      </c>
      <c r="C158" s="7" t="s">
        <v>2260</v>
      </c>
    </row>
    <row r="159" spans="1:3" ht="31.5">
      <c r="A159" s="210">
        <v>958</v>
      </c>
      <c r="B159" s="7" t="s">
        <v>2091</v>
      </c>
      <c r="C159" s="7" t="s">
        <v>2092</v>
      </c>
    </row>
    <row r="160" spans="1:3" ht="47.25">
      <c r="A160" s="210">
        <v>958</v>
      </c>
      <c r="B160" s="7" t="s">
        <v>1482</v>
      </c>
      <c r="C160" s="7" t="s">
        <v>2490</v>
      </c>
    </row>
    <row r="161" spans="1:3" ht="47.25">
      <c r="A161" s="210">
        <v>958</v>
      </c>
      <c r="B161" s="7" t="s">
        <v>2267</v>
      </c>
      <c r="C161" s="7" t="s">
        <v>2268</v>
      </c>
    </row>
    <row r="162" spans="1:3" ht="78.75">
      <c r="A162" s="210">
        <v>958</v>
      </c>
      <c r="B162" s="7" t="s">
        <v>2098</v>
      </c>
      <c r="C162" s="7" t="s">
        <v>2099</v>
      </c>
    </row>
    <row r="163" spans="1:3" ht="47.25">
      <c r="A163" s="210">
        <v>958</v>
      </c>
      <c r="B163" s="7" t="s">
        <v>2100</v>
      </c>
      <c r="C163" s="7" t="s">
        <v>2101</v>
      </c>
    </row>
    <row r="164" spans="1:3" ht="47.25">
      <c r="A164" s="209">
        <v>958</v>
      </c>
      <c r="B164" s="209" t="s">
        <v>2269</v>
      </c>
      <c r="C164" s="7" t="s">
        <v>2270</v>
      </c>
    </row>
    <row r="165" spans="1:3" ht="47.25">
      <c r="A165" s="209">
        <v>958</v>
      </c>
      <c r="B165" s="209" t="s">
        <v>2276</v>
      </c>
      <c r="C165" s="7" t="s">
        <v>2277</v>
      </c>
    </row>
    <row r="166" spans="1:3" ht="15.75">
      <c r="A166" s="210">
        <v>958</v>
      </c>
      <c r="B166" s="7" t="s">
        <v>1423</v>
      </c>
      <c r="C166" s="7" t="s">
        <v>1424</v>
      </c>
    </row>
    <row r="167" spans="1:3" ht="78.75">
      <c r="A167" s="210">
        <v>958</v>
      </c>
      <c r="B167" s="7" t="s">
        <v>2258</v>
      </c>
      <c r="C167" s="7" t="s">
        <v>902</v>
      </c>
    </row>
    <row r="168" spans="1:3" ht="31.5">
      <c r="A168" s="210">
        <v>958</v>
      </c>
      <c r="B168" s="7" t="s">
        <v>903</v>
      </c>
      <c r="C168" s="7" t="s">
        <v>904</v>
      </c>
    </row>
    <row r="169" spans="1:3" ht="31.5" hidden="1">
      <c r="A169" s="135">
        <v>979</v>
      </c>
      <c r="B169" s="133" t="s">
        <v>1556</v>
      </c>
      <c r="C169" s="2" t="s">
        <v>1557</v>
      </c>
    </row>
    <row r="170" spans="1:3" ht="15.75">
      <c r="A170" s="430" t="s">
        <v>2560</v>
      </c>
      <c r="B170" s="431"/>
      <c r="C170" s="432"/>
    </row>
    <row r="171" spans="1:3" ht="78.75">
      <c r="A171" s="209">
        <v>982</v>
      </c>
      <c r="B171" s="7" t="s">
        <v>2258</v>
      </c>
      <c r="C171" s="7" t="s">
        <v>902</v>
      </c>
    </row>
  </sheetData>
  <mergeCells count="13">
    <mergeCell ref="A170:C170"/>
    <mergeCell ref="A6:C6"/>
    <mergeCell ref="A8:C8"/>
    <mergeCell ref="A1:C1"/>
    <mergeCell ref="A2:C2"/>
    <mergeCell ref="A3:C3"/>
    <mergeCell ref="A4:C4"/>
    <mergeCell ref="A125:C125"/>
    <mergeCell ref="A144:C144"/>
    <mergeCell ref="A31:C31"/>
    <mergeCell ref="A55:C55"/>
    <mergeCell ref="A80:C80"/>
    <mergeCell ref="A101:C101"/>
  </mergeCells>
  <phoneticPr fontId="33"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Лист10"/>
  <dimension ref="A1:C19"/>
  <sheetViews>
    <sheetView showGridLines="0" view="pageBreakPreview" zoomScaleSheetLayoutView="100" workbookViewId="0">
      <selection activeCell="A4" sqref="A4:C4"/>
    </sheetView>
  </sheetViews>
  <sheetFormatPr defaultRowHeight="12.75"/>
  <cols>
    <col min="2" max="2" width="28.5703125" customWidth="1"/>
    <col min="3" max="3" width="47.5703125" customWidth="1"/>
    <col min="8" max="8" width="43.42578125" customWidth="1"/>
  </cols>
  <sheetData>
    <row r="1" spans="1:3" ht="15.75">
      <c r="A1" s="424" t="s">
        <v>1572</v>
      </c>
      <c r="B1" s="424"/>
      <c r="C1" s="424"/>
    </row>
    <row r="2" spans="1:3" ht="15.75">
      <c r="A2" s="424" t="s">
        <v>1051</v>
      </c>
      <c r="B2" s="424"/>
      <c r="C2" s="424"/>
    </row>
    <row r="3" spans="1:3" ht="15.75">
      <c r="A3" s="424" t="s">
        <v>700</v>
      </c>
      <c r="B3" s="424"/>
      <c r="C3" s="424"/>
    </row>
    <row r="4" spans="1:3" ht="15.75">
      <c r="A4" s="424" t="s">
        <v>2623</v>
      </c>
      <c r="B4" s="424"/>
      <c r="C4" s="424"/>
    </row>
    <row r="5" spans="1:3" ht="15.75">
      <c r="A5" s="131"/>
      <c r="B5" s="1"/>
      <c r="C5" s="1"/>
    </row>
    <row r="6" spans="1:3" ht="39" customHeight="1">
      <c r="A6" s="433" t="s">
        <v>2089</v>
      </c>
      <c r="B6" s="433"/>
      <c r="C6" s="433"/>
    </row>
    <row r="7" spans="1:3" ht="18.75">
      <c r="A7" s="447"/>
      <c r="B7" s="447"/>
      <c r="C7" s="447"/>
    </row>
    <row r="8" spans="1:3" ht="15.75">
      <c r="A8" s="434" t="s">
        <v>1075</v>
      </c>
      <c r="B8" s="434"/>
      <c r="C8" s="434"/>
    </row>
    <row r="9" spans="1:3" ht="47.25">
      <c r="A9" s="133">
        <v>955</v>
      </c>
      <c r="B9" s="133" t="s">
        <v>1081</v>
      </c>
      <c r="C9" s="97" t="s">
        <v>1517</v>
      </c>
    </row>
    <row r="10" spans="1:3" ht="47.25">
      <c r="A10" s="133">
        <v>955</v>
      </c>
      <c r="B10" s="133" t="s">
        <v>1082</v>
      </c>
      <c r="C10" s="97" t="s">
        <v>1605</v>
      </c>
    </row>
    <row r="11" spans="1:3" ht="63">
      <c r="A11" s="133">
        <v>955</v>
      </c>
      <c r="B11" s="133" t="s">
        <v>2248</v>
      </c>
      <c r="C11" s="97" t="s">
        <v>1083</v>
      </c>
    </row>
    <row r="12" spans="1:3" ht="63">
      <c r="A12" s="133">
        <v>955</v>
      </c>
      <c r="B12" s="133" t="s">
        <v>2249</v>
      </c>
      <c r="C12" s="97" t="s">
        <v>1084</v>
      </c>
    </row>
    <row r="13" spans="1:3" ht="31.5">
      <c r="A13" s="133">
        <v>955</v>
      </c>
      <c r="B13" s="133" t="s">
        <v>1976</v>
      </c>
      <c r="C13" s="97" t="s">
        <v>1014</v>
      </c>
    </row>
    <row r="14" spans="1:3" ht="31.5">
      <c r="A14" s="133">
        <v>955</v>
      </c>
      <c r="B14" s="133" t="s">
        <v>1977</v>
      </c>
      <c r="C14" s="97" t="s">
        <v>363</v>
      </c>
    </row>
    <row r="15" spans="1:3" ht="130.5" customHeight="1">
      <c r="A15" s="133">
        <v>955</v>
      </c>
      <c r="B15" s="133" t="s">
        <v>2166</v>
      </c>
      <c r="C15" s="97" t="s">
        <v>2167</v>
      </c>
    </row>
    <row r="16" spans="1:3" ht="63">
      <c r="A16" s="133">
        <v>955</v>
      </c>
      <c r="B16" s="133" t="s">
        <v>2168</v>
      </c>
      <c r="C16" s="97" t="s">
        <v>2169</v>
      </c>
    </row>
    <row r="17" spans="1:3" ht="78.75">
      <c r="A17" s="133">
        <v>955</v>
      </c>
      <c r="B17" s="133" t="s">
        <v>2170</v>
      </c>
      <c r="C17" s="97" t="s">
        <v>2171</v>
      </c>
    </row>
    <row r="18" spans="1:3" ht="63">
      <c r="A18" s="134">
        <v>955</v>
      </c>
      <c r="B18" s="134" t="s">
        <v>2172</v>
      </c>
      <c r="C18" s="45" t="s">
        <v>2173</v>
      </c>
    </row>
    <row r="19" spans="1:3" ht="63">
      <c r="A19" s="134">
        <v>955</v>
      </c>
      <c r="B19" s="134" t="s">
        <v>2174</v>
      </c>
      <c r="C19" s="45" t="s">
        <v>2175</v>
      </c>
    </row>
  </sheetData>
  <mergeCells count="7">
    <mergeCell ref="A8:C8"/>
    <mergeCell ref="A1:C1"/>
    <mergeCell ref="A2:C2"/>
    <mergeCell ref="A3:C3"/>
    <mergeCell ref="A4:C4"/>
    <mergeCell ref="A6:C6"/>
    <mergeCell ref="A7:C7"/>
  </mergeCells>
  <phoneticPr fontId="33"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Лист12">
    <outlinePr summaryBelow="0"/>
  </sheetPr>
  <dimension ref="A1:I771"/>
  <sheetViews>
    <sheetView showGridLines="0" view="pageBreakPreview" topLeftCell="A741" zoomScale="90" zoomScaleSheetLayoutView="90" workbookViewId="0">
      <selection activeCell="I751" sqref="I751"/>
    </sheetView>
  </sheetViews>
  <sheetFormatPr defaultColWidth="9.140625" defaultRowHeight="15.75"/>
  <cols>
    <col min="1" max="1" width="41" style="15" customWidth="1"/>
    <col min="2" max="2" width="9.5703125" style="16" customWidth="1"/>
    <col min="3" max="3" width="7.28515625" style="16" customWidth="1"/>
    <col min="4" max="4" width="6" style="231" bestFit="1" customWidth="1"/>
    <col min="5" max="5" width="7.28515625" style="235" bestFit="1" customWidth="1"/>
    <col min="6" max="6" width="10.42578125" style="16" customWidth="1"/>
    <col min="7" max="7" width="16.5703125" style="80" hidden="1" customWidth="1"/>
    <col min="8" max="8" width="17.5703125" style="14" hidden="1" customWidth="1"/>
    <col min="9" max="9" width="18.42578125" style="14" customWidth="1"/>
    <col min="10" max="16384" width="9.140625" style="14"/>
  </cols>
  <sheetData>
    <row r="1" spans="1:9">
      <c r="A1" s="452" t="s">
        <v>6</v>
      </c>
      <c r="B1" s="452"/>
      <c r="C1" s="452"/>
      <c r="D1" s="452"/>
      <c r="E1" s="452"/>
      <c r="F1" s="452"/>
      <c r="G1" s="452"/>
      <c r="H1" s="452"/>
      <c r="I1" s="452"/>
    </row>
    <row r="2" spans="1:9">
      <c r="A2" s="452" t="s">
        <v>1051</v>
      </c>
      <c r="B2" s="452"/>
      <c r="C2" s="452"/>
      <c r="D2" s="452"/>
      <c r="E2" s="452"/>
      <c r="F2" s="452"/>
      <c r="G2" s="452"/>
      <c r="H2" s="452"/>
      <c r="I2" s="452"/>
    </row>
    <row r="3" spans="1:9">
      <c r="A3" s="452" t="s">
        <v>700</v>
      </c>
      <c r="B3" s="452"/>
      <c r="C3" s="452"/>
      <c r="D3" s="452"/>
      <c r="E3" s="452"/>
      <c r="F3" s="452"/>
      <c r="G3" s="452"/>
      <c r="H3" s="452"/>
      <c r="I3" s="452"/>
    </row>
    <row r="4" spans="1:9">
      <c r="A4" s="452" t="s">
        <v>2623</v>
      </c>
      <c r="B4" s="452"/>
      <c r="C4" s="452"/>
      <c r="D4" s="452"/>
      <c r="E4" s="452"/>
      <c r="F4" s="452"/>
      <c r="G4" s="452"/>
      <c r="H4" s="452"/>
      <c r="I4" s="452"/>
    </row>
    <row r="5" spans="1:9">
      <c r="A5" s="70"/>
      <c r="B5" s="71"/>
      <c r="C5" s="71"/>
      <c r="D5" s="230"/>
      <c r="E5" s="234"/>
      <c r="F5" s="71"/>
      <c r="G5" s="79"/>
    </row>
    <row r="6" spans="1:9" ht="33.75" customHeight="1">
      <c r="A6" s="453" t="s">
        <v>2669</v>
      </c>
      <c r="B6" s="453"/>
      <c r="C6" s="453"/>
      <c r="D6" s="453"/>
      <c r="E6" s="453"/>
      <c r="F6" s="453"/>
      <c r="G6" s="453"/>
      <c r="H6" s="453"/>
      <c r="I6" s="453"/>
    </row>
    <row r="7" spans="1:9" ht="18.75">
      <c r="A7" s="257"/>
      <c r="B7" s="257"/>
      <c r="C7" s="257"/>
      <c r="D7" s="257"/>
      <c r="E7" s="257"/>
      <c r="F7" s="257"/>
      <c r="G7" s="257"/>
    </row>
    <row r="8" spans="1:9">
      <c r="A8" s="449" t="s">
        <v>952</v>
      </c>
      <c r="B8" s="450" t="s">
        <v>1375</v>
      </c>
      <c r="C8" s="450" t="s">
        <v>1504</v>
      </c>
      <c r="D8" s="451" t="s">
        <v>2468</v>
      </c>
      <c r="E8" s="451"/>
      <c r="F8" s="450" t="s">
        <v>1505</v>
      </c>
      <c r="G8" s="448" t="s">
        <v>2755</v>
      </c>
      <c r="H8" s="448" t="s">
        <v>1122</v>
      </c>
      <c r="I8" s="448" t="s">
        <v>2790</v>
      </c>
    </row>
    <row r="9" spans="1:9" s="17" customFormat="1" ht="35.25" customHeight="1">
      <c r="A9" s="449"/>
      <c r="B9" s="450"/>
      <c r="C9" s="450"/>
      <c r="D9" s="286" t="s">
        <v>2487</v>
      </c>
      <c r="E9" s="287" t="s">
        <v>2486</v>
      </c>
      <c r="F9" s="450"/>
      <c r="G9" s="448"/>
      <c r="H9" s="448"/>
      <c r="I9" s="448"/>
    </row>
    <row r="10" spans="1:9" s="18" customFormat="1" ht="31.5">
      <c r="A10" s="258" t="str">
        <f>IF(B10&gt;0,VLOOKUP(B10,КВСР!A1:B1166,2),IF(C10&gt;0,VLOOKUP(C10,КФСР!A1:B1513,2),IF(D10&gt;0,VLOOKUP(D10,Программа!A$1:B$5008,2),IF(F10&gt;0,VLOOKUP(F10,КВР!A$1:B$5001,2),IF(E10&gt;0,VLOOKUP(E10,Направление!A$1:B$4660,2))))))</f>
        <v>Администрация Тутаевского муниципального района</v>
      </c>
      <c r="B10" s="81">
        <v>950</v>
      </c>
      <c r="C10" s="82"/>
      <c r="D10" s="83"/>
      <c r="E10" s="82"/>
      <c r="F10" s="83"/>
      <c r="G10" s="47">
        <v>172941695.62</v>
      </c>
      <c r="H10" s="47">
        <f>H11+H15+H26+H30+H79+H83+H90+H134+H138+H108</f>
        <v>-8606318.3599999994</v>
      </c>
      <c r="I10" s="47">
        <f>I11+I15+I26+I30+I79+I83+I90+I134+I138+I108</f>
        <v>164335377.25999999</v>
      </c>
    </row>
    <row r="11" spans="1:9" s="18" customFormat="1" ht="73.5" customHeight="1">
      <c r="A11" s="41" t="str">
        <f>IF(B11&gt;0,VLOOKUP(B11,КВСР!A2:B1167,2),IF(C11&gt;0,VLOOKUP(C11,КФСР!A2:B1514,2),IF(D11&gt;0,VLOOKUP(D11,Программа!A$1:B$5008,2),IF(F11&gt;0,VLOOKUP(F11,КВР!A$1:B$5001,2),IF(E11&gt;0,VLOOKUP(E11,Направление!A$1:B$4660,2))))))</f>
        <v>Функционирование высшего должностного лица субъекта Российской Федерации и муниципального образования</v>
      </c>
      <c r="B11" s="84"/>
      <c r="C11" s="82">
        <v>102</v>
      </c>
      <c r="D11" s="83"/>
      <c r="E11" s="82"/>
      <c r="F11" s="83"/>
      <c r="G11" s="42">
        <v>1277397</v>
      </c>
      <c r="H11" s="42">
        <f t="shared" ref="H11:H13" si="0">H12</f>
        <v>0</v>
      </c>
      <c r="I11" s="42">
        <f>SUM(G11:H11)</f>
        <v>1277397</v>
      </c>
    </row>
    <row r="12" spans="1:9" s="18" customFormat="1" ht="25.5" customHeight="1">
      <c r="A12" s="41" t="str">
        <f>IF(B12&gt;0,VLOOKUP(B12,КВСР!A3:B1168,2),IF(C12&gt;0,VLOOKUP(C12,КФСР!A3:B1515,2),IF(D12&gt;0,VLOOKUP(D12,Программа!A$1:B$5008,2),IF(F12&gt;0,VLOOKUP(F12,КВР!A$1:B$5001,2),IF(E12&gt;0,VLOOKUP(E12,Направление!A$1:B$4660,2))))))</f>
        <v>Непрограммные расходы бюджета</v>
      </c>
      <c r="B12" s="84"/>
      <c r="C12" s="82"/>
      <c r="D12" s="83">
        <v>409</v>
      </c>
      <c r="E12" s="82"/>
      <c r="F12" s="83"/>
      <c r="G12" s="42">
        <v>1277397</v>
      </c>
      <c r="H12" s="42">
        <f t="shared" si="0"/>
        <v>0</v>
      </c>
      <c r="I12" s="42">
        <f t="shared" ref="I12:I76" si="1">SUM(G12:H12)</f>
        <v>1277397</v>
      </c>
    </row>
    <row r="13" spans="1:9" s="18" customFormat="1" ht="39.75" customHeight="1">
      <c r="A13" s="41" t="str">
        <f>IF(B13&gt;0,VLOOKUP(B13,КВСР!A4:B1169,2),IF(C13&gt;0,VLOOKUP(C13,КФСР!A4:B1516,2),IF(D13&gt;0,VLOOKUP(D13,Программа!A$1:B$5008,2),IF(F13&gt;0,VLOOKUP(F13,КВР!A$1:B$5001,2),IF(E13&gt;0,VLOOKUP(E13,Направление!A$1:B$4660,2))))))</f>
        <v>Содержание главы муниципального образования</v>
      </c>
      <c r="B13" s="84"/>
      <c r="C13" s="82"/>
      <c r="D13" s="83"/>
      <c r="E13" s="82">
        <v>1202</v>
      </c>
      <c r="F13" s="83"/>
      <c r="G13" s="42">
        <v>1277397</v>
      </c>
      <c r="H13" s="42">
        <f t="shared" si="0"/>
        <v>0</v>
      </c>
      <c r="I13" s="42">
        <f t="shared" si="1"/>
        <v>1277397</v>
      </c>
    </row>
    <row r="14" spans="1:9" s="18" customFormat="1" ht="100.5" customHeight="1">
      <c r="A14" s="41" t="str">
        <f>IF(B14&gt;0,VLOOKUP(B14,КВСР!A5:B1170,2),IF(C14&gt;0,VLOOKUP(C14,КФСР!A5:B1517,2),IF(D14&gt;0,VLOOKUP(D14,Программа!A$1:B$5008,2),IF(F14&gt;0,VLOOKUP(F14,КВР!A$1:B$5001,2),IF(E14&gt;0,VLOOKUP(E14,Направление!A$1:B$4660,2))))))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84"/>
      <c r="C14" s="82"/>
      <c r="D14" s="83"/>
      <c r="E14" s="82"/>
      <c r="F14" s="83">
        <v>100</v>
      </c>
      <c r="G14" s="42">
        <v>1277397</v>
      </c>
      <c r="H14" s="334"/>
      <c r="I14" s="42">
        <f t="shared" si="1"/>
        <v>1277397</v>
      </c>
    </row>
    <row r="15" spans="1:9" s="18" customFormat="1" ht="94.5">
      <c r="A15" s="41" t="str">
        <f>IF(B15&gt;0,VLOOKUP(B15,КВСР!A7:B1172,2),IF(C15&gt;0,VLOOKUP(C15,КФСР!A7:B1519,2),IF(D15&gt;0,VLOOKUP(D15,Программа!A$1:B$5008,2),IF(F15&gt;0,VLOOKUP(F15,КВР!A$1:B$5001,2),IF(E15&gt;0,VLOOKUP(E15,Направление!A$1:B$4660,2))))))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85"/>
      <c r="C15" s="77">
        <v>104</v>
      </c>
      <c r="D15" s="78"/>
      <c r="E15" s="77"/>
      <c r="F15" s="78"/>
      <c r="G15" s="43">
        <v>30048995</v>
      </c>
      <c r="H15" s="43">
        <f>H16</f>
        <v>1373158</v>
      </c>
      <c r="I15" s="42">
        <f t="shared" si="1"/>
        <v>31422153</v>
      </c>
    </row>
    <row r="16" spans="1:9" s="18" customFormat="1">
      <c r="A16" s="41" t="str">
        <f>IF(B16&gt;0,VLOOKUP(B16,КВСР!A8:B1173,2),IF(C16&gt;0,VLOOKUP(C16,КФСР!A8:B1520,2),IF(D16&gt;0,VLOOKUP(D16,Программа!A$1:B$5008,2),IF(F16&gt;0,VLOOKUP(F16,КВР!A$1:B$5001,2),IF(E16&gt;0,VLOOKUP(E16,Направление!A$1:B$4660,2))))))</f>
        <v>Непрограммные расходы бюджета</v>
      </c>
      <c r="B16" s="85"/>
      <c r="C16" s="77"/>
      <c r="D16" s="78">
        <v>409</v>
      </c>
      <c r="E16" s="77"/>
      <c r="F16" s="78"/>
      <c r="G16" s="43">
        <v>30048995</v>
      </c>
      <c r="H16" s="76">
        <f>H17+H21+H24</f>
        <v>1373158</v>
      </c>
      <c r="I16" s="42">
        <f t="shared" si="1"/>
        <v>31422153</v>
      </c>
    </row>
    <row r="17" spans="1:9" s="18" customFormat="1" ht="21.75" customHeight="1">
      <c r="A17" s="41" t="str">
        <f>IF(B17&gt;0,VLOOKUP(B17,КВСР!A9:B1174,2),IF(C17&gt;0,VLOOKUP(C17,КФСР!A9:B1521,2),IF(D17&gt;0,VLOOKUP(D17,Программа!A$1:B$5008,2),IF(F17&gt;0,VLOOKUP(F17,КВР!A$1:B$5001,2),IF(E17&gt;0,VLOOKUP(E17,Направление!A$1:B$4660,2))))))</f>
        <v>Содержание центрального аппарата</v>
      </c>
      <c r="B17" s="85"/>
      <c r="C17" s="77"/>
      <c r="D17" s="83"/>
      <c r="E17" s="82">
        <v>1201</v>
      </c>
      <c r="F17" s="78"/>
      <c r="G17" s="76">
        <v>29866482</v>
      </c>
      <c r="H17" s="76">
        <f>H18+H19+H20</f>
        <v>895000</v>
      </c>
      <c r="I17" s="42">
        <f t="shared" si="1"/>
        <v>30761482</v>
      </c>
    </row>
    <row r="18" spans="1:9" s="18" customFormat="1" ht="110.25">
      <c r="A18" s="41" t="str">
        <f>IF(B18&gt;0,VLOOKUP(B18,КВСР!A10:B1175,2),IF(C18&gt;0,VLOOKUP(C18,КФСР!A10:B1522,2),IF(D18&gt;0,VLOOKUP(D18,Программа!A$1:B$5008,2),IF(F18&gt;0,VLOOKUP(F18,КВР!A$1:B$5001,2),IF(E18&gt;0,VLOOKUP(E18,Направление!A$1:B$4660,2))))))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 s="85"/>
      <c r="C18" s="77"/>
      <c r="D18" s="78"/>
      <c r="E18" s="77"/>
      <c r="F18" s="78">
        <v>100</v>
      </c>
      <c r="G18" s="42">
        <v>24379386</v>
      </c>
      <c r="H18" s="334">
        <f>-150000-15000</f>
        <v>-165000</v>
      </c>
      <c r="I18" s="42">
        <f t="shared" si="1"/>
        <v>24214386</v>
      </c>
    </row>
    <row r="19" spans="1:9" s="18" customFormat="1" ht="40.5" customHeight="1">
      <c r="A19" s="41" t="str">
        <f>IF(B19&gt;0,VLOOKUP(B19,КВСР!A11:B1176,2),IF(C19&gt;0,VLOOKUP(C19,КФСР!A11:B1523,2),IF(D19&gt;0,VLOOKUP(D19,Программа!A$1:B$5008,2),IF(F19&gt;0,VLOOKUP(F19,КВР!A$1:B$5001,2),IF(E19&gt;0,VLOOKUP(E19,Направление!A$1:B$4660,2))))))</f>
        <v>Закупка товаров, работ и услуг для государственных нужд</v>
      </c>
      <c r="B19" s="85"/>
      <c r="C19" s="77"/>
      <c r="D19" s="78"/>
      <c r="E19" s="77"/>
      <c r="F19" s="78">
        <v>200</v>
      </c>
      <c r="G19" s="42">
        <v>4863496</v>
      </c>
      <c r="H19" s="334">
        <f>165000+210000+685000</f>
        <v>1060000</v>
      </c>
      <c r="I19" s="42">
        <f t="shared" si="1"/>
        <v>5923496</v>
      </c>
    </row>
    <row r="20" spans="1:9" s="18" customFormat="1" ht="34.5" customHeight="1">
      <c r="A20" s="41" t="str">
        <f>IF(B20&gt;0,VLOOKUP(B20,КВСР!A12:B1177,2),IF(C20&gt;0,VLOOKUP(C20,КФСР!A12:B1524,2),IF(D20&gt;0,VLOOKUP(D20,Программа!A$1:B$5008,2),IF(F20&gt;0,VLOOKUP(F20,КВР!A$1:B$5001,2),IF(E20&gt;0,VLOOKUP(E20,Направление!A$1:B$4660,2))))))</f>
        <v>Иные бюджетные ассигнования</v>
      </c>
      <c r="B20" s="85"/>
      <c r="C20" s="77"/>
      <c r="D20" s="78"/>
      <c r="E20" s="77"/>
      <c r="F20" s="78">
        <v>800</v>
      </c>
      <c r="G20" s="42">
        <v>623600</v>
      </c>
      <c r="H20" s="334"/>
      <c r="I20" s="42">
        <f t="shared" si="1"/>
        <v>623600</v>
      </c>
    </row>
    <row r="21" spans="1:9" s="18" customFormat="1" ht="47.25">
      <c r="A21" s="41" t="str">
        <f>IF(B21&gt;0,VLOOKUP(B21,КВСР!A13:B1178,2),IF(C21&gt;0,VLOOKUP(C21,КФСР!A13:B1525,2),IF(D21&gt;0,VLOOKUP(D21,Программа!A$1:B$5008,2),IF(F21&gt;0,VLOOKUP(F21,КВР!A$1:B$5001,2),IF(E21&gt;0,VLOOKUP(E21,Направление!A$1:B$4660,2))))))</f>
        <v>Обеспечение мероприятий по выдаче градостроительных документов</v>
      </c>
      <c r="B21" s="85"/>
      <c r="C21" s="77"/>
      <c r="D21" s="78"/>
      <c r="E21" s="77">
        <v>2913</v>
      </c>
      <c r="F21" s="78"/>
      <c r="G21" s="42">
        <v>144500</v>
      </c>
      <c r="H21" s="42">
        <f>H22+H23</f>
        <v>478158</v>
      </c>
      <c r="I21" s="42">
        <f>I22+I23</f>
        <v>622658</v>
      </c>
    </row>
    <row r="22" spans="1:9" s="18" customFormat="1" ht="102" customHeight="1">
      <c r="A22" s="41" t="str">
        <f>IF(B22&gt;0,VLOOKUP(B22,КВСР!A14:B1179,2),IF(C22&gt;0,VLOOKUP(C22,КФСР!A14:B1526,2),IF(D22&gt;0,VLOOKUP(D22,Программа!A$1:B$5008,2),IF(F22&gt;0,VLOOKUP(F22,КВР!A$1:B$5001,2),IF(E22&gt;0,VLOOKUP(E22,Направление!A$1:B$4660,2))))))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2" s="85"/>
      <c r="C22" s="77"/>
      <c r="D22" s="78"/>
      <c r="E22" s="77"/>
      <c r="F22" s="78">
        <v>100</v>
      </c>
      <c r="G22" s="42">
        <v>144500</v>
      </c>
      <c r="H22" s="334">
        <v>357831</v>
      </c>
      <c r="I22" s="42">
        <f t="shared" si="1"/>
        <v>502331</v>
      </c>
    </row>
    <row r="23" spans="1:9" s="18" customFormat="1" ht="31.5">
      <c r="A23" s="41" t="str">
        <f>IF(B23&gt;0,VLOOKUP(B23,КВСР!A15:B1180,2),IF(C23&gt;0,VLOOKUP(C23,КФСР!A15:B1527,2),IF(D23&gt;0,VLOOKUP(D23,Программа!A$1:B$5008,2),IF(F23&gt;0,VLOOKUP(F23,КВР!A$1:B$5001,2),IF(E23&gt;0,VLOOKUP(E23,Направление!A$1:B$4660,2))))))</f>
        <v>Закупка товаров, работ и услуг для государственных нужд</v>
      </c>
      <c r="B23" s="85"/>
      <c r="C23" s="77"/>
      <c r="D23" s="78"/>
      <c r="E23" s="77"/>
      <c r="F23" s="78">
        <v>200</v>
      </c>
      <c r="G23" s="42"/>
      <c r="H23" s="334">
        <v>120327</v>
      </c>
      <c r="I23" s="42">
        <f t="shared" si="1"/>
        <v>120327</v>
      </c>
    </row>
    <row r="24" spans="1:9" s="18" customFormat="1" ht="31.5">
      <c r="A24" s="41" t="str">
        <f>IF(B24&gt;0,VLOOKUP(B24,КВСР!A15:B1180,2),IF(C24&gt;0,VLOOKUP(C24,КФСР!A15:B1527,2),IF(D24&gt;0,VLOOKUP(D24,Программа!A$1:B$5008,2),IF(F24&gt;0,VLOOKUP(F24,КВР!A$1:B$5001,2),IF(E24&gt;0,VLOOKUP(E24,Направление!A$1:B$4660,2))))))</f>
        <v>Расходы на осуществление переданных полномочий по ГО ЧС</v>
      </c>
      <c r="B24" s="85"/>
      <c r="C24" s="77"/>
      <c r="D24" s="78"/>
      <c r="E24" s="77">
        <v>2914</v>
      </c>
      <c r="F24" s="78"/>
      <c r="G24" s="42">
        <v>38013</v>
      </c>
      <c r="H24" s="42">
        <f t="shared" ref="H24" si="2">H25</f>
        <v>0</v>
      </c>
      <c r="I24" s="42">
        <f t="shared" si="1"/>
        <v>38013</v>
      </c>
    </row>
    <row r="25" spans="1:9" s="18" customFormat="1" ht="110.25">
      <c r="A25" s="41" t="str">
        <f>IF(B25&gt;0,VLOOKUP(B25,КВСР!A16:B1181,2),IF(C25&gt;0,VLOOKUP(C25,КФСР!A16:B1528,2),IF(D25&gt;0,VLOOKUP(D25,Программа!A$1:B$5008,2),IF(F25&gt;0,VLOOKUP(F25,КВР!A$1:B$5001,2),IF(E25&gt;0,VLOOKUP(E25,Направление!A$1:B$4660,2))))))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5" s="85"/>
      <c r="C25" s="77"/>
      <c r="D25" s="78"/>
      <c r="E25" s="77"/>
      <c r="F25" s="78">
        <v>100</v>
      </c>
      <c r="G25" s="42">
        <v>38013</v>
      </c>
      <c r="H25" s="334"/>
      <c r="I25" s="42">
        <f t="shared" si="1"/>
        <v>38013</v>
      </c>
    </row>
    <row r="26" spans="1:9" s="18" customFormat="1" ht="26.25" customHeight="1">
      <c r="A26" s="41" t="str">
        <f>IF(B26&gt;0,VLOOKUP(B26,КВСР!A21:B1186,2),IF(C26&gt;0,VLOOKUP(C26,КФСР!A21:B1533,2),IF(D26&gt;0,VLOOKUP(D26,Программа!A$1:B$5008,2),IF(F26&gt;0,VLOOKUP(F26,КВР!A$1:B$5001,2),IF(E26&gt;0,VLOOKUP(E26,Направление!A$1:B$4660,2))))))</f>
        <v>Резервные фонды</v>
      </c>
      <c r="B26" s="85"/>
      <c r="C26" s="77">
        <v>111</v>
      </c>
      <c r="D26" s="78"/>
      <c r="E26" s="77"/>
      <c r="F26" s="78"/>
      <c r="G26" s="43">
        <v>2086181</v>
      </c>
      <c r="H26" s="43">
        <f t="shared" ref="H26:H28" si="3">H27</f>
        <v>-528638</v>
      </c>
      <c r="I26" s="42">
        <f t="shared" si="1"/>
        <v>1557543</v>
      </c>
    </row>
    <row r="27" spans="1:9" s="18" customFormat="1" ht="24.75" customHeight="1">
      <c r="A27" s="41" t="str">
        <f>IF(B27&gt;0,VLOOKUP(B27,КВСР!A22:B1187,2),IF(C27&gt;0,VLOOKUP(C27,КФСР!A22:B1534,2),IF(D27&gt;0,VLOOKUP(D27,Программа!A$1:B$5008,2),IF(F27&gt;0,VLOOKUP(F27,КВР!A$1:B$5001,2),IF(E27&gt;0,VLOOKUP(E27,Направление!A$1:B$4660,2))))))</f>
        <v>Непрограммные расходы бюджета</v>
      </c>
      <c r="B27" s="85"/>
      <c r="C27" s="77"/>
      <c r="D27" s="78">
        <v>409</v>
      </c>
      <c r="E27" s="77"/>
      <c r="F27" s="78"/>
      <c r="G27" s="43">
        <v>2086181</v>
      </c>
      <c r="H27" s="43">
        <f t="shared" si="3"/>
        <v>-528638</v>
      </c>
      <c r="I27" s="42">
        <f t="shared" si="1"/>
        <v>1557543</v>
      </c>
    </row>
    <row r="28" spans="1:9" s="18" customFormat="1" ht="31.5">
      <c r="A28" s="41" t="str">
        <f>IF(B28&gt;0,VLOOKUP(B28,КВСР!A23:B1188,2),IF(C28&gt;0,VLOOKUP(C28,КФСР!A23:B1535,2),IF(D28&gt;0,VLOOKUP(D28,Программа!A$1:B$5008,2),IF(F28&gt;0,VLOOKUP(F28,КВР!A$1:B$5001,2),IF(E28&gt;0,VLOOKUP(E28,Направление!A$1:B$4660,2))))))</f>
        <v>Резервные фонды местных администраций</v>
      </c>
      <c r="B28" s="85"/>
      <c r="C28" s="77"/>
      <c r="D28" s="78"/>
      <c r="E28" s="77">
        <v>1290</v>
      </c>
      <c r="F28" s="78"/>
      <c r="G28" s="43">
        <v>2086181</v>
      </c>
      <c r="H28" s="43">
        <f t="shared" si="3"/>
        <v>-528638</v>
      </c>
      <c r="I28" s="42">
        <f t="shared" si="1"/>
        <v>1557543</v>
      </c>
    </row>
    <row r="29" spans="1:9" s="18" customFormat="1" ht="24" customHeight="1">
      <c r="A29" s="41" t="str">
        <f>IF(B29&gt;0,VLOOKUP(B29,КВСР!A24:B1189,2),IF(C29&gt;0,VLOOKUP(C29,КФСР!A24:B1536,2),IF(D29&gt;0,VLOOKUP(D29,Программа!A$1:B$5008,2),IF(F29&gt;0,VLOOKUP(F29,КВР!A$1:B$5001,2),IF(E29&gt;0,VLOOKUP(E29,Направление!A$1:B$4660,2))))))</f>
        <v>Иные бюджетные ассигнования</v>
      </c>
      <c r="B29" s="85"/>
      <c r="C29" s="77"/>
      <c r="D29" s="78"/>
      <c r="E29" s="77"/>
      <c r="F29" s="78">
        <v>800</v>
      </c>
      <c r="G29" s="42">
        <v>2086181</v>
      </c>
      <c r="H29" s="334">
        <f>-528638</f>
        <v>-528638</v>
      </c>
      <c r="I29" s="42">
        <f t="shared" si="1"/>
        <v>1557543</v>
      </c>
    </row>
    <row r="30" spans="1:9" s="18" customFormat="1" ht="31.5">
      <c r="A30" s="41" t="str">
        <f>IF(B30&gt;0,VLOOKUP(B30,КВСР!A25:B1190,2),IF(C30&gt;0,VLOOKUP(C30,КФСР!A25:B1537,2),IF(D30&gt;0,VLOOKUP(D30,Программа!A$1:B$5008,2),IF(F30&gt;0,VLOOKUP(F30,КВР!A$1:B$5001,2),IF(E30&gt;0,VLOOKUP(E30,Направление!A$1:B$4660,2))))))</f>
        <v>Другие общегосударственные вопросы</v>
      </c>
      <c r="B30" s="85"/>
      <c r="C30" s="77">
        <v>113</v>
      </c>
      <c r="D30" s="78"/>
      <c r="E30" s="77"/>
      <c r="F30" s="78"/>
      <c r="G30" s="95">
        <v>9695640</v>
      </c>
      <c r="H30" s="95">
        <f>H31+H37+H47+H41+H55+H51+H76</f>
        <v>411383</v>
      </c>
      <c r="I30" s="42">
        <f t="shared" si="1"/>
        <v>10107023</v>
      </c>
    </row>
    <row r="31" spans="1:9" s="18" customFormat="1" ht="31.5">
      <c r="A31" s="41" t="str">
        <f>IF(B31&gt;0,VLOOKUP(B31,КВСР!A26:B1191,2),IF(C31&gt;0,VLOOKUP(C31,КФСР!A26:B1538,2),IF(D31&gt;0,VLOOKUP(D31,Программа!A$1:B$5008,2),IF(F31&gt;0,VLOOKUP(F31,КВР!A$1:B$5001,2),IF(E31&gt;0,VLOOKUP(E31,Направление!A$1:B$4660,2))))))</f>
        <v>Развитие системы муниципального заказа</v>
      </c>
      <c r="B31" s="85"/>
      <c r="C31" s="77"/>
      <c r="D31" s="78">
        <v>90</v>
      </c>
      <c r="E31" s="77"/>
      <c r="F31" s="78"/>
      <c r="G31" s="95">
        <v>146876</v>
      </c>
      <c r="H31" s="95">
        <f t="shared" ref="H31:H33" si="4">H32</f>
        <v>0</v>
      </c>
      <c r="I31" s="42">
        <f t="shared" si="1"/>
        <v>146876</v>
      </c>
    </row>
    <row r="32" spans="1:9" s="18" customFormat="1" ht="63">
      <c r="A32" s="41" t="str">
        <f>IF(B32&gt;0,VLOOKUP(B32,КВСР!A27:B1192,2),IF(C32&gt;0,VLOOKUP(C32,КФСР!A27:B1539,2),IF(D32&gt;0,VLOOKUP(D32,Программа!A$1:B$5008,2),IF(F32&gt;0,VLOOKUP(F32,КВР!A$1:B$5001,2),IF(E32&gt;0,VLOOKUP(E32,Направление!A$1:B$4660,2))))))</f>
        <v>Муниципальная целевая программа «Развитие системы муниципального заказа в Тутаевском муниципальном районе в 2014-2016 годах».</v>
      </c>
      <c r="B32" s="85"/>
      <c r="C32" s="77"/>
      <c r="D32" s="78">
        <v>91</v>
      </c>
      <c r="E32" s="77"/>
      <c r="F32" s="78"/>
      <c r="G32" s="95">
        <v>146876</v>
      </c>
      <c r="H32" s="95">
        <f>H33+H35</f>
        <v>0</v>
      </c>
      <c r="I32" s="42">
        <f t="shared" si="1"/>
        <v>146876</v>
      </c>
    </row>
    <row r="33" spans="1:9" s="18" customFormat="1" ht="31.5">
      <c r="A33" s="41" t="str">
        <f>IF(B33&gt;0,VLOOKUP(B33,КВСР!A28:B1193,2),IF(C33&gt;0,VLOOKUP(C33,КФСР!A28:B1540,2),IF(D33&gt;0,VLOOKUP(D33,Программа!A$1:B$5008,2),IF(F33&gt;0,VLOOKUP(F33,КВР!A$1:B$5001,2),IF(E33&gt;0,VLOOKUP(E33,Направление!A$1:B$4660,2))))))</f>
        <v>Расходы на развитие системы муниципального заказа</v>
      </c>
      <c r="B33" s="85"/>
      <c r="C33" s="77"/>
      <c r="D33" s="78"/>
      <c r="E33" s="77">
        <v>1222</v>
      </c>
      <c r="F33" s="78"/>
      <c r="G33" s="95">
        <v>71313</v>
      </c>
      <c r="H33" s="95">
        <f t="shared" si="4"/>
        <v>0</v>
      </c>
      <c r="I33" s="42">
        <f t="shared" si="1"/>
        <v>71313</v>
      </c>
    </row>
    <row r="34" spans="1:9" s="18" customFormat="1" ht="31.5">
      <c r="A34" s="41" t="str">
        <f>IF(B34&gt;0,VLOOKUP(B34,КВСР!A29:B1194,2),IF(C34&gt;0,VLOOKUP(C34,КФСР!A29:B1541,2),IF(D34&gt;0,VLOOKUP(D34,Программа!A$1:B$5008,2),IF(F34&gt;0,VLOOKUP(F34,КВР!A$1:B$5001,2),IF(E34&gt;0,VLOOKUP(E34,Направление!A$1:B$4660,2))))))</f>
        <v>Закупка товаров, работ и услуг для государственных нужд</v>
      </c>
      <c r="B34" s="85"/>
      <c r="C34" s="77"/>
      <c r="D34" s="78"/>
      <c r="E34" s="77"/>
      <c r="F34" s="78">
        <v>200</v>
      </c>
      <c r="G34" s="95">
        <v>71313</v>
      </c>
      <c r="H34" s="336"/>
      <c r="I34" s="42">
        <f t="shared" si="1"/>
        <v>71313</v>
      </c>
    </row>
    <row r="35" spans="1:9" s="18" customFormat="1" ht="78.75">
      <c r="A35" s="41" t="str">
        <f>IF(B35&gt;0,VLOOKUP(B35,КВСР!A30:B1195,2),IF(C35&gt;0,VLOOKUP(C35,КФСР!A30:B1542,2),IF(D35&gt;0,VLOOKUP(D35,Программа!A$1:B$5008,2),IF(F35&gt;0,VLOOKUP(F35,КВР!A$1:B$5001,2),IF(E35&gt;0,VLOOKUP(E35,Направление!A$1:B$4660,2))))))</f>
        <v>Расходы на осуществление переданных полномочий  по определению поставщиков (подрядчиков, исполнителей),в порядке установленом ФЗ-44</v>
      </c>
      <c r="B35" s="85"/>
      <c r="C35" s="77"/>
      <c r="D35" s="78"/>
      <c r="E35" s="77">
        <v>2916</v>
      </c>
      <c r="F35" s="78"/>
      <c r="G35" s="95">
        <v>75563</v>
      </c>
      <c r="H35" s="95">
        <f t="shared" ref="H35" si="5">H36</f>
        <v>0</v>
      </c>
      <c r="I35" s="42">
        <f t="shared" si="1"/>
        <v>75563</v>
      </c>
    </row>
    <row r="36" spans="1:9" s="18" customFormat="1" ht="31.5">
      <c r="A36" s="41" t="str">
        <f>IF(B36&gt;0,VLOOKUP(B36,КВСР!A31:B1196,2),IF(C36&gt;0,VLOOKUP(C36,КФСР!A31:B1543,2),IF(D36&gt;0,VLOOKUP(D36,Программа!A$1:B$5008,2),IF(F36&gt;0,VLOOKUP(F36,КВР!A$1:B$5001,2),IF(E36&gt;0,VLOOKUP(E36,Направление!A$1:B$4660,2))))))</f>
        <v>Закупка товаров, работ и услуг для государственных нужд</v>
      </c>
      <c r="B36" s="85"/>
      <c r="C36" s="77"/>
      <c r="D36" s="78"/>
      <c r="E36" s="77"/>
      <c r="F36" s="78">
        <v>200</v>
      </c>
      <c r="G36" s="95">
        <v>75563</v>
      </c>
      <c r="H36" s="336"/>
      <c r="I36" s="42">
        <f t="shared" si="1"/>
        <v>75563</v>
      </c>
    </row>
    <row r="37" spans="1:9" s="18" customFormat="1" ht="31.5">
      <c r="A37" s="41" t="str">
        <f>IF(B37&gt;0,VLOOKUP(B37,КВСР!A26:B1191,2),IF(C37&gt;0,VLOOKUP(C37,КФСР!A26:B1538,2),IF(D37&gt;0,VLOOKUP(D37,Программа!A$1:B$5008,2),IF(F37&gt;0,VLOOKUP(F37,КВР!A$1:B$5001,2),IF(E37&gt;0,VLOOKUP(E37,Направление!A$1:B$4660,2))))))</f>
        <v>Создание единого информационного пространства</v>
      </c>
      <c r="B37" s="85"/>
      <c r="C37" s="77"/>
      <c r="D37" s="78">
        <v>110</v>
      </c>
      <c r="E37" s="77"/>
      <c r="F37" s="78"/>
      <c r="G37" s="95">
        <v>400000</v>
      </c>
      <c r="H37" s="95">
        <f t="shared" ref="H37:H39" si="6">H38</f>
        <v>0</v>
      </c>
      <c r="I37" s="42">
        <f t="shared" si="1"/>
        <v>400000</v>
      </c>
    </row>
    <row r="38" spans="1:9" s="18" customFormat="1" ht="63">
      <c r="A38" s="41" t="str">
        <f>IF(B38&gt;0,VLOOKUP(B38,КВСР!A27:B1192,2),IF(C38&gt;0,VLOOKUP(C38,КФСР!A27:B1539,2),IF(D38&gt;0,VLOOKUP(D38,Программа!A$1:B$5008,2),IF(F38&gt;0,VLOOKUP(F38,КВР!A$1:B$5001,2),IF(E38&gt;0,VLOOKUP(E38,Направление!A$1:B$4660,2))))))</f>
        <v>Муниципальная целевая программа «Информатизация управленческой деятельности Администрации ТМР на 2013-2014 годы».</v>
      </c>
      <c r="B38" s="85"/>
      <c r="C38" s="77"/>
      <c r="D38" s="78">
        <v>111</v>
      </c>
      <c r="E38" s="77"/>
      <c r="F38" s="78"/>
      <c r="G38" s="95">
        <v>400000</v>
      </c>
      <c r="H38" s="95">
        <f t="shared" si="6"/>
        <v>0</v>
      </c>
      <c r="I38" s="42">
        <f t="shared" si="1"/>
        <v>400000</v>
      </c>
    </row>
    <row r="39" spans="1:9" s="18" customFormat="1" ht="31.5">
      <c r="A39" s="41" t="str">
        <f>IF(B39&gt;0,VLOOKUP(B39,КВСР!A28:B1193,2),IF(C39&gt;0,VLOOKUP(C39,КФСР!A28:B1540,2),IF(D39&gt;0,VLOOKUP(D39,Программа!A$1:B$5008,2),IF(F39&gt;0,VLOOKUP(F39,КВР!A$1:B$5001,2),IF(E39&gt;0,VLOOKUP(E39,Направление!A$1:B$4660,2))))))</f>
        <v>Расходы на проведение мероприятий по информатизации</v>
      </c>
      <c r="B39" s="85"/>
      <c r="C39" s="77"/>
      <c r="D39" s="78"/>
      <c r="E39" s="77">
        <v>1221</v>
      </c>
      <c r="F39" s="78"/>
      <c r="G39" s="95">
        <v>400000</v>
      </c>
      <c r="H39" s="95">
        <f t="shared" si="6"/>
        <v>0</v>
      </c>
      <c r="I39" s="42">
        <f t="shared" si="1"/>
        <v>400000</v>
      </c>
    </row>
    <row r="40" spans="1:9" s="18" customFormat="1" ht="31.5">
      <c r="A40" s="41" t="str">
        <f>IF(B40&gt;0,VLOOKUP(B40,КВСР!A29:B1194,2),IF(C40&gt;0,VLOOKUP(C40,КФСР!A29:B1541,2),IF(D40&gt;0,VLOOKUP(D40,Программа!A$1:B$5008,2),IF(F40&gt;0,VLOOKUP(F40,КВР!A$1:B$5001,2),IF(E40&gt;0,VLOOKUP(E40,Направление!A$1:B$4660,2))))))</f>
        <v>Закупка товаров, работ и услуг для государственных нужд</v>
      </c>
      <c r="B40" s="85"/>
      <c r="C40" s="77"/>
      <c r="D40" s="78"/>
      <c r="E40" s="77"/>
      <c r="F40" s="78">
        <v>200</v>
      </c>
      <c r="G40" s="95">
        <v>400000</v>
      </c>
      <c r="H40" s="336"/>
      <c r="I40" s="42">
        <f t="shared" si="1"/>
        <v>400000</v>
      </c>
    </row>
    <row r="41" spans="1:9" s="18" customFormat="1" ht="31.5">
      <c r="A41" s="41" t="str">
        <f>IF(B41&gt;0,VLOOKUP(B41,КВСР!A26:B1191,2),IF(C41&gt;0,VLOOKUP(C41,КФСР!A26:B1538,2),IF(D41&gt;0,VLOOKUP(D41,Программа!A$1:B$5008,2),IF(F41&gt;0,VLOOKUP(F41,КВР!A$1:B$5001,2),IF(E41&gt;0,VLOOKUP(E41,Направление!A$1:B$4660,2))))))</f>
        <v>Совершенствование муниципального управления</v>
      </c>
      <c r="B41" s="85"/>
      <c r="C41" s="77"/>
      <c r="D41" s="78">
        <v>120</v>
      </c>
      <c r="E41" s="77"/>
      <c r="F41" s="78"/>
      <c r="G41" s="95">
        <v>240000</v>
      </c>
      <c r="H41" s="95">
        <f t="shared" ref="H41:H43" si="7">H42</f>
        <v>0</v>
      </c>
      <c r="I41" s="42">
        <f t="shared" si="1"/>
        <v>240000</v>
      </c>
    </row>
    <row r="42" spans="1:9" s="18" customFormat="1" ht="51" customHeight="1">
      <c r="A42" s="41" t="str">
        <f>IF(B42&gt;0,VLOOKUP(B42,КВСР!A27:B1192,2),IF(C42&gt;0,VLOOKUP(C42,КФСР!A27:B1539,2),IF(D42&gt;0,VLOOKUP(D42,Программа!A$1:B$5008,2),IF(F42&gt;0,VLOOKUP(F42,КВР!A$1:B$5001,2),IF(E42&gt;0,VLOOKUP(E42,Направление!A$1:B$4660,2))))))</f>
        <v>Программа развития муниципальной службы в Тутаевском муниципальном районе на 2013-2015 годы.</v>
      </c>
      <c r="B42" s="85"/>
      <c r="C42" s="77"/>
      <c r="D42" s="78">
        <v>121</v>
      </c>
      <c r="E42" s="77"/>
      <c r="F42" s="78"/>
      <c r="G42" s="95">
        <v>240000</v>
      </c>
      <c r="H42" s="95">
        <f>H43+H45</f>
        <v>0</v>
      </c>
      <c r="I42" s="42">
        <f t="shared" si="1"/>
        <v>240000</v>
      </c>
    </row>
    <row r="43" spans="1:9" s="18" customFormat="1" ht="31.5">
      <c r="A43" s="41" t="str">
        <f>IF(B43&gt;0,VLOOKUP(B43,КВСР!A28:B1193,2),IF(C43&gt;0,VLOOKUP(C43,КФСР!A28:B1540,2),IF(D43&gt;0,VLOOKUP(D43,Программа!A$1:B$5008,2),IF(F43&gt;0,VLOOKUP(F43,КВР!A$1:B$5001,2),IF(E43&gt;0,VLOOKUP(E43,Направление!A$1:B$4660,2))))))</f>
        <v>Расходы на развитие муниципальной службы</v>
      </c>
      <c r="B43" s="85"/>
      <c r="C43" s="77"/>
      <c r="D43" s="78"/>
      <c r="E43" s="77">
        <v>1220</v>
      </c>
      <c r="F43" s="78"/>
      <c r="G43" s="95">
        <v>40000</v>
      </c>
      <c r="H43" s="95">
        <f t="shared" si="7"/>
        <v>0</v>
      </c>
      <c r="I43" s="42">
        <f t="shared" si="1"/>
        <v>40000</v>
      </c>
    </row>
    <row r="44" spans="1:9" s="18" customFormat="1" ht="31.5">
      <c r="A44" s="41" t="str">
        <f>IF(B44&gt;0,VLOOKUP(B44,КВСР!A29:B1194,2),IF(C44&gt;0,VLOOKUP(C44,КФСР!A29:B1541,2),IF(D44&gt;0,VLOOKUP(D44,Программа!A$1:B$5008,2),IF(F44&gt;0,VLOOKUP(F44,КВР!A$1:B$5001,2),IF(E44&gt;0,VLOOKUP(E44,Направление!A$1:B$4660,2))))))</f>
        <v>Закупка товаров, работ и услуг для государственных нужд</v>
      </c>
      <c r="B44" s="85"/>
      <c r="C44" s="77"/>
      <c r="D44" s="78"/>
      <c r="E44" s="77"/>
      <c r="F44" s="78">
        <v>200</v>
      </c>
      <c r="G44" s="95">
        <v>40000</v>
      </c>
      <c r="H44" s="336"/>
      <c r="I44" s="42">
        <f t="shared" si="1"/>
        <v>40000</v>
      </c>
    </row>
    <row r="45" spans="1:9" s="18" customFormat="1" ht="31.5">
      <c r="A45" s="41" t="str">
        <f>IF(B45&gt;0,VLOOKUP(B45,КВСР!A30:B1195,2),IF(C45&gt;0,VLOOKUP(C45,КФСР!A30:B1542,2),IF(D45&gt;0,VLOOKUP(D45,Программа!A$1:B$5008,2),IF(F45&gt;0,VLOOKUP(F45,КВР!A$1:B$5001,2),IF(E45&gt;0,VLOOKUP(E45,Направление!A$1:B$4660,2))))))</f>
        <v>Расходы на развитие муниципальной службы</v>
      </c>
      <c r="B45" s="85"/>
      <c r="C45" s="77"/>
      <c r="D45" s="78"/>
      <c r="E45" s="77">
        <v>7328</v>
      </c>
      <c r="F45" s="78"/>
      <c r="G45" s="95">
        <v>200000</v>
      </c>
      <c r="H45" s="95">
        <f t="shared" ref="H45" si="8">H46</f>
        <v>0</v>
      </c>
      <c r="I45" s="42">
        <f t="shared" si="1"/>
        <v>200000</v>
      </c>
    </row>
    <row r="46" spans="1:9" s="18" customFormat="1" ht="31.5">
      <c r="A46" s="41" t="str">
        <f>IF(B46&gt;0,VLOOKUP(B46,КВСР!A31:B1196,2),IF(C46&gt;0,VLOOKUP(C46,КФСР!A31:B1543,2),IF(D46&gt;0,VLOOKUP(D46,Программа!A$1:B$5008,2),IF(F46&gt;0,VLOOKUP(F46,КВР!A$1:B$5001,2),IF(E46&gt;0,VLOOKUP(E46,Направление!A$1:B$4660,2))))))</f>
        <v>Закупка товаров, работ и услуг для государственных нужд</v>
      </c>
      <c r="B46" s="85"/>
      <c r="C46" s="77"/>
      <c r="D46" s="78"/>
      <c r="E46" s="77"/>
      <c r="F46" s="78">
        <v>200</v>
      </c>
      <c r="G46" s="95">
        <v>200000</v>
      </c>
      <c r="H46" s="336"/>
      <c r="I46" s="42">
        <f t="shared" si="1"/>
        <v>200000</v>
      </c>
    </row>
    <row r="47" spans="1:9" s="18" customFormat="1" ht="47.25">
      <c r="A47" s="41" t="str">
        <f>IF(B47&gt;0,VLOOKUP(B47,КВСР!A30:B1195,2),IF(C47&gt;0,VLOOKUP(C47,КФСР!A30:B1542,2),IF(D47&gt;0,VLOOKUP(D47,Программа!A$1:B$5008,2),IF(F47&gt;0,VLOOKUP(F47,КВР!A$1:B$5001,2),IF(E47&gt;0,VLOOKUP(E47,Направление!A$1:B$4660,2))))))</f>
        <v>Поддержка некоммерческих организаций и территориального общественного самоуправления</v>
      </c>
      <c r="B47" s="85"/>
      <c r="C47" s="77"/>
      <c r="D47" s="78">
        <v>160</v>
      </c>
      <c r="E47" s="77"/>
      <c r="F47" s="78"/>
      <c r="G47" s="95">
        <v>15000</v>
      </c>
      <c r="H47" s="95">
        <f t="shared" ref="H47:H49" si="9">H48</f>
        <v>3000</v>
      </c>
      <c r="I47" s="42">
        <f t="shared" si="1"/>
        <v>18000</v>
      </c>
    </row>
    <row r="48" spans="1:9" s="18" customFormat="1" ht="110.25">
      <c r="A48" s="41" t="str">
        <f>IF(B48&gt;0,VLOOKUP(B48,КВСР!A31:B1196,2),IF(C48&gt;0,VLOOKUP(C48,КФСР!A31:B1543,2),IF(D48&gt;0,VLOOKUP(D48,Программа!A$1:B$5008,2),IF(F48&gt;0,VLOOKUP(F48,КВР!A$1:B$5001,2),IF(E48&gt;0,VLOOKUP(E48,Направление!A$1:B$4660,2))))))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 на 2014-2016 годы.</v>
      </c>
      <c r="B48" s="85"/>
      <c r="C48" s="77"/>
      <c r="D48" s="78">
        <v>161</v>
      </c>
      <c r="E48" s="77"/>
      <c r="F48" s="78"/>
      <c r="G48" s="95">
        <v>15000</v>
      </c>
      <c r="H48" s="95">
        <f t="shared" si="9"/>
        <v>3000</v>
      </c>
      <c r="I48" s="42">
        <f t="shared" si="1"/>
        <v>18000</v>
      </c>
    </row>
    <row r="49" spans="1:9" s="18" customFormat="1" ht="63">
      <c r="A49" s="41" t="str">
        <f>IF(B49&gt;0,VLOOKUP(B49,КВСР!A32:B1197,2),IF(C49&gt;0,VLOOKUP(C49,КФСР!A32:B1544,2),IF(D49&gt;0,VLOOKUP(D49,Программа!A$1:B$5008,2),IF(F49&gt;0,VLOOKUP(F49,КВР!A$1:B$5001,2),IF(E49&gt;0,VLOOKUP(E49,Направление!A$1:B$4660,2))))))</f>
        <v>Расходы на поддержку территориального общественного самоуправления и некоммерческих организаций</v>
      </c>
      <c r="B49" s="85"/>
      <c r="C49" s="77"/>
      <c r="D49" s="78"/>
      <c r="E49" s="77">
        <v>1224</v>
      </c>
      <c r="F49" s="78"/>
      <c r="G49" s="95">
        <v>15000</v>
      </c>
      <c r="H49" s="95">
        <f t="shared" si="9"/>
        <v>3000</v>
      </c>
      <c r="I49" s="42">
        <f t="shared" si="1"/>
        <v>18000</v>
      </c>
    </row>
    <row r="50" spans="1:9" s="18" customFormat="1" ht="31.5">
      <c r="A50" s="41" t="str">
        <f>IF(B50&gt;0,VLOOKUP(B50,КВСР!A33:B1198,2),IF(C50&gt;0,VLOOKUP(C50,КФСР!A33:B1545,2),IF(D50&gt;0,VLOOKUP(D50,Программа!A$1:B$5008,2),IF(F50&gt;0,VLOOKUP(F50,КВР!A$1:B$5001,2),IF(E50&gt;0,VLOOKUP(E50,Направление!A$1:B$4660,2))))))</f>
        <v>Закупка товаров, работ и услуг для государственных нужд</v>
      </c>
      <c r="B50" s="85"/>
      <c r="C50" s="77"/>
      <c r="D50" s="78"/>
      <c r="E50" s="77"/>
      <c r="F50" s="78">
        <v>200</v>
      </c>
      <c r="G50" s="95">
        <v>15000</v>
      </c>
      <c r="H50" s="336">
        <v>3000</v>
      </c>
      <c r="I50" s="42">
        <f t="shared" si="1"/>
        <v>18000</v>
      </c>
    </row>
    <row r="51" spans="1:9" s="18" customFormat="1" ht="31.5">
      <c r="A51" s="41" t="str">
        <f>IF(B51&gt;0,VLOOKUP(B51,КВСР!A34:B1199,2),IF(C51&gt;0,VLOOKUP(C51,КФСР!A34:B1546,2),IF(D51&gt;0,VLOOKUP(D51,Программа!A$1:B$5008,2),IF(F51&gt;0,VLOOKUP(F51,КВР!A$1:B$5001,2),IF(E51&gt;0,VLOOKUP(E51,Направление!A$1:B$4660,2))))))</f>
        <v>Профилактика правонарушений и усиления борьбы с преступностью</v>
      </c>
      <c r="B51" s="85"/>
      <c r="C51" s="77"/>
      <c r="D51" s="78">
        <v>180</v>
      </c>
      <c r="E51" s="77"/>
      <c r="F51" s="78"/>
      <c r="G51" s="95">
        <v>619987</v>
      </c>
      <c r="H51" s="95">
        <f t="shared" ref="H51:H52" si="10">H52</f>
        <v>0</v>
      </c>
      <c r="I51" s="42">
        <f t="shared" si="1"/>
        <v>619987</v>
      </c>
    </row>
    <row r="52" spans="1:9" s="18" customFormat="1" ht="53.25" customHeight="1">
      <c r="A52" s="41" t="str">
        <f>IF(B52&gt;0,VLOOKUP(B52,КВСР!A35:B1200,2),IF(C52&gt;0,VLOOKUP(C52,КФСР!A35:B1547,2),IF(D52&gt;0,VLOOKUP(D52,Программа!A$1:B$5008,2),IF(F52&gt;0,VLOOKUP(F52,КВР!A$1:B$5001,2),IF(E52&gt;0,VLOOKUP(E52,Направление!A$1:B$4660,2))))))</f>
        <v>МЦП "Профилактика правонарушений и усиления борьбы с преступностью в ТМР на 2014-2016 годы"</v>
      </c>
      <c r="B52" s="85"/>
      <c r="C52" s="77"/>
      <c r="D52" s="78">
        <v>181</v>
      </c>
      <c r="E52" s="77"/>
      <c r="F52" s="78"/>
      <c r="G52" s="95">
        <v>619987</v>
      </c>
      <c r="H52" s="95">
        <f t="shared" si="10"/>
        <v>0</v>
      </c>
      <c r="I52" s="42">
        <f t="shared" si="1"/>
        <v>619987</v>
      </c>
    </row>
    <row r="53" spans="1:9" s="18" customFormat="1" ht="47.25">
      <c r="A53" s="41" t="str">
        <f>IF(B53&gt;0,VLOOKUP(B53,КВСР!A36:B1201,2),IF(C53&gt;0,VLOOKUP(C53,КФСР!A36:B1548,2),IF(D53&gt;0,VLOOKUP(D53,Программа!A$1:B$5008,2),IF(F53&gt;0,VLOOKUP(F53,КВР!A$1:B$5001,2),IF(E53&gt;0,VLOOKUP(E53,Направление!A$1:B$4660,2))))))</f>
        <v>Расходы на профилактику правонарушений и усиления борьбы с преступностью</v>
      </c>
      <c r="B53" s="85"/>
      <c r="C53" s="77"/>
      <c r="D53" s="78"/>
      <c r="E53" s="77">
        <v>1225</v>
      </c>
      <c r="F53" s="78"/>
      <c r="G53" s="95">
        <v>619987</v>
      </c>
      <c r="H53" s="95">
        <f t="shared" ref="H53" si="11">H54</f>
        <v>0</v>
      </c>
      <c r="I53" s="42">
        <f t="shared" si="1"/>
        <v>619987</v>
      </c>
    </row>
    <row r="54" spans="1:9" s="18" customFormat="1" ht="31.5">
      <c r="A54" s="41" t="str">
        <f>IF(B54&gt;0,VLOOKUP(B54,КВСР!A37:B1202,2),IF(C54&gt;0,VLOOKUP(C54,КФСР!A37:B1549,2),IF(D54&gt;0,VLOOKUP(D54,Программа!A$1:B$5008,2),IF(F54&gt;0,VLOOKUP(F54,КВР!A$1:B$5001,2),IF(E54&gt;0,VLOOKUP(E54,Направление!A$1:B$4660,2))))))</f>
        <v>Закупка товаров, работ и услуг для государственных нужд</v>
      </c>
      <c r="B54" s="85"/>
      <c r="C54" s="77"/>
      <c r="D54" s="78"/>
      <c r="E54" s="77"/>
      <c r="F54" s="78">
        <v>200</v>
      </c>
      <c r="G54" s="95">
        <v>619987</v>
      </c>
      <c r="H54" s="336"/>
      <c r="I54" s="42">
        <f t="shared" si="1"/>
        <v>619987</v>
      </c>
    </row>
    <row r="55" spans="1:9" s="18" customFormat="1">
      <c r="A55" s="41" t="str">
        <f>IF(B55&gt;0,VLOOKUP(B55,КВСР!A26:B1191,2),IF(C55&gt;0,VLOOKUP(C55,КФСР!A26:B1538,2),IF(D55&gt;0,VLOOKUP(D55,Программа!A$1:B$5008,2),IF(F55&gt;0,VLOOKUP(F55,КВР!A$1:B$5001,2),IF(E55&gt;0,VLOOKUP(E55,Направление!A$1:B$4660,2))))))</f>
        <v>Непрограммные расходы бюджета</v>
      </c>
      <c r="B55" s="85"/>
      <c r="C55" s="77"/>
      <c r="D55" s="78">
        <v>409</v>
      </c>
      <c r="E55" s="77"/>
      <c r="F55" s="78"/>
      <c r="G55" s="95">
        <v>8142893</v>
      </c>
      <c r="H55" s="95">
        <f>H70+H73+H56+H62+H58+H60+H65+H68</f>
        <v>408383</v>
      </c>
      <c r="I55" s="95">
        <f>I70+I73+I56+I62+I58+I60+I65+I68</f>
        <v>8551276</v>
      </c>
    </row>
    <row r="56" spans="1:9" s="18" customFormat="1">
      <c r="A56" s="41" t="str">
        <f>IF(B56&gt;0,VLOOKUP(B56,КВСР!A27:B1192,2),IF(C56&gt;0,VLOOKUP(C56,КФСР!A27:B1539,2),IF(D56&gt;0,VLOOKUP(D56,Программа!A$1:B$5008,2),IF(F56&gt;0,VLOOKUP(F56,КВР!A$1:B$5001,2),IF(E56&gt;0,VLOOKUP(E56,Направление!A$1:B$4660,2))))))</f>
        <v>Содержание центрального аппарата</v>
      </c>
      <c r="B56" s="85"/>
      <c r="C56" s="77"/>
      <c r="D56" s="78"/>
      <c r="E56" s="77">
        <v>1201</v>
      </c>
      <c r="F56" s="78"/>
      <c r="G56" s="95">
        <v>178997</v>
      </c>
      <c r="H56" s="95">
        <f>H57</f>
        <v>0</v>
      </c>
      <c r="I56" s="42">
        <f t="shared" si="1"/>
        <v>178997</v>
      </c>
    </row>
    <row r="57" spans="1:9" s="18" customFormat="1" ht="31.5">
      <c r="A57" s="41" t="str">
        <f>IF(B57&gt;0,VLOOKUP(B57,КВСР!A28:B1193,2),IF(C57&gt;0,VLOOKUP(C57,КФСР!A28:B1540,2),IF(D57&gt;0,VLOOKUP(D57,Программа!A$1:B$5008,2),IF(F57&gt;0,VLOOKUP(F57,КВР!A$1:B$5001,2),IF(E57&gt;0,VLOOKUP(E57,Направление!A$1:B$4660,2))))))</f>
        <v>Закупка товаров, работ и услуг для государственных нужд</v>
      </c>
      <c r="B57" s="85"/>
      <c r="C57" s="77"/>
      <c r="D57" s="78"/>
      <c r="E57" s="77"/>
      <c r="F57" s="78">
        <v>200</v>
      </c>
      <c r="G57" s="95">
        <v>178997</v>
      </c>
      <c r="H57" s="349"/>
      <c r="I57" s="42">
        <f t="shared" si="1"/>
        <v>178997</v>
      </c>
    </row>
    <row r="58" spans="1:9" s="18" customFormat="1" ht="47.25">
      <c r="A58" s="41" t="str">
        <f>IF(B58&gt;0,VLOOKUP(B58,КВСР!A29:B1194,2),IF(C58&gt;0,VLOOKUP(C58,КФСР!A29:B1541,2),IF(D58&gt;0,VLOOKUP(D58,Программа!A$1:B$5008,2),IF(F58&gt;0,VLOOKUP(F58,КВР!A$1:B$5001,2),IF(E58&gt;0,VLOOKUP(E58,Направление!A$1:B$4660,2))))))</f>
        <v>Исполнение судебных актов, актов других органов и должностных лиц, иных документов</v>
      </c>
      <c r="B58" s="85"/>
      <c r="C58" s="77"/>
      <c r="D58" s="78"/>
      <c r="E58" s="77">
        <v>1213</v>
      </c>
      <c r="F58" s="78"/>
      <c r="G58" s="95">
        <v>24120</v>
      </c>
      <c r="H58" s="95">
        <f t="shared" ref="H58" si="12">H59</f>
        <v>0</v>
      </c>
      <c r="I58" s="42">
        <f t="shared" si="1"/>
        <v>24120</v>
      </c>
    </row>
    <row r="59" spans="1:9" s="18" customFormat="1">
      <c r="A59" s="41" t="str">
        <f>IF(B59&gt;0,VLOOKUP(B59,КВСР!A30:B1195,2),IF(C59&gt;0,VLOOKUP(C59,КФСР!A30:B1542,2),IF(D59&gt;0,VLOOKUP(D59,Программа!A$1:B$5008,2),IF(F59&gt;0,VLOOKUP(F59,КВР!A$1:B$5001,2),IF(E59&gt;0,VLOOKUP(E59,Направление!A$1:B$4660,2))))))</f>
        <v>Иные бюджетные ассигнования</v>
      </c>
      <c r="B59" s="85"/>
      <c r="C59" s="77"/>
      <c r="D59" s="78"/>
      <c r="E59" s="77"/>
      <c r="F59" s="78">
        <v>800</v>
      </c>
      <c r="G59" s="95">
        <v>24120</v>
      </c>
      <c r="H59" s="349"/>
      <c r="I59" s="42">
        <f t="shared" si="1"/>
        <v>24120</v>
      </c>
    </row>
    <row r="60" spans="1:9" s="18" customFormat="1" ht="47.25">
      <c r="A60" s="41" t="str">
        <f>IF(B60&gt;0,VLOOKUP(B60,КВСР!A31:B1196,2),IF(C60&gt;0,VLOOKUP(C60,КФСР!A31:B1543,2),IF(D60&gt;0,VLOOKUP(D60,Программа!A$1:B$5008,2),IF(F60&gt;0,VLOOKUP(F60,КВР!A$1:B$5001,2),IF(E60&gt;0,VLOOKUP(E60,Направление!A$1:B$4660,2))))))</f>
        <v>Расходы на развитие правовой грамотности и правосознания граждан на территории ЯО</v>
      </c>
      <c r="B60" s="85"/>
      <c r="C60" s="77"/>
      <c r="D60" s="78"/>
      <c r="E60" s="77">
        <v>1226</v>
      </c>
      <c r="F60" s="78"/>
      <c r="G60" s="95">
        <v>1579</v>
      </c>
      <c r="H60" s="95">
        <f t="shared" ref="H60" si="13">H61</f>
        <v>0</v>
      </c>
      <c r="I60" s="42">
        <f t="shared" si="1"/>
        <v>1579</v>
      </c>
    </row>
    <row r="61" spans="1:9" s="18" customFormat="1" ht="31.5">
      <c r="A61" s="41" t="str">
        <f>IF(B61&gt;0,VLOOKUP(B61,КВСР!A32:B1197,2),IF(C61&gt;0,VLOOKUP(C61,КФСР!A32:B1544,2),IF(D61&gt;0,VLOOKUP(D61,Программа!A$1:B$5008,2),IF(F61&gt;0,VLOOKUP(F61,КВР!A$1:B$5001,2),IF(E61&gt;0,VLOOKUP(E61,Направление!A$1:B$4660,2))))))</f>
        <v>Закупка товаров, работ и услуг для государственных нужд</v>
      </c>
      <c r="B61" s="85"/>
      <c r="C61" s="77"/>
      <c r="D61" s="78"/>
      <c r="E61" s="77"/>
      <c r="F61" s="78">
        <v>200</v>
      </c>
      <c r="G61" s="95">
        <v>1579</v>
      </c>
      <c r="H61" s="349"/>
      <c r="I61" s="42">
        <f t="shared" si="1"/>
        <v>1579</v>
      </c>
    </row>
    <row r="62" spans="1:9" s="18" customFormat="1" ht="71.25" customHeight="1">
      <c r="A62" s="41" t="str">
        <f>IF(B62&gt;0,VLOOKUP(B62,КВСР!A29:B1194,2),IF(C62&gt;0,VLOOKUP(C62,КФСР!A29:B1541,2),IF(D62&gt;0,VLOOKUP(D62,Программа!A$1:B$5008,2),IF(F62&gt;0,VLOOKUP(F62,КВР!A$1:B$5001,2),IF(E62&gt;0,VLOOKUP(E62,Направление!A$1:B$4660,2))))))</f>
        <v>Расходы на осуществление полномочий на государственную регистрацию актов гражданского состояния</v>
      </c>
      <c r="B62" s="85"/>
      <c r="C62" s="77"/>
      <c r="D62" s="78"/>
      <c r="E62" s="77">
        <v>5930</v>
      </c>
      <c r="F62" s="78"/>
      <c r="G62" s="95">
        <v>2600000</v>
      </c>
      <c r="H62" s="95">
        <f>H63+H64</f>
        <v>120000</v>
      </c>
      <c r="I62" s="42">
        <f t="shared" si="1"/>
        <v>2720000</v>
      </c>
    </row>
    <row r="63" spans="1:9" s="18" customFormat="1" ht="110.25">
      <c r="A63" s="41" t="str">
        <f>IF(B63&gt;0,VLOOKUP(B63,КВСР!A30:B1195,2),IF(C63&gt;0,VLOOKUP(C63,КФСР!A30:B1542,2),IF(D63&gt;0,VLOOKUP(D63,Программа!A$1:B$5008,2),IF(F63&gt;0,VLOOKUP(F63,КВР!A$1:B$5001,2),IF(E63&gt;0,VLOOKUP(E63,Направление!A$1:B$4660,2))))))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3" s="85"/>
      <c r="C63" s="77"/>
      <c r="D63" s="78"/>
      <c r="E63" s="77"/>
      <c r="F63" s="78">
        <v>100</v>
      </c>
      <c r="G63" s="95">
        <v>2302545</v>
      </c>
      <c r="H63" s="349">
        <v>86744</v>
      </c>
      <c r="I63" s="42">
        <f t="shared" si="1"/>
        <v>2389289</v>
      </c>
    </row>
    <row r="64" spans="1:9" s="18" customFormat="1" ht="31.5">
      <c r="A64" s="41" t="str">
        <f>IF(B64&gt;0,VLOOKUP(B64,КВСР!A31:B1196,2),IF(C64&gt;0,VLOOKUP(C64,КФСР!A31:B1543,2),IF(D64&gt;0,VLOOKUP(D64,Программа!A$1:B$5008,2),IF(F64&gt;0,VLOOKUP(F64,КВР!A$1:B$5001,2),IF(E64&gt;0,VLOOKUP(E64,Направление!A$1:B$4660,2))))))</f>
        <v>Закупка товаров, работ и услуг для государственных нужд</v>
      </c>
      <c r="B64" s="85"/>
      <c r="C64" s="77"/>
      <c r="D64" s="78"/>
      <c r="E64" s="77"/>
      <c r="F64" s="78">
        <v>200</v>
      </c>
      <c r="G64" s="95">
        <v>297455</v>
      </c>
      <c r="H64" s="349">
        <f>120000-86744</f>
        <v>33256</v>
      </c>
      <c r="I64" s="42">
        <f t="shared" si="1"/>
        <v>330711</v>
      </c>
    </row>
    <row r="65" spans="1:9" s="18" customFormat="1" ht="47.25">
      <c r="A65" s="41" t="str">
        <f>IF(B65&gt;0,VLOOKUP(B65,КВСР!A32:B1197,2),IF(C65&gt;0,VLOOKUP(C65,КФСР!A32:B1544,2),IF(D65&gt;0,VLOOKUP(D65,Программа!A$1:B$5008,2),IF(F65&gt;0,VLOOKUP(F65,КВР!A$1:B$5001,2),IF(E65&gt;0,VLOOKUP(E65,Направление!A$1:B$4660,2))))))</f>
        <v>Расходы на развитие органов местного самоуправления на территории ЯО</v>
      </c>
      <c r="B65" s="85"/>
      <c r="C65" s="77"/>
      <c r="D65" s="78"/>
      <c r="E65" s="77">
        <v>7228</v>
      </c>
      <c r="F65" s="78"/>
      <c r="G65" s="95">
        <v>3060676</v>
      </c>
      <c r="H65" s="95">
        <f>H66+H67</f>
        <v>0</v>
      </c>
      <c r="I65" s="42">
        <f t="shared" si="1"/>
        <v>3060676</v>
      </c>
    </row>
    <row r="66" spans="1:9" s="18" customFormat="1" ht="110.25">
      <c r="A66" s="41" t="str">
        <f>IF(B66&gt;0,VLOOKUP(B66,КВСР!A32:B1197,2),IF(C66&gt;0,VLOOKUP(C66,КФСР!A32:B1544,2),IF(D66&gt;0,VLOOKUP(D66,Программа!A$1:B$5008,2),IF(F66&gt;0,VLOOKUP(F66,КВР!A$1:B$5001,2),IF(E66&gt;0,VLOOKUP(E66,Направление!A$1:B$4660,2))))))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6" s="85"/>
      <c r="C66" s="77"/>
      <c r="D66" s="78"/>
      <c r="E66" s="77"/>
      <c r="F66" s="78">
        <v>100</v>
      </c>
      <c r="G66" s="95">
        <v>2777042</v>
      </c>
      <c r="H66" s="349"/>
      <c r="I66" s="42">
        <f t="shared" si="1"/>
        <v>2777042</v>
      </c>
    </row>
    <row r="67" spans="1:9" s="18" customFormat="1" ht="31.5">
      <c r="A67" s="41" t="str">
        <f>IF(B67&gt;0,VLOOKUP(B67,КВСР!A33:B1198,2),IF(C67&gt;0,VLOOKUP(C67,КФСР!A33:B1545,2),IF(D67&gt;0,VLOOKUP(D67,Программа!A$1:B$5008,2),IF(F67&gt;0,VLOOKUP(F67,КВР!A$1:B$5001,2),IF(E67&gt;0,VLOOKUP(E67,Направление!A$1:B$4660,2))))))</f>
        <v>Закупка товаров, работ и услуг для государственных нужд</v>
      </c>
      <c r="B67" s="85"/>
      <c r="C67" s="77"/>
      <c r="D67" s="78"/>
      <c r="E67" s="77"/>
      <c r="F67" s="78">
        <v>200</v>
      </c>
      <c r="G67" s="95">
        <v>283634</v>
      </c>
      <c r="H67" s="349"/>
      <c r="I67" s="42">
        <f t="shared" si="1"/>
        <v>283634</v>
      </c>
    </row>
    <row r="68" spans="1:9" s="18" customFormat="1" ht="47.25">
      <c r="A68" s="41" t="str">
        <f>IF(B68&gt;0,VLOOKUP(B68,КВСР!A34:B1199,2),IF(C68&gt;0,VLOOKUP(C68,КФСР!A34:B1546,2),IF(D68&gt;0,VLOOKUP(D68,Программа!A$1:B$5008,2),IF(F68&gt;0,VLOOKUP(F68,КВР!A$1:B$5001,2),IF(E68&gt;0,VLOOKUP(E68,Направление!A$1:B$4660,2))))))</f>
        <v>Расходы на оказание поддержки пунктам оказания бесплатной юридической помощи</v>
      </c>
      <c r="B68" s="85"/>
      <c r="C68" s="77"/>
      <c r="D68" s="78"/>
      <c r="E68" s="77">
        <v>7239</v>
      </c>
      <c r="F68" s="78"/>
      <c r="G68" s="95">
        <f>G69</f>
        <v>0</v>
      </c>
      <c r="H68" s="95">
        <f t="shared" ref="H68:I68" si="14">H69</f>
        <v>30000</v>
      </c>
      <c r="I68" s="95">
        <f t="shared" si="14"/>
        <v>30000</v>
      </c>
    </row>
    <row r="69" spans="1:9" s="18" customFormat="1" ht="31.5">
      <c r="A69" s="41" t="str">
        <f>IF(B69&gt;0,VLOOKUP(B69,КВСР!A35:B1200,2),IF(C69&gt;0,VLOOKUP(C69,КФСР!A35:B1547,2),IF(D69&gt;0,VLOOKUP(D69,Программа!A$1:B$5008,2),IF(F69&gt;0,VLOOKUP(F69,КВР!A$1:B$5001,2),IF(E69&gt;0,VLOOKUP(E69,Направление!A$1:B$4660,2))))))</f>
        <v>Закупка товаров, работ и услуг для государственных нужд</v>
      </c>
      <c r="B69" s="85"/>
      <c r="C69" s="77"/>
      <c r="D69" s="78"/>
      <c r="E69" s="77"/>
      <c r="F69" s="78">
        <v>200</v>
      </c>
      <c r="G69" s="95"/>
      <c r="H69" s="349">
        <v>30000</v>
      </c>
      <c r="I69" s="42">
        <f>G69+H69</f>
        <v>30000</v>
      </c>
    </row>
    <row r="70" spans="1:9" s="18" customFormat="1" ht="94.5">
      <c r="A70" s="41" t="str">
        <f>IF(B70&gt;0,VLOOKUP(B70,КВСР!A27:B1192,2),IF(C70&gt;0,VLOOKUP(C70,КФСР!A27:B1539,2),IF(D70&gt;0,VLOOKUP(D70,Программа!A$1:B$5008,2),IF(F70&gt;0,VLOOKUP(F70,КВР!A$1:B$5001,2),IF(E70&gt;0,VLOOKUP(E70,Направление!A$1:B$4660,2))))))</f>
        <v>Расходы на обеспечение профилактики безнадзорности, правонарушений несовершеннолетних и защиты их прав за счет средств областного бюджета</v>
      </c>
      <c r="B70" s="85"/>
      <c r="C70" s="77"/>
      <c r="D70" s="78"/>
      <c r="E70" s="77">
        <v>8019</v>
      </c>
      <c r="F70" s="78"/>
      <c r="G70" s="95">
        <v>2075000</v>
      </c>
      <c r="H70" s="95">
        <f>H71+H72</f>
        <v>243800</v>
      </c>
      <c r="I70" s="42">
        <f t="shared" si="1"/>
        <v>2318800</v>
      </c>
    </row>
    <row r="71" spans="1:9" s="18" customFormat="1" ht="110.25">
      <c r="A71" s="41" t="str">
        <f>IF(B71&gt;0,VLOOKUP(B71,КВСР!A28:B1193,2),IF(C71&gt;0,VLOOKUP(C71,КФСР!A28:B1540,2),IF(D71&gt;0,VLOOKUP(D71,Программа!A$1:B$5008,2),IF(F71&gt;0,VLOOKUP(F71,КВР!A$1:B$5001,2),IF(E71&gt;0,VLOOKUP(E71,Направление!A$1:B$4660,2))))))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1" s="85"/>
      <c r="C71" s="77"/>
      <c r="D71" s="78"/>
      <c r="E71" s="77"/>
      <c r="F71" s="78">
        <v>100</v>
      </c>
      <c r="G71" s="42">
        <v>1865572</v>
      </c>
      <c r="H71" s="334">
        <f>16207-4704+218900</f>
        <v>230403</v>
      </c>
      <c r="I71" s="42">
        <f t="shared" si="1"/>
        <v>2095975</v>
      </c>
    </row>
    <row r="72" spans="1:9" s="18" customFormat="1" ht="31.5">
      <c r="A72" s="41" t="str">
        <f>IF(B72&gt;0,VLOOKUP(B72,КВСР!A29:B1194,2),IF(C72&gt;0,VLOOKUP(C72,КФСР!A29:B1541,2),IF(D72&gt;0,VLOOKUP(D72,Программа!A$1:B$5008,2),IF(F72&gt;0,VLOOKUP(F72,КВР!A$1:B$5001,2),IF(E72&gt;0,VLOOKUP(E72,Направление!A$1:B$4660,2))))))</f>
        <v>Закупка товаров, работ и услуг для государственных нужд</v>
      </c>
      <c r="B72" s="85"/>
      <c r="C72" s="77"/>
      <c r="D72" s="78"/>
      <c r="E72" s="77"/>
      <c r="F72" s="78">
        <v>200</v>
      </c>
      <c r="G72" s="42">
        <v>209428</v>
      </c>
      <c r="H72" s="334">
        <f>24900-11503</f>
        <v>13397</v>
      </c>
      <c r="I72" s="42">
        <f t="shared" si="1"/>
        <v>222825</v>
      </c>
    </row>
    <row r="73" spans="1:9" s="18" customFormat="1" ht="94.5">
      <c r="A73" s="41" t="str">
        <f>IF(B73&gt;0,VLOOKUP(B73,КВСР!A30:B1195,2),IF(C73&gt;0,VLOOKUP(C73,КФСР!A30:B1542,2),IF(D73&gt;0,VLOOKUP(D73,Программа!A$1:B$5008,2),IF(F73&gt;0,VLOOKUP(F73,КВР!A$1:B$5001,2),IF(E73&gt;0,VLOOKUP(E73,Направление!A$1:B$4660,2))))))</f>
        <v>Расходы на реализацию отдельных полномочий в сфере законодательства об административных правонарушениях за счет средств областного бюджета</v>
      </c>
      <c r="B73" s="85"/>
      <c r="C73" s="77"/>
      <c r="D73" s="78"/>
      <c r="E73" s="77">
        <v>8020</v>
      </c>
      <c r="F73" s="78"/>
      <c r="G73" s="42">
        <v>202521</v>
      </c>
      <c r="H73" s="42">
        <f>H74+H75</f>
        <v>14583</v>
      </c>
      <c r="I73" s="42">
        <f t="shared" si="1"/>
        <v>217104</v>
      </c>
    </row>
    <row r="74" spans="1:9" s="18" customFormat="1" ht="110.25">
      <c r="A74" s="41" t="str">
        <f>IF(B74&gt;0,VLOOKUP(B74,КВСР!A31:B1196,2),IF(C74&gt;0,VLOOKUP(C74,КФСР!A31:B1543,2),IF(D74&gt;0,VLOOKUP(D74,Программа!A$1:B$5008,2),IF(F74&gt;0,VLOOKUP(F74,КВР!A$1:B$5001,2),IF(E74&gt;0,VLOOKUP(E74,Направление!A$1:B$4660,2))))))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4" s="85"/>
      <c r="C74" s="77"/>
      <c r="D74" s="78"/>
      <c r="E74" s="77"/>
      <c r="F74" s="78">
        <v>100</v>
      </c>
      <c r="G74" s="42">
        <v>102521</v>
      </c>
      <c r="H74" s="334">
        <v>14583</v>
      </c>
      <c r="I74" s="42">
        <f t="shared" si="1"/>
        <v>117104</v>
      </c>
    </row>
    <row r="75" spans="1:9" s="18" customFormat="1" ht="31.5">
      <c r="A75" s="41" t="str">
        <f>IF(B75&gt;0,VLOOKUP(B75,КВСР!A32:B1197,2),IF(C75&gt;0,VLOOKUP(C75,КФСР!A32:B1544,2),IF(D75&gt;0,VLOOKUP(D75,Программа!A$1:B$5008,2),IF(F75&gt;0,VLOOKUP(F75,КВР!A$1:B$5001,2),IF(E75&gt;0,VLOOKUP(E75,Направление!A$1:B$4660,2))))))</f>
        <v>Закупка товаров, работ и услуг для государственных нужд</v>
      </c>
      <c r="B75" s="85"/>
      <c r="C75" s="77"/>
      <c r="D75" s="78"/>
      <c r="E75" s="77"/>
      <c r="F75" s="78">
        <v>200</v>
      </c>
      <c r="G75" s="95">
        <v>100000</v>
      </c>
      <c r="H75" s="336"/>
      <c r="I75" s="42">
        <f t="shared" si="1"/>
        <v>100000</v>
      </c>
    </row>
    <row r="76" spans="1:9" s="18" customFormat="1" ht="31.5">
      <c r="A76" s="41" t="str">
        <f>IF(B76&gt;0,VLOOKUP(B76,КВСР!A33:B1198,2),IF(C76&gt;0,VLOOKUP(C76,КФСР!A33:B1545,2),IF(D76&gt;0,VLOOKUP(D76,Программа!A$1:B$5008,2),IF(F76&gt;0,VLOOKUP(F76,КВР!A$1:B$5001,2),IF(E76&gt;0,VLOOKUP(E76,Направление!A$1:B$4660,2))))))</f>
        <v>Межбюджетные трансферты  поселениям района</v>
      </c>
      <c r="B76" s="85"/>
      <c r="C76" s="77"/>
      <c r="D76" s="78">
        <v>990</v>
      </c>
      <c r="E76" s="77"/>
      <c r="F76" s="78"/>
      <c r="G76" s="95">
        <v>130884</v>
      </c>
      <c r="H76" s="95">
        <f t="shared" ref="H76" si="15">H77</f>
        <v>0</v>
      </c>
      <c r="I76" s="42">
        <f t="shared" si="1"/>
        <v>130884</v>
      </c>
    </row>
    <row r="77" spans="1:9" s="18" customFormat="1" ht="47.25">
      <c r="A77" s="41" t="str">
        <f>IF(B77&gt;0,VLOOKUP(B77,КВСР!A34:B1199,2),IF(C77&gt;0,VLOOKUP(C77,КФСР!A34:B1546,2),IF(D77&gt;0,VLOOKUP(D77,Программа!A$1:B$5008,2),IF(F77&gt;0,VLOOKUP(F77,КВР!A$1:B$5001,2),IF(E77&gt;0,VLOOKUP(E77,Направление!A$1:B$4660,2))))))</f>
        <v>Расходы на развитие органов местного самоуправления на территории ЯО</v>
      </c>
      <c r="B77" s="85"/>
      <c r="C77" s="77"/>
      <c r="D77" s="78"/>
      <c r="E77" s="77">
        <v>7228</v>
      </c>
      <c r="F77" s="78"/>
      <c r="G77" s="95">
        <v>130884</v>
      </c>
      <c r="H77" s="95">
        <f t="shared" ref="H77" si="16">H78</f>
        <v>0</v>
      </c>
      <c r="I77" s="42">
        <f t="shared" ref="I77:I131" si="17">SUM(G77:H77)</f>
        <v>130884</v>
      </c>
    </row>
    <row r="78" spans="1:9" s="18" customFormat="1">
      <c r="A78" s="41" t="str">
        <f>IF(B78&gt;0,VLOOKUP(B78,КВСР!A35:B1200,2),IF(C78&gt;0,VLOOKUP(C78,КФСР!A35:B1547,2),IF(D78&gt;0,VLOOKUP(D78,Программа!A$1:B$5008,2),IF(F78&gt;0,VLOOKUP(F78,КВР!A$1:B$5001,2),IF(E78&gt;0,VLOOKUP(E78,Направление!A$1:B$4660,2))))))</f>
        <v xml:space="preserve"> Межбюджетные трансферты</v>
      </c>
      <c r="B78" s="85"/>
      <c r="C78" s="77"/>
      <c r="D78" s="78"/>
      <c r="E78" s="77"/>
      <c r="F78" s="78">
        <v>500</v>
      </c>
      <c r="G78" s="95">
        <v>130884</v>
      </c>
      <c r="H78" s="336"/>
      <c r="I78" s="42">
        <f t="shared" si="17"/>
        <v>130884</v>
      </c>
    </row>
    <row r="79" spans="1:9" s="18" customFormat="1" ht="78.75">
      <c r="A79" s="41" t="str">
        <f>IF(B79&gt;0,VLOOKUP(B79,КВСР!A44:B1209,2),IF(C79&gt;0,VLOOKUP(C79,КФСР!A44:B1556,2),IF(D79&gt;0,VLOOKUP(D79,Программа!A$1:B$5008,2),IF(F79&gt;0,VLOOKUP(F79,КВР!A$1:B$5001,2),IF(E79&gt;0,VLOOKUP(E79,Направление!A$1:B$4660,2))))))</f>
        <v>Защита населения и территории от последствий чрезвычайных ситуаций природного и техногенного характера, гражданская оборона</v>
      </c>
      <c r="B79" s="85"/>
      <c r="C79" s="77">
        <v>309</v>
      </c>
      <c r="D79" s="78"/>
      <c r="E79" s="77"/>
      <c r="F79" s="78"/>
      <c r="G79" s="42">
        <v>69750</v>
      </c>
      <c r="H79" s="42">
        <f t="shared" ref="H79:H81" si="18">H80</f>
        <v>0</v>
      </c>
      <c r="I79" s="42">
        <f t="shared" si="17"/>
        <v>69750</v>
      </c>
    </row>
    <row r="80" spans="1:9" s="18" customFormat="1" ht="31.5">
      <c r="A80" s="41" t="str">
        <f>IF(B80&gt;0,VLOOKUP(B80,КВСР!A45:B1210,2),IF(C80&gt;0,VLOOKUP(C80,КФСР!A45:B1557,2),IF(D80&gt;0,VLOOKUP(D80,Программа!A$1:B$5008,2),IF(F80&gt;0,VLOOKUP(F80,КВР!A$1:B$5001,2),IF(E80&gt;0,VLOOKUP(E80,Направление!A$1:B$4660,2))))))</f>
        <v>Межбюджетные трансферты  поселениям района</v>
      </c>
      <c r="B80" s="85"/>
      <c r="C80" s="77"/>
      <c r="D80" s="78">
        <v>990</v>
      </c>
      <c r="E80" s="77"/>
      <c r="F80" s="78"/>
      <c r="G80" s="42">
        <v>69750</v>
      </c>
      <c r="H80" s="42">
        <f t="shared" si="18"/>
        <v>0</v>
      </c>
      <c r="I80" s="42">
        <f t="shared" si="17"/>
        <v>69750</v>
      </c>
    </row>
    <row r="81" spans="1:9" s="18" customFormat="1" ht="54" customHeight="1">
      <c r="A81" s="41" t="str">
        <f>IF(B81&gt;0,VLOOKUP(B81,КВСР!A46:B1211,2),IF(C81&gt;0,VLOOKUP(C81,КФСР!A46:B1558,2),IF(D81&gt;0,VLOOKUP(D81,Программа!A$1:B$5008,2),IF(F81&gt;0,VLOOKUP(F81,КВР!A$1:B$5001,2),IF(E81&gt;0,VLOOKUP(E81,Направление!A$1:B$4660,2))))))</f>
        <v>Субсидия на реализацию мероприятий по обеспечению безопасности граждан на водных объектах</v>
      </c>
      <c r="B81" s="85"/>
      <c r="C81" s="77"/>
      <c r="D81" s="78"/>
      <c r="E81" s="77">
        <v>7145</v>
      </c>
      <c r="F81" s="78"/>
      <c r="G81" s="42">
        <v>69750</v>
      </c>
      <c r="H81" s="42">
        <f t="shared" si="18"/>
        <v>0</v>
      </c>
      <c r="I81" s="42">
        <f t="shared" si="17"/>
        <v>69750</v>
      </c>
    </row>
    <row r="82" spans="1:9" s="18" customFormat="1">
      <c r="A82" s="41" t="str">
        <f>IF(B82&gt;0,VLOOKUP(B82,КВСР!A47:B1212,2),IF(C82&gt;0,VLOOKUP(C82,КФСР!A47:B1559,2),IF(D82&gt;0,VLOOKUP(D82,Программа!A$1:B$5008,2),IF(F82&gt;0,VLOOKUP(F82,КВР!A$1:B$5001,2),IF(E82&gt;0,VLOOKUP(E82,Направление!A$1:B$4660,2))))))</f>
        <v xml:space="preserve"> Межбюджетные трансферты</v>
      </c>
      <c r="B82" s="85"/>
      <c r="C82" s="77"/>
      <c r="D82" s="78"/>
      <c r="E82" s="77"/>
      <c r="F82" s="78">
        <v>500</v>
      </c>
      <c r="G82" s="42">
        <v>69750</v>
      </c>
      <c r="H82" s="334"/>
      <c r="I82" s="42">
        <f t="shared" si="17"/>
        <v>69750</v>
      </c>
    </row>
    <row r="83" spans="1:9" s="18" customFormat="1">
      <c r="A83" s="41" t="str">
        <f>IF(B83&gt;0,VLOOKUP(B83,КВСР!A48:B1213,2),IF(C83&gt;0,VLOOKUP(C83,КФСР!A48:B1560,2),IF(D83&gt;0,VLOOKUP(D83,Программа!A$1:B$5008,2),IF(F83&gt;0,VLOOKUP(F83,КВР!A$1:B$5001,2),IF(E83&gt;0,VLOOKUP(E83,Направление!A$1:B$4660,2))))))</f>
        <v>Сельское хозяйство и рыболовство</v>
      </c>
      <c r="B83" s="85"/>
      <c r="C83" s="77">
        <v>405</v>
      </c>
      <c r="D83" s="78"/>
      <c r="E83" s="77"/>
      <c r="F83" s="78"/>
      <c r="G83" s="42">
        <v>1300000</v>
      </c>
      <c r="H83" s="42">
        <f t="shared" ref="H83:H85" si="19">H84</f>
        <v>0</v>
      </c>
      <c r="I83" s="42">
        <f t="shared" si="17"/>
        <v>1300000</v>
      </c>
    </row>
    <row r="84" spans="1:9" s="18" customFormat="1">
      <c r="A84" s="41" t="str">
        <f>IF(B84&gt;0,VLOOKUP(B84,КВСР!A49:B1214,2),IF(C84&gt;0,VLOOKUP(C84,КФСР!A49:B1561,2),IF(D84&gt;0,VLOOKUP(D84,Программа!A$1:B$5008,2),IF(F84&gt;0,VLOOKUP(F84,КВР!A$1:B$5001,2),IF(E84&gt;0,VLOOKUP(E84,Направление!A$1:B$4660,2))))))</f>
        <v>Развитие сельского хозяйства</v>
      </c>
      <c r="B84" s="85"/>
      <c r="C84" s="77"/>
      <c r="D84" s="78">
        <v>140</v>
      </c>
      <c r="E84" s="77"/>
      <c r="F84" s="78"/>
      <c r="G84" s="42">
        <v>1300000</v>
      </c>
      <c r="H84" s="42">
        <f t="shared" si="19"/>
        <v>0</v>
      </c>
      <c r="I84" s="42">
        <f t="shared" si="17"/>
        <v>1300000</v>
      </c>
    </row>
    <row r="85" spans="1:9" s="18" customFormat="1" ht="88.5" customHeight="1">
      <c r="A85" s="41" t="str">
        <f>IF(B85&gt;0,VLOOKUP(B85,КВСР!A50:B1215,2),IF(C85&gt;0,VLOOKUP(C85,КФСР!A50:B1562,2),IF(D85&gt;0,VLOOKUP(D85,Программа!A$1:B$5008,2),IF(F85&gt;0,VLOOKUP(F85,КВР!A$1:B$5001,2),IF(E85&gt;0,VLOOKUP(E85,Направление!A$1:B$4660,2))))))</f>
        <v>Муниципальная целевая программа «Развитие агропромышленного комплекса и сельских территорий Тутаевского муниципального района на 2013-2015 годы».</v>
      </c>
      <c r="B85" s="85"/>
      <c r="C85" s="77"/>
      <c r="D85" s="78">
        <v>142</v>
      </c>
      <c r="E85" s="77"/>
      <c r="F85" s="78"/>
      <c r="G85" s="42">
        <v>1300000</v>
      </c>
      <c r="H85" s="42">
        <f t="shared" si="19"/>
        <v>0</v>
      </c>
      <c r="I85" s="42">
        <f t="shared" si="17"/>
        <v>1300000</v>
      </c>
    </row>
    <row r="86" spans="1:9" s="18" customFormat="1" ht="47.25" customHeight="1">
      <c r="A86" s="41" t="str">
        <f>IF(B86&gt;0,VLOOKUP(B86,КВСР!A51:B1216,2),IF(C86&gt;0,VLOOKUP(C86,КФСР!A51:B1563,2),IF(D86&gt;0,VLOOKUP(D86,Программа!A$1:B$5008,2),IF(F86&gt;0,VLOOKUP(F86,КВР!A$1:B$5001,2),IF(E86&gt;0,VLOOKUP(E86,Направление!A$1:B$4660,2))))))</f>
        <v>Мероприятия  направленные на развитие агропромышленного комплекса</v>
      </c>
      <c r="B86" s="85"/>
      <c r="C86" s="77"/>
      <c r="D86" s="78"/>
      <c r="E86" s="77">
        <v>1070</v>
      </c>
      <c r="F86" s="78"/>
      <c r="G86" s="42">
        <v>1300000</v>
      </c>
      <c r="H86" s="42">
        <f>H87+H88+H89</f>
        <v>0</v>
      </c>
      <c r="I86" s="42">
        <f t="shared" si="17"/>
        <v>1300000</v>
      </c>
    </row>
    <row r="87" spans="1:9" s="18" customFormat="1" ht="31.5">
      <c r="A87" s="41" t="str">
        <f>IF(B87&gt;0,VLOOKUP(B87,КВСР!A52:B1217,2),IF(C87&gt;0,VLOOKUP(C87,КФСР!A52:B1564,2),IF(D87&gt;0,VLOOKUP(D87,Программа!A$1:B$5008,2),IF(F87&gt;0,VLOOKUP(F87,КВР!A$1:B$5001,2),IF(E87&gt;0,VLOOKUP(E87,Направление!A$1:B$4660,2))))))</f>
        <v>Закупка товаров, работ и услуг для государственных нужд</v>
      </c>
      <c r="B87" s="85"/>
      <c r="C87" s="77"/>
      <c r="D87" s="78"/>
      <c r="E87" s="77"/>
      <c r="F87" s="78">
        <v>200</v>
      </c>
      <c r="G87" s="42">
        <v>200000</v>
      </c>
      <c r="H87" s="334"/>
      <c r="I87" s="42">
        <f t="shared" si="17"/>
        <v>200000</v>
      </c>
    </row>
    <row r="88" spans="1:9" s="18" customFormat="1" ht="31.5">
      <c r="A88" s="41" t="str">
        <f>IF(B88&gt;0,VLOOKUP(B88,КВСР!A53:B1218,2),IF(C88&gt;0,VLOOKUP(C88,КФСР!A53:B1565,2),IF(D88&gt;0,VLOOKUP(D88,Программа!A$1:B$5008,2),IF(F88&gt;0,VLOOKUP(F88,КВР!A$1:B$5001,2),IF(E88&gt;0,VLOOKUP(E88,Направление!A$1:B$4660,2))))))</f>
        <v>Социальное обеспечение и иные выплаты населению</v>
      </c>
      <c r="B88" s="85"/>
      <c r="C88" s="77"/>
      <c r="D88" s="78"/>
      <c r="E88" s="77"/>
      <c r="F88" s="78">
        <v>300</v>
      </c>
      <c r="G88" s="42">
        <v>49000</v>
      </c>
      <c r="H88" s="334"/>
      <c r="I88" s="42">
        <f t="shared" si="17"/>
        <v>49000</v>
      </c>
    </row>
    <row r="89" spans="1:9" s="18" customFormat="1" ht="21" customHeight="1">
      <c r="A89" s="41" t="str">
        <f>IF(B89&gt;0,VLOOKUP(B89,КВСР!A54:B1219,2),IF(C89&gt;0,VLOOKUP(C89,КФСР!A54:B1566,2),IF(D89&gt;0,VLOOKUP(D89,Программа!A$1:B$5008,2),IF(F89&gt;0,VLOOKUP(F89,КВР!A$1:B$5001,2),IF(E89&gt;0,VLOOKUP(E89,Направление!A$1:B$4660,2))))))</f>
        <v>Иные бюджетные ассигнования</v>
      </c>
      <c r="B89" s="85"/>
      <c r="C89" s="77"/>
      <c r="D89" s="78"/>
      <c r="E89" s="77"/>
      <c r="F89" s="78">
        <v>800</v>
      </c>
      <c r="G89" s="42">
        <v>1051000</v>
      </c>
      <c r="H89" s="334"/>
      <c r="I89" s="42">
        <f t="shared" si="17"/>
        <v>1051000</v>
      </c>
    </row>
    <row r="90" spans="1:9" s="18" customFormat="1" ht="31.5">
      <c r="A90" s="41" t="str">
        <f>IF(B90&gt;0,VLOOKUP(B90,КВСР!A48:B1213,2),IF(C90&gt;0,VLOOKUP(C90,КФСР!A48:B1560,2),IF(D90&gt;0,VLOOKUP(D90,Программа!A$1:B$5008,2),IF(F90&gt;0,VLOOKUP(F90,КВР!A$1:B$5001,2),IF(E90&gt;0,VLOOKUP(E90,Направление!A$1:B$4660,2))))))</f>
        <v>Другие вопросы в области национальной экономики</v>
      </c>
      <c r="B90" s="85"/>
      <c r="C90" s="77">
        <v>412</v>
      </c>
      <c r="D90" s="78"/>
      <c r="E90" s="77"/>
      <c r="F90" s="78"/>
      <c r="G90" s="42">
        <v>2464889</v>
      </c>
      <c r="H90" s="42">
        <f>H91+H103+H98+H95</f>
        <v>0</v>
      </c>
      <c r="I90" s="42">
        <f t="shared" si="17"/>
        <v>2464889</v>
      </c>
    </row>
    <row r="91" spans="1:9" s="18" customFormat="1" ht="81" customHeight="1">
      <c r="A91" s="41" t="str">
        <f>IF(B91&gt;0,VLOOKUP(B91,КВСР!A49:B1214,2),IF(C91&gt;0,VLOOKUP(C91,КФСР!A49:B1561,2),IF(D91&gt;0,VLOOKUP(D91,Программа!A$1:B$5008,2),IF(F91&gt;0,VLOOKUP(F91,КВР!A$1:B$5001,2),IF(E91&gt;0,VLOOKUP(E91,Направление!A$1:B$4660,2))))))</f>
        <v>Развитие экономического потенциала и формирование благоприятного инвестиционного климата, развитие предпринимательства</v>
      </c>
      <c r="B91" s="85"/>
      <c r="C91" s="77"/>
      <c r="D91" s="78">
        <v>100</v>
      </c>
      <c r="E91" s="77"/>
      <c r="F91" s="78"/>
      <c r="G91" s="42">
        <v>70000</v>
      </c>
      <c r="H91" s="42">
        <f t="shared" ref="H91:H93" si="20">H92</f>
        <v>0</v>
      </c>
      <c r="I91" s="42">
        <f t="shared" si="17"/>
        <v>70000</v>
      </c>
    </row>
    <row r="92" spans="1:9" s="18" customFormat="1" ht="78.75">
      <c r="A92" s="41" t="str">
        <f>IF(B92&gt;0,VLOOKUP(B92,КВСР!A49:B1214,2),IF(C92&gt;0,VLOOKUP(C92,КФСР!A49:B1561,2),IF(D92&gt;0,VLOOKUP(D92,Программа!A$1:B$5008,2),IF(F92&gt;0,VLOOKUP(F92,КВР!A$1:B$5001,2),IF(E92&gt;0,VLOOKUP(E92,Направление!A$1:B$4660,2))))))</f>
        <v>Муниципальная целевая программа «Развитие субъектов малого и среднего предпринимательства Тутаевского муниципального района на 2012-2015 годы».</v>
      </c>
      <c r="B92" s="85"/>
      <c r="C92" s="77"/>
      <c r="D92" s="78">
        <v>101</v>
      </c>
      <c r="E92" s="77"/>
      <c r="F92" s="78"/>
      <c r="G92" s="42">
        <v>70000</v>
      </c>
      <c r="H92" s="42">
        <f t="shared" si="20"/>
        <v>0</v>
      </c>
      <c r="I92" s="42">
        <f t="shared" si="17"/>
        <v>70000</v>
      </c>
    </row>
    <row r="93" spans="1:9" s="18" customFormat="1" ht="47.25">
      <c r="A93" s="41" t="str">
        <f>IF(B93&gt;0,VLOOKUP(B93,КВСР!A50:B1215,2),IF(C93&gt;0,VLOOKUP(C93,КФСР!A50:B1562,2),IF(D93&gt;0,VLOOKUP(D93,Программа!A$1:B$5008,2),IF(F93&gt;0,VLOOKUP(F93,КВР!A$1:B$5001,2),IF(E93&gt;0,VLOOKUP(E93,Направление!A$1:B$4660,2))))))</f>
        <v>Расходы на содействие развитию малого и среднего предпринимательства</v>
      </c>
      <c r="B93" s="85"/>
      <c r="C93" s="77"/>
      <c r="D93" s="78"/>
      <c r="E93" s="77">
        <v>1030</v>
      </c>
      <c r="F93" s="78"/>
      <c r="G93" s="42">
        <v>70000</v>
      </c>
      <c r="H93" s="42">
        <f t="shared" si="20"/>
        <v>0</v>
      </c>
      <c r="I93" s="42">
        <f t="shared" si="17"/>
        <v>70000</v>
      </c>
    </row>
    <row r="94" spans="1:9" s="18" customFormat="1" ht="31.5">
      <c r="A94" s="41" t="str">
        <f>IF(B94&gt;0,VLOOKUP(B94,КВСР!A51:B1216,2),IF(C94&gt;0,VLOOKUP(C94,КФСР!A51:B1563,2),IF(D94&gt;0,VLOOKUP(D94,Программа!A$1:B$5008,2),IF(F94&gt;0,VLOOKUP(F94,КВР!A$1:B$5001,2),IF(E94&gt;0,VLOOKUP(E94,Направление!A$1:B$4660,2))))))</f>
        <v>Закупка товаров, работ и услуг для государственных нужд</v>
      </c>
      <c r="B94" s="85"/>
      <c r="C94" s="77"/>
      <c r="D94" s="78"/>
      <c r="E94" s="77"/>
      <c r="F94" s="78">
        <v>200</v>
      </c>
      <c r="G94" s="42">
        <v>70000</v>
      </c>
      <c r="H94" s="334"/>
      <c r="I94" s="42">
        <f t="shared" si="17"/>
        <v>70000</v>
      </c>
    </row>
    <row r="95" spans="1:9" s="18" customFormat="1" ht="37.5" customHeight="1">
      <c r="A95" s="41" t="str">
        <f>IF(B95&gt;0,VLOOKUP(B95,КВСР!A52:B1217,2),IF(C95&gt;0,VLOOKUP(C95,КФСР!A52:B1564,2),IF(D95&gt;0,VLOOKUP(D95,Программа!A$1:B$5008,2),IF(F95&gt;0,VLOOKUP(F95,КВР!A$1:B$5001,2),IF(E95&gt;0,VLOOKUP(E95,Направление!A$1:B$4660,2))))))</f>
        <v>Межбюджетные трансферты  поселениям района</v>
      </c>
      <c r="B95" s="85"/>
      <c r="C95" s="77"/>
      <c r="D95" s="78">
        <v>990</v>
      </c>
      <c r="E95" s="77"/>
      <c r="F95" s="78"/>
      <c r="G95" s="42">
        <v>1000000</v>
      </c>
      <c r="H95" s="340">
        <f>H96</f>
        <v>0</v>
      </c>
      <c r="I95" s="42">
        <f t="shared" si="17"/>
        <v>1000000</v>
      </c>
    </row>
    <row r="96" spans="1:9" s="18" customFormat="1" ht="105" customHeight="1">
      <c r="A96" s="41" t="str">
        <f>IF(B96&gt;0,VLOOKUP(B96,КВСР!A53:B1218,2),IF(C96&gt;0,VLOOKUP(C96,КФСР!A53:B1565,2),IF(D96&gt;0,VLOOKUP(D96,Программа!A$1:B$5008,2),IF(F96&gt;0,VLOOKUP(F96,КВР!A$1:B$5001,2),IF(E96&gt;0,VLOOKUP(E96,Направление!A$1:B$4660,2))))))</f>
        <v>Субсидия на реализацию муниципальных программ развития малого и среднего предпринимательства монопрофильных образований за счет средств областного бюджета</v>
      </c>
      <c r="B96" s="85"/>
      <c r="C96" s="77"/>
      <c r="D96" s="78"/>
      <c r="E96" s="77">
        <v>7217</v>
      </c>
      <c r="F96" s="78"/>
      <c r="G96" s="42">
        <v>1000000</v>
      </c>
      <c r="H96" s="340">
        <f>H97</f>
        <v>0</v>
      </c>
      <c r="I96" s="42">
        <f t="shared" si="17"/>
        <v>1000000</v>
      </c>
    </row>
    <row r="97" spans="1:9" s="18" customFormat="1">
      <c r="A97" s="41" t="str">
        <f>IF(B97&gt;0,VLOOKUP(B97,КВСР!A54:B1219,2),IF(C97&gt;0,VLOOKUP(C97,КФСР!A54:B1566,2),IF(D97&gt;0,VLOOKUP(D97,Программа!A$1:B$5008,2),IF(F97&gt;0,VLOOKUP(F97,КВР!A$1:B$5001,2),IF(E97&gt;0,VLOOKUP(E97,Направление!A$1:B$4660,2))))))</f>
        <v xml:space="preserve"> Межбюджетные трансферты</v>
      </c>
      <c r="B97" s="85"/>
      <c r="C97" s="77"/>
      <c r="D97" s="78"/>
      <c r="E97" s="77"/>
      <c r="F97" s="78">
        <v>500</v>
      </c>
      <c r="G97" s="42">
        <v>1000000</v>
      </c>
      <c r="H97" s="334"/>
      <c r="I97" s="42">
        <f t="shared" si="17"/>
        <v>1000000</v>
      </c>
    </row>
    <row r="98" spans="1:9" s="18" customFormat="1">
      <c r="A98" s="41" t="str">
        <f>IF(B98&gt;0,VLOOKUP(B98,КВСР!A51:B1216,2),IF(C98&gt;0,VLOOKUP(C98,КФСР!A51:B1563,2),IF(D98&gt;0,VLOOKUP(D98,Программа!A$1:B$5008,2),IF(F98&gt;0,VLOOKUP(F98,КВР!A$1:B$5001,2),IF(E98&gt;0,VLOOKUP(E98,Направление!A$1:B$4660,2))))))</f>
        <v>Развитие сельского хозяйства</v>
      </c>
      <c r="B98" s="85"/>
      <c r="C98" s="77"/>
      <c r="D98" s="78">
        <v>140</v>
      </c>
      <c r="E98" s="77"/>
      <c r="F98" s="78"/>
      <c r="G98" s="42">
        <v>148889</v>
      </c>
      <c r="H98" s="340">
        <f>H99</f>
        <v>0</v>
      </c>
      <c r="I98" s="42">
        <f t="shared" si="17"/>
        <v>148889</v>
      </c>
    </row>
    <row r="99" spans="1:9" s="18" customFormat="1" ht="63">
      <c r="A99" s="41" t="str">
        <f>IF(B99&gt;0,VLOOKUP(B99,КВСР!A52:B1217,2),IF(C99&gt;0,VLOOKUP(C99,КФСР!A52:B1564,2),IF(D99&gt;0,VLOOKUP(D99,Программа!A$1:B$5008,2),IF(F99&gt;0,VLOOKUP(F99,КВР!A$1:B$5001,2),IF(E99&gt;0,VLOOKUP(E99,Направление!A$1:B$4660,2))))))</f>
        <v>Муниципальная целевая программа «Развитие потребительского рынка Тутаевского муниципального района на 2012-2014 годы».</v>
      </c>
      <c r="B99" s="85"/>
      <c r="C99" s="77"/>
      <c r="D99" s="78">
        <v>141</v>
      </c>
      <c r="E99" s="77"/>
      <c r="F99" s="78"/>
      <c r="G99" s="42">
        <v>148889</v>
      </c>
      <c r="H99" s="346">
        <f>H100</f>
        <v>0</v>
      </c>
      <c r="I99" s="42">
        <f t="shared" si="17"/>
        <v>148889</v>
      </c>
    </row>
    <row r="100" spans="1:9" s="18" customFormat="1" ht="64.5" customHeight="1">
      <c r="A100" s="41" t="str">
        <f>IF(B100&gt;0,VLOOKUP(B100,КВСР!A53:B1218,2),IF(C100&gt;0,VLOOKUP(C100,КФСР!A53:B1565,2),IF(D100&gt;0,VLOOKUP(D100,Программа!A$1:B$5008,2),IF(F100&gt;0,VLOOKUP(F100,КВР!A$1:B$5001,2),IF(E100&gt;0,VLOOKUP(E100,Направление!A$1:B$4660,2))))))</f>
        <v>Мероприятия направленные на возмещение части затрат за доставку товаров в отдаленные сельские населенные  пункты</v>
      </c>
      <c r="B100" s="85"/>
      <c r="C100" s="77"/>
      <c r="D100" s="78"/>
      <c r="E100" s="77">
        <v>1071</v>
      </c>
      <c r="F100" s="78"/>
      <c r="G100" s="42">
        <v>148889</v>
      </c>
      <c r="H100" s="340">
        <f>H102</f>
        <v>0</v>
      </c>
      <c r="I100" s="42">
        <f t="shared" si="17"/>
        <v>148889</v>
      </c>
    </row>
    <row r="101" spans="1:9" s="18" customFormat="1" ht="64.5" customHeight="1">
      <c r="A101" s="41" t="str">
        <f>IF(B101&gt;0,VLOOKUP(B101,КВСР!A53:B1218,2),IF(C101&gt;0,VLOOKUP(C101,КФСР!A53:B1565,2),IF(D101&gt;0,VLOOKUP(D101,Программа!A$1:B$5008,2),IF(F101&gt;0,VLOOKUP(F101,КВР!A$1:B$5001,2),IF(E101&gt;0,VLOOKUP(E101,Направление!A$1:B$4660,2))))))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101" s="85"/>
      <c r="C101" s="77"/>
      <c r="D101" s="78"/>
      <c r="E101" s="77">
        <v>7288</v>
      </c>
      <c r="F101" s="78"/>
      <c r="G101" s="42">
        <v>134000</v>
      </c>
      <c r="H101" s="340">
        <f>H102</f>
        <v>0</v>
      </c>
      <c r="I101" s="42">
        <f t="shared" si="17"/>
        <v>134000</v>
      </c>
    </row>
    <row r="102" spans="1:9" s="18" customFormat="1">
      <c r="A102" s="41" t="str">
        <f>IF(B102&gt;0,VLOOKUP(B102,КВСР!A54:B1219,2),IF(C102&gt;0,VLOOKUP(C102,КФСР!A54:B1566,2),IF(D102&gt;0,VLOOKUP(D102,Программа!A$1:B$5008,2),IF(F102&gt;0,VLOOKUP(F102,КВР!A$1:B$5001,2),IF(E102&gt;0,VLOOKUP(E102,Направление!A$1:B$4660,2))))))</f>
        <v>Иные бюджетные ассигнования</v>
      </c>
      <c r="B102" s="85"/>
      <c r="C102" s="77"/>
      <c r="D102" s="78"/>
      <c r="E102" s="77"/>
      <c r="F102" s="78">
        <v>800</v>
      </c>
      <c r="G102" s="42">
        <v>148889</v>
      </c>
      <c r="H102" s="334"/>
      <c r="I102" s="42">
        <f t="shared" si="17"/>
        <v>148889</v>
      </c>
    </row>
    <row r="103" spans="1:9" s="18" customFormat="1">
      <c r="A103" s="41" t="str">
        <f>IF(B103&gt;0,VLOOKUP(B103,КВСР!A50:B1215,2),IF(C103&gt;0,VLOOKUP(C103,КФСР!A50:B1562,2),IF(D103&gt;0,VLOOKUP(D103,Программа!A$1:B$5008,2),IF(F103&gt;0,VLOOKUP(F103,КВР!A$1:B$5001,2),IF(E103&gt;0,VLOOKUP(E103,Направление!A$1:B$4660,2))))))</f>
        <v>Непрограммные расходы бюджета</v>
      </c>
      <c r="B103" s="85"/>
      <c r="C103" s="77"/>
      <c r="D103" s="78">
        <v>409</v>
      </c>
      <c r="E103" s="77"/>
      <c r="F103" s="78"/>
      <c r="G103" s="42">
        <v>1246000</v>
      </c>
      <c r="H103" s="340">
        <f>H106+H104</f>
        <v>0</v>
      </c>
      <c r="I103" s="42">
        <f t="shared" si="17"/>
        <v>1246000</v>
      </c>
    </row>
    <row r="104" spans="1:9" s="18" customFormat="1" ht="30.75" customHeight="1">
      <c r="A104" s="41" t="str">
        <f>IF(B104&gt;0,VLOOKUP(B104,КВСР!A51:B1216,2),IF(C104&gt;0,VLOOKUP(C104,КФСР!A51:B1563,2),IF(D104&gt;0,VLOOKUP(D104,Программа!A$1:B$5008,2),IF(F104&gt;0,VLOOKUP(F104,КВР!A$1:B$5001,2),IF(E104&gt;0,VLOOKUP(E104,Направление!A$1:B$4660,2))))))</f>
        <v>Мероприятия в области градостроительства</v>
      </c>
      <c r="B104" s="85"/>
      <c r="C104" s="77"/>
      <c r="D104" s="78"/>
      <c r="E104" s="77">
        <v>1050</v>
      </c>
      <c r="F104" s="78"/>
      <c r="G104" s="42">
        <v>454000</v>
      </c>
      <c r="H104" s="340">
        <f>H105</f>
        <v>0</v>
      </c>
      <c r="I104" s="42">
        <f t="shared" si="17"/>
        <v>454000</v>
      </c>
    </row>
    <row r="105" spans="1:9" s="18" customFormat="1" ht="42.75" customHeight="1">
      <c r="A105" s="41" t="str">
        <f>IF(B105&gt;0,VLOOKUP(B105,КВСР!A52:B1217,2),IF(C105&gt;0,VLOOKUP(C105,КФСР!A52:B1564,2),IF(D105&gt;0,VLOOKUP(D105,Программа!A$1:B$5008,2),IF(F105&gt;0,VLOOKUP(F105,КВР!A$1:B$5001,2),IF(E105&gt;0,VLOOKUP(E105,Направление!A$1:B$4660,2))))))</f>
        <v>Закупка товаров, работ и услуг для государственных нужд</v>
      </c>
      <c r="B105" s="85"/>
      <c r="C105" s="77"/>
      <c r="D105" s="78"/>
      <c r="E105" s="77"/>
      <c r="F105" s="78">
        <v>200</v>
      </c>
      <c r="G105" s="42">
        <v>454000</v>
      </c>
      <c r="H105" s="334"/>
      <c r="I105" s="42">
        <f t="shared" si="17"/>
        <v>454000</v>
      </c>
    </row>
    <row r="106" spans="1:9" s="18" customFormat="1" ht="52.5" customHeight="1">
      <c r="A106" s="41" t="str">
        <f>IF(B106&gt;0,VLOOKUP(B106,КВСР!A53:B1218,2),IF(C106&gt;0,VLOOKUP(C106,КФСР!A53:B1565,2),IF(D106&gt;0,VLOOKUP(D106,Программа!A$1:B$5008,2),IF(F106&gt;0,VLOOKUP(F106,КВР!A$1:B$5001,2),IF(E106&gt;0,VLOOKUP(E106,Направление!A$1:B$4660,2))))))</f>
        <v>Обеспечение мероприятий по внесению изменений в документы территориального планирования</v>
      </c>
      <c r="B106" s="85"/>
      <c r="C106" s="77"/>
      <c r="D106" s="78"/>
      <c r="E106" s="77">
        <v>2912</v>
      </c>
      <c r="F106" s="78"/>
      <c r="G106" s="42">
        <v>792000</v>
      </c>
      <c r="H106" s="340">
        <f>H107</f>
        <v>0</v>
      </c>
      <c r="I106" s="42">
        <f t="shared" si="17"/>
        <v>792000</v>
      </c>
    </row>
    <row r="107" spans="1:9" s="18" customFormat="1" ht="31.5">
      <c r="A107" s="41" t="str">
        <f>IF(B107&gt;0,VLOOKUP(B107,КВСР!A54:B1219,2),IF(C107&gt;0,VLOOKUP(C107,КФСР!A54:B1566,2),IF(D107&gt;0,VLOOKUP(D107,Программа!A$1:B$5008,2),IF(F107&gt;0,VLOOKUP(F107,КВР!A$1:B$5001,2),IF(E107&gt;0,VLOOKUP(E107,Направление!A$1:B$4660,2))))))</f>
        <v>Закупка товаров, работ и услуг для государственных нужд</v>
      </c>
      <c r="B107" s="85"/>
      <c r="C107" s="77"/>
      <c r="D107" s="78"/>
      <c r="E107" s="77"/>
      <c r="F107" s="78">
        <v>200</v>
      </c>
      <c r="G107" s="42">
        <v>792000</v>
      </c>
      <c r="H107" s="334"/>
      <c r="I107" s="42">
        <f t="shared" si="17"/>
        <v>792000</v>
      </c>
    </row>
    <row r="108" spans="1:9" s="18" customFormat="1" ht="24" customHeight="1">
      <c r="A108" s="41" t="str">
        <f>IF(B108&gt;0,VLOOKUP(B108,КВСР!A55:B1220,2),IF(C108&gt;0,VLOOKUP(C108,КФСР!A55:B1567,2),IF(D108&gt;0,VLOOKUP(D108,Программа!A$1:B$5008,2),IF(F108&gt;0,VLOOKUP(F108,КВР!A$1:B$5001,2),IF(E108&gt;0,VLOOKUP(E108,Направление!A$1:B$4660,2))))))</f>
        <v>Жилищное хозяйство</v>
      </c>
      <c r="B108" s="85"/>
      <c r="C108" s="77">
        <v>501</v>
      </c>
      <c r="D108" s="78"/>
      <c r="E108" s="77"/>
      <c r="F108" s="78"/>
      <c r="G108" s="42">
        <v>125800430.62</v>
      </c>
      <c r="H108" s="340">
        <f>H109+H125-0.5</f>
        <v>-9862221.3599999994</v>
      </c>
      <c r="I108" s="42">
        <f>SUM(G108:H108)</f>
        <v>115938209.26000001</v>
      </c>
    </row>
    <row r="109" spans="1:9" s="18" customFormat="1" ht="23.25" customHeight="1">
      <c r="A109" s="41" t="str">
        <f>IF(B109&gt;0,VLOOKUP(B109,КВСР!A56:B1221,2),IF(C109&gt;0,VLOOKUP(C109,КФСР!A56:B1568,2),IF(D109&gt;0,VLOOKUP(D109,Программа!A$1:B$5008,2),IF(F109&gt;0,VLOOKUP(F109,КВР!A$1:B$5001,2),IF(E109&gt;0,VLOOKUP(E109,Направление!A$1:B$4660,2))))))</f>
        <v xml:space="preserve">Развитие жилищного строительства </v>
      </c>
      <c r="B109" s="85"/>
      <c r="C109" s="77"/>
      <c r="D109" s="78">
        <v>170</v>
      </c>
      <c r="E109" s="77"/>
      <c r="F109" s="78"/>
      <c r="G109" s="42">
        <v>74142685.590000004</v>
      </c>
      <c r="H109" s="340">
        <f>H110</f>
        <v>-5466276.2300000004</v>
      </c>
      <c r="I109" s="42">
        <f t="shared" si="17"/>
        <v>68676409.359999999</v>
      </c>
    </row>
    <row r="110" spans="1:9" s="18" customFormat="1" ht="96.75" customHeight="1">
      <c r="A110" s="41" t="str">
        <f>IF(B110&gt;0,VLOOKUP(B110,КВСР!A56:B1221,2),IF(C110&gt;0,VLOOKUP(C110,КФСР!A56:B1568,2),IF(D110&gt;0,VLOOKUP(D110,Программа!A$1:B$5008,2),IF(F110&gt;0,VLOOKUP(F110,КВР!A$1:B$5001,2),IF(E110&gt;0,VLOOKUP(E110,Направление!A$1:B$4660,2))))))</f>
        <v>МЦП «Развитие жилищного строительства в Тутаевском МР на 2011-2015 годы» Подпрограмма «Переселение граждан из аварийного жилищного фонда  в ТМР» на 2013-2015 годы</v>
      </c>
      <c r="B110" s="85"/>
      <c r="C110" s="77"/>
      <c r="D110" s="78">
        <v>171</v>
      </c>
      <c r="E110" s="77"/>
      <c r="F110" s="78"/>
      <c r="G110" s="42">
        <f>74142685.59-0.4</f>
        <v>74142685.189999998</v>
      </c>
      <c r="H110" s="340">
        <f>H123+H121+H119+H117+H115+H113+H111</f>
        <v>-5466276.2300000004</v>
      </c>
      <c r="I110" s="42">
        <f t="shared" si="17"/>
        <v>68676408.959999993</v>
      </c>
    </row>
    <row r="111" spans="1:9" s="18" customFormat="1" ht="112.5" customHeight="1">
      <c r="A111" s="41" t="str">
        <f>IF(B111&gt;0,VLOOKUP(B111,КВСР!A57:B1222,2),IF(C111&gt;0,VLOOKUP(C111,КФСР!A57:B1569,2),IF(D111&gt;0,VLOOKUP(D111,Программа!A$1:B$5008,2),IF(F111&gt;0,VLOOKUP(F111,КВР!A$1:B$5001,2),IF(E111&gt;0,VLOOKUP(E111,Направление!A$1:B$4660,2))))))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переходящих  средств бюджета (доп.площади)</v>
      </c>
      <c r="B111" s="85"/>
      <c r="C111" s="77"/>
      <c r="D111" s="78"/>
      <c r="E111" s="77">
        <v>1007</v>
      </c>
      <c r="F111" s="78"/>
      <c r="G111" s="42">
        <v>1384380.4</v>
      </c>
      <c r="H111" s="340">
        <f>H112</f>
        <v>0</v>
      </c>
      <c r="I111" s="42">
        <f t="shared" si="17"/>
        <v>1384380.4</v>
      </c>
    </row>
    <row r="112" spans="1:9" s="18" customFormat="1" ht="29.25" customHeight="1">
      <c r="A112" s="41" t="str">
        <f>IF(B112&gt;0,VLOOKUP(B112,КВСР!A58:B1223,2),IF(C112&gt;0,VLOOKUP(C112,КФСР!A58:B1570,2),IF(D112&gt;0,VLOOKUP(D112,Программа!A$1:B$5008,2),IF(F112&gt;0,VLOOKUP(F112,КВР!A$1:B$5001,2),IF(E112&gt;0,VLOOKUP(E112,Направление!A$1:B$4660,2))))))</f>
        <v>Бюджетные инвестиции</v>
      </c>
      <c r="B112" s="85"/>
      <c r="C112" s="77"/>
      <c r="D112" s="78"/>
      <c r="E112" s="77"/>
      <c r="F112" s="78">
        <v>400</v>
      </c>
      <c r="G112" s="42">
        <v>1384380.4</v>
      </c>
      <c r="H112" s="334"/>
      <c r="I112" s="42">
        <f t="shared" si="17"/>
        <v>1384380.4</v>
      </c>
    </row>
    <row r="113" spans="1:9" s="18" customFormat="1" ht="114.75" customHeight="1">
      <c r="A113" s="41" t="str">
        <f>IF(B113&gt;0,VLOOKUP(B113,КВСР!A59:B1224,2),IF(C113&gt;0,VLOOKUP(C113,КФСР!A59:B1571,2),IF(D113&gt;0,VLOOKUP(D113,Программа!A$1:B$5008,2),IF(F113&gt;0,VLOOKUP(F113,КВР!A$1:B$5001,2),IF(E113&gt;0,VLOOKUP(E113,Направление!A$1:B$4660,2))))))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поселений</v>
      </c>
      <c r="B113" s="85"/>
      <c r="C113" s="77"/>
      <c r="D113" s="78"/>
      <c r="E113" s="77">
        <v>2910</v>
      </c>
      <c r="F113" s="78"/>
      <c r="G113" s="42">
        <v>754416</v>
      </c>
      <c r="H113" s="340">
        <f>H114</f>
        <v>0</v>
      </c>
      <c r="I113" s="42">
        <f t="shared" si="17"/>
        <v>754416</v>
      </c>
    </row>
    <row r="114" spans="1:9" s="18" customFormat="1" ht="29.25" customHeight="1">
      <c r="A114" s="41" t="str">
        <f>IF(B114&gt;0,VLOOKUP(B114,КВСР!A60:B1225,2),IF(C114&gt;0,VLOOKUP(C114,КФСР!A60:B1572,2),IF(D114&gt;0,VLOOKUP(D114,Программа!A$1:B$5008,2),IF(F114&gt;0,VLOOKUP(F114,КВР!A$1:B$5001,2),IF(E114&gt;0,VLOOKUP(E114,Направление!A$1:B$4660,2))))))</f>
        <v>Бюджетные инвестиции</v>
      </c>
      <c r="B114" s="85"/>
      <c r="C114" s="77"/>
      <c r="D114" s="78"/>
      <c r="E114" s="77"/>
      <c r="F114" s="78">
        <v>400</v>
      </c>
      <c r="G114" s="42">
        <v>754416</v>
      </c>
      <c r="H114" s="334"/>
      <c r="I114" s="42">
        <f t="shared" si="17"/>
        <v>754416</v>
      </c>
    </row>
    <row r="115" spans="1:9" s="18" customFormat="1" ht="63.75" customHeight="1">
      <c r="A115" s="41" t="str">
        <f>IF(B115&gt;0,VLOOKUP(B115,КВСР!A61:B1226,2),IF(C115&gt;0,VLOOKUP(C115,КФСР!A61:B1573,2),IF(D115&gt;0,VLOOKUP(D115,Программа!A$1:B$5008,2),IF(F115&gt;0,VLOOKUP(F115,КВР!A$1:B$5001,2),IF(E115&gt;0,VLOOKUP(E115,Направление!A$1:B$4660,2))))))</f>
        <v>Обеспечение мероприятий по переселению граждан из аварийного жилищного фонда за счет средств бюджета поселения</v>
      </c>
      <c r="B115" s="85"/>
      <c r="C115" s="77"/>
      <c r="D115" s="78"/>
      <c r="E115" s="77">
        <v>2920</v>
      </c>
      <c r="F115" s="78"/>
      <c r="G115" s="42">
        <v>3887375.06</v>
      </c>
      <c r="H115" s="340">
        <f>H116</f>
        <v>0</v>
      </c>
      <c r="I115" s="42">
        <f t="shared" si="17"/>
        <v>3887375.06</v>
      </c>
    </row>
    <row r="116" spans="1:9" s="18" customFormat="1" ht="29.25" customHeight="1">
      <c r="A116" s="41" t="str">
        <f>IF(B116&gt;0,VLOOKUP(B116,КВСР!A62:B1227,2),IF(C116&gt;0,VLOOKUP(C116,КФСР!A62:B1574,2),IF(D116&gt;0,VLOOKUP(D116,Программа!A$1:B$5008,2),IF(F116&gt;0,VLOOKUP(F116,КВР!A$1:B$5001,2),IF(E116&gt;0,VLOOKUP(E116,Направление!A$1:B$4660,2))))))</f>
        <v>Бюджетные инвестиции</v>
      </c>
      <c r="B116" s="85"/>
      <c r="C116" s="77"/>
      <c r="D116" s="78"/>
      <c r="E116" s="77"/>
      <c r="F116" s="78">
        <v>400</v>
      </c>
      <c r="G116" s="42">
        <v>3887375.06</v>
      </c>
      <c r="H116" s="334"/>
      <c r="I116" s="42">
        <f t="shared" si="17"/>
        <v>3887375.06</v>
      </c>
    </row>
    <row r="117" spans="1:9" s="18" customFormat="1" ht="103.5" customHeight="1">
      <c r="A117" s="41" t="str">
        <f>IF(B117&gt;0,VLOOKUP(B117,КВСР!A63:B1228,2),IF(C117&gt;0,VLOOKUP(C117,КФСР!A63:B1575,2),IF(D117&gt;0,VLOOKUP(D117,Программа!A$1:B$5008,2),IF(F117&gt;0,VLOOKUP(F117,КВР!A$1:B$5001,2),IF(E117&gt;0,VLOOKUP(E117,Направление!A$1:B$4660,2))))))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117" s="85"/>
      <c r="C117" s="77"/>
      <c r="D117" s="78"/>
      <c r="E117" s="77">
        <v>9502</v>
      </c>
      <c r="F117" s="78"/>
      <c r="G117" s="42">
        <v>16951925.329999998</v>
      </c>
      <c r="H117" s="340">
        <f>H118</f>
        <v>0</v>
      </c>
      <c r="I117" s="42">
        <f t="shared" si="17"/>
        <v>16951925.329999998</v>
      </c>
    </row>
    <row r="118" spans="1:9" s="18" customFormat="1" ht="29.25" customHeight="1">
      <c r="A118" s="41" t="str">
        <f>IF(B118&gt;0,VLOOKUP(B118,КВСР!A64:B1229,2),IF(C118&gt;0,VLOOKUP(C118,КФСР!A64:B1576,2),IF(D118&gt;0,VLOOKUP(D118,Программа!A$1:B$5008,2),IF(F118&gt;0,VLOOKUP(F118,КВР!A$1:B$5001,2),IF(E118&gt;0,VLOOKUP(E118,Направление!A$1:B$4660,2))))))</f>
        <v>Бюджетные инвестиции</v>
      </c>
      <c r="B118" s="85"/>
      <c r="C118" s="77"/>
      <c r="D118" s="78"/>
      <c r="E118" s="77"/>
      <c r="F118" s="78">
        <v>400</v>
      </c>
      <c r="G118" s="42">
        <v>16951925.329999998</v>
      </c>
      <c r="H118" s="334"/>
      <c r="I118" s="42">
        <f t="shared" si="17"/>
        <v>16951925.329999998</v>
      </c>
    </row>
    <row r="119" spans="1:9" s="18" customFormat="1" ht="162" customHeight="1">
      <c r="A119" s="41" t="str">
        <f>IF(B119&gt;0,VLOOKUP(B119,КВСР!A57:B1222,2),IF(C119&gt;0,VLOOKUP(C119,КФСР!A57:B1569,2),IF(D119&gt;0,VLOOKUP(D119,Программа!A$1:B$5008,2),IF(F119&gt;0,VLOOKUP(F119,КВР!A$1:B$5001,2),IF(E119&gt;0,VLOOKUP(E119,Направление!A$1:B$4660,2))))))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поступающих от государственной корпорации - Фонда содействия реформированию жилищно-коммунального хозяйства</v>
      </c>
      <c r="B119" s="85"/>
      <c r="C119" s="77"/>
      <c r="D119" s="78"/>
      <c r="E119" s="77">
        <v>9503</v>
      </c>
      <c r="F119" s="78"/>
      <c r="G119" s="42">
        <v>17679554.5</v>
      </c>
      <c r="H119" s="340">
        <f>H120</f>
        <v>0</v>
      </c>
      <c r="I119" s="42">
        <f t="shared" si="17"/>
        <v>17679554.5</v>
      </c>
    </row>
    <row r="120" spans="1:9" s="18" customFormat="1" ht="21" customHeight="1">
      <c r="A120" s="41" t="str">
        <f>IF(B120&gt;0,VLOOKUP(B120,КВСР!A58:B1223,2),IF(C120&gt;0,VLOOKUP(C120,КФСР!A58:B1570,2),IF(D120&gt;0,VLOOKUP(D120,Программа!A$1:B$5008,2),IF(F120&gt;0,VLOOKUP(F120,КВР!A$1:B$5001,2),IF(E120&gt;0,VLOOKUP(E120,Направление!A$1:B$4660,2))))))</f>
        <v>Бюджетные инвестиции</v>
      </c>
      <c r="B120" s="85"/>
      <c r="C120" s="77"/>
      <c r="D120" s="78"/>
      <c r="E120" s="77"/>
      <c r="F120" s="78">
        <v>400</v>
      </c>
      <c r="G120" s="42">
        <v>17679554.5</v>
      </c>
      <c r="H120" s="334"/>
      <c r="I120" s="42">
        <f t="shared" si="17"/>
        <v>17679554.5</v>
      </c>
    </row>
    <row r="121" spans="1:9" s="18" customFormat="1" ht="67.5" customHeight="1">
      <c r="A121" s="41" t="str">
        <f>IF(B121&gt;0,VLOOKUP(B121,КВСР!A59:B1224,2),IF(C121&gt;0,VLOOKUP(C121,КФСР!A59:B1571,2),IF(D121&gt;0,VLOOKUP(D121,Программа!A$1:B$5008,2),IF(F121&gt;0,VLOOKUP(F121,КВР!A$1:B$5001,2),IF(E121&gt;0,VLOOKUP(E121,Направление!A$1:B$4660,2))))))</f>
        <v>Субсидия на обеспечение мероприятий по переселению граждан из аварийного жилищного фонда за счет средств бюджетов</v>
      </c>
      <c r="B121" s="85"/>
      <c r="C121" s="77"/>
      <c r="D121" s="78"/>
      <c r="E121" s="77">
        <v>9602</v>
      </c>
      <c r="F121" s="78"/>
      <c r="G121" s="42">
        <v>15815526.399999999</v>
      </c>
      <c r="H121" s="340">
        <f>H122</f>
        <v>-5466276.2300000004</v>
      </c>
      <c r="I121" s="42">
        <f t="shared" si="17"/>
        <v>10349250.169999998</v>
      </c>
    </row>
    <row r="122" spans="1:9" s="18" customFormat="1" ht="21" customHeight="1">
      <c r="A122" s="41" t="str">
        <f>IF(B122&gt;0,VLOOKUP(B122,КВСР!A60:B1225,2),IF(C122&gt;0,VLOOKUP(C122,КФСР!A60:B1572,2),IF(D122&gt;0,VLOOKUP(D122,Программа!A$1:B$5008,2),IF(F122&gt;0,VLOOKUP(F122,КВР!A$1:B$5001,2),IF(E122&gt;0,VLOOKUP(E122,Направление!A$1:B$4660,2))))))</f>
        <v>Бюджетные инвестиции</v>
      </c>
      <c r="B122" s="85"/>
      <c r="C122" s="77"/>
      <c r="D122" s="78"/>
      <c r="E122" s="77"/>
      <c r="F122" s="78">
        <v>400</v>
      </c>
      <c r="G122" s="42">
        <v>15815526.399999999</v>
      </c>
      <c r="H122" s="334">
        <v>-5466276.2300000004</v>
      </c>
      <c r="I122" s="42">
        <f>SUM(G122:H122)</f>
        <v>10349250.169999998</v>
      </c>
    </row>
    <row r="123" spans="1:9" s="18" customFormat="1" ht="111.75" customHeight="1">
      <c r="A123" s="41" t="str">
        <f>IF(B123&gt;0,VLOOKUP(B123,КВСР!A59:B1224,2),IF(C123&gt;0,VLOOKUP(C123,КФСР!A59:B1571,2),IF(D123&gt;0,VLOOKUP(D123,Программа!A$1:B$5008,2),IF(F123&gt;0,VLOOKUP(F123,КВР!A$1:B$5001,2),IF(E123&gt;0,VLOOKUP(E123,Направление!A$1:B$4660,2))))))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v>
      </c>
      <c r="B123" s="85"/>
      <c r="C123" s="77"/>
      <c r="D123" s="78"/>
      <c r="E123" s="77">
        <v>9603</v>
      </c>
      <c r="F123" s="78"/>
      <c r="G123" s="42">
        <v>17669507.5</v>
      </c>
      <c r="H123" s="340">
        <f>H124</f>
        <v>0</v>
      </c>
      <c r="I123" s="42">
        <f t="shared" si="17"/>
        <v>17669507.5</v>
      </c>
    </row>
    <row r="124" spans="1:9" s="18" customFormat="1" ht="21" customHeight="1">
      <c r="A124" s="41" t="str">
        <f>IF(B124&gt;0,VLOOKUP(B124,КВСР!A60:B1225,2),IF(C124&gt;0,VLOOKUP(C124,КФСР!A60:B1572,2),IF(D124&gt;0,VLOOKUP(D124,Программа!A$1:B$5008,2),IF(F124&gt;0,VLOOKUP(F124,КВР!A$1:B$5001,2),IF(E124&gt;0,VLOOKUP(E124,Направление!A$1:B$4660,2))))))</f>
        <v>Бюджетные инвестиции</v>
      </c>
      <c r="B124" s="85"/>
      <c r="C124" s="77"/>
      <c r="D124" s="78"/>
      <c r="E124" s="77"/>
      <c r="F124" s="78">
        <v>400</v>
      </c>
      <c r="G124" s="42">
        <v>17669507.5</v>
      </c>
      <c r="H124" s="334"/>
      <c r="I124" s="42">
        <f t="shared" si="17"/>
        <v>17669507.5</v>
      </c>
    </row>
    <row r="125" spans="1:9" s="18" customFormat="1" ht="31.5">
      <c r="A125" s="41" t="str">
        <f>IF(B125&gt;0,VLOOKUP(B125,КВСР!A59:B1224,2),IF(C125&gt;0,VLOOKUP(C125,КФСР!A59:B1571,2),IF(D125&gt;0,VLOOKUP(D125,Программа!A$1:B$5008,2),IF(F125&gt;0,VLOOKUP(F125,КВР!A$1:B$5001,2),IF(E125&gt;0,VLOOKUP(E125,Направление!A$1:B$4660,2))))))</f>
        <v>Межбюджетные трансферты  поселениям района</v>
      </c>
      <c r="B125" s="85"/>
      <c r="C125" s="77"/>
      <c r="D125" s="78">
        <v>990</v>
      </c>
      <c r="E125" s="77"/>
      <c r="F125" s="78"/>
      <c r="G125" s="42">
        <v>51657744.930000007</v>
      </c>
      <c r="H125" s="340">
        <f>H128+H132+H126+H130</f>
        <v>-4395944.63</v>
      </c>
      <c r="I125" s="42">
        <f t="shared" si="17"/>
        <v>47261800.300000004</v>
      </c>
    </row>
    <row r="126" spans="1:9" s="18" customFormat="1" ht="105" customHeight="1">
      <c r="A126" s="41" t="str">
        <f>IF(B126&gt;0,VLOOKUP(B126,КВСР!A60:B1225,2),IF(C126&gt;0,VLOOKUP(C126,КФСР!A60:B1572,2),IF(D126&gt;0,VLOOKUP(D126,Программа!A$1:B$5008,2),IF(F126&gt;0,VLOOKUP(F126,КВР!A$1:B$5001,2),IF(E126&gt;0,VLOOKUP(E126,Направление!A$1:B$4660,2))))))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126" s="85"/>
      <c r="C126" s="77"/>
      <c r="D126" s="78"/>
      <c r="E126" s="77">
        <v>9502</v>
      </c>
      <c r="F126" s="78"/>
      <c r="G126" s="42">
        <v>20786396.25</v>
      </c>
      <c r="H126" s="340">
        <f>H127</f>
        <v>0</v>
      </c>
      <c r="I126" s="42">
        <f t="shared" si="17"/>
        <v>20786396.25</v>
      </c>
    </row>
    <row r="127" spans="1:9" s="18" customFormat="1">
      <c r="A127" s="41" t="str">
        <f>IF(B127&gt;0,VLOOKUP(B127,КВСР!A61:B1226,2),IF(C127&gt;0,VLOOKUP(C127,КФСР!A61:B1573,2),IF(D127&gt;0,VLOOKUP(D127,Программа!A$1:B$5008,2),IF(F127&gt;0,VLOOKUP(F127,КВР!A$1:B$5001,2),IF(E127&gt;0,VLOOKUP(E127,Направление!A$1:B$4660,2))))))</f>
        <v xml:space="preserve"> Межбюджетные трансферты</v>
      </c>
      <c r="B127" s="85"/>
      <c r="C127" s="77"/>
      <c r="D127" s="78"/>
      <c r="E127" s="77"/>
      <c r="F127" s="78">
        <v>500</v>
      </c>
      <c r="G127" s="42">
        <v>20786396.25</v>
      </c>
      <c r="H127" s="334"/>
      <c r="I127" s="42">
        <f t="shared" si="17"/>
        <v>20786396.25</v>
      </c>
    </row>
    <row r="128" spans="1:9" s="18" customFormat="1" ht="163.5" customHeight="1">
      <c r="A128" s="41" t="str">
        <f>IF(B128&gt;0,VLOOKUP(B128,КВСР!A60:B1225,2),IF(C128&gt;0,VLOOKUP(C128,КФСР!A60:B1572,2),IF(D128&gt;0,VLOOKUP(D128,Программа!A$1:B$5008,2),IF(F128&gt;0,VLOOKUP(F128,КВР!A$1:B$5001,2),IF(E128&gt;0,VLOOKUP(E128,Направление!A$1:B$4660,2))))))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поступающих от государственной корпорации - Фонда содействия реформированию жилищно-коммунального хозяйства</v>
      </c>
      <c r="B128" s="85"/>
      <c r="C128" s="77"/>
      <c r="D128" s="78"/>
      <c r="E128" s="77">
        <v>9503</v>
      </c>
      <c r="F128" s="78"/>
      <c r="G128" s="42">
        <v>8579285.0000000019</v>
      </c>
      <c r="H128" s="340">
        <f>H129</f>
        <v>0</v>
      </c>
      <c r="I128" s="42">
        <f t="shared" si="17"/>
        <v>8579285.0000000019</v>
      </c>
    </row>
    <row r="129" spans="1:9" s="18" customFormat="1" ht="25.5" customHeight="1">
      <c r="A129" s="41" t="str">
        <f>IF(B129&gt;0,VLOOKUP(B129,КВСР!A61:B1226,2),IF(C129&gt;0,VLOOKUP(C129,КФСР!A61:B1573,2),IF(D129&gt;0,VLOOKUP(D129,Программа!A$1:B$5008,2),IF(F129&gt;0,VLOOKUP(F129,КВР!A$1:B$5001,2),IF(E129&gt;0,VLOOKUP(E129,Направление!A$1:B$4660,2))))))</f>
        <v xml:space="preserve"> Межбюджетные трансферты</v>
      </c>
      <c r="B129" s="85"/>
      <c r="C129" s="77"/>
      <c r="D129" s="78"/>
      <c r="E129" s="77"/>
      <c r="F129" s="78">
        <v>500</v>
      </c>
      <c r="G129" s="42">
        <v>8579285.0000000019</v>
      </c>
      <c r="H129" s="334"/>
      <c r="I129" s="42">
        <f t="shared" si="17"/>
        <v>8579285.0000000019</v>
      </c>
    </row>
    <row r="130" spans="1:9" s="18" customFormat="1" ht="69" customHeight="1">
      <c r="A130" s="41" t="str">
        <f>IF(B130&gt;0,VLOOKUP(B130,КВСР!A62:B1227,2),IF(C130&gt;0,VLOOKUP(C130,КФСР!A62:B1574,2),IF(D130&gt;0,VLOOKUP(D130,Программа!A$1:B$5008,2),IF(F130&gt;0,VLOOKUP(F130,КВР!A$1:B$5001,2),IF(E130&gt;0,VLOOKUP(E130,Направление!A$1:B$4660,2))))))</f>
        <v>Субсидия на обеспечение мероприятий по переселению граждан из аварийного жилищного фонда за счет средств бюджетов</v>
      </c>
      <c r="B130" s="85"/>
      <c r="C130" s="77"/>
      <c r="D130" s="78"/>
      <c r="E130" s="77">
        <v>9602</v>
      </c>
      <c r="F130" s="78"/>
      <c r="G130" s="42">
        <v>16513936.779999999</v>
      </c>
      <c r="H130" s="340">
        <f>H131</f>
        <v>-4395944.63</v>
      </c>
      <c r="I130" s="42">
        <f t="shared" si="17"/>
        <v>12117992.149999999</v>
      </c>
    </row>
    <row r="131" spans="1:9" s="18" customFormat="1" ht="21.75" customHeight="1">
      <c r="A131" s="41" t="str">
        <f>IF(B131&gt;0,VLOOKUP(B131,КВСР!A63:B1228,2),IF(C131&gt;0,VLOOKUP(C131,КФСР!A63:B1575,2),IF(D131&gt;0,VLOOKUP(D131,Программа!A$1:B$5008,2),IF(F131&gt;0,VLOOKUP(F131,КВР!A$1:B$5001,2),IF(E131&gt;0,VLOOKUP(E131,Направление!A$1:B$4660,2))))))</f>
        <v xml:space="preserve"> Межбюджетные трансферты</v>
      </c>
      <c r="B131" s="85"/>
      <c r="C131" s="77"/>
      <c r="D131" s="78"/>
      <c r="E131" s="77"/>
      <c r="F131" s="78">
        <v>500</v>
      </c>
      <c r="G131" s="42">
        <v>16513936.779999999</v>
      </c>
      <c r="H131" s="334">
        <v>-4395944.63</v>
      </c>
      <c r="I131" s="42">
        <f t="shared" si="17"/>
        <v>12117992.149999999</v>
      </c>
    </row>
    <row r="132" spans="1:9" s="18" customFormat="1" ht="118.5" customHeight="1">
      <c r="A132" s="41" t="str">
        <f>IF(B132&gt;0,VLOOKUP(B132,КВСР!A62:B1227,2),IF(C132&gt;0,VLOOKUP(C132,КФСР!A62:B1574,2),IF(D132&gt;0,VLOOKUP(D132,Программа!A$1:B$5008,2),IF(F132&gt;0,VLOOKUP(F132,КВР!A$1:B$5001,2),IF(E132&gt;0,VLOOKUP(E132,Направление!A$1:B$4660,2))))))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v>
      </c>
      <c r="B132" s="85"/>
      <c r="C132" s="77"/>
      <c r="D132" s="78"/>
      <c r="E132" s="77">
        <v>9603</v>
      </c>
      <c r="F132" s="78"/>
      <c r="G132" s="42">
        <v>5778126.9000000004</v>
      </c>
      <c r="H132" s="340">
        <f>H133</f>
        <v>0</v>
      </c>
      <c r="I132" s="42">
        <f t="shared" ref="I132:I164" si="21">SUM(G132:H132)</f>
        <v>5778126.9000000004</v>
      </c>
    </row>
    <row r="133" spans="1:9" s="18" customFormat="1" ht="28.5" customHeight="1">
      <c r="A133" s="41" t="str">
        <f>IF(B133&gt;0,VLOOKUP(B133,КВСР!A63:B1228,2),IF(C133&gt;0,VLOOKUP(C133,КФСР!A63:B1575,2),IF(D133&gt;0,VLOOKUP(D133,Программа!A$1:B$5008,2),IF(F133&gt;0,VLOOKUP(F133,КВР!A$1:B$5001,2),IF(E133&gt;0,VLOOKUP(E133,Направление!A$1:B$4660,2))))))</f>
        <v xml:space="preserve"> Межбюджетные трансферты</v>
      </c>
      <c r="B133" s="85"/>
      <c r="C133" s="77"/>
      <c r="D133" s="78"/>
      <c r="E133" s="77"/>
      <c r="F133" s="78">
        <v>500</v>
      </c>
      <c r="G133" s="42">
        <v>5778126.9000000004</v>
      </c>
      <c r="H133" s="334"/>
      <c r="I133" s="42">
        <f t="shared" si="21"/>
        <v>5778126.9000000004</v>
      </c>
    </row>
    <row r="134" spans="1:9" s="18" customFormat="1" ht="31.5">
      <c r="A134" s="41" t="str">
        <f>IF(B134&gt;0,VLOOKUP(B134,КВСР!A52:B1217,2),IF(C134&gt;0,VLOOKUP(C134,КФСР!A52:B1564,2),IF(D134&gt;0,VLOOKUP(D134,Программа!A$1:B$5008,2),IF(F134&gt;0,VLOOKUP(F134,КВР!A$1:B$5001,2),IF(E134&gt;0,VLOOKUP(E134,Направление!A$1:B$4660,2))))))</f>
        <v>Другие вопросы в области охраны окружающей среды</v>
      </c>
      <c r="B134" s="85"/>
      <c r="C134" s="77">
        <v>605</v>
      </c>
      <c r="D134" s="78"/>
      <c r="E134" s="77"/>
      <c r="F134" s="78"/>
      <c r="G134" s="42">
        <v>5000</v>
      </c>
      <c r="H134" s="42">
        <f t="shared" ref="H134:H136" si="22">H135</f>
        <v>0</v>
      </c>
      <c r="I134" s="42">
        <f t="shared" si="21"/>
        <v>5000</v>
      </c>
    </row>
    <row r="135" spans="1:9" s="18" customFormat="1">
      <c r="A135" s="41" t="str">
        <f>IF(B135&gt;0,VLOOKUP(B135,КВСР!A53:B1218,2),IF(C135&gt;0,VLOOKUP(C135,КФСР!A53:B1565,2),IF(D135&gt;0,VLOOKUP(D135,Программа!A$1:B$5008,2),IF(F135&gt;0,VLOOKUP(F135,КВР!A$1:B$5001,2),IF(E135&gt;0,VLOOKUP(E135,Направление!A$1:B$4660,2))))))</f>
        <v>Непрограммные расходы бюджета</v>
      </c>
      <c r="B135" s="85"/>
      <c r="C135" s="77"/>
      <c r="D135" s="78">
        <v>409</v>
      </c>
      <c r="E135" s="77"/>
      <c r="F135" s="78"/>
      <c r="G135" s="42">
        <v>5000</v>
      </c>
      <c r="H135" s="42">
        <f t="shared" si="22"/>
        <v>0</v>
      </c>
      <c r="I135" s="42">
        <f t="shared" si="21"/>
        <v>5000</v>
      </c>
    </row>
    <row r="136" spans="1:9" s="18" customFormat="1" ht="47.25">
      <c r="A136" s="41" t="str">
        <f>IF(B136&gt;0,VLOOKUP(B136,КВСР!A54:B1219,2),IF(C136&gt;0,VLOOKUP(C136,КФСР!A54:B1566,2),IF(D136&gt;0,VLOOKUP(D136,Программа!A$1:B$5008,2),IF(F136&gt;0,VLOOKUP(F136,КВР!A$1:B$5001,2),IF(E136&gt;0,VLOOKUP(E136,Направление!A$1:B$4660,2))))))</f>
        <v>Мероприятия  направленные  по охрану окружающей среды и природопользования</v>
      </c>
      <c r="B136" s="85"/>
      <c r="C136" s="77"/>
      <c r="D136" s="78"/>
      <c r="E136" s="77">
        <v>1060</v>
      </c>
      <c r="F136" s="78"/>
      <c r="G136" s="42">
        <v>5000</v>
      </c>
      <c r="H136" s="42">
        <f t="shared" si="22"/>
        <v>0</v>
      </c>
      <c r="I136" s="42">
        <f t="shared" si="21"/>
        <v>5000</v>
      </c>
    </row>
    <row r="137" spans="1:9" s="18" customFormat="1" ht="31.5">
      <c r="A137" s="41" t="str">
        <f>IF(B137&gt;0,VLOOKUP(B137,КВСР!A55:B1220,2),IF(C137&gt;0,VLOOKUP(C137,КФСР!A55:B1567,2),IF(D137&gt;0,VLOOKUP(D137,Программа!A$1:B$5008,2),IF(F137&gt;0,VLOOKUP(F137,КВР!A$1:B$5001,2),IF(E137&gt;0,VLOOKUP(E137,Направление!A$1:B$4660,2))))))</f>
        <v>Закупка товаров, работ и услуг для государственных нужд</v>
      </c>
      <c r="B137" s="85"/>
      <c r="C137" s="77"/>
      <c r="D137" s="78"/>
      <c r="E137" s="77"/>
      <c r="F137" s="78">
        <v>200</v>
      </c>
      <c r="G137" s="42">
        <v>5000</v>
      </c>
      <c r="H137" s="334"/>
      <c r="I137" s="42">
        <f t="shared" si="21"/>
        <v>5000</v>
      </c>
    </row>
    <row r="138" spans="1:9" s="18" customFormat="1">
      <c r="A138" s="41" t="str">
        <f>IF(B138&gt;0,VLOOKUP(B138,КВСР!A56:B1221,2),IF(C138&gt;0,VLOOKUP(C138,КФСР!A56:B1568,2),IF(D138&gt;0,VLOOKUP(D138,Программа!A$1:B$5008,2),IF(F138&gt;0,VLOOKUP(F138,КВР!A$1:B$5001,2),IF(E138&gt;0,VLOOKUP(E138,Направление!A$1:B$4660,2))))))</f>
        <v>Социальное обеспечение населения</v>
      </c>
      <c r="B138" s="85"/>
      <c r="C138" s="77">
        <v>1003</v>
      </c>
      <c r="D138" s="78"/>
      <c r="E138" s="77"/>
      <c r="F138" s="78"/>
      <c r="G138" s="76">
        <v>193413</v>
      </c>
      <c r="H138" s="76">
        <f t="shared" ref="H138" si="23">H139</f>
        <v>0</v>
      </c>
      <c r="I138" s="42">
        <f t="shared" si="21"/>
        <v>193413</v>
      </c>
    </row>
    <row r="139" spans="1:9" s="18" customFormat="1">
      <c r="A139" s="41" t="str">
        <f>IF(B139&gt;0,VLOOKUP(B139,КВСР!A57:B1222,2),IF(C139&gt;0,VLOOKUP(C139,КФСР!A57:B1569,2),IF(D139&gt;0,VLOOKUP(D139,Программа!A$1:B$5008,2),IF(F139&gt;0,VLOOKUP(F139,КВР!A$1:B$5001,2),IF(E139&gt;0,VLOOKUP(E139,Направление!A$1:B$4660,2))))))</f>
        <v>Непрограммные расходы бюджета</v>
      </c>
      <c r="B139" s="85"/>
      <c r="C139" s="77"/>
      <c r="D139" s="78">
        <v>409</v>
      </c>
      <c r="E139" s="77"/>
      <c r="F139" s="78"/>
      <c r="G139" s="43">
        <v>193413</v>
      </c>
      <c r="H139" s="43">
        <f>H140</f>
        <v>0</v>
      </c>
      <c r="I139" s="42">
        <f t="shared" si="21"/>
        <v>193413</v>
      </c>
    </row>
    <row r="140" spans="1:9" s="18" customFormat="1" ht="47.25">
      <c r="A140" s="41" t="str">
        <f>IF(B140&gt;0,VLOOKUP(B140,КВСР!A58:B1223,2),IF(C140&gt;0,VLOOKUP(C140,КФСР!A58:B1570,2),IF(D140&gt;0,VLOOKUP(D140,Программа!A$1:B$5008,2),IF(F140&gt;0,VLOOKUP(F140,КВР!A$1:B$5001,2),IF(E140&gt;0,VLOOKUP(E140,Направление!A$1:B$4660,2))))))</f>
        <v>Исполнение судебных актов, актов других органов и должностных лиц, иных документов</v>
      </c>
      <c r="B140" s="85"/>
      <c r="C140" s="77"/>
      <c r="D140" s="78"/>
      <c r="E140" s="77">
        <v>1213</v>
      </c>
      <c r="F140" s="78"/>
      <c r="G140" s="43">
        <v>193413</v>
      </c>
      <c r="H140" s="43">
        <f>H141</f>
        <v>0</v>
      </c>
      <c r="I140" s="42">
        <f t="shared" si="21"/>
        <v>193413</v>
      </c>
    </row>
    <row r="141" spans="1:9" s="18" customFormat="1" ht="22.5" customHeight="1">
      <c r="A141" s="41" t="str">
        <f>IF(B141&gt;0,VLOOKUP(B141,КВСР!A59:B1224,2),IF(C141&gt;0,VLOOKUP(C141,КФСР!A59:B1571,2),IF(D141&gt;0,VLOOKUP(D141,Программа!A$1:B$5008,2),IF(F141&gt;0,VLOOKUP(F141,КВР!A$1:B$5001,2),IF(E141&gt;0,VLOOKUP(E141,Направление!A$1:B$4660,2))))))</f>
        <v>Иные бюджетные ассигнования</v>
      </c>
      <c r="B141" s="85"/>
      <c r="C141" s="77"/>
      <c r="D141" s="78"/>
      <c r="E141" s="77"/>
      <c r="F141" s="78">
        <v>800</v>
      </c>
      <c r="G141" s="43">
        <v>193413</v>
      </c>
      <c r="H141" s="350"/>
      <c r="I141" s="42">
        <f t="shared" si="21"/>
        <v>193413</v>
      </c>
    </row>
    <row r="142" spans="1:9" s="20" customFormat="1" ht="31.5">
      <c r="A142" s="258" t="str">
        <f>IF(B142&gt;0,VLOOKUP(B142,КВСР!A76:B1241,2),IF(C142&gt;0,VLOOKUP(C142,КФСР!A76:B1588,2),IF(D142&gt;0,VLOOKUP(D142,Программа!A$1:B$5008,2),IF(F142&gt;0,VLOOKUP(F142,КВР!A$1:B$5001,2),IF(E142&gt;0,VLOOKUP(E142,Направление!A$1:B$4660,2))))))</f>
        <v>Департамент муниципального имущества Администрации ТМР</v>
      </c>
      <c r="B142" s="81">
        <v>952</v>
      </c>
      <c r="C142" s="82"/>
      <c r="D142" s="83"/>
      <c r="E142" s="82"/>
      <c r="F142" s="83"/>
      <c r="G142" s="47">
        <v>10460340</v>
      </c>
      <c r="H142" s="47">
        <f>H143+H157+H161</f>
        <v>-300000</v>
      </c>
      <c r="I142" s="47">
        <f>I143+I157+I161</f>
        <v>10160340</v>
      </c>
    </row>
    <row r="143" spans="1:9" s="20" customFormat="1" ht="31.5">
      <c r="A143" s="41" t="str">
        <f>IF(B143&gt;0,VLOOKUP(B143,КВСР!A77:B1242,2),IF(C143&gt;0,VLOOKUP(C143,КФСР!A77:B1589,2),IF(D143&gt;0,VLOOKUP(D143,Программа!A$1:B$5008,2),IF(F143&gt;0,VLOOKUP(F143,КВР!A$1:B$5001,2),IF(E143&gt;0,VLOOKUP(E143,Направление!A$1:B$4660,2))))))</f>
        <v>Другие общегосударственные вопросы</v>
      </c>
      <c r="B143" s="85"/>
      <c r="C143" s="77">
        <v>113</v>
      </c>
      <c r="D143" s="78"/>
      <c r="E143" s="77"/>
      <c r="F143" s="78"/>
      <c r="G143" s="76">
        <v>8890340</v>
      </c>
      <c r="H143" s="76">
        <f>H144</f>
        <v>-150000</v>
      </c>
      <c r="I143" s="42">
        <f t="shared" si="21"/>
        <v>8740340</v>
      </c>
    </row>
    <row r="144" spans="1:9" s="20" customFormat="1">
      <c r="A144" s="41" t="str">
        <f>IF(B144&gt;0,VLOOKUP(B144,КВСР!A78:B1243,2),IF(C144&gt;0,VLOOKUP(C144,КФСР!A78:B1590,2),IF(D144&gt;0,VLOOKUP(D144,Программа!A$1:B$5008,2),IF(F144&gt;0,VLOOKUP(F144,КВР!A$1:B$5001,2),IF(E144&gt;0,VLOOKUP(E144,Направление!A$1:B$4660,2))))))</f>
        <v>Непрограммные расходы бюджета</v>
      </c>
      <c r="B144" s="85"/>
      <c r="C144" s="77"/>
      <c r="D144" s="78">
        <v>409</v>
      </c>
      <c r="E144" s="77"/>
      <c r="F144" s="78"/>
      <c r="G144" s="76">
        <v>8890340</v>
      </c>
      <c r="H144" s="76">
        <f>H145+H149+H151+H153+H155</f>
        <v>-150000</v>
      </c>
      <c r="I144" s="42">
        <f t="shared" si="21"/>
        <v>8740340</v>
      </c>
    </row>
    <row r="145" spans="1:9" s="20" customFormat="1">
      <c r="A145" s="41" t="str">
        <f>IF(B145&gt;0,VLOOKUP(B145,КВСР!A79:B1244,2),IF(C145&gt;0,VLOOKUP(C145,КФСР!A79:B1591,2),IF(D145&gt;0,VLOOKUP(D145,Программа!A$1:B$5008,2),IF(F145&gt;0,VLOOKUP(F145,КВР!A$1:B$5001,2),IF(E145&gt;0,VLOOKUP(E145,Направление!A$1:B$4660,2))))))</f>
        <v>Содержание центрального аппарата</v>
      </c>
      <c r="B145" s="85"/>
      <c r="C145" s="77"/>
      <c r="D145" s="78"/>
      <c r="E145" s="77">
        <v>1201</v>
      </c>
      <c r="F145" s="78"/>
      <c r="G145" s="76">
        <v>6985169</v>
      </c>
      <c r="H145" s="76">
        <f>H146+H147+H148</f>
        <v>0</v>
      </c>
      <c r="I145" s="42">
        <f t="shared" si="21"/>
        <v>6985169</v>
      </c>
    </row>
    <row r="146" spans="1:9" s="20" customFormat="1" ht="110.25">
      <c r="A146" s="41" t="str">
        <f>IF(B146&gt;0,VLOOKUP(B146,КВСР!A80:B1245,2),IF(C146&gt;0,VLOOKUP(C146,КФСР!A80:B1592,2),IF(D146&gt;0,VLOOKUP(D146,Программа!A$1:B$5008,2),IF(F146&gt;0,VLOOKUP(F146,КВР!A$1:B$5001,2),IF(E146&gt;0,VLOOKUP(E146,Направление!A$1:B$4660,2))))))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6" s="85"/>
      <c r="C146" s="77"/>
      <c r="D146" s="83"/>
      <c r="E146" s="82"/>
      <c r="F146" s="78">
        <v>100</v>
      </c>
      <c r="G146" s="42">
        <v>6286169</v>
      </c>
      <c r="H146" s="334"/>
      <c r="I146" s="42">
        <f t="shared" si="21"/>
        <v>6286169</v>
      </c>
    </row>
    <row r="147" spans="1:9" s="20" customFormat="1" ht="31.5">
      <c r="A147" s="41" t="str">
        <f>IF(B147&gt;0,VLOOKUP(B147,КВСР!A81:B1246,2),IF(C147&gt;0,VLOOKUP(C147,КФСР!A81:B1593,2),IF(D147&gt;0,VLOOKUP(D147,Программа!A$1:B$5008,2),IF(F147&gt;0,VLOOKUP(F147,КВР!A$1:B$5001,2),IF(E147&gt;0,VLOOKUP(E147,Направление!A$1:B$4660,2))))))</f>
        <v>Закупка товаров, работ и услуг для государственных нужд</v>
      </c>
      <c r="B147" s="85"/>
      <c r="C147" s="77"/>
      <c r="D147" s="83"/>
      <c r="E147" s="82"/>
      <c r="F147" s="78">
        <v>200</v>
      </c>
      <c r="G147" s="42">
        <v>604000</v>
      </c>
      <c r="H147" s="334"/>
      <c r="I147" s="42">
        <f t="shared" si="21"/>
        <v>604000</v>
      </c>
    </row>
    <row r="148" spans="1:9" s="20" customFormat="1">
      <c r="A148" s="41" t="str">
        <f>IF(B148&gt;0,VLOOKUP(B148,КВСР!A82:B1247,2),IF(C148&gt;0,VLOOKUP(C148,КФСР!A82:B1594,2),IF(D148&gt;0,VLOOKUP(D148,Программа!A$1:B$5008,2),IF(F148&gt;0,VLOOKUP(F148,КВР!A$1:B$5001,2),IF(E148&gt;0,VLOOKUP(E148,Направление!A$1:B$4660,2))))))</f>
        <v>Иные бюджетные ассигнования</v>
      </c>
      <c r="B148" s="85"/>
      <c r="C148" s="77"/>
      <c r="D148" s="83"/>
      <c r="E148" s="82"/>
      <c r="F148" s="78">
        <v>800</v>
      </c>
      <c r="G148" s="42">
        <v>95000</v>
      </c>
      <c r="H148" s="334"/>
      <c r="I148" s="42">
        <f t="shared" si="21"/>
        <v>95000</v>
      </c>
    </row>
    <row r="149" spans="1:9" s="20" customFormat="1" ht="31.5">
      <c r="A149" s="41" t="str">
        <f>IF(B149&gt;0,VLOOKUP(B149,КВСР!A83:B1248,2),IF(C149&gt;0,VLOOKUP(C149,КФСР!A83:B1595,2),IF(D149&gt;0,VLOOKUP(D149,Программа!A$1:B$5008,2),IF(F149&gt;0,VLOOKUP(F149,КВР!A$1:B$5001,2),IF(E149&gt;0,VLOOKUP(E149,Направление!A$1:B$4660,2))))))</f>
        <v>Выполнение других обязательств органов местного самоуправления</v>
      </c>
      <c r="B149" s="85"/>
      <c r="C149" s="77"/>
      <c r="D149" s="83"/>
      <c r="E149" s="82">
        <v>1208</v>
      </c>
      <c r="F149" s="78"/>
      <c r="G149" s="42">
        <v>885000</v>
      </c>
      <c r="H149" s="42">
        <f>H150</f>
        <v>-150000</v>
      </c>
      <c r="I149" s="42">
        <f t="shared" si="21"/>
        <v>735000</v>
      </c>
    </row>
    <row r="150" spans="1:9" s="20" customFormat="1" ht="31.5">
      <c r="A150" s="41" t="str">
        <f>IF(B150&gt;0,VLOOKUP(B150,КВСР!A84:B1249,2),IF(C150&gt;0,VLOOKUP(C150,КФСР!A84:B1596,2),IF(D150&gt;0,VLOOKUP(D150,Программа!A$1:B$5008,2),IF(F150&gt;0,VLOOKUP(F150,КВР!A$1:B$5001,2),IF(E150&gt;0,VLOOKUP(E150,Направление!A$1:B$4660,2))))))</f>
        <v>Закупка товаров, работ и услуг для государственных нужд</v>
      </c>
      <c r="B150" s="85"/>
      <c r="C150" s="77"/>
      <c r="D150" s="83"/>
      <c r="E150" s="82"/>
      <c r="F150" s="78">
        <v>200</v>
      </c>
      <c r="G150" s="42">
        <v>885000</v>
      </c>
      <c r="H150" s="334">
        <v>-150000</v>
      </c>
      <c r="I150" s="42">
        <f t="shared" si="21"/>
        <v>735000</v>
      </c>
    </row>
    <row r="151" spans="1:9" s="20" customFormat="1" ht="47.25">
      <c r="A151" s="41" t="str">
        <f>IF(B151&gt;0,VLOOKUP(B151,КВСР!A83:B1248,2),IF(C151&gt;0,VLOOKUP(C151,КФСР!A83:B1595,2),IF(D151&gt;0,VLOOKUP(D151,Программа!A$1:B$5008,2),IF(F151&gt;0,VLOOKUP(F151,КВР!A$1:B$5001,2),IF(E151&gt;0,VLOOKUP(E151,Направление!A$1:B$4660,2))))))</f>
        <v>Оценка недвижимости, признание прав и регулирование отношений по муниципальной собственности</v>
      </c>
      <c r="B151" s="85"/>
      <c r="C151" s="77"/>
      <c r="D151" s="83"/>
      <c r="E151" s="82">
        <v>1209</v>
      </c>
      <c r="F151" s="78"/>
      <c r="G151" s="42">
        <v>740000</v>
      </c>
      <c r="H151" s="42">
        <f>H152</f>
        <v>0</v>
      </c>
      <c r="I151" s="42">
        <f t="shared" si="21"/>
        <v>740000</v>
      </c>
    </row>
    <row r="152" spans="1:9" s="20" customFormat="1" ht="31.5">
      <c r="A152" s="41" t="str">
        <f>IF(B152&gt;0,VLOOKUP(B152,КВСР!A84:B1249,2),IF(C152&gt;0,VLOOKUP(C152,КФСР!A84:B1596,2),IF(D152&gt;0,VLOOKUP(D152,Программа!A$1:B$5008,2),IF(F152&gt;0,VLOOKUP(F152,КВР!A$1:B$5001,2),IF(E152&gt;0,VLOOKUP(E152,Направление!A$1:B$4660,2))))))</f>
        <v>Закупка товаров, работ и услуг для государственных нужд</v>
      </c>
      <c r="B152" s="85"/>
      <c r="C152" s="77"/>
      <c r="D152" s="83"/>
      <c r="E152" s="82"/>
      <c r="F152" s="78">
        <v>200</v>
      </c>
      <c r="G152" s="42">
        <v>740000</v>
      </c>
      <c r="H152" s="334"/>
      <c r="I152" s="42">
        <f t="shared" si="21"/>
        <v>740000</v>
      </c>
    </row>
    <row r="153" spans="1:9" s="20" customFormat="1" ht="47.25">
      <c r="A153" s="41" t="str">
        <f>IF(B153&gt;0,VLOOKUP(B153,КВСР!A85:B1250,2),IF(C153&gt;0,VLOOKUP(C153,КФСР!A85:B1597,2),IF(D153&gt;0,VLOOKUP(D153,Программа!A$1:B$5008,2),IF(F153&gt;0,VLOOKUP(F153,КВР!A$1:B$5001,2),IF(E153&gt;0,VLOOKUP(E153,Направление!A$1:B$4660,2))))))</f>
        <v>Исполнение судебных актов, актов других органов и должностных лиц, иных документов</v>
      </c>
      <c r="B153" s="85"/>
      <c r="C153" s="77"/>
      <c r="D153" s="83"/>
      <c r="E153" s="82">
        <v>1213</v>
      </c>
      <c r="F153" s="78"/>
      <c r="G153" s="42">
        <v>15000</v>
      </c>
      <c r="H153" s="42">
        <f t="shared" ref="H153" si="24">H154</f>
        <v>0</v>
      </c>
      <c r="I153" s="42">
        <f t="shared" si="21"/>
        <v>15000</v>
      </c>
    </row>
    <row r="154" spans="1:9" s="20" customFormat="1">
      <c r="A154" s="41" t="str">
        <f>IF(B154&gt;0,VLOOKUP(B154,КВСР!A86:B1251,2),IF(C154&gt;0,VLOOKUP(C154,КФСР!A86:B1598,2),IF(D154&gt;0,VLOOKUP(D154,Программа!A$1:B$5008,2),IF(F154&gt;0,VLOOKUP(F154,КВР!A$1:B$5001,2),IF(E154&gt;0,VLOOKUP(E154,Направление!A$1:B$4660,2))))))</f>
        <v>Иные бюджетные ассигнования</v>
      </c>
      <c r="B154" s="85"/>
      <c r="C154" s="77"/>
      <c r="D154" s="83"/>
      <c r="E154" s="82"/>
      <c r="F154" s="78">
        <v>800</v>
      </c>
      <c r="G154" s="42">
        <v>15000</v>
      </c>
      <c r="H154" s="334"/>
      <c r="I154" s="42">
        <f t="shared" si="21"/>
        <v>15000</v>
      </c>
    </row>
    <row r="155" spans="1:9" s="20" customFormat="1" ht="47.25">
      <c r="A155" s="41" t="str">
        <f>IF(B155&gt;0,VLOOKUP(B155,КВСР!A90:B1255,2),IF(C155&gt;0,VLOOKUP(C155,КФСР!A90:B1602,2),IF(D155&gt;0,VLOOKUP(D155,Программа!A$1:B$5008,2),IF(F155&gt;0,VLOOKUP(F155,КВР!A$1:B$5001,2),IF(E155&gt;0,VLOOKUP(E155,Направление!A$1:B$4660,2))))))</f>
        <v>Расходы на развитие органов местного самоуправления на территории ЯО</v>
      </c>
      <c r="B155" s="85"/>
      <c r="C155" s="77"/>
      <c r="D155" s="83"/>
      <c r="E155" s="82">
        <v>7228</v>
      </c>
      <c r="F155" s="78"/>
      <c r="G155" s="42">
        <v>265171</v>
      </c>
      <c r="H155" s="340">
        <f>H156</f>
        <v>0</v>
      </c>
      <c r="I155" s="42">
        <f t="shared" si="21"/>
        <v>265171</v>
      </c>
    </row>
    <row r="156" spans="1:9" s="20" customFormat="1" ht="110.25">
      <c r="A156" s="41" t="str">
        <f>IF(B156&gt;0,VLOOKUP(B156,КВСР!A91:B1256,2),IF(C156&gt;0,VLOOKUP(C156,КФСР!A91:B1603,2),IF(D156&gt;0,VLOOKUP(D156,Программа!A$1:B$5008,2),IF(F156&gt;0,VLOOKUP(F156,КВР!A$1:B$5001,2),IF(E156&gt;0,VLOOKUP(E156,Направление!A$1:B$4660,2))))))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56" s="85"/>
      <c r="C156" s="77"/>
      <c r="D156" s="83"/>
      <c r="E156" s="82"/>
      <c r="F156" s="78">
        <v>100</v>
      </c>
      <c r="G156" s="42">
        <v>265171</v>
      </c>
      <c r="H156" s="334"/>
      <c r="I156" s="42">
        <f t="shared" si="21"/>
        <v>265171</v>
      </c>
    </row>
    <row r="157" spans="1:9" s="20" customFormat="1" ht="31.5">
      <c r="A157" s="41" t="str">
        <f>IF(B157&gt;0,VLOOKUP(B157,КВСР!A92:B1257,2),IF(C157&gt;0,VLOOKUP(C157,КФСР!A92:B1604,2),IF(D157&gt;0,VLOOKUP(D157,Программа!A$1:B$5008,2),IF(F157&gt;0,VLOOKUP(F157,КВР!A$1:B$5001,2),IF(E157&gt;0,VLOOKUP(E157,Направление!A$1:B$4660,2))))))</f>
        <v>Другие вопросы в области национальной экономики</v>
      </c>
      <c r="B157" s="85"/>
      <c r="C157" s="77">
        <v>412</v>
      </c>
      <c r="D157" s="78"/>
      <c r="E157" s="77"/>
      <c r="F157" s="78"/>
      <c r="G157" s="42">
        <v>770000</v>
      </c>
      <c r="H157" s="42">
        <f t="shared" ref="H157:H163" si="25">H158</f>
        <v>-150000</v>
      </c>
      <c r="I157" s="42">
        <f t="shared" si="21"/>
        <v>620000</v>
      </c>
    </row>
    <row r="158" spans="1:9" s="20" customFormat="1">
      <c r="A158" s="41" t="str">
        <f>IF(B158&gt;0,VLOOKUP(B158,КВСР!A93:B1258,2),IF(C158&gt;0,VLOOKUP(C158,КФСР!A93:B1605,2),IF(D158&gt;0,VLOOKUP(D158,Программа!A$1:B$5008,2),IF(F158&gt;0,VLOOKUP(F158,КВР!A$1:B$5001,2),IF(E158&gt;0,VLOOKUP(E158,Направление!A$1:B$4660,2))))))</f>
        <v>Непрограммные расходы бюджета</v>
      </c>
      <c r="B158" s="85"/>
      <c r="C158" s="77"/>
      <c r="D158" s="78">
        <v>409</v>
      </c>
      <c r="E158" s="77"/>
      <c r="F158" s="78"/>
      <c r="G158" s="42">
        <v>770000</v>
      </c>
      <c r="H158" s="42">
        <f t="shared" si="25"/>
        <v>-150000</v>
      </c>
      <c r="I158" s="42">
        <f t="shared" si="21"/>
        <v>620000</v>
      </c>
    </row>
    <row r="159" spans="1:9" s="20" customFormat="1" ht="31.5">
      <c r="A159" s="41" t="str">
        <f>IF(B159&gt;0,VLOOKUP(B159,КВСР!A94:B1259,2),IF(C159&gt;0,VLOOKUP(C159,КФСР!A94:B1606,2),IF(D159&gt;0,VLOOKUP(D159,Программа!A$1:B$5008,2),IF(F159&gt;0,VLOOKUP(F159,КВР!A$1:B$5001,2),IF(E159&gt;0,VLOOKUP(E159,Направление!A$1:B$4660,2))))))</f>
        <v>Мероприятия по землеустройству и землепользованию</v>
      </c>
      <c r="B159" s="85"/>
      <c r="C159" s="77"/>
      <c r="D159" s="78"/>
      <c r="E159" s="77">
        <v>1051</v>
      </c>
      <c r="F159" s="78"/>
      <c r="G159" s="42">
        <v>770000</v>
      </c>
      <c r="H159" s="42">
        <f t="shared" si="25"/>
        <v>-150000</v>
      </c>
      <c r="I159" s="42">
        <f t="shared" si="21"/>
        <v>620000</v>
      </c>
    </row>
    <row r="160" spans="1:9" s="20" customFormat="1" ht="31.5">
      <c r="A160" s="41" t="str">
        <f>IF(B160&gt;0,VLOOKUP(B160,КВСР!A95:B1260,2),IF(C160&gt;0,VLOOKUP(C160,КФСР!A95:B1607,2),IF(D160&gt;0,VLOOKUP(D160,Программа!A$1:B$5008,2),IF(F160&gt;0,VLOOKUP(F160,КВР!A$1:B$5001,2),IF(E160&gt;0,VLOOKUP(E160,Направление!A$1:B$4660,2))))))</f>
        <v>Закупка товаров, работ и услуг для государственных нужд</v>
      </c>
      <c r="B160" s="85"/>
      <c r="C160" s="77"/>
      <c r="D160" s="78"/>
      <c r="E160" s="77"/>
      <c r="F160" s="78">
        <v>200</v>
      </c>
      <c r="G160" s="42">
        <v>770000</v>
      </c>
      <c r="H160" s="334">
        <v>-150000</v>
      </c>
      <c r="I160" s="42">
        <f t="shared" si="21"/>
        <v>620000</v>
      </c>
    </row>
    <row r="161" spans="1:9" s="20" customFormat="1">
      <c r="A161" s="41" t="str">
        <f>IF(B161&gt;0,VLOOKUP(B161,КВСР!A96:B1261,2),IF(C161&gt;0,VLOOKUP(C161,КФСР!A96:B1608,2),IF(D161&gt;0,VLOOKUP(D161,Программа!A$1:B$5008,2),IF(F161&gt;0,VLOOKUP(F161,КВР!A$1:B$5001,2),IF(E161&gt;0,VLOOKUP(E161,Направление!A$1:B$4660,2))))))</f>
        <v>Социальное обеспечение населения</v>
      </c>
      <c r="B161" s="85"/>
      <c r="C161" s="77">
        <v>1003</v>
      </c>
      <c r="D161" s="78"/>
      <c r="E161" s="77"/>
      <c r="F161" s="78"/>
      <c r="G161" s="42">
        <v>800000</v>
      </c>
      <c r="H161" s="42">
        <f t="shared" si="25"/>
        <v>0</v>
      </c>
      <c r="I161" s="42">
        <f t="shared" si="21"/>
        <v>800000</v>
      </c>
    </row>
    <row r="162" spans="1:9" s="20" customFormat="1" ht="31.5">
      <c r="A162" s="41" t="str">
        <f>IF(B162&gt;0,VLOOKUP(B162,КВСР!A97:B1262,2),IF(C162&gt;0,VLOOKUP(C162,КФСР!A97:B1609,2),IF(D162&gt;0,VLOOKUP(D162,Программа!A$1:B$5008,2),IF(F162&gt;0,VLOOKUP(F162,КВР!A$1:B$5001,2),IF(E162&gt;0,VLOOKUP(E162,Направление!A$1:B$4660,2))))))</f>
        <v>Межбюджетные трансферты  поселениям района</v>
      </c>
      <c r="B162" s="85"/>
      <c r="C162" s="77"/>
      <c r="D162" s="78">
        <v>990</v>
      </c>
      <c r="E162" s="77"/>
      <c r="F162" s="78"/>
      <c r="G162" s="42">
        <v>800000</v>
      </c>
      <c r="H162" s="42">
        <f t="shared" si="25"/>
        <v>0</v>
      </c>
      <c r="I162" s="42">
        <f t="shared" si="21"/>
        <v>800000</v>
      </c>
    </row>
    <row r="163" spans="1:9" s="20" customFormat="1" ht="94.5">
      <c r="A163" s="41" t="str">
        <f>IF(B163&gt;0,VLOOKUP(B163,КВСР!A98:B1263,2),IF(C163&gt;0,VLOOKUP(C163,КФСР!A98:B1610,2),IF(D163&gt;0,VLOOKUP(D163,Программа!A$1:B$5008,2),IF(F163&gt;0,VLOOKUP(F163,КВР!A$1:B$5001,2),IF(E163&gt;0,VLOOKUP(E163,Направление!A$1:B$4660,2))))))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163" s="85"/>
      <c r="C163" s="77"/>
      <c r="D163" s="78"/>
      <c r="E163" s="77">
        <v>7123</v>
      </c>
      <c r="F163" s="78"/>
      <c r="G163" s="42">
        <v>800000</v>
      </c>
      <c r="H163" s="42">
        <f t="shared" si="25"/>
        <v>0</v>
      </c>
      <c r="I163" s="42">
        <f t="shared" si="21"/>
        <v>800000</v>
      </c>
    </row>
    <row r="164" spans="1:9" s="20" customFormat="1">
      <c r="A164" s="41" t="str">
        <f>IF(B164&gt;0,VLOOKUP(B164,КВСР!A99:B1264,2),IF(C164&gt;0,VLOOKUP(C164,КФСР!A99:B1611,2),IF(D164&gt;0,VLOOKUP(D164,Программа!A$1:B$5008,2),IF(F164&gt;0,VLOOKUP(F164,КВР!A$1:B$5001,2),IF(E164&gt;0,VLOOKUP(E164,Направление!A$1:B$4660,2))))))</f>
        <v xml:space="preserve"> Межбюджетные трансферты</v>
      </c>
      <c r="B164" s="85"/>
      <c r="C164" s="77"/>
      <c r="D164" s="78"/>
      <c r="E164" s="77"/>
      <c r="F164" s="78">
        <v>500</v>
      </c>
      <c r="G164" s="42">
        <v>800000</v>
      </c>
      <c r="H164" s="334"/>
      <c r="I164" s="42">
        <f t="shared" si="21"/>
        <v>800000</v>
      </c>
    </row>
    <row r="165" spans="1:9" ht="31.5">
      <c r="A165" s="258" t="str">
        <f>IF(B165&gt;0,VLOOKUP(B165,КВСР!A106:B1271,2),IF(C165&gt;0,VLOOKUP(C165,КФСР!A106:B1618,2),IF(D165&gt;0,VLOOKUP(D165,Программа!A$1:B$5008,2),IF(F165&gt;0,VLOOKUP(F165,КВР!A$1:B$5001,2),IF(E165&gt;0,VLOOKUP(E165,Направление!A$1:B$4660,2))))))</f>
        <v>Департамент образования Администрации ТМР</v>
      </c>
      <c r="B165" s="81">
        <v>953</v>
      </c>
      <c r="C165" s="82"/>
      <c r="D165" s="83"/>
      <c r="E165" s="82"/>
      <c r="F165" s="83"/>
      <c r="G165" s="47">
        <v>901017296</v>
      </c>
      <c r="H165" s="47">
        <f>H166+H171+H189+H216+H234+H288+H309+H325</f>
        <v>2238182</v>
      </c>
      <c r="I165" s="47">
        <f>I166+I171+I189+I216+I234+I288+I309+I325</f>
        <v>903255478</v>
      </c>
    </row>
    <row r="166" spans="1:9">
      <c r="A166" s="41" t="str">
        <f>IF(B166&gt;0,VLOOKUP(B166,КВСР!A107:B1272,2),IF(C166&gt;0,VLOOKUP(C166,КФСР!A107:B1619,2),IF(D166&gt;0,VLOOKUP(D166,Программа!A$1:B$5008,2),IF(F166&gt;0,VLOOKUP(F166,КВР!A$1:B$5001,2),IF(E166&gt;0,VLOOKUP(E166,Направление!A$1:B$4660,2))))))</f>
        <v>Транспорт</v>
      </c>
      <c r="B166" s="81"/>
      <c r="C166" s="82">
        <v>408</v>
      </c>
      <c r="D166" s="83"/>
      <c r="E166" s="82"/>
      <c r="F166" s="83"/>
      <c r="G166" s="42">
        <v>112000</v>
      </c>
      <c r="H166" s="42">
        <f t="shared" ref="H166:H169" si="26">H167</f>
        <v>0</v>
      </c>
      <c r="I166" s="42">
        <f t="shared" ref="I166:I223" si="27">SUM(G166:H166)</f>
        <v>112000</v>
      </c>
    </row>
    <row r="167" spans="1:9">
      <c r="A167" s="41" t="str">
        <f>IF(B167&gt;0,VLOOKUP(B167,КВСР!A108:B1273,2),IF(C167&gt;0,VLOOKUP(C167,КФСР!A108:B1620,2),IF(D167&gt;0,VLOOKUP(D167,Программа!A$1:B$5008,2),IF(F167&gt;0,VLOOKUP(F167,КВР!A$1:B$5001,2),IF(E167&gt;0,VLOOKUP(E167,Направление!A$1:B$4660,2))))))</f>
        <v>Развитие образования</v>
      </c>
      <c r="B167" s="81"/>
      <c r="C167" s="82"/>
      <c r="D167" s="83">
        <v>20</v>
      </c>
      <c r="E167" s="82"/>
      <c r="F167" s="83"/>
      <c r="G167" s="42">
        <v>112000</v>
      </c>
      <c r="H167" s="42">
        <f t="shared" si="26"/>
        <v>0</v>
      </c>
      <c r="I167" s="42">
        <f t="shared" si="27"/>
        <v>112000</v>
      </c>
    </row>
    <row r="168" spans="1:9" ht="78.75">
      <c r="A168" s="41" t="str">
        <f>IF(B168&gt;0,VLOOKUP(B168,КВСР!A109:B1274,2),IF(C168&gt;0,VLOOKUP(C168,КФСР!A109:B1621,2),IF(D168&gt;0,VLOOKUP(D168,Программа!A$1:B$5008,2),IF(F168&gt;0,VLOOKUP(F168,КВР!A$1:B$5001,2),IF(E168&gt;0,VLOOKUP(E168,Направление!A$1:B$4660,2))))))</f>
        <v>Ведомственная целевая программа департамента образования Администрации Тутаевского муниципального района на 2014-2016 годы.</v>
      </c>
      <c r="B168" s="81"/>
      <c r="C168" s="82"/>
      <c r="D168" s="83">
        <v>21</v>
      </c>
      <c r="E168" s="82"/>
      <c r="F168" s="83"/>
      <c r="G168" s="42">
        <v>112000</v>
      </c>
      <c r="H168" s="42">
        <f t="shared" si="26"/>
        <v>0</v>
      </c>
      <c r="I168" s="42">
        <f t="shared" si="27"/>
        <v>112000</v>
      </c>
    </row>
    <row r="169" spans="1:9" ht="78.75">
      <c r="A169" s="41" t="str">
        <f>IF(B169&gt;0,VLOOKUP(B169,КВСР!A110:B1275,2),IF(C169&gt;0,VLOOKUP(C169,КФСР!A110:B1622,2),IF(D169&gt;0,VLOOKUP(D169,Программа!A$1:B$5008,2),IF(F169&gt;0,VLOOKUP(F169,КВР!A$1:B$5001,2),IF(E169&gt;0,VLOOKUP(E169,Направление!A$1:B$4660,2))))))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169" s="81"/>
      <c r="C169" s="82"/>
      <c r="D169" s="83"/>
      <c r="E169" s="82">
        <v>7256</v>
      </c>
      <c r="F169" s="83"/>
      <c r="G169" s="42">
        <v>112000</v>
      </c>
      <c r="H169" s="42">
        <f t="shared" si="26"/>
        <v>0</v>
      </c>
      <c r="I169" s="42">
        <f t="shared" si="27"/>
        <v>112000</v>
      </c>
    </row>
    <row r="170" spans="1:9" ht="31.5">
      <c r="A170" s="41" t="str">
        <f>IF(B170&gt;0,VLOOKUP(B170,КВСР!A110:B1275,2),IF(C170&gt;0,VLOOKUP(C170,КФСР!A110:B1622,2),IF(D170&gt;0,VLOOKUP(D170,Программа!A$1:B$5008,2),IF(F170&gt;0,VLOOKUP(F170,КВР!A$1:B$5001,2),IF(E170&gt;0,VLOOKUP(E170,Направление!A$1:B$4660,2))))))</f>
        <v>Социальное обеспечение и иные выплаты населению</v>
      </c>
      <c r="B170" s="81"/>
      <c r="C170" s="82"/>
      <c r="D170" s="83"/>
      <c r="E170" s="82"/>
      <c r="F170" s="83">
        <v>300</v>
      </c>
      <c r="G170" s="42">
        <v>112000</v>
      </c>
      <c r="H170" s="334"/>
      <c r="I170" s="42">
        <f t="shared" si="27"/>
        <v>112000</v>
      </c>
    </row>
    <row r="171" spans="1:9">
      <c r="A171" s="41" t="str">
        <f>IF(B171&gt;0,VLOOKUP(B171,КВСР!A111:B1276,2),IF(C171&gt;0,VLOOKUP(C171,КФСР!A111:B1623,2),IF(D171&gt;0,VLOOKUP(D171,Программа!A$1:B$5008,2),IF(F171&gt;0,VLOOKUP(F171,КВР!A$1:B$5001,2),IF(E171&gt;0,VLOOKUP(E171,Направление!A$1:B$4660,2))))))</f>
        <v>Дошкольное образование</v>
      </c>
      <c r="B171" s="85"/>
      <c r="C171" s="77">
        <v>701</v>
      </c>
      <c r="D171" s="78"/>
      <c r="E171" s="77"/>
      <c r="F171" s="78"/>
      <c r="G171" s="76">
        <v>301295478.38</v>
      </c>
      <c r="H171" s="76">
        <f>H172+H186</f>
        <v>1326211</v>
      </c>
      <c r="I171" s="42">
        <f t="shared" si="27"/>
        <v>302621689.38</v>
      </c>
    </row>
    <row r="172" spans="1:9">
      <c r="A172" s="41" t="str">
        <f>IF(B172&gt;0,VLOOKUP(B172,КВСР!A112:B1277,2),IF(C172&gt;0,VLOOKUP(C172,КФСР!A112:B1624,2),IF(D172&gt;0,VLOOKUP(D172,Программа!A$1:B$5008,2),IF(F172&gt;0,VLOOKUP(F172,КВР!A$1:B$5001,2),IF(E172&gt;0,VLOOKUP(E172,Направление!A$1:B$4660,2))))))</f>
        <v>Развитие образования</v>
      </c>
      <c r="B172" s="85"/>
      <c r="C172" s="77"/>
      <c r="D172" s="78">
        <v>20</v>
      </c>
      <c r="E172" s="77"/>
      <c r="F172" s="78"/>
      <c r="G172" s="76">
        <v>293325709.38</v>
      </c>
      <c r="H172" s="76">
        <f>H173</f>
        <v>729161</v>
      </c>
      <c r="I172" s="42">
        <f t="shared" si="27"/>
        <v>294054870.38</v>
      </c>
    </row>
    <row r="173" spans="1:9" ht="78.75">
      <c r="A173" s="41" t="str">
        <f>IF(B173&gt;0,VLOOKUP(B173,КВСР!A113:B1278,2),IF(C173&gt;0,VLOOKUP(C173,КФСР!A113:B1625,2),IF(D173&gt;0,VLOOKUP(D173,Программа!A$1:B$5008,2),IF(F173&gt;0,VLOOKUP(F173,КВР!A$1:B$5001,2),IF(E173&gt;0,VLOOKUP(E173,Направление!A$1:B$4660,2))))))</f>
        <v>Ведомственная целевая программа департамента образования Администрации Тутаевского муниципального района на 2014-2016 годы.</v>
      </c>
      <c r="B173" s="85"/>
      <c r="C173" s="77"/>
      <c r="D173" s="78">
        <v>21</v>
      </c>
      <c r="E173" s="77"/>
      <c r="F173" s="78"/>
      <c r="G173" s="76">
        <v>293325709.38</v>
      </c>
      <c r="H173" s="76">
        <f>H174+H176+H178+H182+H184+H180</f>
        <v>729161</v>
      </c>
      <c r="I173" s="42">
        <f t="shared" si="27"/>
        <v>294054870.38</v>
      </c>
    </row>
    <row r="174" spans="1:9" ht="31.5">
      <c r="A174" s="41" t="str">
        <f>IF(B174&gt;0,VLOOKUP(B174,КВСР!A114:B1279,2),IF(C174&gt;0,VLOOKUP(C174,КФСР!A114:B1626,2),IF(D174&gt;0,VLOOKUP(D174,Программа!A$1:B$5008,2),IF(F174&gt;0,VLOOKUP(F174,КВР!A$1:B$5001,2),IF(E174&gt;0,VLOOKUP(E174,Направление!A$1:B$4660,2))))))</f>
        <v>Обеспечение деятельности дошкольных учреждений</v>
      </c>
      <c r="B174" s="85"/>
      <c r="C174" s="77"/>
      <c r="D174" s="78"/>
      <c r="E174" s="77">
        <v>1301</v>
      </c>
      <c r="F174" s="78"/>
      <c r="G174" s="42">
        <v>93813638.379999995</v>
      </c>
      <c r="H174" s="42">
        <f>H175</f>
        <v>2329161</v>
      </c>
      <c r="I174" s="42">
        <f t="shared" si="27"/>
        <v>96142799.379999995</v>
      </c>
    </row>
    <row r="175" spans="1:9" ht="63">
      <c r="A175" s="41" t="str">
        <f>IF(B175&gt;0,VLOOKUP(B175,КВСР!A115:B1280,2),IF(C175&gt;0,VLOOKUP(C175,КФСР!A115:B1627,2),IF(D175&gt;0,VLOOKUP(D175,Программа!A$1:B$5008,2),IF(F175&gt;0,VLOOKUP(F175,КВР!A$1:B$5001,2),IF(E175&gt;0,VLOOKUP(E175,Направление!A$1:B$4660,2))))))</f>
        <v>Предоставление субсидий бюджетным, автономным учреждениям и иным некоммерческим организациям</v>
      </c>
      <c r="B175" s="85"/>
      <c r="C175" s="77"/>
      <c r="D175" s="78"/>
      <c r="E175" s="77"/>
      <c r="F175" s="78">
        <v>600</v>
      </c>
      <c r="G175" s="42">
        <v>93813638.379999995</v>
      </c>
      <c r="H175" s="334">
        <f>598592+2500000-169431+100000-700000</f>
        <v>2329161</v>
      </c>
      <c r="I175" s="42">
        <f t="shared" si="27"/>
        <v>96142799.379999995</v>
      </c>
    </row>
    <row r="176" spans="1:9" ht="47.25">
      <c r="A176" s="41" t="str">
        <f>IF(B176&gt;0,VLOOKUP(B176,КВСР!A116:B1281,2),IF(C176&gt;0,VLOOKUP(C176,КФСР!A116:B1628,2),IF(D176&gt;0,VLOOKUP(D176,Программа!A$1:B$5008,2),IF(F176&gt;0,VLOOKUP(F176,КВР!A$1:B$5001,2),IF(E176&gt;0,VLOOKUP(E176,Направление!A$1:B$4660,2))))))</f>
        <v>Расходы на организацию присмотра и ухода за детьми в образовательных учреждениях</v>
      </c>
      <c r="B176" s="85"/>
      <c r="C176" s="77"/>
      <c r="D176" s="78"/>
      <c r="E176" s="77">
        <v>1305</v>
      </c>
      <c r="F176" s="78"/>
      <c r="G176" s="42">
        <v>4146000</v>
      </c>
      <c r="H176" s="42">
        <f>H177</f>
        <v>0</v>
      </c>
      <c r="I176" s="42">
        <f t="shared" si="27"/>
        <v>4146000</v>
      </c>
    </row>
    <row r="177" spans="1:9" ht="63">
      <c r="A177" s="41" t="str">
        <f>IF(B177&gt;0,VLOOKUP(B177,КВСР!A117:B1282,2),IF(C177&gt;0,VLOOKUP(C177,КФСР!A117:B1629,2),IF(D177&gt;0,VLOOKUP(D177,Программа!A$1:B$5008,2),IF(F177&gt;0,VLOOKUP(F177,КВР!A$1:B$5001,2),IF(E177&gt;0,VLOOKUP(E177,Направление!A$1:B$4660,2))))))</f>
        <v>Предоставление субсидий бюджетным, автономным учреждениям и иным некоммерческим организациям</v>
      </c>
      <c r="B177" s="85"/>
      <c r="C177" s="77"/>
      <c r="D177" s="78"/>
      <c r="E177" s="77"/>
      <c r="F177" s="78">
        <v>600</v>
      </c>
      <c r="G177" s="42">
        <v>4146000</v>
      </c>
      <c r="H177" s="334"/>
      <c r="I177" s="42">
        <f t="shared" si="27"/>
        <v>4146000</v>
      </c>
    </row>
    <row r="178" spans="1:9" ht="110.25">
      <c r="A178" s="41" t="str">
        <f>IF(B178&gt;0,VLOOKUP(B178,КВСР!A118:B1283,2),IF(C178&gt;0,VLOOKUP(C178,КФСР!A118:B1630,2),IF(D178&gt;0,VLOOKUP(D178,Программа!A$1:B$5008,2),IF(F178&gt;0,VLOOKUP(F178,КВР!A$1:B$5001,2),IF(E178&gt;0,VLOOKUP(E178,Направление!A$1:B$4660,2))))))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78" s="85"/>
      <c r="C178" s="77"/>
      <c r="D178" s="78"/>
      <c r="E178" s="77">
        <v>7051</v>
      </c>
      <c r="F178" s="78"/>
      <c r="G178" s="42">
        <v>1750000</v>
      </c>
      <c r="H178" s="42">
        <f>H179</f>
        <v>0</v>
      </c>
      <c r="I178" s="42">
        <f t="shared" si="27"/>
        <v>1750000</v>
      </c>
    </row>
    <row r="179" spans="1:9" ht="63">
      <c r="A179" s="41" t="str">
        <f>IF(B179&gt;0,VLOOKUP(B179,КВСР!A119:B1284,2),IF(C179&gt;0,VLOOKUP(C179,КФСР!A119:B1631,2),IF(D179&gt;0,VLOOKUP(D179,Программа!A$1:B$5008,2),IF(F179&gt;0,VLOOKUP(F179,КВР!A$1:B$5001,2),IF(E179&gt;0,VLOOKUP(E179,Направление!A$1:B$4660,2))))))</f>
        <v>Предоставление субсидий бюджетным, автономным учреждениям и иным некоммерческим организациям</v>
      </c>
      <c r="B179" s="85"/>
      <c r="C179" s="77"/>
      <c r="D179" s="78"/>
      <c r="E179" s="77"/>
      <c r="F179" s="78">
        <v>600</v>
      </c>
      <c r="G179" s="42">
        <v>1750000</v>
      </c>
      <c r="H179" s="334"/>
      <c r="I179" s="42">
        <f t="shared" si="27"/>
        <v>1750000</v>
      </c>
    </row>
    <row r="180" spans="1:9" ht="78.75">
      <c r="A180" s="41" t="str">
        <f>IF(B180&gt;0,VLOOKUP(B180,КВСР!A120:B1285,2),IF(C180&gt;0,VLOOKUP(C180,КФСР!A120:B1632,2),IF(D180&gt;0,VLOOKUP(D180,Программа!A$1:B$5008,2),IF(F180&gt;0,VLOOKUP(F180,КВР!A$1:B$5001,2),IF(E180&gt;0,VLOOKUP(E180,Направление!A$1:B$4660,2))))))</f>
        <v>Расходы на капитальный ремонт зданий, возвращенных системе образования и функционирующих дошкольных и общеобразовательных учреждений</v>
      </c>
      <c r="B180" s="85"/>
      <c r="C180" s="77"/>
      <c r="D180" s="78"/>
      <c r="E180" s="77">
        <v>7056</v>
      </c>
      <c r="F180" s="78"/>
      <c r="G180" s="42">
        <v>1167071</v>
      </c>
      <c r="H180" s="42">
        <f t="shared" ref="H180" si="28">H181</f>
        <v>0</v>
      </c>
      <c r="I180" s="42">
        <f t="shared" si="27"/>
        <v>1167071</v>
      </c>
    </row>
    <row r="181" spans="1:9" ht="63">
      <c r="A181" s="41" t="str">
        <f>IF(B181&gt;0,VLOOKUP(B181,КВСР!A121:B1286,2),IF(C181&gt;0,VLOOKUP(C181,КФСР!A121:B1633,2),IF(D181&gt;0,VLOOKUP(D181,Программа!A$1:B$5008,2),IF(F181&gt;0,VLOOKUP(F181,КВР!A$1:B$5001,2),IF(E181&gt;0,VLOOKUP(E181,Направление!A$1:B$4660,2))))))</f>
        <v>Предоставление субсидий бюджетным, автономным учреждениям и иным некоммерческим организациям</v>
      </c>
      <c r="B181" s="85"/>
      <c r="C181" s="77"/>
      <c r="D181" s="78"/>
      <c r="E181" s="77"/>
      <c r="F181" s="78">
        <v>600</v>
      </c>
      <c r="G181" s="42">
        <v>1167071</v>
      </c>
      <c r="H181" s="334"/>
      <c r="I181" s="42">
        <f t="shared" si="27"/>
        <v>1167071</v>
      </c>
    </row>
    <row r="182" spans="1:9" ht="78.75">
      <c r="A182" s="41" t="str">
        <f>IF(B182&gt;0,VLOOKUP(B182,КВСР!A120:B1285,2),IF(C182&gt;0,VLOOKUP(C182,КФСР!A120:B1632,2),IF(D182&gt;0,VLOOKUP(D182,Программа!A$1:B$5008,2),IF(F182&gt;0,VLOOKUP(F182,КВР!A$1:B$5001,2),IF(E182&gt;0,VLOOKUP(E182,Направление!A$1:B$4660,2))))))</f>
        <v xml:space="preserve">Расходы на обеспечение предоставления услуг по дошкольному образованию детей в дошкольных образовательных организациях </v>
      </c>
      <c r="B182" s="85"/>
      <c r="C182" s="77"/>
      <c r="D182" s="78"/>
      <c r="E182" s="77">
        <v>7311</v>
      </c>
      <c r="F182" s="78"/>
      <c r="G182" s="42">
        <v>155691000</v>
      </c>
      <c r="H182" s="42">
        <f>H183</f>
        <v>-1600000</v>
      </c>
      <c r="I182" s="42">
        <f t="shared" si="27"/>
        <v>154091000</v>
      </c>
    </row>
    <row r="183" spans="1:9" ht="63">
      <c r="A183" s="41" t="str">
        <f>IF(B183&gt;0,VLOOKUP(B183,КВСР!A121:B1286,2),IF(C183&gt;0,VLOOKUP(C183,КФСР!A121:B1633,2),IF(D183&gt;0,VLOOKUP(D183,Программа!A$1:B$5008,2),IF(F183&gt;0,VLOOKUP(F183,КВР!A$1:B$5001,2),IF(E183&gt;0,VLOOKUP(E183,Направление!A$1:B$4660,2))))))</f>
        <v>Предоставление субсидий бюджетным, автономным учреждениям и иным некоммерческим организациям</v>
      </c>
      <c r="B183" s="85"/>
      <c r="C183" s="77"/>
      <c r="D183" s="78"/>
      <c r="E183" s="77"/>
      <c r="F183" s="78">
        <v>600</v>
      </c>
      <c r="G183" s="42">
        <v>155691000</v>
      </c>
      <c r="H183" s="334">
        <v>-1600000</v>
      </c>
      <c r="I183" s="42">
        <f t="shared" si="27"/>
        <v>154091000</v>
      </c>
    </row>
    <row r="184" spans="1:9" ht="47.25">
      <c r="A184" s="41" t="str">
        <f>IF(B184&gt;0,VLOOKUP(B184,КВСР!A118:B1283,2),IF(C184&gt;0,VLOOKUP(C184,КФСР!A118:B1630,2),IF(D184&gt;0,VLOOKUP(D184,Программа!A$1:B$5008,2),IF(F184&gt;0,VLOOKUP(F184,КВР!A$1:B$5001,2),IF(E184&gt;0,VLOOKUP(E184,Направление!A$1:B$4660,2))))))</f>
        <v>Расходы на организацию присмотра и ухода за детьми в образовательных организациях</v>
      </c>
      <c r="B184" s="85"/>
      <c r="C184" s="77"/>
      <c r="D184" s="78"/>
      <c r="E184" s="77">
        <v>7323</v>
      </c>
      <c r="F184" s="78"/>
      <c r="G184" s="42">
        <v>36758000</v>
      </c>
      <c r="H184" s="42">
        <f>H185</f>
        <v>0</v>
      </c>
      <c r="I184" s="42">
        <f t="shared" si="27"/>
        <v>36758000</v>
      </c>
    </row>
    <row r="185" spans="1:9" ht="63">
      <c r="A185" s="41" t="str">
        <f>IF(B185&gt;0,VLOOKUP(B185,КВСР!A119:B1284,2),IF(C185&gt;0,VLOOKUP(C185,КФСР!A119:B1631,2),IF(D185&gt;0,VLOOKUP(D185,Программа!A$1:B$5008,2),IF(F185&gt;0,VLOOKUP(F185,КВР!A$1:B$5001,2),IF(E185&gt;0,VLOOKUP(E185,Направление!A$1:B$4660,2))))))</f>
        <v>Предоставление субсидий бюджетным, автономным учреждениям и иным некоммерческим организациям</v>
      </c>
      <c r="B185" s="85"/>
      <c r="C185" s="77"/>
      <c r="D185" s="78"/>
      <c r="E185" s="77"/>
      <c r="F185" s="78">
        <v>600</v>
      </c>
      <c r="G185" s="42">
        <v>36758000</v>
      </c>
      <c r="H185" s="334"/>
      <c r="I185" s="42">
        <f t="shared" si="27"/>
        <v>36758000</v>
      </c>
    </row>
    <row r="186" spans="1:9">
      <c r="A186" s="41" t="str">
        <f>IF(B186&gt;0,VLOOKUP(B186,КВСР!A116:B1281,2),IF(C186&gt;0,VLOOKUP(C186,КФСР!A116:B1628,2),IF(D186&gt;0,VLOOKUP(D186,Программа!A$1:B$5008,2),IF(F186&gt;0,VLOOKUP(F186,КВР!A$1:B$5001,2),IF(E186&gt;0,VLOOKUP(E186,Направление!A$1:B$4660,2))))))</f>
        <v>Непрограммные расходы бюджета</v>
      </c>
      <c r="B186" s="85"/>
      <c r="C186" s="77"/>
      <c r="D186" s="78">
        <v>409</v>
      </c>
      <c r="E186" s="77"/>
      <c r="F186" s="78"/>
      <c r="G186" s="95">
        <v>7969769</v>
      </c>
      <c r="H186" s="95">
        <f>H187</f>
        <v>597050</v>
      </c>
      <c r="I186" s="42">
        <f t="shared" si="27"/>
        <v>8566819</v>
      </c>
    </row>
    <row r="187" spans="1:9" ht="31.5">
      <c r="A187" s="41" t="str">
        <f>IF(B187&gt;0,VLOOKUP(B187,КВСР!A117:B1282,2),IF(C187&gt;0,VLOOKUP(C187,КФСР!A117:B1629,2),IF(D187&gt;0,VLOOKUP(D187,Программа!A$1:B$5008,2),IF(F187&gt;0,VLOOKUP(F187,КВР!A$1:B$5001,2),IF(E187&gt;0,VLOOKUP(E187,Направление!A$1:B$4660,2))))))</f>
        <v>Погашение задолженности прошлых лет</v>
      </c>
      <c r="B187" s="85"/>
      <c r="C187" s="77"/>
      <c r="D187" s="78"/>
      <c r="E187" s="77">
        <v>1260</v>
      </c>
      <c r="F187" s="78"/>
      <c r="G187" s="95">
        <v>7969769</v>
      </c>
      <c r="H187" s="95">
        <f>H188</f>
        <v>597050</v>
      </c>
      <c r="I187" s="42">
        <f t="shared" si="27"/>
        <v>8566819</v>
      </c>
    </row>
    <row r="188" spans="1:9" ht="63">
      <c r="A188" s="41" t="str">
        <f>IF(B188&gt;0,VLOOKUP(B188,КВСР!A118:B1283,2),IF(C188&gt;0,VLOOKUP(C188,КФСР!A118:B1630,2),IF(D188&gt;0,VLOOKUP(D188,Программа!A$1:B$5008,2),IF(F188&gt;0,VLOOKUP(F188,КВР!A$1:B$5001,2),IF(E188&gt;0,VLOOKUP(E188,Направление!A$1:B$4660,2))))))</f>
        <v>Предоставление субсидий бюджетным, автономным учреждениям и иным некоммерческим организациям</v>
      </c>
      <c r="B188" s="85"/>
      <c r="C188" s="77"/>
      <c r="D188" s="78"/>
      <c r="E188" s="77"/>
      <c r="F188" s="78">
        <v>600</v>
      </c>
      <c r="G188" s="95">
        <v>7969769</v>
      </c>
      <c r="H188" s="336">
        <f>200000+397050</f>
        <v>597050</v>
      </c>
      <c r="I188" s="42">
        <f t="shared" si="27"/>
        <v>8566819</v>
      </c>
    </row>
    <row r="189" spans="1:9">
      <c r="A189" s="41" t="str">
        <f>IF(B189&gt;0,VLOOKUP(B189,КВСР!A120:B1285,2),IF(C189&gt;0,VLOOKUP(C189,КФСР!A120:B1632,2),IF(D189&gt;0,VLOOKUP(D189,Программа!A$1:B$5008,2),IF(F189&gt;0,VLOOKUP(F189,КВР!A$1:B$5001,2),IF(E189&gt;0,VLOOKUP(E189,Направление!A$1:B$4660,2))))))</f>
        <v>Общее образование</v>
      </c>
      <c r="B189" s="85"/>
      <c r="C189" s="77">
        <v>702</v>
      </c>
      <c r="D189" s="78"/>
      <c r="E189" s="77"/>
      <c r="F189" s="78"/>
      <c r="G189" s="76">
        <v>506405047.62</v>
      </c>
      <c r="H189" s="76">
        <f>H190+H213</f>
        <v>-1855856</v>
      </c>
      <c r="I189" s="42">
        <f t="shared" si="27"/>
        <v>504549191.62</v>
      </c>
    </row>
    <row r="190" spans="1:9">
      <c r="A190" s="41" t="str">
        <f>IF(B190&gt;0,VLOOKUP(B190,КВСР!A121:B1286,2),IF(C190&gt;0,VLOOKUP(C190,КФСР!A121:B1633,2),IF(D190&gt;0,VLOOKUP(D190,Программа!A$1:B$5008,2),IF(F190&gt;0,VLOOKUP(F190,КВР!A$1:B$5001,2),IF(E190&gt;0,VLOOKUP(E190,Направление!A$1:B$4660,2))))))</f>
        <v>Развитие образования</v>
      </c>
      <c r="B190" s="85"/>
      <c r="C190" s="77"/>
      <c r="D190" s="78">
        <v>20</v>
      </c>
      <c r="E190" s="77"/>
      <c r="F190" s="78"/>
      <c r="G190" s="76">
        <v>490693069.62</v>
      </c>
      <c r="H190" s="76">
        <f>H191+H208</f>
        <v>-2548213</v>
      </c>
      <c r="I190" s="42">
        <f t="shared" si="27"/>
        <v>488144856.62</v>
      </c>
    </row>
    <row r="191" spans="1:9" ht="78.75">
      <c r="A191" s="41" t="str">
        <f>IF(B191&gt;0,VLOOKUP(B191,КВСР!A122:B1287,2),IF(C191&gt;0,VLOOKUP(C191,КФСР!A122:B1634,2),IF(D191&gt;0,VLOOKUP(D191,Программа!A$1:B$5008,2),IF(F191&gt;0,VLOOKUP(F191,КВР!A$1:B$5001,2),IF(E191&gt;0,VLOOKUP(E191,Направление!A$1:B$4660,2))))))</f>
        <v>Ведомственная целевая программа департамента образования Администрации Тутаевского муниципального района на 2014-2016 годы.</v>
      </c>
      <c r="B191" s="85"/>
      <c r="C191" s="77"/>
      <c r="D191" s="78">
        <v>21</v>
      </c>
      <c r="E191" s="77"/>
      <c r="F191" s="78"/>
      <c r="G191" s="76">
        <v>461110069.62</v>
      </c>
      <c r="H191" s="76">
        <f>H192+H194+H196+H200+H202+H204+H198+H206</f>
        <v>-20913</v>
      </c>
      <c r="I191" s="42">
        <f t="shared" si="27"/>
        <v>461089156.62</v>
      </c>
    </row>
    <row r="192" spans="1:9" ht="47.25">
      <c r="A192" s="41" t="str">
        <f>IF(B192&gt;0,VLOOKUP(B192,КВСР!A123:B1288,2),IF(C192&gt;0,VLOOKUP(C192,КФСР!A123:B1635,2),IF(D192&gt;0,VLOOKUP(D192,Программа!A$1:B$5008,2),IF(F192&gt;0,VLOOKUP(F192,КВР!A$1:B$5001,2),IF(E192&gt;0,VLOOKUP(E192,Направление!A$1:B$4660,2))))))</f>
        <v>Расходы на организацию присмотра и ухода за детьми в образовательных учреждениях</v>
      </c>
      <c r="B192" s="85"/>
      <c r="C192" s="77"/>
      <c r="D192" s="78"/>
      <c r="E192" s="77">
        <v>1305</v>
      </c>
      <c r="F192" s="78"/>
      <c r="G192" s="76">
        <v>265556</v>
      </c>
      <c r="H192" s="76">
        <f>H193</f>
        <v>0</v>
      </c>
      <c r="I192" s="42">
        <f t="shared" si="27"/>
        <v>265556</v>
      </c>
    </row>
    <row r="193" spans="1:9" ht="63">
      <c r="A193" s="41" t="str">
        <f>IF(B193&gt;0,VLOOKUP(B193,КВСР!A124:B1289,2),IF(C193&gt;0,VLOOKUP(C193,КФСР!A124:B1636,2),IF(D193&gt;0,VLOOKUP(D193,Программа!A$1:B$5008,2),IF(F193&gt;0,VLOOKUP(F193,КВР!A$1:B$5001,2),IF(E193&gt;0,VLOOKUP(E193,Направление!A$1:B$4660,2))))))</f>
        <v>Предоставление субсидий бюджетным, автономным учреждениям и иным некоммерческим организациям</v>
      </c>
      <c r="B193" s="85"/>
      <c r="C193" s="77"/>
      <c r="D193" s="78"/>
      <c r="E193" s="77"/>
      <c r="F193" s="78">
        <v>600</v>
      </c>
      <c r="G193" s="76">
        <v>265556</v>
      </c>
      <c r="H193" s="335"/>
      <c r="I193" s="42">
        <f t="shared" si="27"/>
        <v>265556</v>
      </c>
    </row>
    <row r="194" spans="1:9" ht="31.5">
      <c r="A194" s="41" t="str">
        <f>IF(B194&gt;0,VLOOKUP(B194,КВСР!A123:B1288,2),IF(C194&gt;0,VLOOKUP(C194,КФСР!A123:B1635,2),IF(D194&gt;0,VLOOKUP(D194,Программа!A$1:B$5008,2),IF(F194&gt;0,VLOOKUP(F194,КВР!A$1:B$5001,2),IF(E194&gt;0,VLOOKUP(E194,Направление!A$1:B$4660,2))))))</f>
        <v>Обеспечение деятельности общеобразовательных учреждений</v>
      </c>
      <c r="B194" s="85"/>
      <c r="C194" s="77"/>
      <c r="D194" s="78"/>
      <c r="E194" s="77">
        <v>1311</v>
      </c>
      <c r="F194" s="78"/>
      <c r="G194" s="42">
        <v>82232301.620000005</v>
      </c>
      <c r="H194" s="42">
        <f>H195</f>
        <v>2361074</v>
      </c>
      <c r="I194" s="42">
        <f t="shared" si="27"/>
        <v>84593375.620000005</v>
      </c>
    </row>
    <row r="195" spans="1:9" ht="63">
      <c r="A195" s="41" t="str">
        <f>IF(B195&gt;0,VLOOKUP(B195,КВСР!A124:B1289,2),IF(C195&gt;0,VLOOKUP(C195,КФСР!A124:B1636,2),IF(D195&gt;0,VLOOKUP(D195,Программа!A$1:B$5008,2),IF(F195&gt;0,VLOOKUP(F195,КВР!A$1:B$5001,2),IF(E195&gt;0,VLOOKUP(E195,Направление!A$1:B$4660,2))))))</f>
        <v>Предоставление субсидий бюджетным, автономным учреждениям и иным некоммерческим организациям</v>
      </c>
      <c r="B195" s="85"/>
      <c r="C195" s="77"/>
      <c r="D195" s="78"/>
      <c r="E195" s="77"/>
      <c r="F195" s="78">
        <v>600</v>
      </c>
      <c r="G195" s="42">
        <v>82232301.620000005</v>
      </c>
      <c r="H195" s="334">
        <f>1089112-117780+30160+150000+50000+800000+321452+38130</f>
        <v>2361074</v>
      </c>
      <c r="I195" s="42">
        <f t="shared" si="27"/>
        <v>84593375.620000005</v>
      </c>
    </row>
    <row r="196" spans="1:9" ht="33.75" customHeight="1">
      <c r="A196" s="41" t="str">
        <f>IF(B196&gt;0,VLOOKUP(B196,КВСР!A125:B1290,2),IF(C196&gt;0,VLOOKUP(C196,КФСР!A125:B1637,2),IF(D196&gt;0,VLOOKUP(D196,Программа!A$1:B$5008,2),IF(F196&gt;0,VLOOKUP(F196,КВР!A$1:B$5001,2),IF(E196&gt;0,VLOOKUP(E196,Направление!A$1:B$4660,2))))))</f>
        <v>Обеспечение деятельности учреждений дополнительного образования</v>
      </c>
      <c r="B196" s="85"/>
      <c r="C196" s="77"/>
      <c r="D196" s="78"/>
      <c r="E196" s="77">
        <v>1321</v>
      </c>
      <c r="F196" s="78"/>
      <c r="G196" s="76">
        <v>78348352</v>
      </c>
      <c r="H196" s="76">
        <f>H197</f>
        <v>-2228987</v>
      </c>
      <c r="I196" s="42">
        <f t="shared" si="27"/>
        <v>76119365</v>
      </c>
    </row>
    <row r="197" spans="1:9" ht="62.25" customHeight="1">
      <c r="A197" s="41" t="str">
        <f>IF(B197&gt;0,VLOOKUP(B197,КВСР!A126:B1291,2),IF(C197&gt;0,VLOOKUP(C197,КФСР!A126:B1638,2),IF(D197&gt;0,VLOOKUP(D197,Программа!A$1:B$5008,2),IF(F197&gt;0,VLOOKUP(F197,КВР!A$1:B$5001,2),IF(E197&gt;0,VLOOKUP(E197,Направление!A$1:B$4660,2))))))</f>
        <v>Предоставление субсидий бюджетным, автономным учреждениям и иным некоммерческим организациям</v>
      </c>
      <c r="B197" s="86"/>
      <c r="C197" s="87"/>
      <c r="D197" s="88"/>
      <c r="E197" s="87"/>
      <c r="F197" s="88">
        <v>600</v>
      </c>
      <c r="G197" s="76">
        <v>78348352</v>
      </c>
      <c r="H197" s="335">
        <f>-2500000+271013</f>
        <v>-2228987</v>
      </c>
      <c r="I197" s="42">
        <f t="shared" si="27"/>
        <v>76119365</v>
      </c>
    </row>
    <row r="198" spans="1:9" ht="31.5">
      <c r="A198" s="41" t="str">
        <f>IF(B198&gt;0,VLOOKUP(B198,КВСР!A129:B1294,2),IF(C198&gt;0,VLOOKUP(C198,КФСР!A129:B1641,2),IF(D198&gt;0,VLOOKUP(D198,Программа!A$1:B$5008,2),IF(F198&gt;0,VLOOKUP(F198,КВР!A$1:B$5001,2),IF(E198&gt;0,VLOOKUP(E198,Направление!A$1:B$4660,2))))))</f>
        <v>Оплата труда работников сферы образования</v>
      </c>
      <c r="B198" s="86"/>
      <c r="C198" s="87"/>
      <c r="D198" s="88"/>
      <c r="E198" s="87">
        <v>7048</v>
      </c>
      <c r="F198" s="78"/>
      <c r="G198" s="76">
        <v>7452000</v>
      </c>
      <c r="H198" s="76">
        <f t="shared" ref="H198" si="29">H199</f>
        <v>0</v>
      </c>
      <c r="I198" s="42">
        <f t="shared" si="27"/>
        <v>7452000</v>
      </c>
    </row>
    <row r="199" spans="1:9" ht="63">
      <c r="A199" s="41" t="str">
        <f>IF(B199&gt;0,VLOOKUP(B199,КВСР!A130:B1295,2),IF(C199&gt;0,VLOOKUP(C199,КФСР!A130:B1642,2),IF(D199&gt;0,VLOOKUP(D199,Программа!A$1:B$5008,2),IF(F199&gt;0,VLOOKUP(F199,КВР!A$1:B$5001,2),IF(E199&gt;0,VLOOKUP(E199,Направление!A$1:B$4660,2))))))</f>
        <v>Предоставление субсидий бюджетным, автономным учреждениям и иным некоммерческим организациям</v>
      </c>
      <c r="B199" s="86"/>
      <c r="C199" s="87"/>
      <c r="D199" s="88"/>
      <c r="E199" s="87"/>
      <c r="F199" s="78">
        <v>600</v>
      </c>
      <c r="G199" s="76">
        <v>7452000</v>
      </c>
      <c r="H199" s="335"/>
      <c r="I199" s="42">
        <f t="shared" si="27"/>
        <v>7452000</v>
      </c>
    </row>
    <row r="200" spans="1:9" ht="110.25">
      <c r="A200" s="41" t="str">
        <f>IF(B200&gt;0,VLOOKUP(B200,КВСР!A129:B1294,2),IF(C200&gt;0,VLOOKUP(C200,КФСР!A129:B1641,2),IF(D200&gt;0,VLOOKUP(D200,Программа!A$1:B$5008,2),IF(F200&gt;0,VLOOKUP(F200,КВР!A$1:B$5001,2),IF(E200&gt;0,VLOOKUP(E200,Направление!A$1:B$4660,2))))))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200" s="86"/>
      <c r="C200" s="87"/>
      <c r="D200" s="88"/>
      <c r="E200" s="87">
        <v>7051</v>
      </c>
      <c r="F200" s="88"/>
      <c r="G200" s="76">
        <v>62000</v>
      </c>
      <c r="H200" s="76">
        <f>H201</f>
        <v>0</v>
      </c>
      <c r="I200" s="42">
        <f t="shared" si="27"/>
        <v>62000</v>
      </c>
    </row>
    <row r="201" spans="1:9" ht="63">
      <c r="A201" s="41" t="str">
        <f>IF(B201&gt;0,VLOOKUP(B201,КВСР!A130:B1295,2),IF(C201&gt;0,VLOOKUP(C201,КФСР!A130:B1642,2),IF(D201&gt;0,VLOOKUP(D201,Программа!A$1:B$5008,2),IF(F201&gt;0,VLOOKUP(F201,КВР!A$1:B$5001,2),IF(E201&gt;0,VLOOKUP(E201,Направление!A$1:B$4660,2))))))</f>
        <v>Предоставление субсидий бюджетным, автономным учреждениям и иным некоммерческим организациям</v>
      </c>
      <c r="B201" s="86"/>
      <c r="C201" s="87"/>
      <c r="D201" s="88"/>
      <c r="E201" s="87"/>
      <c r="F201" s="78">
        <v>600</v>
      </c>
      <c r="G201" s="42">
        <v>62000</v>
      </c>
      <c r="H201" s="334"/>
      <c r="I201" s="42">
        <f t="shared" si="27"/>
        <v>62000</v>
      </c>
    </row>
    <row r="202" spans="1:9" ht="63">
      <c r="A202" s="41" t="str">
        <f>IF(B202&gt;0,VLOOKUP(B202,КВСР!A131:B1296,2),IF(C202&gt;0,VLOOKUP(C202,КФСР!A131:B1643,2),IF(D202&gt;0,VLOOKUP(D202,Программа!A$1:B$5008,2),IF(F202&gt;0,VLOOKUP(F202,КВР!A$1:B$5001,2),IF(E202&gt;0,VLOOKUP(E202,Направление!A$1:B$4660,2))))))</f>
        <v>Организация образовательного процесса в образовательных учреждениях за счет средств областного бюджета</v>
      </c>
      <c r="B202" s="86"/>
      <c r="C202" s="87"/>
      <c r="D202" s="88"/>
      <c r="E202" s="87">
        <v>7052</v>
      </c>
      <c r="F202" s="78"/>
      <c r="G202" s="95">
        <v>290243000</v>
      </c>
      <c r="H202" s="95">
        <f>H203</f>
        <v>-153000</v>
      </c>
      <c r="I202" s="42">
        <f t="shared" si="27"/>
        <v>290090000</v>
      </c>
    </row>
    <row r="203" spans="1:9" ht="63">
      <c r="A203" s="41" t="str">
        <f>IF(B203&gt;0,VLOOKUP(B203,КВСР!A132:B1297,2),IF(C203&gt;0,VLOOKUP(C203,КФСР!A132:B1644,2),IF(D203&gt;0,VLOOKUP(D203,Программа!A$1:B$5008,2),IF(F203&gt;0,VLOOKUP(F203,КВР!A$1:B$5001,2),IF(E203&gt;0,VLOOKUP(E203,Направление!A$1:B$4660,2))))))</f>
        <v>Предоставление субсидий бюджетным, автономным учреждениям и иным некоммерческим организациям</v>
      </c>
      <c r="B203" s="86"/>
      <c r="C203" s="87"/>
      <c r="D203" s="88"/>
      <c r="E203" s="87"/>
      <c r="F203" s="78">
        <v>600</v>
      </c>
      <c r="G203" s="95">
        <v>290243000</v>
      </c>
      <c r="H203" s="336">
        <v>-153000</v>
      </c>
      <c r="I203" s="42">
        <f t="shared" si="27"/>
        <v>290090000</v>
      </c>
    </row>
    <row r="204" spans="1:9" ht="47.25">
      <c r="A204" s="41" t="str">
        <f>IF(B204&gt;0,VLOOKUP(B204,КВСР!A137:B1302,2),IF(C204&gt;0,VLOOKUP(C204,КФСР!A137:B1649,2),IF(D204&gt;0,VLOOKUP(D204,Программа!A$1:B$5008,2),IF(F204&gt;0,VLOOKUP(F204,КВР!A$1:B$5001,2),IF(E204&gt;0,VLOOKUP(E204,Направление!A$1:B$4660,2))))))</f>
        <v>Расходы на организацию присмотра и ухода за детьми в образовательных организациях</v>
      </c>
      <c r="B204" s="86"/>
      <c r="C204" s="87"/>
      <c r="D204" s="78"/>
      <c r="E204" s="77">
        <v>7323</v>
      </c>
      <c r="F204" s="88"/>
      <c r="G204" s="76">
        <v>2444000</v>
      </c>
      <c r="H204" s="76">
        <f>H205</f>
        <v>0</v>
      </c>
      <c r="I204" s="42">
        <f t="shared" si="27"/>
        <v>2444000</v>
      </c>
    </row>
    <row r="205" spans="1:9" ht="63">
      <c r="A205" s="41" t="str">
        <f>IF(B205&gt;0,VLOOKUP(B205,КВСР!A138:B1303,2),IF(C205&gt;0,VLOOKUP(C205,КФСР!A138:B1650,2),IF(D205&gt;0,VLOOKUP(D205,Программа!A$1:B$5008,2),IF(F205&gt;0,VLOOKUP(F205,КВР!A$1:B$5001,2),IF(E205&gt;0,VLOOKUP(E205,Направление!A$1:B$4660,2))))))</f>
        <v>Предоставление субсидий бюджетным, автономным учреждениям и иным некоммерческим организациям</v>
      </c>
      <c r="B205" s="86"/>
      <c r="C205" s="87"/>
      <c r="D205" s="88"/>
      <c r="E205" s="87"/>
      <c r="F205" s="88">
        <v>600</v>
      </c>
      <c r="G205" s="42">
        <v>2444000</v>
      </c>
      <c r="H205" s="334"/>
      <c r="I205" s="42">
        <f t="shared" si="27"/>
        <v>2444000</v>
      </c>
    </row>
    <row r="206" spans="1:9" ht="110.25">
      <c r="A206" s="41" t="str">
        <f>IF(B206&gt;0,VLOOKUP(B206,КВСР!A141:B1306,2),IF(C206&gt;0,VLOOKUP(C206,КФСР!A141:B1653,2),IF(D206&gt;0,VLOOKUP(D206,Программа!A$1:B$5008,2),IF(F206&gt;0,VLOOKUP(F206,КВР!A$1:B$5001,2),IF(E206&gt;0,VLOOKUP(E206,Направление!A$1:B$4660,2))))))</f>
        <v>Расходы на финансовое обеспечение организации видионаблюдения и видиозаписи при проведении государственной итоговой аттестации по образовательным программам среднего образования</v>
      </c>
      <c r="B206" s="86"/>
      <c r="C206" s="87"/>
      <c r="D206" s="88"/>
      <c r="E206" s="87">
        <v>7408</v>
      </c>
      <c r="F206" s="88"/>
      <c r="G206" s="42">
        <v>62860</v>
      </c>
      <c r="H206" s="76">
        <f>H207</f>
        <v>0</v>
      </c>
      <c r="I206" s="42">
        <f t="shared" si="27"/>
        <v>62860</v>
      </c>
    </row>
    <row r="207" spans="1:9" ht="63">
      <c r="A207" s="41" t="str">
        <f>IF(B207&gt;0,VLOOKUP(B207,КВСР!A142:B1307,2),IF(C207&gt;0,VLOOKUP(C207,КФСР!A142:B1654,2),IF(D207&gt;0,VLOOKUP(D207,Программа!A$1:B$5008,2),IF(F207&gt;0,VLOOKUP(F207,КВР!A$1:B$5001,2),IF(E207&gt;0,VLOOKUP(E207,Направление!A$1:B$4660,2))))))</f>
        <v>Предоставление субсидий бюджетным, автономным учреждениям и иным некоммерческим организациям</v>
      </c>
      <c r="B207" s="86"/>
      <c r="C207" s="87"/>
      <c r="D207" s="88"/>
      <c r="E207" s="87"/>
      <c r="F207" s="88">
        <v>600</v>
      </c>
      <c r="G207" s="42">
        <v>62860</v>
      </c>
      <c r="H207" s="334"/>
      <c r="I207" s="42">
        <f t="shared" si="27"/>
        <v>62860</v>
      </c>
    </row>
    <row r="208" spans="1:9" ht="78.75">
      <c r="A208" s="41" t="str">
        <f>IF(B208&gt;0,VLOOKUP(B208,КВСР!A143:B1308,2),IF(C208&gt;0,VLOOKUP(C208,КФСР!A143:B1655,2),IF(D208&gt;0,VLOOKUP(D208,Программа!A$1:B$5008,2),IF(F208&gt;0,VLOOKUP(F208,КВР!A$1:B$5001,2),IF(E208&gt;0,VLOOKUP(E208,Направление!A$1:B$4660,2))))))</f>
        <v>Муниципальная целевая программа «Здоровое питание обучающихся образовательных учреждений Тутаевского муниципального района» на 2014-2016 годы.</v>
      </c>
      <c r="B208" s="86"/>
      <c r="C208" s="87"/>
      <c r="D208" s="88">
        <v>22</v>
      </c>
      <c r="E208" s="87"/>
      <c r="F208" s="88"/>
      <c r="G208" s="95">
        <v>29583000</v>
      </c>
      <c r="H208" s="95">
        <f>H209+H211</f>
        <v>-2527300</v>
      </c>
      <c r="I208" s="42">
        <f t="shared" si="27"/>
        <v>27055700</v>
      </c>
    </row>
    <row r="209" spans="1:9" ht="78.75">
      <c r="A209" s="41" t="str">
        <f>IF(B209&gt;0,VLOOKUP(B209,КВСР!A144:B1309,2),IF(C209&gt;0,VLOOKUP(C209,КФСР!A144:B1656,2),IF(D209&gt;0,VLOOKUP(D209,Программа!A$1:B$5008,2),IF(F209&gt;0,VLOOKUP(F209,КВР!A$1:B$5001,2),IF(E209&gt;0,VLOOKUP(E209,Направление!A$1:B$4660,2))))))</f>
        <v>Расходы на обеспечение бесплатным питанием обучающихся муниципальных образовательных учреждений за счет средств областного бюджета</v>
      </c>
      <c r="B209" s="86"/>
      <c r="C209" s="87"/>
      <c r="D209" s="88"/>
      <c r="E209" s="87">
        <v>1339</v>
      </c>
      <c r="F209" s="88"/>
      <c r="G209" s="95">
        <v>1433000</v>
      </c>
      <c r="H209" s="95">
        <f>H210</f>
        <v>0</v>
      </c>
      <c r="I209" s="42">
        <f t="shared" si="27"/>
        <v>1433000</v>
      </c>
    </row>
    <row r="210" spans="1:9" ht="63">
      <c r="A210" s="41" t="str">
        <f>IF(B210&gt;0,VLOOKUP(B210,КВСР!A145:B1310,2),IF(C210&gt;0,VLOOKUP(C210,КФСР!A145:B1657,2),IF(D210&gt;0,VLOOKUP(D210,Программа!A$1:B$5008,2),IF(F210&gt;0,VLOOKUP(F210,КВР!A$1:B$5001,2),IF(E210&gt;0,VLOOKUP(E210,Направление!A$1:B$4660,2))))))</f>
        <v>Предоставление субсидий бюджетным, автономным учреждениям и иным некоммерческим организациям</v>
      </c>
      <c r="B210" s="86"/>
      <c r="C210" s="87"/>
      <c r="D210" s="88"/>
      <c r="E210" s="87"/>
      <c r="F210" s="88">
        <v>600</v>
      </c>
      <c r="G210" s="42">
        <v>1433000</v>
      </c>
      <c r="H210" s="334"/>
      <c r="I210" s="42">
        <f t="shared" si="27"/>
        <v>1433000</v>
      </c>
    </row>
    <row r="211" spans="1:9" ht="63">
      <c r="A211" s="41" t="str">
        <f>IF(B211&gt;0,VLOOKUP(B211,КВСР!A146:B1311,2),IF(C211&gt;0,VLOOKUP(C211,КФСР!A146:B1658,2),IF(D211&gt;0,VLOOKUP(D211,Программа!A$1:B$5008,2),IF(F211&gt;0,VLOOKUP(F211,КВР!A$1:B$5001,2),IF(E211&gt;0,VLOOKUP(E211,Направление!A$1:B$4660,2))))))</f>
        <v>Обеспечение бесплатным питанием обучающихся муниципальных образовательных учреждений за счет средств областного бюджета</v>
      </c>
      <c r="B211" s="86"/>
      <c r="C211" s="87"/>
      <c r="D211" s="88"/>
      <c r="E211" s="87">
        <v>7053</v>
      </c>
      <c r="F211" s="88"/>
      <c r="G211" s="42">
        <v>28150000</v>
      </c>
      <c r="H211" s="42">
        <f>H212</f>
        <v>-2527300</v>
      </c>
      <c r="I211" s="42">
        <f t="shared" si="27"/>
        <v>25622700</v>
      </c>
    </row>
    <row r="212" spans="1:9" ht="63">
      <c r="A212" s="41" t="str">
        <f>IF(B212&gt;0,VLOOKUP(B212,КВСР!A147:B1312,2),IF(C212&gt;0,VLOOKUP(C212,КФСР!A147:B1659,2),IF(D212&gt;0,VLOOKUP(D212,Программа!A$1:B$5008,2),IF(F212&gt;0,VLOOKUP(F212,КВР!A$1:B$5001,2),IF(E212&gt;0,VLOOKUP(E212,Направление!A$1:B$4660,2))))))</f>
        <v>Предоставление субсидий бюджетным, автономным учреждениям и иным некоммерческим организациям</v>
      </c>
      <c r="B212" s="86"/>
      <c r="C212" s="87"/>
      <c r="D212" s="88"/>
      <c r="E212" s="87"/>
      <c r="F212" s="88">
        <v>600</v>
      </c>
      <c r="G212" s="42">
        <v>28150000</v>
      </c>
      <c r="H212" s="334">
        <v>-2527300</v>
      </c>
      <c r="I212" s="42">
        <f t="shared" si="27"/>
        <v>25622700</v>
      </c>
    </row>
    <row r="213" spans="1:9">
      <c r="A213" s="41" t="str">
        <f>IF(B213&gt;0,VLOOKUP(B213,КВСР!A148:B1313,2),IF(C213&gt;0,VLOOKUP(C213,КФСР!A148:B1660,2),IF(D213&gt;0,VLOOKUP(D213,Программа!A$1:B$5008,2),IF(F213&gt;0,VLOOKUP(F213,КВР!A$1:B$5001,2),IF(E213&gt;0,VLOOKUP(E213,Направление!A$1:B$4660,2))))))</f>
        <v>Непрограммные расходы бюджета</v>
      </c>
      <c r="B213" s="86"/>
      <c r="C213" s="87"/>
      <c r="D213" s="88">
        <v>409</v>
      </c>
      <c r="E213" s="87"/>
      <c r="F213" s="88"/>
      <c r="G213" s="42">
        <v>15711978</v>
      </c>
      <c r="H213" s="42">
        <f>H214</f>
        <v>692357</v>
      </c>
      <c r="I213" s="42">
        <f t="shared" si="27"/>
        <v>16404335</v>
      </c>
    </row>
    <row r="214" spans="1:9" ht="31.5">
      <c r="A214" s="41" t="str">
        <f>IF(B214&gt;0,VLOOKUP(B214,КВСР!A149:B1314,2),IF(C214&gt;0,VLOOKUP(C214,КФСР!A149:B1661,2),IF(D214&gt;0,VLOOKUP(D214,Программа!A$1:B$5008,2),IF(F214&gt;0,VLOOKUP(F214,КВР!A$1:B$5001,2),IF(E214&gt;0,VLOOKUP(E214,Направление!A$1:B$4660,2))))))</f>
        <v>Погашение задолженности прошлых лет</v>
      </c>
      <c r="B214" s="86"/>
      <c r="C214" s="87"/>
      <c r="D214" s="88"/>
      <c r="E214" s="87">
        <v>1260</v>
      </c>
      <c r="F214" s="88"/>
      <c r="G214" s="42">
        <v>15711978</v>
      </c>
      <c r="H214" s="42">
        <f>H215</f>
        <v>692357</v>
      </c>
      <c r="I214" s="42">
        <f t="shared" si="27"/>
        <v>16404335</v>
      </c>
    </row>
    <row r="215" spans="1:9" ht="63">
      <c r="A215" s="41" t="str">
        <f>IF(B215&gt;0,VLOOKUP(B215,КВСР!A150:B1315,2),IF(C215&gt;0,VLOOKUP(C215,КФСР!A150:B1662,2),IF(D215&gt;0,VLOOKUP(D215,Программа!A$1:B$5008,2),IF(F215&gt;0,VLOOKUP(F215,КВР!A$1:B$5001,2),IF(E215&gt;0,VLOOKUP(E215,Направление!A$1:B$4660,2))))))</f>
        <v>Предоставление субсидий бюджетным, автономным учреждениям и иным некоммерческим организациям</v>
      </c>
      <c r="B215" s="86"/>
      <c r="C215" s="87"/>
      <c r="D215" s="88"/>
      <c r="E215" s="87"/>
      <c r="F215" s="88">
        <v>600</v>
      </c>
      <c r="G215" s="42">
        <v>15711978</v>
      </c>
      <c r="H215" s="334">
        <f>2196-109839+800000</f>
        <v>692357</v>
      </c>
      <c r="I215" s="42">
        <f t="shared" si="27"/>
        <v>16404335</v>
      </c>
    </row>
    <row r="216" spans="1:9" ht="31.5">
      <c r="A216" s="41" t="str">
        <f>IF(B216&gt;0,VLOOKUP(B216,КВСР!A146:B1311,2),IF(C216&gt;0,VLOOKUP(C216,КФСР!A146:B1658,2),IF(D216&gt;0,VLOOKUP(D216,Программа!A$1:B$5008,2),IF(F216&gt;0,VLOOKUP(F216,КВР!A$1:B$5001,2),IF(E216&gt;0,VLOOKUP(E216,Направление!A$1:B$4660,2))))))</f>
        <v>Молодежная политика и оздоровление детей</v>
      </c>
      <c r="B216" s="86"/>
      <c r="C216" s="87">
        <v>707</v>
      </c>
      <c r="D216" s="88"/>
      <c r="E216" s="87"/>
      <c r="F216" s="88"/>
      <c r="G216" s="76">
        <v>7690400</v>
      </c>
      <c r="H216" s="76">
        <f>H217</f>
        <v>0</v>
      </c>
      <c r="I216" s="42">
        <f t="shared" si="27"/>
        <v>7690400</v>
      </c>
    </row>
    <row r="217" spans="1:9">
      <c r="A217" s="41" t="str">
        <f>IF(B217&gt;0,VLOOKUP(B217,КВСР!A147:B1312,2),IF(C217&gt;0,VLOOKUP(C217,КФСР!A147:B1659,2),IF(D217&gt;0,VLOOKUP(D217,Программа!A$1:B$5008,2),IF(F217&gt;0,VLOOKUP(F217,КВР!A$1:B$5001,2),IF(E217&gt;0,VLOOKUP(E217,Направление!A$1:B$4660,2))))))</f>
        <v>Развитие образования</v>
      </c>
      <c r="B217" s="86"/>
      <c r="C217" s="87"/>
      <c r="D217" s="88">
        <v>20</v>
      </c>
      <c r="E217" s="87"/>
      <c r="F217" s="88"/>
      <c r="G217" s="76">
        <v>7690400</v>
      </c>
      <c r="H217" s="76">
        <f>H218</f>
        <v>0</v>
      </c>
      <c r="I217" s="42">
        <f t="shared" si="27"/>
        <v>7690400</v>
      </c>
    </row>
    <row r="218" spans="1:9" ht="78.75">
      <c r="A218" s="41" t="str">
        <f>IF(B218&gt;0,VLOOKUP(B218,КВСР!A148:B1313,2),IF(C218&gt;0,VLOOKUP(C218,КФСР!A148:B1660,2),IF(D218&gt;0,VLOOKUP(D218,Программа!A$1:B$5008,2),IF(F218&gt;0,VLOOKUP(F218,КВР!A$1:B$5001,2),IF(E218&gt;0,VLOOKUP(E218,Направление!A$1:B$4660,2))))))</f>
        <v>Ведомственная целевая программа департамента образования Администрации Тутаевского муниципального района на 2014-2016 годы.</v>
      </c>
      <c r="B218" s="86"/>
      <c r="C218" s="87"/>
      <c r="D218" s="88">
        <v>21</v>
      </c>
      <c r="E218" s="87"/>
      <c r="F218" s="88"/>
      <c r="G218" s="76">
        <v>7690400</v>
      </c>
      <c r="H218" s="76">
        <f>H219+H222+H224+H226+H229+H231</f>
        <v>0</v>
      </c>
      <c r="I218" s="42">
        <f t="shared" si="27"/>
        <v>7690400</v>
      </c>
    </row>
    <row r="219" spans="1:9" ht="31.5">
      <c r="A219" s="41" t="str">
        <f>IF(B219&gt;0,VLOOKUP(B219,КВСР!A151:B1316,2),IF(C219&gt;0,VLOOKUP(C219,КФСР!A151:B1663,2),IF(D219&gt;0,VLOOKUP(D219,Программа!A$1:B$5008,2),IF(F219&gt;0,VLOOKUP(F219,КВР!A$1:B$5001,2),IF(E219&gt;0,VLOOKUP(E219,Направление!A$1:B$4660,2))))))</f>
        <v>Расходы на обеспечение оздоровления и отдыха детей</v>
      </c>
      <c r="B219" s="86"/>
      <c r="C219" s="87"/>
      <c r="D219" s="88"/>
      <c r="E219" s="87">
        <v>1333</v>
      </c>
      <c r="F219" s="88"/>
      <c r="G219" s="42">
        <v>90600</v>
      </c>
      <c r="H219" s="42">
        <f>H220+H221</f>
        <v>0</v>
      </c>
      <c r="I219" s="42">
        <f t="shared" si="27"/>
        <v>90600</v>
      </c>
    </row>
    <row r="220" spans="1:9" ht="31.5">
      <c r="A220" s="41" t="str">
        <f>IF(B220&gt;0,VLOOKUP(B220,КВСР!A152:B1317,2),IF(C220&gt;0,VLOOKUP(C220,КФСР!A152:B1664,2),IF(D220&gt;0,VLOOKUP(D220,Программа!A$1:B$5008,2),IF(F220&gt;0,VLOOKUP(F220,КВР!A$1:B$5001,2),IF(E220&gt;0,VLOOKUP(E220,Направление!A$1:B$4660,2))))))</f>
        <v>Социальное обеспечение и иные выплаты населению</v>
      </c>
      <c r="B220" s="86"/>
      <c r="C220" s="87"/>
      <c r="D220" s="88"/>
      <c r="E220" s="87"/>
      <c r="F220" s="78">
        <v>300</v>
      </c>
      <c r="G220" s="43">
        <v>46500</v>
      </c>
      <c r="H220" s="335"/>
      <c r="I220" s="42">
        <f t="shared" si="27"/>
        <v>46500</v>
      </c>
    </row>
    <row r="221" spans="1:9" ht="63">
      <c r="A221" s="41" t="str">
        <f>IF(B221&gt;0,VLOOKUP(B221,КВСР!A153:B1318,2),IF(C221&gt;0,VLOOKUP(C221,КФСР!A153:B1665,2),IF(D221&gt;0,VLOOKUP(D221,Программа!A$1:B$5008,2),IF(F221&gt;0,VLOOKUP(F221,КВР!A$1:B$5001,2),IF(E221&gt;0,VLOOKUP(E221,Направление!A$1:B$4660,2))))))</f>
        <v>Предоставление субсидий бюджетным, автономным учреждениям и иным некоммерческим организациям</v>
      </c>
      <c r="B221" s="86"/>
      <c r="C221" s="87"/>
      <c r="D221" s="88"/>
      <c r="E221" s="87"/>
      <c r="F221" s="78">
        <v>600</v>
      </c>
      <c r="G221" s="76">
        <v>44100</v>
      </c>
      <c r="H221" s="335"/>
      <c r="I221" s="42">
        <f t="shared" si="27"/>
        <v>44100</v>
      </c>
    </row>
    <row r="222" spans="1:9" ht="63">
      <c r="A222" s="41" t="str">
        <f>IF(B222&gt;0,VLOOKUP(B222,КВСР!A154:B1319,2),IF(C222&gt;0,VLOOKUP(C222,КФСР!A154:B1666,2),IF(D222&gt;0,VLOOKUP(D222,Программа!A$1:B$5008,2),IF(F222&gt;0,VLOOKUP(F222,КВР!A$1:B$5001,2),IF(E222&gt;0,VLOOKUP(E222,Направление!A$1:B$4660,2))))))</f>
        <v xml:space="preserve">Расходы на оплату стоимости набора продуктов питания в лагерях с дневной формой пребывания детей </v>
      </c>
      <c r="B222" s="86"/>
      <c r="C222" s="87"/>
      <c r="D222" s="88"/>
      <c r="E222" s="87">
        <v>1334</v>
      </c>
      <c r="F222" s="88"/>
      <c r="G222" s="76">
        <v>237800</v>
      </c>
      <c r="H222" s="76">
        <f>H223</f>
        <v>0</v>
      </c>
      <c r="I222" s="42">
        <f t="shared" si="27"/>
        <v>237800</v>
      </c>
    </row>
    <row r="223" spans="1:9" ht="63">
      <c r="A223" s="41" t="str">
        <f>IF(B223&gt;0,VLOOKUP(B223,КВСР!A155:B1320,2),IF(C223&gt;0,VLOOKUP(C223,КФСР!A155:B1667,2),IF(D223&gt;0,VLOOKUP(D223,Программа!A$1:B$5008,2),IF(F223&gt;0,VLOOKUP(F223,КВР!A$1:B$5001,2),IF(E223&gt;0,VLOOKUP(E223,Направление!A$1:B$4660,2))))))</f>
        <v>Предоставление субсидий бюджетным, автономным учреждениям и иным некоммерческим организациям</v>
      </c>
      <c r="B223" s="86"/>
      <c r="C223" s="87"/>
      <c r="D223" s="88"/>
      <c r="E223" s="87"/>
      <c r="F223" s="88">
        <v>600</v>
      </c>
      <c r="G223" s="43">
        <v>237800</v>
      </c>
      <c r="H223" s="335"/>
      <c r="I223" s="42">
        <f t="shared" si="27"/>
        <v>237800</v>
      </c>
    </row>
    <row r="224" spans="1:9" ht="126">
      <c r="A224" s="41" t="str">
        <f>IF(B224&gt;0,VLOOKUP(B224,КВСР!A156:B1321,2),IF(C224&gt;0,VLOOKUP(C224,КФСР!A156:B1668,2),IF(D224&gt;0,VLOOKUP(D224,Программа!A$1:B$5008,2),IF(F224&gt;0,VLOOKUP(F224,КВР!A$1:B$5001,2),IF(E224&gt;0,VLOOKUP(E224,Направление!A$1:B$4660,2))))))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224" s="86"/>
      <c r="C224" s="87"/>
      <c r="D224" s="88"/>
      <c r="E224" s="87">
        <v>5065</v>
      </c>
      <c r="F224" s="88"/>
      <c r="G224" s="43">
        <v>2155000</v>
      </c>
      <c r="H224" s="43">
        <f>H225</f>
        <v>0</v>
      </c>
      <c r="I224" s="42">
        <f t="shared" ref="I224:I287" si="30">SUM(G224:H224)</f>
        <v>2155000</v>
      </c>
    </row>
    <row r="225" spans="1:9" ht="31.5">
      <c r="A225" s="41" t="str">
        <f>IF(B225&gt;0,VLOOKUP(B225,КВСР!A157:B1322,2),IF(C225&gt;0,VLOOKUP(C225,КФСР!A157:B1669,2),IF(D225&gt;0,VLOOKUP(D225,Программа!A$1:B$5008,2),IF(F225&gt;0,VLOOKUP(F225,КВР!A$1:B$5001,2),IF(E225&gt;0,VLOOKUP(E225,Направление!A$1:B$4660,2))))))</f>
        <v>Социальное обеспечение и иные выплаты населению</v>
      </c>
      <c r="B225" s="86"/>
      <c r="C225" s="87"/>
      <c r="D225" s="88"/>
      <c r="E225" s="87"/>
      <c r="F225" s="88">
        <v>300</v>
      </c>
      <c r="G225" s="43">
        <v>2155000</v>
      </c>
      <c r="H225" s="335"/>
      <c r="I225" s="42">
        <f t="shared" si="30"/>
        <v>2155000</v>
      </c>
    </row>
    <row r="226" spans="1:9" ht="47.25">
      <c r="A226" s="41" t="str">
        <f>IF(B226&gt;0,VLOOKUP(B226,КВСР!A156:B1321,2),IF(C226&gt;0,VLOOKUP(C226,КФСР!A156:B1668,2),IF(D226&gt;0,VLOOKUP(D226,Программа!A$1:B$5008,2),IF(F226&gt;0,VLOOKUP(F226,КВР!A$1:B$5001,2),IF(E226&gt;0,VLOOKUP(E226,Направление!A$1:B$4660,2))))))</f>
        <v>Расходы на оздоровление и отдых детей за счет средств областного бюджета</v>
      </c>
      <c r="B226" s="86"/>
      <c r="C226" s="87"/>
      <c r="D226" s="88"/>
      <c r="E226" s="87">
        <v>7099</v>
      </c>
      <c r="F226" s="88"/>
      <c r="G226" s="42">
        <v>815000</v>
      </c>
      <c r="H226" s="42">
        <f>H227+H228</f>
        <v>0</v>
      </c>
      <c r="I226" s="42">
        <f t="shared" si="30"/>
        <v>815000</v>
      </c>
    </row>
    <row r="227" spans="1:9" ht="31.5">
      <c r="A227" s="41" t="str">
        <f>IF(B227&gt;0,VLOOKUP(B227,КВСР!A157:B1322,2),IF(C227&gt;0,VLOOKUP(C227,КФСР!A157:B1669,2),IF(D227&gt;0,VLOOKUP(D227,Программа!A$1:B$5008,2),IF(F227&gt;0,VLOOKUP(F227,КВР!A$1:B$5001,2),IF(E227&gt;0,VLOOKUP(E227,Направление!A$1:B$4660,2))))))</f>
        <v>Социальное обеспечение и иные выплаты населению</v>
      </c>
      <c r="B227" s="86"/>
      <c r="C227" s="87"/>
      <c r="D227" s="88"/>
      <c r="E227" s="87"/>
      <c r="F227" s="88">
        <v>300</v>
      </c>
      <c r="G227" s="95">
        <v>418110</v>
      </c>
      <c r="H227" s="336"/>
      <c r="I227" s="42">
        <f t="shared" si="30"/>
        <v>418110</v>
      </c>
    </row>
    <row r="228" spans="1:9" ht="63">
      <c r="A228" s="41" t="str">
        <f>IF(B228&gt;0,VLOOKUP(B228,КВСР!A158:B1323,2),IF(C228&gt;0,VLOOKUP(C228,КФСР!A158:B1670,2),IF(D228&gt;0,VLOOKUP(D228,Программа!A$1:B$5008,2),IF(F228&gt;0,VLOOKUP(F228,КВР!A$1:B$5001,2),IF(E228&gt;0,VLOOKUP(E228,Направление!A$1:B$4660,2))))))</f>
        <v>Предоставление субсидий бюджетным, автономным учреждениям и иным некоммерческим организациям</v>
      </c>
      <c r="B228" s="86"/>
      <c r="C228" s="87"/>
      <c r="D228" s="88"/>
      <c r="E228" s="87"/>
      <c r="F228" s="88">
        <v>600</v>
      </c>
      <c r="G228" s="42">
        <v>396890</v>
      </c>
      <c r="H228" s="334"/>
      <c r="I228" s="42">
        <f t="shared" si="30"/>
        <v>396890</v>
      </c>
    </row>
    <row r="229" spans="1:9" ht="94.5">
      <c r="A229" s="41" t="str">
        <f>IF(B229&gt;0,VLOOKUP(B229,КВСР!A159:B1324,2),IF(C229&gt;0,VLOOKUP(C229,КФСР!A159:B1671,2),IF(D229&gt;0,VLOOKUP(D229,Программа!A$1:B$5008,2),IF(F229&gt;0,VLOOKUP(F229,КВР!A$1:B$5001,2),IF(E229&gt;0,VLOOKUP(E229,Направление!A$1:B$4660,2))))))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229" s="86"/>
      <c r="C229" s="87"/>
      <c r="D229" s="88"/>
      <c r="E229" s="87">
        <v>7100</v>
      </c>
      <c r="F229" s="88"/>
      <c r="G229" s="42">
        <v>2140000</v>
      </c>
      <c r="H229" s="42">
        <f>H230</f>
        <v>0</v>
      </c>
      <c r="I229" s="42">
        <f t="shared" si="30"/>
        <v>2140000</v>
      </c>
    </row>
    <row r="230" spans="1:9" ht="63">
      <c r="A230" s="41" t="str">
        <f>IF(B230&gt;0,VLOOKUP(B230,КВСР!A160:B1325,2),IF(C230&gt;0,VLOOKUP(C230,КФСР!A160:B1672,2),IF(D230&gt;0,VLOOKUP(D230,Программа!A$1:B$5008,2),IF(F230&gt;0,VLOOKUP(F230,КВР!A$1:B$5001,2),IF(E230&gt;0,VLOOKUP(E230,Направление!A$1:B$4660,2))))))</f>
        <v>Предоставление субсидий бюджетным, автономным учреждениям и иным некоммерческим организациям</v>
      </c>
      <c r="B230" s="86"/>
      <c r="C230" s="87"/>
      <c r="D230" s="88"/>
      <c r="E230" s="87"/>
      <c r="F230" s="88">
        <v>600</v>
      </c>
      <c r="G230" s="42">
        <v>2140000</v>
      </c>
      <c r="H230" s="334"/>
      <c r="I230" s="42">
        <f t="shared" si="30"/>
        <v>2140000</v>
      </c>
    </row>
    <row r="231" spans="1:9" ht="126">
      <c r="A231" s="41" t="str">
        <f>IF(B231&gt;0,VLOOKUP(B231,КВСР!A161:B1326,2),IF(C231&gt;0,VLOOKUP(C231,КФСР!A161:B1673,2),IF(D231&gt;0,VLOOKUP(D231,Программа!A$1:B$5008,2),IF(F231&gt;0,VLOOKUP(F231,КВР!A$1:B$5001,2),IF(E231&gt;0,VLOOKUP(E231,Направление!A$1:B$4660,2))))))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231" s="86"/>
      <c r="C231" s="87"/>
      <c r="D231" s="88"/>
      <c r="E231" s="87">
        <v>7106</v>
      </c>
      <c r="F231" s="88"/>
      <c r="G231" s="42">
        <v>2252000</v>
      </c>
      <c r="H231" s="42">
        <f>H232+H233</f>
        <v>0</v>
      </c>
      <c r="I231" s="42">
        <f t="shared" si="30"/>
        <v>2252000</v>
      </c>
    </row>
    <row r="232" spans="1:9" ht="31.5">
      <c r="A232" s="41" t="str">
        <f>IF(B232&gt;0,VLOOKUP(B232,КВСР!A162:B1327,2),IF(C232&gt;0,VLOOKUP(C232,КФСР!A162:B1674,2),IF(D232&gt;0,VLOOKUP(D232,Программа!A$1:B$5008,2),IF(F232&gt;0,VLOOKUP(F232,КВР!A$1:B$5001,2),IF(E232&gt;0,VLOOKUP(E232,Направление!A$1:B$4660,2))))))</f>
        <v>Социальное обеспечение и иные выплаты населению</v>
      </c>
      <c r="B232" s="86"/>
      <c r="C232" s="87"/>
      <c r="D232" s="88"/>
      <c r="E232" s="87"/>
      <c r="F232" s="88">
        <v>300</v>
      </c>
      <c r="G232" s="42">
        <v>1156000</v>
      </c>
      <c r="H232" s="334"/>
      <c r="I232" s="42">
        <f t="shared" si="30"/>
        <v>1156000</v>
      </c>
    </row>
    <row r="233" spans="1:9" ht="63">
      <c r="A233" s="41" t="str">
        <f>IF(B233&gt;0,VLOOKUP(B233,КВСР!A163:B1328,2),IF(C233&gt;0,VLOOKUP(C233,КФСР!A163:B1675,2),IF(D233&gt;0,VLOOKUP(D233,Программа!A$1:B$5008,2),IF(F233&gt;0,VLOOKUP(F233,КВР!A$1:B$5001,2),IF(E233&gt;0,VLOOKUP(E233,Направление!A$1:B$4660,2))))))</f>
        <v>Предоставление субсидий бюджетным, автономным учреждениям и иным некоммерческим организациям</v>
      </c>
      <c r="B233" s="86"/>
      <c r="C233" s="87"/>
      <c r="D233" s="88"/>
      <c r="E233" s="87"/>
      <c r="F233" s="88">
        <v>600</v>
      </c>
      <c r="G233" s="42">
        <v>1096000</v>
      </c>
      <c r="H233" s="334"/>
      <c r="I233" s="42">
        <f t="shared" si="30"/>
        <v>1096000</v>
      </c>
    </row>
    <row r="234" spans="1:9" ht="31.5">
      <c r="A234" s="41" t="str">
        <f>IF(B234&gt;0,VLOOKUP(B234,КВСР!A160:B1325,2),IF(C234&gt;0,VLOOKUP(C234,КФСР!A160:B1672,2),IF(D234&gt;0,VLOOKUP(D234,Программа!A$1:B$5008,2),IF(F234&gt;0,VLOOKUP(F234,КВР!A$1:B$5001,2),IF(E234&gt;0,VLOOKUP(E234,Направление!A$1:B$4660,2))))))</f>
        <v>Другие вопросы в области образования</v>
      </c>
      <c r="B234" s="86"/>
      <c r="C234" s="87">
        <v>709</v>
      </c>
      <c r="D234" s="88"/>
      <c r="E234" s="87"/>
      <c r="F234" s="88"/>
      <c r="G234" s="76">
        <v>47955062</v>
      </c>
      <c r="H234" s="76">
        <f>H235+H276+H284+H263+H271+H267</f>
        <v>1074203</v>
      </c>
      <c r="I234" s="42">
        <f t="shared" si="30"/>
        <v>49029265</v>
      </c>
    </row>
    <row r="235" spans="1:9">
      <c r="A235" s="41" t="str">
        <f>IF(B235&gt;0,VLOOKUP(B235,КВСР!A161:B1326,2),IF(C235&gt;0,VLOOKUP(C235,КФСР!A161:B1673,2),IF(D235&gt;0,VLOOKUP(D235,Программа!A$1:B$5008,2),IF(F235&gt;0,VLOOKUP(F235,КВР!A$1:B$5001,2),IF(E235&gt;0,VLOOKUP(E235,Направление!A$1:B$4660,2))))))</f>
        <v>Развитие образования</v>
      </c>
      <c r="B235" s="86"/>
      <c r="C235" s="87"/>
      <c r="D235" s="88">
        <v>20</v>
      </c>
      <c r="E235" s="87"/>
      <c r="F235" s="88"/>
      <c r="G235" s="76">
        <v>40776360</v>
      </c>
      <c r="H235" s="76">
        <f>H236</f>
        <v>706082</v>
      </c>
      <c r="I235" s="42">
        <f t="shared" si="30"/>
        <v>41482442</v>
      </c>
    </row>
    <row r="236" spans="1:9" ht="78.75">
      <c r="A236" s="41" t="str">
        <f>IF(B236&gt;0,VLOOKUP(B236,КВСР!A162:B1327,2),IF(C236&gt;0,VLOOKUP(C236,КФСР!A162:B1674,2),IF(D236&gt;0,VLOOKUP(D236,Программа!A$1:B$5008,2),IF(F236&gt;0,VLOOKUP(F236,КВР!A$1:B$5001,2),IF(E236&gt;0,VLOOKUP(E236,Направление!A$1:B$4660,2))))))</f>
        <v>Ведомственная целевая программа департамента образования Администрации Тутаевского муниципального района на 2014-2016 годы.</v>
      </c>
      <c r="B236" s="86"/>
      <c r="C236" s="87"/>
      <c r="D236" s="88">
        <v>21</v>
      </c>
      <c r="E236" s="87"/>
      <c r="F236" s="88"/>
      <c r="G236" s="76">
        <v>40776360</v>
      </c>
      <c r="H236" s="76">
        <f>H237+H240+H242+H247+H252+H256+H259+H250+H254+H261</f>
        <v>706082</v>
      </c>
      <c r="I236" s="42">
        <f t="shared" si="30"/>
        <v>41482442</v>
      </c>
    </row>
    <row r="237" spans="1:9">
      <c r="A237" s="41" t="str">
        <f>IF(B237&gt;0,VLOOKUP(B237,КВСР!A163:B1328,2),IF(C237&gt;0,VLOOKUP(C237,КФСР!A163:B1675,2),IF(D237&gt;0,VLOOKUP(D237,Программа!A$1:B$5008,2),IF(F237&gt;0,VLOOKUP(F237,КВР!A$1:B$5001,2),IF(E237&gt;0,VLOOKUP(E237,Направление!A$1:B$4660,2))))))</f>
        <v>Содержание центрального аппарата</v>
      </c>
      <c r="B237" s="86"/>
      <c r="C237" s="87"/>
      <c r="D237" s="88"/>
      <c r="E237" s="87">
        <v>1201</v>
      </c>
      <c r="F237" s="78"/>
      <c r="G237" s="42">
        <v>5062000</v>
      </c>
      <c r="H237" s="42">
        <f>H238+H239</f>
        <v>0</v>
      </c>
      <c r="I237" s="42">
        <f t="shared" si="30"/>
        <v>5062000</v>
      </c>
    </row>
    <row r="238" spans="1:9" ht="110.25">
      <c r="A238" s="41" t="str">
        <f>IF(B238&gt;0,VLOOKUP(B238,КВСР!A164:B1329,2),IF(C238&gt;0,VLOOKUP(C238,КФСР!A164:B1676,2),IF(D238&gt;0,VLOOKUP(D238,Программа!A$1:B$5008,2),IF(F238&gt;0,VLOOKUP(F238,КВР!A$1:B$5001,2),IF(E238&gt;0,VLOOKUP(E238,Направление!A$1:B$4660,2))))))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38" s="86"/>
      <c r="C238" s="87"/>
      <c r="D238" s="88"/>
      <c r="E238" s="87"/>
      <c r="F238" s="78">
        <v>100</v>
      </c>
      <c r="G238" s="42">
        <v>4408500</v>
      </c>
      <c r="H238" s="334"/>
      <c r="I238" s="42">
        <f t="shared" si="30"/>
        <v>4408500</v>
      </c>
    </row>
    <row r="239" spans="1:9" ht="31.5">
      <c r="A239" s="41" t="str">
        <f>IF(B239&gt;0,VLOOKUP(B239,КВСР!A165:B1330,2),IF(C239&gt;0,VLOOKUP(C239,КФСР!A165:B1677,2),IF(D239&gt;0,VLOOKUP(D239,Программа!A$1:B$5008,2),IF(F239&gt;0,VLOOKUP(F239,КВР!A$1:B$5001,2),IF(E239&gt;0,VLOOKUP(E239,Направление!A$1:B$4660,2))))))</f>
        <v>Закупка товаров, работ и услуг для государственных нужд</v>
      </c>
      <c r="B239" s="86"/>
      <c r="C239" s="87"/>
      <c r="D239" s="88"/>
      <c r="E239" s="87"/>
      <c r="F239" s="78">
        <v>200</v>
      </c>
      <c r="G239" s="42">
        <v>653500</v>
      </c>
      <c r="H239" s="334"/>
      <c r="I239" s="42">
        <f t="shared" si="30"/>
        <v>653500</v>
      </c>
    </row>
    <row r="240" spans="1:9" ht="63">
      <c r="A240" s="41" t="str">
        <f>IF(B240&gt;0,VLOOKUP(B240,КВСР!A166:B1331,2),IF(C240&gt;0,VLOOKUP(C240,КФСР!A166:B1678,2),IF(D240&gt;0,VLOOKUP(D240,Программа!A$1:B$5008,2),IF(F240&gt;0,VLOOKUP(F240,КВР!A$1:B$5001,2),IF(E240&gt;0,VLOOKUP(E240,Направление!A$1:B$4660,2))))))</f>
        <v>Расходы на выплату ежемесячных и разовых стипендий главы Тутаевского муниципального района</v>
      </c>
      <c r="B240" s="86"/>
      <c r="C240" s="87"/>
      <c r="D240" s="88"/>
      <c r="E240" s="87">
        <v>1270</v>
      </c>
      <c r="F240" s="78"/>
      <c r="G240" s="42">
        <v>217000</v>
      </c>
      <c r="H240" s="42">
        <f>H241</f>
        <v>0</v>
      </c>
      <c r="I240" s="42">
        <f t="shared" si="30"/>
        <v>217000</v>
      </c>
    </row>
    <row r="241" spans="1:9" ht="31.5">
      <c r="A241" s="41" t="str">
        <f>IF(B241&gt;0,VLOOKUP(B241,КВСР!A167:B1332,2),IF(C241&gt;0,VLOOKUP(C241,КФСР!A167:B1679,2),IF(D241&gt;0,VLOOKUP(D241,Программа!A$1:B$5008,2),IF(F241&gt;0,VLOOKUP(F241,КВР!A$1:B$5001,2),IF(E241&gt;0,VLOOKUP(E241,Направление!A$1:B$4660,2))))))</f>
        <v>Социальное обеспечение и иные выплаты населению</v>
      </c>
      <c r="B241" s="86"/>
      <c r="C241" s="87"/>
      <c r="D241" s="88"/>
      <c r="E241" s="87"/>
      <c r="F241" s="78">
        <v>300</v>
      </c>
      <c r="G241" s="42">
        <v>217000</v>
      </c>
      <c r="H241" s="334"/>
      <c r="I241" s="42">
        <f t="shared" si="30"/>
        <v>217000</v>
      </c>
    </row>
    <row r="242" spans="1:9" ht="31.5">
      <c r="A242" s="41" t="str">
        <f>IF(B242&gt;0,VLOOKUP(B242,КВСР!A168:B1333,2),IF(C242&gt;0,VLOOKUP(C242,КФСР!A168:B1680,2),IF(D242&gt;0,VLOOKUP(D242,Программа!A$1:B$5008,2),IF(F242&gt;0,VLOOKUP(F242,КВР!A$1:B$5001,2),IF(E242&gt;0,VLOOKUP(E242,Направление!A$1:B$4660,2))))))</f>
        <v>Обеспечение деятельности прочих учреждений в сфере образования</v>
      </c>
      <c r="B242" s="86"/>
      <c r="C242" s="87"/>
      <c r="D242" s="88"/>
      <c r="E242" s="87">
        <v>1331</v>
      </c>
      <c r="F242" s="88"/>
      <c r="G242" s="76">
        <v>24961417</v>
      </c>
      <c r="H242" s="76">
        <f>H243+H244+H245+H246</f>
        <v>6082</v>
      </c>
      <c r="I242" s="42">
        <f t="shared" si="30"/>
        <v>24967499</v>
      </c>
    </row>
    <row r="243" spans="1:9" ht="110.25">
      <c r="A243" s="41" t="str">
        <f>IF(B243&gt;0,VLOOKUP(B243,КВСР!A169:B1334,2),IF(C243&gt;0,VLOOKUP(C243,КФСР!A169:B1681,2),IF(D243&gt;0,VLOOKUP(D243,Программа!A$1:B$5008,2),IF(F243&gt;0,VLOOKUP(F243,КВР!A$1:B$5001,2),IF(E243&gt;0,VLOOKUP(E243,Направление!A$1:B$4660,2))))))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3" s="86"/>
      <c r="C243" s="87"/>
      <c r="D243" s="88"/>
      <c r="E243" s="87"/>
      <c r="F243" s="88">
        <v>100</v>
      </c>
      <c r="G243" s="76">
        <v>12254000</v>
      </c>
      <c r="H243" s="335"/>
      <c r="I243" s="42">
        <f t="shared" si="30"/>
        <v>12254000</v>
      </c>
    </row>
    <row r="244" spans="1:9" ht="31.5">
      <c r="A244" s="41" t="str">
        <f>IF(B244&gt;0,VLOOKUP(B244,КВСР!A170:B1335,2),IF(C244&gt;0,VLOOKUP(C244,КФСР!A170:B1682,2),IF(D244&gt;0,VLOOKUP(D244,Программа!A$1:B$5008,2),IF(F244&gt;0,VLOOKUP(F244,КВР!A$1:B$5001,2),IF(E244&gt;0,VLOOKUP(E244,Направление!A$1:B$4660,2))))))</f>
        <v>Закупка товаров, работ и услуг для государственных нужд</v>
      </c>
      <c r="B244" s="86"/>
      <c r="C244" s="87"/>
      <c r="D244" s="88"/>
      <c r="E244" s="87"/>
      <c r="F244" s="88">
        <v>200</v>
      </c>
      <c r="G244" s="76">
        <v>2111807</v>
      </c>
      <c r="H244" s="335"/>
      <c r="I244" s="42">
        <f t="shared" si="30"/>
        <v>2111807</v>
      </c>
    </row>
    <row r="245" spans="1:9" ht="63">
      <c r="A245" s="41" t="str">
        <f>IF(B245&gt;0,VLOOKUP(B245,КВСР!A171:B1336,2),IF(C245&gt;0,VLOOKUP(C245,КФСР!A171:B1683,2),IF(D245&gt;0,VLOOKUP(D245,Программа!A$1:B$5008,2),IF(F245&gt;0,VLOOKUP(F245,КВР!A$1:B$5001,2),IF(E245&gt;0,VLOOKUP(E245,Направление!A$1:B$4660,2))))))</f>
        <v>Предоставление субсидий бюджетным, автономным учреждениям и иным некоммерческим организациям</v>
      </c>
      <c r="B245" s="86"/>
      <c r="C245" s="87"/>
      <c r="D245" s="88"/>
      <c r="E245" s="87"/>
      <c r="F245" s="88">
        <v>600</v>
      </c>
      <c r="G245" s="76">
        <v>10480610</v>
      </c>
      <c r="H245" s="335">
        <v>6082</v>
      </c>
      <c r="I245" s="42">
        <f t="shared" si="30"/>
        <v>10486692</v>
      </c>
    </row>
    <row r="246" spans="1:9">
      <c r="A246" s="41" t="str">
        <f>IF(B246&gt;0,VLOOKUP(B246,КВСР!A172:B1337,2),IF(C246&gt;0,VLOOKUP(C246,КФСР!A172:B1684,2),IF(D246&gt;0,VLOOKUP(D246,Программа!A$1:B$5008,2),IF(F246&gt;0,VLOOKUP(F246,КВР!A$1:B$5001,2),IF(E246&gt;0,VLOOKUP(E246,Направление!A$1:B$4660,2))))))</f>
        <v>Иные бюджетные ассигнования</v>
      </c>
      <c r="B246" s="86"/>
      <c r="C246" s="87"/>
      <c r="D246" s="88"/>
      <c r="E246" s="87"/>
      <c r="F246" s="88">
        <v>800</v>
      </c>
      <c r="G246" s="76">
        <v>115000</v>
      </c>
      <c r="H246" s="335"/>
      <c r="I246" s="42">
        <f t="shared" si="30"/>
        <v>115000</v>
      </c>
    </row>
    <row r="247" spans="1:9">
      <c r="A247" s="41" t="str">
        <f>IF(B247&gt;0,VLOOKUP(B247,КВСР!A173:B1338,2),IF(C247&gt;0,VLOOKUP(C247,КФСР!A173:B1685,2),IF(D247&gt;0,VLOOKUP(D247,Программа!A$1:B$5008,2),IF(F247&gt;0,VLOOKUP(F247,КВР!A$1:B$5001,2),IF(E247&gt;0,VLOOKUP(E247,Направление!A$1:B$4660,2))))))</f>
        <v>Мероприятия в сфере образования</v>
      </c>
      <c r="B247" s="86"/>
      <c r="C247" s="87"/>
      <c r="D247" s="88"/>
      <c r="E247" s="87">
        <v>1332</v>
      </c>
      <c r="F247" s="88"/>
      <c r="G247" s="42">
        <v>154000</v>
      </c>
      <c r="H247" s="42">
        <f>H248+H249</f>
        <v>0</v>
      </c>
      <c r="I247" s="42">
        <f t="shared" si="30"/>
        <v>154000</v>
      </c>
    </row>
    <row r="248" spans="1:9" ht="31.5">
      <c r="A248" s="41" t="str">
        <f>IF(B248&gt;0,VLOOKUP(B248,КВСР!A174:B1339,2),IF(C248&gt;0,VLOOKUP(C248,КФСР!A174:B1686,2),IF(D248&gt;0,VLOOKUP(D248,Программа!A$1:B$5008,2),IF(F248&gt;0,VLOOKUP(F248,КВР!A$1:B$5001,2),IF(E248&gt;0,VLOOKUP(E248,Направление!A$1:B$4660,2))))))</f>
        <v>Закупка товаров, работ и услуг для государственных нужд</v>
      </c>
      <c r="B248" s="86"/>
      <c r="C248" s="87"/>
      <c r="D248" s="88"/>
      <c r="E248" s="87"/>
      <c r="F248" s="88">
        <v>200</v>
      </c>
      <c r="G248" s="42">
        <v>59000</v>
      </c>
      <c r="H248" s="334"/>
      <c r="I248" s="42">
        <f t="shared" si="30"/>
        <v>59000</v>
      </c>
    </row>
    <row r="249" spans="1:9" ht="63">
      <c r="A249" s="41" t="str">
        <f>IF(B249&gt;0,VLOOKUP(B249,КВСР!A175:B1340,2),IF(C249&gt;0,VLOOKUP(C249,КФСР!A175:B1687,2),IF(D249&gt;0,VLOOKUP(D249,Программа!A$1:B$5008,2),IF(F249&gt;0,VLOOKUP(F249,КВР!A$1:B$5001,2),IF(E249&gt;0,VLOOKUP(E249,Направление!A$1:B$4660,2))))))</f>
        <v>Предоставление субсидий бюджетным, автономным учреждениям и иным некоммерческим организациям</v>
      </c>
      <c r="B249" s="86"/>
      <c r="C249" s="87"/>
      <c r="D249" s="88"/>
      <c r="E249" s="87"/>
      <c r="F249" s="88">
        <v>600</v>
      </c>
      <c r="G249" s="42">
        <v>95000</v>
      </c>
      <c r="H249" s="334"/>
      <c r="I249" s="42">
        <f t="shared" si="30"/>
        <v>95000</v>
      </c>
    </row>
    <row r="250" spans="1:9" ht="63">
      <c r="A250" s="41" t="str">
        <f>IF(B250&gt;0,VLOOKUP(B250,КВСР!A175:B1340,2),IF(C250&gt;0,VLOOKUP(C250,КФСР!A175:B1687,2),IF(D250&gt;0,VLOOKUP(D250,Программа!A$1:B$5008,2),IF(F250&gt;0,VLOOKUP(F250,КВР!A$1:B$5001,2),IF(E250&gt;0,VLOOKUP(E250,Направление!A$1:B$4660,2))))))</f>
        <v>Расходы на государственную поддержку материально-технической базы образовательных учреждений</v>
      </c>
      <c r="B250" s="86"/>
      <c r="C250" s="87"/>
      <c r="D250" s="88"/>
      <c r="E250" s="87">
        <v>1338</v>
      </c>
      <c r="F250" s="88"/>
      <c r="G250" s="42">
        <v>511200</v>
      </c>
      <c r="H250" s="42">
        <f>H251</f>
        <v>0</v>
      </c>
      <c r="I250" s="42">
        <f t="shared" si="30"/>
        <v>511200</v>
      </c>
    </row>
    <row r="251" spans="1:9" ht="63">
      <c r="A251" s="41" t="str">
        <f>IF(B251&gt;0,VLOOKUP(B251,КВСР!A176:B1341,2),IF(C251&gt;0,VLOOKUP(C251,КФСР!A176:B1688,2),IF(D251&gt;0,VLOOKUP(D251,Программа!A$1:B$5008,2),IF(F251&gt;0,VLOOKUP(F251,КВР!A$1:B$5001,2),IF(E251&gt;0,VLOOKUP(E251,Направление!A$1:B$4660,2))))))</f>
        <v>Предоставление субсидий бюджетным, автономным учреждениям и иным некоммерческим организациям</v>
      </c>
      <c r="B251" s="86"/>
      <c r="C251" s="87"/>
      <c r="D251" s="88"/>
      <c r="E251" s="87"/>
      <c r="F251" s="88">
        <v>600</v>
      </c>
      <c r="G251" s="42">
        <v>511200</v>
      </c>
      <c r="H251" s="334"/>
      <c r="I251" s="42">
        <f t="shared" si="30"/>
        <v>511200</v>
      </c>
    </row>
    <row r="252" spans="1:9" ht="78.75">
      <c r="A252" s="41" t="str">
        <f>IF(B252&gt;0,VLOOKUP(B252,КВСР!A166:B1331,2),IF(C252&gt;0,VLOOKUP(C252,КФСР!A166:B1678,2),IF(D252&gt;0,VLOOKUP(D252,Программа!A$1:B$5008,2),IF(F252&gt;0,VLOOKUP(F252,КВР!A$1:B$5001,2),IF(E252&gt;0,VLOOKUP(E252,Направление!A$1:B$4660,2))))))</f>
        <v>Расходы на обеспечение функционирования в вечернее время спортивных залов в общеобразовательных организациях для занятий в них обучающихся</v>
      </c>
      <c r="B252" s="86"/>
      <c r="C252" s="87"/>
      <c r="D252" s="88"/>
      <c r="E252" s="87">
        <v>1340</v>
      </c>
      <c r="F252" s="78"/>
      <c r="G252" s="42">
        <v>55500</v>
      </c>
      <c r="H252" s="42">
        <f>H253</f>
        <v>0</v>
      </c>
      <c r="I252" s="42">
        <f t="shared" si="30"/>
        <v>55500</v>
      </c>
    </row>
    <row r="253" spans="1:9" ht="63">
      <c r="A253" s="41" t="str">
        <f>IF(B253&gt;0,VLOOKUP(B253,КВСР!A167:B1332,2),IF(C253&gt;0,VLOOKUP(C253,КФСР!A167:B1679,2),IF(D253&gt;0,VLOOKUP(D253,Программа!A$1:B$5008,2),IF(F253&gt;0,VLOOKUP(F253,КВР!A$1:B$5001,2),IF(E253&gt;0,VLOOKUP(E253,Направление!A$1:B$4660,2))))))</f>
        <v>Предоставление субсидий бюджетным, автономным учреждениям и иным некоммерческим организациям</v>
      </c>
      <c r="B253" s="86"/>
      <c r="C253" s="87"/>
      <c r="D253" s="88"/>
      <c r="E253" s="87"/>
      <c r="F253" s="78">
        <v>600</v>
      </c>
      <c r="G253" s="42">
        <v>55500</v>
      </c>
      <c r="H253" s="334"/>
      <c r="I253" s="42">
        <f t="shared" si="30"/>
        <v>55500</v>
      </c>
    </row>
    <row r="254" spans="1:9" ht="78.75">
      <c r="A254" s="41" t="str">
        <f>IF(B254&gt;0,VLOOKUP(B254,КВСР!A168:B1333,2),IF(C254&gt;0,VLOOKUP(C254,КФСР!A168:B1680,2),IF(D254&gt;0,VLOOKUP(D254,Программа!A$1:B$5008,2),IF(F254&gt;0,VLOOKUP(F254,КВР!A$1:B$5001,2),IF(E254&gt;0,VLOOKUP(E254,Направление!A$1:B$4660,2))))))</f>
        <v>Государственная поддержка материально-технической базы образовательных учреждений Ярославской области за счет средств областного бюджета</v>
      </c>
      <c r="B254" s="86"/>
      <c r="C254" s="87"/>
      <c r="D254" s="88"/>
      <c r="E254" s="87">
        <v>7047</v>
      </c>
      <c r="F254" s="78"/>
      <c r="G254" s="42">
        <v>5997750</v>
      </c>
      <c r="H254" s="42">
        <f>H255</f>
        <v>0</v>
      </c>
      <c r="I254" s="42">
        <f t="shared" si="30"/>
        <v>5997750</v>
      </c>
    </row>
    <row r="255" spans="1:9" ht="63">
      <c r="A255" s="41" t="str">
        <f>IF(B255&gt;0,VLOOKUP(B255,КВСР!A169:B1334,2),IF(C255&gt;0,VLOOKUP(C255,КФСР!A169:B1681,2),IF(D255&gt;0,VLOOKUP(D255,Программа!A$1:B$5008,2),IF(F255&gt;0,VLOOKUP(F255,КВР!A$1:B$5001,2),IF(E255&gt;0,VLOOKUP(E255,Направление!A$1:B$4660,2))))))</f>
        <v>Предоставление субсидий бюджетным, автономным учреждениям и иным некоммерческим организациям</v>
      </c>
      <c r="B255" s="86"/>
      <c r="C255" s="87"/>
      <c r="D255" s="88"/>
      <c r="E255" s="87"/>
      <c r="F255" s="78">
        <v>600</v>
      </c>
      <c r="G255" s="42">
        <v>5997750</v>
      </c>
      <c r="H255" s="334"/>
      <c r="I255" s="42">
        <f t="shared" si="30"/>
        <v>5997750</v>
      </c>
    </row>
    <row r="256" spans="1:9" ht="63">
      <c r="A256" s="41" t="str">
        <f>IF(B256&gt;0,VLOOKUP(B256,КВСР!A168:B1333,2),IF(C256&gt;0,VLOOKUP(C256,КФСР!A168:B1680,2),IF(D256&gt;0,VLOOKUP(D256,Программа!A$1:B$5008,2),IF(F256&gt;0,VLOOKUP(F256,КВР!A$1:B$5001,2),IF(E256&gt;0,VLOOKUP(E256,Направление!A$1:B$4660,2))))))</f>
        <v>Расходы на обеспечение деятельности органов опеки и попечительства за счет средств областного бюджета</v>
      </c>
      <c r="B256" s="86"/>
      <c r="C256" s="87"/>
      <c r="D256" s="88"/>
      <c r="E256" s="87">
        <v>7055</v>
      </c>
      <c r="F256" s="78"/>
      <c r="G256" s="76">
        <v>3100000</v>
      </c>
      <c r="H256" s="76">
        <f>H257+H258</f>
        <v>700000</v>
      </c>
      <c r="I256" s="42">
        <f t="shared" si="30"/>
        <v>3800000</v>
      </c>
    </row>
    <row r="257" spans="1:9" ht="110.25">
      <c r="A257" s="41" t="str">
        <f>IF(B257&gt;0,VLOOKUP(B257,КВСР!A169:B1334,2),IF(C257&gt;0,VLOOKUP(C257,КФСР!A169:B1681,2),IF(D257&gt;0,VLOOKUP(D257,Программа!A$1:B$5008,2),IF(F257&gt;0,VLOOKUP(F257,КВР!A$1:B$5001,2),IF(E257&gt;0,VLOOKUP(E257,Направление!A$1:B$4660,2))))))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57" s="86"/>
      <c r="C257" s="87"/>
      <c r="D257" s="88"/>
      <c r="E257" s="87"/>
      <c r="F257" s="78">
        <v>100</v>
      </c>
      <c r="G257" s="76">
        <v>2659450</v>
      </c>
      <c r="H257" s="335">
        <v>228200</v>
      </c>
      <c r="I257" s="42">
        <f t="shared" si="30"/>
        <v>2887650</v>
      </c>
    </row>
    <row r="258" spans="1:9" ht="31.5">
      <c r="A258" s="41" t="str">
        <f>IF(B258&gt;0,VLOOKUP(B258,КВСР!A170:B1335,2),IF(C258&gt;0,VLOOKUP(C258,КФСР!A170:B1682,2),IF(D258&gt;0,VLOOKUP(D258,Программа!A$1:B$5008,2),IF(F258&gt;0,VLOOKUP(F258,КВР!A$1:B$5001,2),IF(E258&gt;0,VLOOKUP(E258,Направление!A$1:B$4660,2))))))</f>
        <v>Закупка товаров, работ и услуг для государственных нужд</v>
      </c>
      <c r="B258" s="86"/>
      <c r="C258" s="87"/>
      <c r="D258" s="88"/>
      <c r="E258" s="87"/>
      <c r="F258" s="78">
        <v>200</v>
      </c>
      <c r="G258" s="42">
        <v>440550</v>
      </c>
      <c r="H258" s="334">
        <f>471800</f>
        <v>471800</v>
      </c>
      <c r="I258" s="42">
        <f t="shared" si="30"/>
        <v>912350</v>
      </c>
    </row>
    <row r="259" spans="1:9" ht="94.5">
      <c r="A259" s="41" t="str">
        <f>IF(B259&gt;0,VLOOKUP(B259,КВСР!A174:B1339,2),IF(C259&gt;0,VLOOKUP(C259,КФСР!A174:B1686,2),IF(D259&gt;0,VLOOKUP(D259,Программа!A$1:B$5008,2),IF(F259&gt;0,VLOOKUP(F259,КВР!A$1:B$5001,2),IF(E259&gt;0,VLOOKUP(E259,Направление!A$1:B$4660,2))))))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259" s="86"/>
      <c r="C259" s="87"/>
      <c r="D259" s="88"/>
      <c r="E259" s="87">
        <v>7143</v>
      </c>
      <c r="F259" s="88"/>
      <c r="G259" s="76">
        <v>493000</v>
      </c>
      <c r="H259" s="76">
        <f>H260</f>
        <v>0</v>
      </c>
      <c r="I259" s="42">
        <f t="shared" si="30"/>
        <v>493000</v>
      </c>
    </row>
    <row r="260" spans="1:9" ht="63">
      <c r="A260" s="41" t="str">
        <f>IF(B260&gt;0,VLOOKUP(B260,КВСР!A175:B1340,2),IF(C260&gt;0,VLOOKUP(C260,КФСР!A175:B1687,2),IF(D260&gt;0,VLOOKUP(D260,Программа!A$1:B$5008,2),IF(F260&gt;0,VLOOKUP(F260,КВР!A$1:B$5001,2),IF(E260&gt;0,VLOOKUP(E260,Направление!A$1:B$4660,2))))))</f>
        <v>Предоставление субсидий бюджетным, автономным учреждениям и иным некоммерческим организациям</v>
      </c>
      <c r="B260" s="86"/>
      <c r="C260" s="87"/>
      <c r="D260" s="88"/>
      <c r="E260" s="87"/>
      <c r="F260" s="88">
        <v>600</v>
      </c>
      <c r="G260" s="76">
        <v>493000</v>
      </c>
      <c r="H260" s="335"/>
      <c r="I260" s="42">
        <f t="shared" si="30"/>
        <v>493000</v>
      </c>
    </row>
    <row r="261" spans="1:9" ht="47.25">
      <c r="A261" s="41" t="str">
        <f>IF(B261&gt;0,VLOOKUP(B261,КВСР!A195:B1360,2),IF(C261&gt;0,VLOOKUP(C261,КФСР!A195:B1707,2),IF(D261&gt;0,VLOOKUP(D261,Программа!A$1:B$5008,2),IF(F261&gt;0,VLOOKUP(F261,КВР!A$1:B$5001,2),IF(E261&gt;0,VLOOKUP(E261,Направление!A$1:B$4660,2))))))</f>
        <v>Расходы на развитие органов местного самоуправления на территории ЯО</v>
      </c>
      <c r="B261" s="85"/>
      <c r="C261" s="77"/>
      <c r="D261" s="78"/>
      <c r="E261" s="77">
        <v>7228</v>
      </c>
      <c r="F261" s="78"/>
      <c r="G261" s="42">
        <v>224493</v>
      </c>
      <c r="H261" s="340">
        <f>H262</f>
        <v>0</v>
      </c>
      <c r="I261" s="42">
        <f>SUM(G261:H261)</f>
        <v>224493</v>
      </c>
    </row>
    <row r="262" spans="1:9" ht="110.25">
      <c r="A262" s="41" t="str">
        <f>IF(B262&gt;0,VLOOKUP(B262,КВСР!A196:B1361,2),IF(C262&gt;0,VLOOKUP(C262,КФСР!A196:B1708,2),IF(D262&gt;0,VLOOKUP(D262,Программа!A$1:B$5008,2),IF(F262&gt;0,VLOOKUP(F262,КВР!A$1:B$5001,2),IF(E262&gt;0,VLOOKUP(E262,Направление!A$1:B$4660,2))))))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62" s="85"/>
      <c r="C262" s="77"/>
      <c r="D262" s="78"/>
      <c r="E262" s="77"/>
      <c r="F262" s="78">
        <v>100</v>
      </c>
      <c r="G262" s="42">
        <v>224493</v>
      </c>
      <c r="H262" s="334"/>
      <c r="I262" s="42">
        <f>SUM(G262:H262)</f>
        <v>224493</v>
      </c>
    </row>
    <row r="263" spans="1:9">
      <c r="A263" s="41" t="str">
        <f>IF(B263&gt;0,VLOOKUP(B263,КВСР!A176:B1341,2),IF(C263&gt;0,VLOOKUP(C263,КФСР!A176:B1688,2),IF(D263&gt;0,VLOOKUP(D263,Программа!A$1:B$5008,2),IF(F263&gt;0,VLOOKUP(F263,КВР!A$1:B$5001,2),IF(E263&gt;0,VLOOKUP(E263,Направление!A$1:B$4660,2))))))</f>
        <v>Доступная среда</v>
      </c>
      <c r="B263" s="86"/>
      <c r="C263" s="87"/>
      <c r="D263" s="88">
        <v>60</v>
      </c>
      <c r="E263" s="87"/>
      <c r="F263" s="88"/>
      <c r="G263" s="76">
        <v>1640390</v>
      </c>
      <c r="H263" s="76">
        <f t="shared" ref="H263:H265" si="31">H264</f>
        <v>0</v>
      </c>
      <c r="I263" s="42">
        <f t="shared" si="30"/>
        <v>1640390</v>
      </c>
    </row>
    <row r="264" spans="1:9" ht="47.25">
      <c r="A264" s="41" t="str">
        <f>IF(B264&gt;0,VLOOKUP(B264,КВСР!A177:B1342,2),IF(C264&gt;0,VLOOKUP(C264,КФСР!A177:B1689,2),IF(D264&gt;0,VLOOKUP(D264,Программа!A$1:B$5008,2),IF(F264&gt;0,VLOOKUP(F264,КВР!A$1:B$5001,2),IF(E264&gt;0,VLOOKUP(E264,Направление!A$1:B$4660,2))))))</f>
        <v>Муниципальная целевая программа «Доступная среда» на 2012-2015 годы.</v>
      </c>
      <c r="B264" s="86"/>
      <c r="C264" s="87"/>
      <c r="D264" s="88">
        <v>61</v>
      </c>
      <c r="E264" s="87"/>
      <c r="F264" s="88"/>
      <c r="G264" s="76">
        <v>1640390</v>
      </c>
      <c r="H264" s="76">
        <f t="shared" si="31"/>
        <v>0</v>
      </c>
      <c r="I264" s="42">
        <f t="shared" si="30"/>
        <v>1640390</v>
      </c>
    </row>
    <row r="265" spans="1:9" ht="78.75">
      <c r="A265" s="41" t="str">
        <f>IF(B265&gt;0,VLOOKUP(B265,КВСР!A178:B1343,2),IF(C265&gt;0,VLOOKUP(C265,КФСР!A178:B1690,2),IF(D265&gt;0,VLOOKUP(D265,Программа!A$1:B$5008,2),IF(F265&gt;0,VLOOKUP(F265,КВР!A$1:B$5001,2),IF(E265&gt;0,VLOOKUP(E265,Направление!A$1:B$4660,2))))))</f>
        <v>Расходы на оборудование социально-значимых объектов сферы образования с целью обеспечения доступности для инвалидов</v>
      </c>
      <c r="B265" s="86"/>
      <c r="C265" s="87"/>
      <c r="D265" s="88"/>
      <c r="E265" s="87">
        <v>7116</v>
      </c>
      <c r="F265" s="88"/>
      <c r="G265" s="76">
        <v>1640390</v>
      </c>
      <c r="H265" s="76">
        <f t="shared" si="31"/>
        <v>0</v>
      </c>
      <c r="I265" s="42">
        <f t="shared" si="30"/>
        <v>1640390</v>
      </c>
    </row>
    <row r="266" spans="1:9" ht="63">
      <c r="A266" s="41" t="str">
        <f>IF(B266&gt;0,VLOOKUP(B266,КВСР!A179:B1344,2),IF(C266&gt;0,VLOOKUP(C266,КФСР!A179:B1691,2),IF(D266&gt;0,VLOOKUP(D266,Программа!A$1:B$5008,2),IF(F266&gt;0,VLOOKUP(F266,КВР!A$1:B$5001,2),IF(E266&gt;0,VLOOKUP(E266,Направление!A$1:B$4660,2))))))</f>
        <v>Предоставление субсидий бюджетным, автономным учреждениям и иным некоммерческим организациям</v>
      </c>
      <c r="B266" s="86"/>
      <c r="C266" s="87"/>
      <c r="D266" s="88"/>
      <c r="E266" s="87"/>
      <c r="F266" s="88">
        <v>600</v>
      </c>
      <c r="G266" s="76">
        <v>1640390</v>
      </c>
      <c r="H266" s="335"/>
      <c r="I266" s="42">
        <f t="shared" si="30"/>
        <v>1640390</v>
      </c>
    </row>
    <row r="267" spans="1:9" ht="31.5">
      <c r="A267" s="41" t="str">
        <f>IF(B267&gt;0,VLOOKUP(B267,КВСР!A180:B1345,2),IF(C267&gt;0,VLOOKUP(C267,КФСР!A180:B1692,2),IF(D267&gt;0,VLOOKUP(D267,Программа!A$1:B$5008,2),IF(F267&gt;0,VLOOKUP(F267,КВР!A$1:B$5001,2),IF(E267&gt;0,VLOOKUP(E267,Направление!A$1:B$4660,2))))))</f>
        <v>Создание единого информационного пространства</v>
      </c>
      <c r="B267" s="86"/>
      <c r="C267" s="87"/>
      <c r="D267" s="88">
        <v>110</v>
      </c>
      <c r="E267" s="87"/>
      <c r="F267" s="88"/>
      <c r="G267" s="76">
        <v>82460</v>
      </c>
      <c r="H267" s="76">
        <f t="shared" ref="H267:H269" si="32">H268</f>
        <v>0</v>
      </c>
      <c r="I267" s="42">
        <f t="shared" si="30"/>
        <v>82460</v>
      </c>
    </row>
    <row r="268" spans="1:9" ht="63">
      <c r="A268" s="41" t="str">
        <f>IF(B268&gt;0,VLOOKUP(B268,КВСР!A181:B1346,2),IF(C268&gt;0,VLOOKUP(C268,КФСР!A181:B1693,2),IF(D268&gt;0,VLOOKUP(D268,Программа!A$1:B$5008,2),IF(F268&gt;0,VLOOKUP(F268,КВР!A$1:B$5001,2),IF(E268&gt;0,VLOOKUP(E268,Направление!A$1:B$4660,2))))))</f>
        <v>Муниципальная целевая программа «Информатизация управленческой деятельности Администрации ТМР на 2013-2014 годы».</v>
      </c>
      <c r="B268" s="86"/>
      <c r="C268" s="87"/>
      <c r="D268" s="88">
        <v>111</v>
      </c>
      <c r="E268" s="87"/>
      <c r="F268" s="88"/>
      <c r="G268" s="76">
        <v>82460</v>
      </c>
      <c r="H268" s="76">
        <f t="shared" si="32"/>
        <v>0</v>
      </c>
      <c r="I268" s="42">
        <f t="shared" si="30"/>
        <v>82460</v>
      </c>
    </row>
    <row r="269" spans="1:9" ht="31.5">
      <c r="A269" s="41" t="str">
        <f>IF(B269&gt;0,VLOOKUP(B269,КВСР!A182:B1347,2),IF(C269&gt;0,VLOOKUP(C269,КФСР!A182:B1694,2),IF(D269&gt;0,VLOOKUP(D269,Программа!A$1:B$5008,2),IF(F269&gt;0,VLOOKUP(F269,КВР!A$1:B$5001,2),IF(E269&gt;0,VLOOKUP(E269,Направление!A$1:B$4660,2))))))</f>
        <v>Расходы на проведение мероприятий по информатизации</v>
      </c>
      <c r="B269" s="86"/>
      <c r="C269" s="87"/>
      <c r="D269" s="88"/>
      <c r="E269" s="87">
        <v>1221</v>
      </c>
      <c r="F269" s="88"/>
      <c r="G269" s="76">
        <v>82460</v>
      </c>
      <c r="H269" s="76">
        <f t="shared" si="32"/>
        <v>0</v>
      </c>
      <c r="I269" s="42">
        <f t="shared" si="30"/>
        <v>82460</v>
      </c>
    </row>
    <row r="270" spans="1:9" ht="31.5">
      <c r="A270" s="41" t="str">
        <f>IF(B270&gt;0,VLOOKUP(B270,КВСР!A183:B1348,2),IF(C270&gt;0,VLOOKUP(C270,КФСР!A183:B1695,2),IF(D270&gt;0,VLOOKUP(D270,Программа!A$1:B$5008,2),IF(F270&gt;0,VLOOKUP(F270,КВР!A$1:B$5001,2),IF(E270&gt;0,VLOOKUP(E270,Направление!A$1:B$4660,2))))))</f>
        <v>Закупка товаров, работ и услуг для государственных нужд</v>
      </c>
      <c r="B270" s="86"/>
      <c r="C270" s="87"/>
      <c r="D270" s="88"/>
      <c r="E270" s="87"/>
      <c r="F270" s="88">
        <v>200</v>
      </c>
      <c r="G270" s="76">
        <v>82460</v>
      </c>
      <c r="H270" s="335"/>
      <c r="I270" s="42">
        <f t="shared" si="30"/>
        <v>82460</v>
      </c>
    </row>
    <row r="271" spans="1:9" ht="31.5">
      <c r="A271" s="41" t="str">
        <f>IF(B271&gt;0,VLOOKUP(B271,КВСР!A180:B1345,2),IF(C271&gt;0,VLOOKUP(C271,КФСР!A180:B1692,2),IF(D271&gt;0,VLOOKUP(D271,Программа!A$1:B$5008,2),IF(F271&gt;0,VLOOKUP(F271,КВР!A$1:B$5001,2),IF(E271&gt;0,VLOOKUP(E271,Направление!A$1:B$4660,2))))))</f>
        <v>Профилактика правонарушений и усиления борьбы с преступностью</v>
      </c>
      <c r="B271" s="86"/>
      <c r="C271" s="87"/>
      <c r="D271" s="88">
        <v>180</v>
      </c>
      <c r="E271" s="87"/>
      <c r="F271" s="88"/>
      <c r="G271" s="76">
        <v>49000</v>
      </c>
      <c r="H271" s="76">
        <f t="shared" ref="H271:H272" si="33">H272</f>
        <v>0</v>
      </c>
      <c r="I271" s="42">
        <f t="shared" si="30"/>
        <v>49000</v>
      </c>
    </row>
    <row r="272" spans="1:9" ht="63">
      <c r="A272" s="41" t="str">
        <f>IF(B272&gt;0,VLOOKUP(B272,КВСР!A181:B1346,2),IF(C272&gt;0,VLOOKUP(C272,КФСР!A181:B1693,2),IF(D272&gt;0,VLOOKUP(D272,Программа!A$1:B$5008,2),IF(F272&gt;0,VLOOKUP(F272,КВР!A$1:B$5001,2),IF(E272&gt;0,VLOOKUP(E272,Направление!A$1:B$4660,2))))))</f>
        <v>МЦП "Профилактика правонарушений и усиления борьбы с преступностью в ТМР на 2014-2016 годы"</v>
      </c>
      <c r="B272" s="86"/>
      <c r="C272" s="87"/>
      <c r="D272" s="88">
        <v>181</v>
      </c>
      <c r="E272" s="87"/>
      <c r="F272" s="88"/>
      <c r="G272" s="76">
        <v>49000</v>
      </c>
      <c r="H272" s="76">
        <f t="shared" si="33"/>
        <v>0</v>
      </c>
      <c r="I272" s="42">
        <f t="shared" si="30"/>
        <v>49000</v>
      </c>
    </row>
    <row r="273" spans="1:9" ht="47.25">
      <c r="A273" s="41" t="str">
        <f>IF(B273&gt;0,VLOOKUP(B273,КВСР!A182:B1347,2),IF(C273&gt;0,VLOOKUP(C273,КФСР!A182:B1694,2),IF(D273&gt;0,VLOOKUP(D273,Программа!A$1:B$5008,2),IF(F273&gt;0,VLOOKUP(F273,КВР!A$1:B$5001,2),IF(E273&gt;0,VLOOKUP(E273,Направление!A$1:B$4660,2))))))</f>
        <v>Расходы на профилактику правонарушений и усиления борьбы с преступностью</v>
      </c>
      <c r="B273" s="86"/>
      <c r="C273" s="87"/>
      <c r="D273" s="88"/>
      <c r="E273" s="87">
        <v>1225</v>
      </c>
      <c r="F273" s="88"/>
      <c r="G273" s="76">
        <v>49000</v>
      </c>
      <c r="H273" s="76">
        <f t="shared" ref="H273" si="34">H274+H275</f>
        <v>0</v>
      </c>
      <c r="I273" s="42">
        <f t="shared" si="30"/>
        <v>49000</v>
      </c>
    </row>
    <row r="274" spans="1:9" ht="31.5">
      <c r="A274" s="41" t="str">
        <f>IF(B274&gt;0,VLOOKUP(B274,КВСР!A183:B1348,2),IF(C274&gt;0,VLOOKUP(C274,КФСР!A183:B1695,2),IF(D274&gt;0,VLOOKUP(D274,Программа!A$1:B$5008,2),IF(F274&gt;0,VLOOKUP(F274,КВР!A$1:B$5001,2),IF(E274&gt;0,VLOOKUP(E274,Направление!A$1:B$4660,2))))))</f>
        <v>Закупка товаров, работ и услуг для государственных нужд</v>
      </c>
      <c r="B274" s="86"/>
      <c r="C274" s="87"/>
      <c r="D274" s="88"/>
      <c r="E274" s="87"/>
      <c r="F274" s="88">
        <v>200</v>
      </c>
      <c r="G274" s="76">
        <v>34000</v>
      </c>
      <c r="H274" s="335"/>
      <c r="I274" s="42">
        <f t="shared" si="30"/>
        <v>34000</v>
      </c>
    </row>
    <row r="275" spans="1:9" ht="63">
      <c r="A275" s="41" t="str">
        <f>IF(B275&gt;0,VLOOKUP(B275,КВСР!A183:B1348,2),IF(C275&gt;0,VLOOKUP(C275,КФСР!A183:B1695,2),IF(D275&gt;0,VLOOKUP(D275,Программа!A$1:B$5008,2),IF(F275&gt;0,VLOOKUP(F275,КВР!A$1:B$5001,2),IF(E275&gt;0,VLOOKUP(E275,Направление!A$1:B$4660,2))))))</f>
        <v>Предоставление субсидий бюджетным, автономным учреждениям и иным некоммерческим организациям</v>
      </c>
      <c r="B275" s="86"/>
      <c r="C275" s="87"/>
      <c r="D275" s="88"/>
      <c r="E275" s="87"/>
      <c r="F275" s="88">
        <v>600</v>
      </c>
      <c r="G275" s="76">
        <v>15000</v>
      </c>
      <c r="H275" s="335"/>
      <c r="I275" s="42">
        <f t="shared" si="30"/>
        <v>15000</v>
      </c>
    </row>
    <row r="276" spans="1:9">
      <c r="A276" s="41" t="str">
        <f>IF(B276&gt;0,VLOOKUP(B276,КВСР!A194:B1359,2),IF(C276&gt;0,VLOOKUP(C276,КФСР!A194:B1706,2),IF(D276&gt;0,VLOOKUP(D276,Программа!A$1:B$5008,2),IF(F276&gt;0,VLOOKUP(F276,КВР!A$1:B$5001,2),IF(E276&gt;0,VLOOKUP(E276,Направление!A$1:B$4660,2))))))</f>
        <v>Непрограммные расходы бюджета</v>
      </c>
      <c r="B276" s="85"/>
      <c r="C276" s="77"/>
      <c r="D276" s="78">
        <v>409</v>
      </c>
      <c r="E276" s="77"/>
      <c r="F276" s="78"/>
      <c r="G276" s="42">
        <v>4449293</v>
      </c>
      <c r="H276" s="42">
        <f>H280+H282+H277</f>
        <v>368121</v>
      </c>
      <c r="I276" s="42">
        <f t="shared" si="30"/>
        <v>4817414</v>
      </c>
    </row>
    <row r="277" spans="1:9" ht="31.5">
      <c r="A277" s="41" t="str">
        <f>IF(B277&gt;0,VLOOKUP(B277,КВСР!A195:B1360,2),IF(C277&gt;0,VLOOKUP(C277,КФСР!A195:B1707,2),IF(D277&gt;0,VLOOKUP(D277,Программа!A$1:B$5008,2),IF(F277&gt;0,VLOOKUP(F277,КВР!A$1:B$5001,2),IF(E277&gt;0,VLOOKUP(E277,Направление!A$1:B$4660,2))))))</f>
        <v>Погашение задолженности прошлых лет</v>
      </c>
      <c r="B277" s="85"/>
      <c r="C277" s="77"/>
      <c r="D277" s="78"/>
      <c r="E277" s="77">
        <v>1260</v>
      </c>
      <c r="F277" s="78"/>
      <c r="G277" s="42">
        <v>1570235</v>
      </c>
      <c r="H277" s="42">
        <f>H279+H278</f>
        <v>0</v>
      </c>
      <c r="I277" s="42">
        <f t="shared" si="30"/>
        <v>1570235</v>
      </c>
    </row>
    <row r="278" spans="1:9" ht="63">
      <c r="A278" s="41" t="str">
        <f>IF(B278&gt;0,VLOOKUP(B278,КВСР!A195:B1360,2),IF(C278&gt;0,VLOOKUP(C278,КФСР!A195:B1707,2),IF(D278&gt;0,VLOOKUP(D278,Программа!A$1:B$5008,2),IF(F278&gt;0,VLOOKUP(F278,КВР!A$1:B$5001,2),IF(E278&gt;0,VLOOKUP(E278,Направление!A$1:B$4660,2))))))</f>
        <v>Предоставление субсидий бюджетным, автономным учреждениям и иным некоммерческим организациям</v>
      </c>
      <c r="B278" s="85"/>
      <c r="C278" s="77"/>
      <c r="D278" s="78"/>
      <c r="E278" s="77"/>
      <c r="F278" s="78">
        <v>600</v>
      </c>
      <c r="G278" s="42">
        <v>5591</v>
      </c>
      <c r="H278" s="393"/>
      <c r="I278" s="42">
        <f t="shared" si="30"/>
        <v>5591</v>
      </c>
    </row>
    <row r="279" spans="1:9">
      <c r="A279" s="41" t="str">
        <f>IF(B279&gt;0,VLOOKUP(B279,КВСР!A196:B1361,2),IF(C279&gt;0,VLOOKUP(C279,КФСР!A196:B1708,2),IF(D279&gt;0,VLOOKUP(D279,Программа!A$1:B$5008,2),IF(F279&gt;0,VLOOKUP(F279,КВР!A$1:B$5001,2),IF(E279&gt;0,VLOOKUP(E279,Направление!A$1:B$4660,2))))))</f>
        <v>Иные бюджетные ассигнования</v>
      </c>
      <c r="B279" s="85"/>
      <c r="C279" s="77"/>
      <c r="D279" s="78"/>
      <c r="E279" s="77"/>
      <c r="F279" s="78">
        <v>800</v>
      </c>
      <c r="G279" s="42">
        <v>1564644</v>
      </c>
      <c r="H279" s="393"/>
      <c r="I279" s="42">
        <f t="shared" si="30"/>
        <v>1564644</v>
      </c>
    </row>
    <row r="280" spans="1:9" ht="31.5">
      <c r="A280" s="41" t="str">
        <f>IF(B280&gt;0,VLOOKUP(B280,КВСР!A195:B1360,2),IF(C280&gt;0,VLOOKUP(C280,КФСР!A195:B1707,2),IF(D280&gt;0,VLOOKUP(D280,Программа!A$1:B$5008,2),IF(F280&gt;0,VLOOKUP(F280,КВР!A$1:B$5001,2),IF(E280&gt;0,VLOOKUP(E280,Направление!A$1:B$4660,2))))))</f>
        <v>Государственная поддержка в сфере образования</v>
      </c>
      <c r="B280" s="85"/>
      <c r="C280" s="77"/>
      <c r="D280" s="78"/>
      <c r="E280" s="77">
        <v>1371</v>
      </c>
      <c r="F280" s="78"/>
      <c r="G280" s="95">
        <v>800000</v>
      </c>
      <c r="H280" s="95">
        <f>H281</f>
        <v>150000</v>
      </c>
      <c r="I280" s="42">
        <f t="shared" si="30"/>
        <v>950000</v>
      </c>
    </row>
    <row r="281" spans="1:9" ht="63">
      <c r="A281" s="41" t="str">
        <f>IF(B281&gt;0,VLOOKUP(B281,КВСР!A196:B1361,2),IF(C281&gt;0,VLOOKUP(C281,КФСР!A196:B1708,2),IF(D281&gt;0,VLOOKUP(D281,Программа!A$1:B$5008,2),IF(F281&gt;0,VLOOKUP(F281,КВР!A$1:B$5001,2),IF(E281&gt;0,VLOOKUP(E281,Направление!A$1:B$4660,2))))))</f>
        <v>Предоставление субсидий бюджетным, автономным учреждениям и иным некоммерческим организациям</v>
      </c>
      <c r="B281" s="85"/>
      <c r="C281" s="77"/>
      <c r="D281" s="78"/>
      <c r="E281" s="77"/>
      <c r="F281" s="78">
        <v>600</v>
      </c>
      <c r="G281" s="42">
        <v>800000</v>
      </c>
      <c r="H281" s="334">
        <f>188130-38130</f>
        <v>150000</v>
      </c>
      <c r="I281" s="42">
        <f t="shared" si="30"/>
        <v>950000</v>
      </c>
    </row>
    <row r="282" spans="1:9" ht="47.25">
      <c r="A282" s="41" t="str">
        <f>IF(B282&gt;0,VLOOKUP(B282,КВСР!A197:B1362,2),IF(C282&gt;0,VLOOKUP(C282,КФСР!A197:B1709,2),IF(D282&gt;0,VLOOKUP(D282,Программа!A$1:B$5008,2),IF(F282&gt;0,VLOOKUP(F282,КВР!A$1:B$5001,2),IF(E282&gt;0,VLOOKUP(E282,Направление!A$1:B$4660,2))))))</f>
        <v>Расходы на реализацию ОЦП "Развитие органов местного самоуправления на территории ЯО"</v>
      </c>
      <c r="B282" s="85"/>
      <c r="C282" s="77"/>
      <c r="D282" s="78"/>
      <c r="E282" s="77">
        <v>7229</v>
      </c>
      <c r="F282" s="78"/>
      <c r="G282" s="42">
        <v>2079058</v>
      </c>
      <c r="H282" s="42">
        <f t="shared" ref="H282" si="35">H283</f>
        <v>218121</v>
      </c>
      <c r="I282" s="42">
        <f t="shared" si="30"/>
        <v>2297179</v>
      </c>
    </row>
    <row r="283" spans="1:9" ht="63">
      <c r="A283" s="41" t="str">
        <f>IF(B283&gt;0,VLOOKUP(B283,КВСР!A198:B1363,2),IF(C283&gt;0,VLOOKUP(C283,КФСР!A198:B1710,2),IF(D283&gt;0,VLOOKUP(D283,Программа!A$1:B$5008,2),IF(F283&gt;0,VLOOKUP(F283,КВР!A$1:B$5001,2),IF(E283&gt;0,VLOOKUP(E283,Направление!A$1:B$4660,2))))))</f>
        <v>Предоставление субсидий бюджетным, автономным учреждениям и иным некоммерческим организациям</v>
      </c>
      <c r="B283" s="85"/>
      <c r="C283" s="77"/>
      <c r="D283" s="78"/>
      <c r="E283" s="77"/>
      <c r="F283" s="78">
        <v>600</v>
      </c>
      <c r="G283" s="42">
        <v>2079058</v>
      </c>
      <c r="H283" s="334">
        <v>218121</v>
      </c>
      <c r="I283" s="42">
        <f t="shared" si="30"/>
        <v>2297179</v>
      </c>
    </row>
    <row r="284" spans="1:9" ht="37.5" customHeight="1">
      <c r="A284" s="41" t="str">
        <f>IF(B284&gt;0,VLOOKUP(B284,КВСР!A197:B1362,2),IF(C284&gt;0,VLOOKUP(C284,КФСР!A197:B1709,2),IF(D284&gt;0,VLOOKUP(D284,Программа!A$1:B$5008,2),IF(F284&gt;0,VLOOKUP(F284,КВР!A$1:B$5001,2),IF(E284&gt;0,VLOOKUP(E284,Направление!A$1:B$4660,2))))))</f>
        <v>Энергоэффективность и развитие энергетики</v>
      </c>
      <c r="B284" s="85"/>
      <c r="C284" s="77"/>
      <c r="D284" s="78">
        <v>80</v>
      </c>
      <c r="E284" s="77"/>
      <c r="F284" s="78"/>
      <c r="G284" s="42">
        <v>957559</v>
      </c>
      <c r="H284" s="42">
        <f>H285</f>
        <v>0</v>
      </c>
      <c r="I284" s="42">
        <f t="shared" si="30"/>
        <v>957559</v>
      </c>
    </row>
    <row r="285" spans="1:9" ht="78.75">
      <c r="A285" s="41" t="str">
        <f>IF(B285&gt;0,VLOOKUP(B285,КВСР!A198:B1363,2),IF(C285&gt;0,VLOOKUP(C285,КФСР!A198:B1710,2),IF(D285&gt;0,VLOOKUP(D285,Программа!A$1:B$5008,2),IF(F285&gt;0,VLOOKUP(F285,КВР!A$1:B$5001,2),IF(E285&gt;0,VLOOKUP(E285,Направление!A$1:B$4660,2))))))</f>
        <v>Муниципальная целевая программа «Об энергосбережении и повышении энергетической эффективности ТМР на 2014-2016 годы.</v>
      </c>
      <c r="B285" s="85"/>
      <c r="C285" s="77"/>
      <c r="D285" s="78">
        <v>81</v>
      </c>
      <c r="E285" s="77"/>
      <c r="F285" s="78"/>
      <c r="G285" s="42">
        <v>957559</v>
      </c>
      <c r="H285" s="340">
        <f>H286</f>
        <v>0</v>
      </c>
      <c r="I285" s="42">
        <f t="shared" si="30"/>
        <v>957559</v>
      </c>
    </row>
    <row r="286" spans="1:9" ht="63">
      <c r="A286" s="41" t="str">
        <f>IF(B286&gt;0,VLOOKUP(B286,КВСР!A199:B1364,2),IF(C286&gt;0,VLOOKUP(C286,КФСР!A199:B1711,2),IF(D286&gt;0,VLOOKUP(D286,Программа!A$1:B$5008,2),IF(F286&gt;0,VLOOKUP(F286,КВР!A$1:B$5001,2),IF(E286&gt;0,VLOOKUP(E286,Направление!A$1:B$4660,2))))))</f>
        <v>Мероприятия по повышению энергоэффективности и энергосбережению за счет средств областного бюджета</v>
      </c>
      <c r="B286" s="85"/>
      <c r="C286" s="77"/>
      <c r="D286" s="78"/>
      <c r="E286" s="77">
        <v>7294</v>
      </c>
      <c r="F286" s="78"/>
      <c r="G286" s="42">
        <v>957559</v>
      </c>
      <c r="H286" s="340">
        <f>H287</f>
        <v>0</v>
      </c>
      <c r="I286" s="42">
        <f t="shared" si="30"/>
        <v>957559</v>
      </c>
    </row>
    <row r="287" spans="1:9" ht="63">
      <c r="A287" s="41" t="str">
        <f>IF(B287&gt;0,VLOOKUP(B287,КВСР!A200:B1365,2),IF(C287&gt;0,VLOOKUP(C287,КФСР!A200:B1712,2),IF(D287&gt;0,VLOOKUP(D287,Программа!A$1:B$5008,2),IF(F287&gt;0,VLOOKUP(F287,КВР!A$1:B$5001,2),IF(E287&gt;0,VLOOKUP(E287,Направление!A$1:B$4660,2))))))</f>
        <v>Предоставление субсидий бюджетным, автономным учреждениям и иным некоммерческим организациям</v>
      </c>
      <c r="B287" s="85"/>
      <c r="C287" s="77"/>
      <c r="D287" s="78"/>
      <c r="E287" s="77"/>
      <c r="F287" s="78">
        <v>600</v>
      </c>
      <c r="G287" s="42">
        <v>957559</v>
      </c>
      <c r="H287" s="334"/>
      <c r="I287" s="42">
        <f t="shared" si="30"/>
        <v>957559</v>
      </c>
    </row>
    <row r="288" spans="1:9">
      <c r="A288" s="41" t="str">
        <f>IF(B288&gt;0,VLOOKUP(B288,КВСР!A201:B1366,2),IF(C288&gt;0,VLOOKUP(C288,КФСР!A201:B1713,2),IF(D288&gt;0,VLOOKUP(D288,Программа!A$1:B$5008,2),IF(F288&gt;0,VLOOKUP(F288,КВР!A$1:B$5001,2),IF(E288&gt;0,VLOOKUP(E288,Направление!A$1:B$4660,2))))))</f>
        <v>Охрана семьи и детства</v>
      </c>
      <c r="B288" s="86"/>
      <c r="C288" s="77">
        <v>1004</v>
      </c>
      <c r="D288" s="232"/>
      <c r="E288" s="236"/>
      <c r="F288" s="88"/>
      <c r="G288" s="76">
        <v>35485608</v>
      </c>
      <c r="H288" s="76">
        <f>H289</f>
        <v>1693624</v>
      </c>
      <c r="I288" s="42">
        <f t="shared" ref="I288:I331" si="36">SUM(G288:H288)</f>
        <v>37179232</v>
      </c>
    </row>
    <row r="289" spans="1:9">
      <c r="A289" s="41" t="str">
        <f>IF(B289&gt;0,VLOOKUP(B289,КВСР!A202:B1367,2),IF(C289&gt;0,VLOOKUP(C289,КФСР!A202:B1714,2),IF(D289&gt;0,VLOOKUP(D289,Программа!A$1:B$5008,2),IF(F289&gt;0,VLOOKUP(F289,КВР!A$1:B$5001,2),IF(E289&gt;0,VLOOKUP(E289,Направление!A$1:B$4660,2))))))</f>
        <v>Развитие образования</v>
      </c>
      <c r="B289" s="85"/>
      <c r="C289" s="77"/>
      <c r="D289" s="233">
        <v>20</v>
      </c>
      <c r="E289" s="237"/>
      <c r="F289" s="88"/>
      <c r="G289" s="76">
        <v>35485608</v>
      </c>
      <c r="H289" s="76">
        <f>H290</f>
        <v>1693624</v>
      </c>
      <c r="I289" s="42">
        <f t="shared" si="36"/>
        <v>37179232</v>
      </c>
    </row>
    <row r="290" spans="1:9" ht="78.75">
      <c r="A290" s="41" t="str">
        <f>IF(B290&gt;0,VLOOKUP(B290,КВСР!A203:B1368,2),IF(C290&gt;0,VLOOKUP(C290,КФСР!A203:B1715,2),IF(D290&gt;0,VLOOKUP(D290,Программа!A$1:B$5008,2),IF(F290&gt;0,VLOOKUP(F290,КВР!A$1:B$5001,2),IF(E290&gt;0,VLOOKUP(E290,Направление!A$1:B$4660,2))))))</f>
        <v>Ведомственная целевая программа департамента образования Администрации Тутаевского муниципального района на 2014-2016 годы.</v>
      </c>
      <c r="B290" s="85"/>
      <c r="C290" s="77"/>
      <c r="D290" s="233">
        <v>21</v>
      </c>
      <c r="E290" s="237"/>
      <c r="F290" s="88"/>
      <c r="G290" s="76">
        <v>35485608</v>
      </c>
      <c r="H290" s="76">
        <f>H291+H295+H297+H299+H302+H306</f>
        <v>1693624</v>
      </c>
      <c r="I290" s="42">
        <f t="shared" si="36"/>
        <v>37179232</v>
      </c>
    </row>
    <row r="291" spans="1:9" ht="63">
      <c r="A291" s="41" t="str">
        <f>IF(B291&gt;0,VLOOKUP(B291,КВСР!A204:B1369,2),IF(C291&gt;0,VLOOKUP(C291,КФСР!A204:B1716,2),IF(D291&gt;0,VLOOKUP(D291,Программа!A$1:B$5008,2),IF(F291&gt;0,VLOOKUP(F291,КВР!A$1:B$5001,2),IF(E291&gt;0,VLOOKUP(E291,Направление!A$1:B$4660,2))))))</f>
        <v>Расходы на укрепление института семьи, повышение качества жизни семей с несовершеннолетними детьми</v>
      </c>
      <c r="B291" s="85"/>
      <c r="C291" s="77"/>
      <c r="D291" s="233"/>
      <c r="E291" s="237">
        <v>1611</v>
      </c>
      <c r="F291" s="88"/>
      <c r="G291" s="76">
        <v>29500</v>
      </c>
      <c r="H291" s="76">
        <f>H292+H293+H294</f>
        <v>0</v>
      </c>
      <c r="I291" s="42">
        <f t="shared" si="36"/>
        <v>29500</v>
      </c>
    </row>
    <row r="292" spans="1:9" ht="31.5">
      <c r="A292" s="41" t="str">
        <f>IF(B292&gt;0,VLOOKUP(B292,КВСР!A205:B1370,2),IF(C292&gt;0,VLOOKUP(C292,КФСР!A205:B1717,2),IF(D292&gt;0,VLOOKUP(D292,Программа!A$1:B$5008,2),IF(F292&gt;0,VLOOKUP(F292,КВР!A$1:B$5001,2),IF(E292&gt;0,VLOOKUP(E292,Направление!A$1:B$4660,2))))))</f>
        <v>Закупка товаров, работ и услуг для государственных нужд</v>
      </c>
      <c r="B292" s="85"/>
      <c r="C292" s="77"/>
      <c r="D292" s="232"/>
      <c r="E292" s="236"/>
      <c r="F292" s="88">
        <v>200</v>
      </c>
      <c r="G292" s="42">
        <v>10600</v>
      </c>
      <c r="H292" s="334"/>
      <c r="I292" s="42">
        <f t="shared" si="36"/>
        <v>10600</v>
      </c>
    </row>
    <row r="293" spans="1:9" ht="31.5">
      <c r="A293" s="41" t="str">
        <f>IF(B293&gt;0,VLOOKUP(B293,КВСР!A206:B1371,2),IF(C293&gt;0,VLOOKUP(C293,КФСР!A206:B1718,2),IF(D293&gt;0,VLOOKUP(D293,Программа!A$1:B$5008,2),IF(F293&gt;0,VLOOKUP(F293,КВР!A$1:B$5001,2),IF(E293&gt;0,VLOOKUP(E293,Направление!A$1:B$4660,2))))))</f>
        <v>Социальное обеспечение и иные выплаты населению</v>
      </c>
      <c r="B293" s="85"/>
      <c r="C293" s="77"/>
      <c r="D293" s="233"/>
      <c r="E293" s="237"/>
      <c r="F293" s="88">
        <v>300</v>
      </c>
      <c r="G293" s="42">
        <v>0</v>
      </c>
      <c r="H293" s="334"/>
      <c r="I293" s="42">
        <f t="shared" si="36"/>
        <v>0</v>
      </c>
    </row>
    <row r="294" spans="1:9" ht="63">
      <c r="A294" s="41" t="str">
        <f>IF(B294&gt;0,VLOOKUP(B294,КВСР!A207:B1372,2),IF(C294&gt;0,VLOOKUP(C294,КФСР!A207:B1719,2),IF(D294&gt;0,VLOOKUP(D294,Программа!A$1:B$5008,2),IF(F294&gt;0,VLOOKUP(F294,КВР!A$1:B$5001,2),IF(E294&gt;0,VLOOKUP(E294,Направление!A$1:B$4660,2))))))</f>
        <v>Предоставление субсидий бюджетным, автономным учреждениям и иным некоммерческим организациям</v>
      </c>
      <c r="B294" s="85"/>
      <c r="C294" s="77"/>
      <c r="D294" s="233"/>
      <c r="E294" s="237"/>
      <c r="F294" s="88">
        <v>600</v>
      </c>
      <c r="G294" s="42">
        <v>18900</v>
      </c>
      <c r="H294" s="334"/>
      <c r="I294" s="42">
        <f t="shared" si="36"/>
        <v>18900</v>
      </c>
    </row>
    <row r="295" spans="1:9" ht="94.5">
      <c r="A295" s="41" t="str">
        <f>IF(B295&gt;0,VLOOKUP(B295,КВСР!A207:B1372,2),IF(C295&gt;0,VLOOKUP(C295,КФСР!A207:B1719,2),IF(D295&gt;0,VLOOKUP(D295,Программа!A$1:B$5008,2),IF(F295&gt;0,VLOOKUP(F295,КВР!A$1:B$5001,2),IF(E295&gt;0,VLOOKUP(E295,Направление!A$1:B$4660,2))))))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295" s="85"/>
      <c r="C295" s="77"/>
      <c r="D295" s="233"/>
      <c r="E295" s="237">
        <v>5260</v>
      </c>
      <c r="F295" s="88"/>
      <c r="G295" s="42">
        <v>400000</v>
      </c>
      <c r="H295" s="42">
        <f>H296</f>
        <v>0</v>
      </c>
      <c r="I295" s="42">
        <f t="shared" si="36"/>
        <v>400000</v>
      </c>
    </row>
    <row r="296" spans="1:9" ht="31.5">
      <c r="A296" s="41" t="str">
        <f>IF(B296&gt;0,VLOOKUP(B296,КВСР!A208:B1373,2),IF(C296&gt;0,VLOOKUP(C296,КФСР!A208:B1720,2),IF(D296&gt;0,VLOOKUP(D296,Программа!A$1:B$5008,2),IF(F296&gt;0,VLOOKUP(F296,КВР!A$1:B$5001,2),IF(E296&gt;0,VLOOKUP(E296,Направление!A$1:B$4660,2))))))</f>
        <v>Социальное обеспечение и иные выплаты населению</v>
      </c>
      <c r="B296" s="85"/>
      <c r="C296" s="77"/>
      <c r="D296" s="233"/>
      <c r="E296" s="237"/>
      <c r="F296" s="88">
        <v>300</v>
      </c>
      <c r="G296" s="42">
        <v>400000</v>
      </c>
      <c r="H296" s="334"/>
      <c r="I296" s="42">
        <f t="shared" si="36"/>
        <v>400000</v>
      </c>
    </row>
    <row r="297" spans="1:9" ht="63">
      <c r="A297" s="41" t="str">
        <f>IF(B297&gt;0,VLOOKUP(B297,КВСР!A209:B1374,2),IF(C297&gt;0,VLOOKUP(C297,КФСР!A209:B1721,2),IF(D297&gt;0,VLOOKUP(D297,Программа!A$1:B$5008,2),IF(F297&gt;0,VLOOKUP(F297,КВР!A$1:B$5001,2),IF(E297&gt;0,VLOOKUP(E297,Направление!A$1:B$4660,2))))))</f>
        <v>Компенсация расходов на содержание ребенка в дошкольной образовательной организации за счет средств областного бюджета</v>
      </c>
      <c r="B297" s="85"/>
      <c r="C297" s="77"/>
      <c r="D297" s="233"/>
      <c r="E297" s="237">
        <v>7043</v>
      </c>
      <c r="F297" s="88"/>
      <c r="G297" s="42">
        <v>7364000</v>
      </c>
      <c r="H297" s="42">
        <f>H298</f>
        <v>1803624</v>
      </c>
      <c r="I297" s="42">
        <f t="shared" si="36"/>
        <v>9167624</v>
      </c>
    </row>
    <row r="298" spans="1:9" ht="31.5">
      <c r="A298" s="41" t="str">
        <f>IF(B298&gt;0,VLOOKUP(B298,КВСР!A210:B1375,2),IF(C298&gt;0,VLOOKUP(C298,КФСР!A210:B1722,2),IF(D298&gt;0,VLOOKUP(D298,Программа!A$1:B$5008,2),IF(F298&gt;0,VLOOKUP(F298,КВР!A$1:B$5001,2),IF(E298&gt;0,VLOOKUP(E298,Направление!A$1:B$4660,2))))))</f>
        <v>Социальное обеспечение и иные выплаты населению</v>
      </c>
      <c r="B298" s="85"/>
      <c r="C298" s="77"/>
      <c r="D298" s="233"/>
      <c r="E298" s="237"/>
      <c r="F298" s="88">
        <v>300</v>
      </c>
      <c r="G298" s="42">
        <v>7364000</v>
      </c>
      <c r="H298" s="334">
        <v>1803624</v>
      </c>
      <c r="I298" s="42">
        <f t="shared" si="36"/>
        <v>9167624</v>
      </c>
    </row>
    <row r="299" spans="1:9" ht="94.5">
      <c r="A299" s="41" t="str">
        <f>IF(B299&gt;0,VLOOKUP(B299,КВСР!A211:B1376,2),IF(C299&gt;0,VLOOKUP(C299,КФСР!A211:B1723,2),IF(D299&gt;0,VLOOKUP(D299,Программа!A$1:B$5008,2),IF(F299&gt;0,VLOOKUP(F299,КВР!A$1:B$5001,2),IF(E299&gt;0,VLOOKUP(E299,Направление!A$1:B$4660,2))))))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299" s="85"/>
      <c r="C299" s="77"/>
      <c r="D299" s="233"/>
      <c r="E299" s="237">
        <v>7046</v>
      </c>
      <c r="F299" s="88"/>
      <c r="G299" s="42">
        <v>25460047</v>
      </c>
      <c r="H299" s="42">
        <f>H300+H301</f>
        <v>0</v>
      </c>
      <c r="I299" s="42">
        <f t="shared" si="36"/>
        <v>25460047</v>
      </c>
    </row>
    <row r="300" spans="1:9" ht="31.5">
      <c r="A300" s="41" t="str">
        <f>IF(B300&gt;0,VLOOKUP(B300,КВСР!A212:B1377,2),IF(C300&gt;0,VLOOKUP(C300,КФСР!A212:B1724,2),IF(D300&gt;0,VLOOKUP(D300,Программа!A$1:B$5008,2),IF(F300&gt;0,VLOOKUP(F300,КВР!A$1:B$5001,2),IF(E300&gt;0,VLOOKUP(E300,Направление!A$1:B$4660,2))))))</f>
        <v>Закупка товаров, работ и услуг для государственных нужд</v>
      </c>
      <c r="B300" s="85"/>
      <c r="C300" s="77"/>
      <c r="D300" s="233"/>
      <c r="E300" s="237"/>
      <c r="F300" s="88">
        <v>200</v>
      </c>
      <c r="G300" s="42">
        <v>5619204</v>
      </c>
      <c r="H300" s="334">
        <v>1402185</v>
      </c>
      <c r="I300" s="42">
        <f t="shared" si="36"/>
        <v>7021389</v>
      </c>
    </row>
    <row r="301" spans="1:9" ht="31.5">
      <c r="A301" s="41" t="str">
        <f>IF(B301&gt;0,VLOOKUP(B301,КВСР!A213:B1378,2),IF(C301&gt;0,VLOOKUP(C301,КФСР!A213:B1725,2),IF(D301&gt;0,VLOOKUP(D301,Программа!A$1:B$5008,2),IF(F301&gt;0,VLOOKUP(F301,КВР!A$1:B$5001,2),IF(E301&gt;0,VLOOKUP(E301,Направление!A$1:B$4660,2))))))</f>
        <v>Социальное обеспечение и иные выплаты населению</v>
      </c>
      <c r="B301" s="85"/>
      <c r="C301" s="77"/>
      <c r="D301" s="233"/>
      <c r="E301" s="237"/>
      <c r="F301" s="88">
        <v>300</v>
      </c>
      <c r="G301" s="42">
        <v>19840843</v>
      </c>
      <c r="H301" s="334">
        <v>-1402185</v>
      </c>
      <c r="I301" s="42">
        <f t="shared" si="36"/>
        <v>18438658</v>
      </c>
    </row>
    <row r="302" spans="1:9" ht="47.25">
      <c r="A302" s="41" t="str">
        <f>IF(B302&gt;0,VLOOKUP(B302,КВСР!A214:B1379,2),IF(C302&gt;0,VLOOKUP(C302,КФСР!A214:B1726,2),IF(D302&gt;0,VLOOKUP(D302,Программа!A$1:B$5008,2),IF(F302&gt;0,VLOOKUP(F302,КВР!A$1:B$5001,2),IF(E302&gt;0,VLOOKUP(E302,Направление!A$1:B$4660,2))))))</f>
        <v>Государственная поддержка опеки и попечительства за счет средств областного бюджета</v>
      </c>
      <c r="B302" s="85"/>
      <c r="C302" s="77"/>
      <c r="D302" s="233"/>
      <c r="E302" s="237">
        <v>7050</v>
      </c>
      <c r="F302" s="88"/>
      <c r="G302" s="42">
        <v>1987061</v>
      </c>
      <c r="H302" s="42">
        <f>H303+H304+H305</f>
        <v>-110000</v>
      </c>
      <c r="I302" s="42">
        <f t="shared" si="36"/>
        <v>1877061</v>
      </c>
    </row>
    <row r="303" spans="1:9" ht="31.5">
      <c r="A303" s="41" t="str">
        <f>IF(B303&gt;0,VLOOKUP(B303,КВСР!A215:B1380,2),IF(C303&gt;0,VLOOKUP(C303,КФСР!A215:B1727,2),IF(D303&gt;0,VLOOKUP(D303,Программа!A$1:B$5008,2),IF(F303&gt;0,VLOOKUP(F303,КВР!A$1:B$5001,2),IF(E303&gt;0,VLOOKUP(E303,Направление!A$1:B$4660,2))))))</f>
        <v>Закупка товаров, работ и услуг для государственных нужд</v>
      </c>
      <c r="B303" s="85"/>
      <c r="C303" s="77"/>
      <c r="D303" s="233"/>
      <c r="E303" s="237"/>
      <c r="F303" s="88">
        <v>200</v>
      </c>
      <c r="G303" s="42">
        <v>305142</v>
      </c>
      <c r="H303" s="334">
        <f>-10000+8301</f>
        <v>-1699</v>
      </c>
      <c r="I303" s="42">
        <f t="shared" si="36"/>
        <v>303443</v>
      </c>
    </row>
    <row r="304" spans="1:9" ht="31.5">
      <c r="A304" s="41" t="str">
        <f>IF(B304&gt;0,VLOOKUP(B304,КВСР!A216:B1381,2),IF(C304&gt;0,VLOOKUP(C304,КФСР!A216:B1728,2),IF(D304&gt;0,VLOOKUP(D304,Программа!A$1:B$5008,2),IF(F304&gt;0,VLOOKUP(F304,КВР!A$1:B$5001,2),IF(E304&gt;0,VLOOKUP(E304,Направление!A$1:B$4660,2))))))</f>
        <v>Социальное обеспечение и иные выплаты населению</v>
      </c>
      <c r="B304" s="85"/>
      <c r="C304" s="77"/>
      <c r="D304" s="233"/>
      <c r="E304" s="237"/>
      <c r="F304" s="88">
        <v>300</v>
      </c>
      <c r="G304" s="42">
        <v>577919</v>
      </c>
      <c r="H304" s="334">
        <f>-100000-8301</f>
        <v>-108301</v>
      </c>
      <c r="I304" s="42">
        <f t="shared" si="36"/>
        <v>469618</v>
      </c>
    </row>
    <row r="305" spans="1:9" ht="63">
      <c r="A305" s="41" t="str">
        <f>IF(B305&gt;0,VLOOKUP(B305,КВСР!A217:B1382,2),IF(C305&gt;0,VLOOKUP(C305,КФСР!A217:B1729,2),IF(D305&gt;0,VLOOKUP(D305,Программа!A$1:B$5008,2),IF(F305&gt;0,VLOOKUP(F305,КВР!A$1:B$5001,2),IF(E305&gt;0,VLOOKUP(E305,Направление!A$1:B$4660,2))))))</f>
        <v>Предоставление субсидий бюджетным, автономным учреждениям и иным некоммерческим организациям</v>
      </c>
      <c r="B305" s="85"/>
      <c r="C305" s="77"/>
      <c r="D305" s="233"/>
      <c r="E305" s="237"/>
      <c r="F305" s="88">
        <v>600</v>
      </c>
      <c r="G305" s="42">
        <v>1104000</v>
      </c>
      <c r="H305" s="334"/>
      <c r="I305" s="42">
        <f t="shared" si="36"/>
        <v>1104000</v>
      </c>
    </row>
    <row r="306" spans="1:9" ht="78.75">
      <c r="A306" s="41" t="str">
        <f>IF(B306&gt;0,VLOOKUP(B306,КВСР!A207:B1372,2),IF(C306&gt;0,VLOOKUP(C306,КФСР!A207:B1719,2),IF(D306&gt;0,VLOOKUP(D306,Программа!A$1:B$5008,2),IF(F306&gt;0,VLOOKUP(F306,КВР!A$1:B$5001,2),IF(E306&gt;0,VLOOKUP(E306,Направление!A$1:B$4660,2))))))</f>
        <v>Расходы на укрепление института семьи, повышение качества жизни семей с несовершеннолетними детьми за счет средств областного бюджета</v>
      </c>
      <c r="B306" s="85"/>
      <c r="C306" s="77"/>
      <c r="D306" s="233"/>
      <c r="E306" s="237">
        <v>7097</v>
      </c>
      <c r="F306" s="88"/>
      <c r="G306" s="42">
        <v>245000</v>
      </c>
      <c r="H306" s="42">
        <f>H307+H308</f>
        <v>0</v>
      </c>
      <c r="I306" s="42">
        <f t="shared" si="36"/>
        <v>245000</v>
      </c>
    </row>
    <row r="307" spans="1:9" ht="31.5">
      <c r="A307" s="41" t="str">
        <f>IF(B307&gt;0,VLOOKUP(B307,КВСР!A208:B1373,2),IF(C307&gt;0,VLOOKUP(C307,КФСР!A208:B1720,2),IF(D307&gt;0,VLOOKUP(D307,Программа!A$1:B$5008,2),IF(F307&gt;0,VLOOKUP(F307,КВР!A$1:B$5001,2),IF(E307&gt;0,VLOOKUP(E307,Направление!A$1:B$4660,2))))))</f>
        <v>Закупка товаров, работ и услуг для государственных нужд</v>
      </c>
      <c r="B307" s="85"/>
      <c r="C307" s="77"/>
      <c r="D307" s="233"/>
      <c r="E307" s="237"/>
      <c r="F307" s="88">
        <v>200</v>
      </c>
      <c r="G307" s="95">
        <v>95000</v>
      </c>
      <c r="H307" s="336"/>
      <c r="I307" s="42">
        <f t="shared" si="36"/>
        <v>95000</v>
      </c>
    </row>
    <row r="308" spans="1:9" ht="63">
      <c r="A308" s="41" t="str">
        <f>IF(B308&gt;0,VLOOKUP(B308,КВСР!A210:B1375,2),IF(C308&gt;0,VLOOKUP(C308,КФСР!A210:B1722,2),IF(D308&gt;0,VLOOKUP(D308,Программа!A$1:B$5008,2),IF(F308&gt;0,VLOOKUP(F308,КВР!A$1:B$5001,2),IF(E308&gt;0,VLOOKUP(E308,Направление!A$1:B$4660,2))))))</f>
        <v>Предоставление субсидий бюджетным, автономным учреждениям и иным некоммерческим организациям</v>
      </c>
      <c r="B308" s="85"/>
      <c r="C308" s="77"/>
      <c r="D308" s="233"/>
      <c r="E308" s="237"/>
      <c r="F308" s="88">
        <v>600</v>
      </c>
      <c r="G308" s="95">
        <v>150000</v>
      </c>
      <c r="H308" s="336"/>
      <c r="I308" s="42">
        <f t="shared" si="36"/>
        <v>150000</v>
      </c>
    </row>
    <row r="309" spans="1:9" s="19" customFormat="1">
      <c r="A309" s="41" t="str">
        <f>IF(B309&gt;0,VLOOKUP(B309,КВСР!A228:B1393,2),IF(C309&gt;0,VLOOKUP(C309,КФСР!A228:B1740,2),IF(D309&gt;0,VLOOKUP(D309,Программа!A$1:B$5008,2),IF(F309&gt;0,VLOOKUP(F309,КВР!A$1:B$5001,2),IF(E309&gt;0,VLOOKUP(E309,Направление!A$1:B$4660,2))))))</f>
        <v>Массовый спорт</v>
      </c>
      <c r="B309" s="86"/>
      <c r="C309" s="87">
        <v>1102</v>
      </c>
      <c r="D309" s="78"/>
      <c r="E309" s="77"/>
      <c r="F309" s="78"/>
      <c r="G309" s="95">
        <v>2000000</v>
      </c>
      <c r="H309" s="95">
        <f>H319+H310</f>
        <v>0</v>
      </c>
      <c r="I309" s="42">
        <f t="shared" si="36"/>
        <v>2000000</v>
      </c>
    </row>
    <row r="310" spans="1:9" s="19" customFormat="1">
      <c r="A310" s="41" t="str">
        <f>IF(B310&gt;0,VLOOKUP(B310,КВСР!A229:B1394,2),IF(C310&gt;0,VLOOKUP(C310,КФСР!A229:B1741,2),IF(D310&gt;0,VLOOKUP(D310,Программа!A$1:B$5008,2),IF(F310&gt;0,VLOOKUP(F310,КВР!A$1:B$5001,2),IF(E310&gt;0,VLOOKUP(E310,Направление!A$1:B$4660,2))))))</f>
        <v>Развитие молодежной политики</v>
      </c>
      <c r="B310" s="86"/>
      <c r="C310" s="87"/>
      <c r="D310" s="78">
        <v>10</v>
      </c>
      <c r="E310" s="77"/>
      <c r="F310" s="78"/>
      <c r="G310" s="95">
        <v>437000</v>
      </c>
      <c r="H310" s="95">
        <f>H314+H311</f>
        <v>0</v>
      </c>
      <c r="I310" s="42">
        <f t="shared" si="36"/>
        <v>437000</v>
      </c>
    </row>
    <row r="311" spans="1:9" s="19" customFormat="1" ht="110.25">
      <c r="A311" s="41" t="str">
        <f>IF(B311&gt;0,VLOOKUP(B311,КВСР!A230:B1395,2),IF(C311&gt;0,VLOOKUP(C311,КФСР!A230:B1742,2),IF(D311&gt;0,VLOOKUP(D311,Программа!A$1:B$5008,2),IF(F311&gt;0,VLOOKUP(F311,КВР!A$1:B$5001,2),IF(E311&gt;0,VLOOKUP(E311,Направление!A$1:B$4660,2))))))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 на 2014-2016 годы.</v>
      </c>
      <c r="B311" s="86"/>
      <c r="C311" s="87"/>
      <c r="D311" s="78">
        <v>12</v>
      </c>
      <c r="E311" s="77"/>
      <c r="F311" s="78"/>
      <c r="G311" s="95">
        <v>37000</v>
      </c>
      <c r="H311" s="95">
        <f>H312</f>
        <v>0</v>
      </c>
      <c r="I311" s="42">
        <f t="shared" si="36"/>
        <v>37000</v>
      </c>
    </row>
    <row r="312" spans="1:9" s="19" customFormat="1" ht="31.5">
      <c r="A312" s="41" t="str">
        <f>IF(B312&gt;0,VLOOKUP(B312,КВСР!A231:B1396,2),IF(C312&gt;0,VLOOKUP(C312,КФСР!A231:B1743,2),IF(D312&gt;0,VLOOKUP(D312,Программа!A$1:B$5008,2),IF(F312&gt;0,VLOOKUP(F312,КВР!A$1:B$5001,2),IF(E312&gt;0,VLOOKUP(E312,Направление!A$1:B$4660,2))))))</f>
        <v>Мероприятия в области спорта и физической культуры</v>
      </c>
      <c r="B312" s="86"/>
      <c r="C312" s="87"/>
      <c r="D312" s="78"/>
      <c r="E312" s="77">
        <v>1401</v>
      </c>
      <c r="F312" s="78"/>
      <c r="G312" s="95">
        <v>37000</v>
      </c>
      <c r="H312" s="95">
        <f>H313</f>
        <v>0</v>
      </c>
      <c r="I312" s="42">
        <f t="shared" si="36"/>
        <v>37000</v>
      </c>
    </row>
    <row r="313" spans="1:9" s="19" customFormat="1" ht="110.25">
      <c r="A313" s="41" t="str">
        <f>IF(B313&gt;0,VLOOKUP(B313,КВСР!A232:B1397,2),IF(C313&gt;0,VLOOKUP(C313,КФСР!A232:B1744,2),IF(D313&gt;0,VLOOKUP(D313,Программа!A$1:B$5008,2),IF(F313&gt;0,VLOOKUP(F313,КВР!A$1:B$5001,2),IF(E313&gt;0,VLOOKUP(E313,Направление!A$1:B$4660,2))))))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13" s="86"/>
      <c r="C313" s="87"/>
      <c r="D313" s="78"/>
      <c r="E313" s="77"/>
      <c r="F313" s="78">
        <v>100</v>
      </c>
      <c r="G313" s="95">
        <v>37000</v>
      </c>
      <c r="H313" s="336"/>
      <c r="I313" s="42">
        <f t="shared" si="36"/>
        <v>37000</v>
      </c>
    </row>
    <row r="314" spans="1:9" s="19" customFormat="1" ht="78.75">
      <c r="A314" s="41" t="str">
        <f>IF(B314&gt;0,VLOOKUP(B314,КВСР!A230:B1395,2),IF(C314&gt;0,VLOOKUP(C314,КФСР!A230:B1742,2),IF(D314&gt;0,VLOOKUP(D314,Программа!A$1:B$5008,2),IF(F314&gt;0,VLOOKUP(F314,КВР!A$1:B$5001,2),IF(E314&gt;0,VLOOKUP(E314,Направление!A$1:B$4660,2))))))</f>
        <v>Муниципальная целевая программа «Комплексные меры противодействия злоупотреблению наркотиками и их незаконному обороту на 2012-2014 годы».</v>
      </c>
      <c r="B314" s="86"/>
      <c r="C314" s="87"/>
      <c r="D314" s="78">
        <v>13</v>
      </c>
      <c r="E314" s="77"/>
      <c r="F314" s="78"/>
      <c r="G314" s="95">
        <v>400000</v>
      </c>
      <c r="H314" s="95">
        <f>H315</f>
        <v>0</v>
      </c>
      <c r="I314" s="42">
        <f t="shared" si="36"/>
        <v>400000</v>
      </c>
    </row>
    <row r="315" spans="1:9" s="19" customFormat="1" ht="31.5">
      <c r="A315" s="41" t="str">
        <f>IF(B315&gt;0,VLOOKUP(B315,КВСР!A231:B1396,2),IF(C315&gt;0,VLOOKUP(C315,КФСР!A231:B1743,2),IF(D315&gt;0,VLOOKUP(D315,Программа!A$1:B$5008,2),IF(F315&gt;0,VLOOKUP(F315,КВР!A$1:B$5001,2),IF(E315&gt;0,VLOOKUP(E315,Направление!A$1:B$4660,2))))))</f>
        <v>Мероприятия в области спорта и физической культуры</v>
      </c>
      <c r="B315" s="86"/>
      <c r="C315" s="87"/>
      <c r="D315" s="78"/>
      <c r="E315" s="77">
        <v>1401</v>
      </c>
      <c r="F315" s="78"/>
      <c r="G315" s="95">
        <v>400000</v>
      </c>
      <c r="H315" s="95">
        <f>H317+H316+H318</f>
        <v>0</v>
      </c>
      <c r="I315" s="42">
        <f t="shared" si="36"/>
        <v>400000</v>
      </c>
    </row>
    <row r="316" spans="1:9" s="19" customFormat="1" ht="110.25">
      <c r="A316" s="41" t="str">
        <f>IF(B316&gt;0,VLOOKUP(B316,КВСР!A232:B1397,2),IF(C316&gt;0,VLOOKUP(C316,КФСР!A232:B1744,2),IF(D316&gt;0,VLOOKUP(D316,Программа!A$1:B$5008,2),IF(F316&gt;0,VLOOKUP(F316,КВР!A$1:B$5001,2),IF(E316&gt;0,VLOOKUP(E316,Направление!A$1:B$4660,2))))))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16" s="86"/>
      <c r="C316" s="87"/>
      <c r="D316" s="78"/>
      <c r="E316" s="77"/>
      <c r="F316" s="78">
        <v>100</v>
      </c>
      <c r="G316" s="95">
        <v>80000</v>
      </c>
      <c r="H316" s="351"/>
      <c r="I316" s="42">
        <f t="shared" si="36"/>
        <v>80000</v>
      </c>
    </row>
    <row r="317" spans="1:9" s="19" customFormat="1" ht="31.5">
      <c r="A317" s="41" t="str">
        <f>IF(B317&gt;0,VLOOKUP(B317,КВСР!A232:B1397,2),IF(C317&gt;0,VLOOKUP(C317,КФСР!A232:B1744,2),IF(D317&gt;0,VLOOKUP(D317,Программа!A$1:B$5008,2),IF(F317&gt;0,VLOOKUP(F317,КВР!A$1:B$5001,2),IF(E317&gt;0,VLOOKUP(E317,Направление!A$1:B$4660,2))))))</f>
        <v>Закупка товаров, работ и услуг для государственных нужд</v>
      </c>
      <c r="B317" s="86"/>
      <c r="C317" s="87"/>
      <c r="D317" s="78"/>
      <c r="E317" s="77"/>
      <c r="F317" s="78">
        <v>200</v>
      </c>
      <c r="G317" s="95">
        <v>20000</v>
      </c>
      <c r="H317" s="336"/>
      <c r="I317" s="42">
        <f t="shared" si="36"/>
        <v>20000</v>
      </c>
    </row>
    <row r="318" spans="1:9" s="19" customFormat="1" ht="63">
      <c r="A318" s="41" t="str">
        <f>IF(B318&gt;0,VLOOKUP(B318,КВСР!A233:B1398,2),IF(C318&gt;0,VLOOKUP(C318,КФСР!A233:B1745,2),IF(D318&gt;0,VLOOKUP(D318,Программа!A$1:B$5008,2),IF(F318&gt;0,VLOOKUP(F318,КВР!A$1:B$5001,2),IF(E318&gt;0,VLOOKUP(E318,Направление!A$1:B$4660,2))))))</f>
        <v>Предоставление субсидий бюджетным, автономным учреждениям и иным некоммерческим организациям</v>
      </c>
      <c r="B318" s="86"/>
      <c r="C318" s="87"/>
      <c r="D318" s="78"/>
      <c r="E318" s="77"/>
      <c r="F318" s="78">
        <v>600</v>
      </c>
      <c r="G318" s="95">
        <v>300000</v>
      </c>
      <c r="H318" s="336"/>
      <c r="I318" s="42">
        <f t="shared" si="36"/>
        <v>300000</v>
      </c>
    </row>
    <row r="319" spans="1:9" s="19" customFormat="1" ht="31.5">
      <c r="A319" s="41" t="str">
        <f>IF(B319&gt;0,VLOOKUP(B319,КВСР!A229:B1394,2),IF(C319&gt;0,VLOOKUP(C319,КФСР!A229:B1741,2),IF(D319&gt;0,VLOOKUP(D319,Программа!A$1:B$5008,2),IF(F319&gt;0,VLOOKUP(F319,КВР!A$1:B$5001,2),IF(E319&gt;0,VLOOKUP(E319,Направление!A$1:B$4660,2))))))</f>
        <v>Развитие физической культуры и спорта</v>
      </c>
      <c r="B319" s="86"/>
      <c r="C319" s="87"/>
      <c r="D319" s="78">
        <v>40</v>
      </c>
      <c r="E319" s="77"/>
      <c r="F319" s="78"/>
      <c r="G319" s="95">
        <v>1563000</v>
      </c>
      <c r="H319" s="95">
        <f t="shared" ref="H319:H320" si="37">H320</f>
        <v>0</v>
      </c>
      <c r="I319" s="42">
        <f t="shared" si="36"/>
        <v>1563000</v>
      </c>
    </row>
    <row r="320" spans="1:9" s="19" customFormat="1" ht="78.75">
      <c r="A320" s="41" t="str">
        <f>IF(B320&gt;0,VLOOKUP(B320,КВСР!A230:B1395,2),IF(C320&gt;0,VLOOKUP(C320,КФСР!A230:B1742,2),IF(D320&gt;0,VLOOKUP(D320,Программа!A$1:B$5008,2),IF(F320&gt;0,VLOOKUP(F320,КВР!A$1:B$5001,2),IF(E320&gt;0,VLOOKUP(E320,Направление!A$1:B$4660,2))))))</f>
        <v>Муниципальная целевая программа «Развитие физической культуры и спорта в Тутаевском муниципальном районе на 2013-2015 годы».</v>
      </c>
      <c r="B320" s="86"/>
      <c r="C320" s="87"/>
      <c r="D320" s="78">
        <v>41</v>
      </c>
      <c r="E320" s="77"/>
      <c r="F320" s="78"/>
      <c r="G320" s="95">
        <v>1563000</v>
      </c>
      <c r="H320" s="95">
        <f t="shared" si="37"/>
        <v>0</v>
      </c>
      <c r="I320" s="42">
        <f t="shared" si="36"/>
        <v>1563000</v>
      </c>
    </row>
    <row r="321" spans="1:9" s="19" customFormat="1" ht="31.5">
      <c r="A321" s="41" t="str">
        <f>IF(B321&gt;0,VLOOKUP(B321,КВСР!A231:B1396,2),IF(C321&gt;0,VLOOKUP(C321,КФСР!A231:B1743,2),IF(D321&gt;0,VLOOKUP(D321,Программа!A$1:B$5008,2),IF(F321&gt;0,VLOOKUP(F321,КВР!A$1:B$5001,2),IF(E321&gt;0,VLOOKUP(E321,Направление!A$1:B$4660,2))))))</f>
        <v>Мероприятия в области спорта и физической культуры</v>
      </c>
      <c r="B321" s="86"/>
      <c r="C321" s="87"/>
      <c r="D321" s="78"/>
      <c r="E321" s="77">
        <v>1401</v>
      </c>
      <c r="F321" s="78"/>
      <c r="G321" s="42">
        <v>1563000</v>
      </c>
      <c r="H321" s="42">
        <f>H323+H322+H324</f>
        <v>0</v>
      </c>
      <c r="I321" s="42">
        <f t="shared" si="36"/>
        <v>1563000</v>
      </c>
    </row>
    <row r="322" spans="1:9" s="19" customFormat="1" ht="110.25">
      <c r="A322" s="41" t="str">
        <f>IF(B322&gt;0,VLOOKUP(B322,КВСР!A232:B1397,2),IF(C322&gt;0,VLOOKUP(C322,КФСР!A232:B1744,2),IF(D322&gt;0,VLOOKUP(D322,Программа!A$1:B$5008,2),IF(F322&gt;0,VLOOKUP(F322,КВР!A$1:B$5001,2),IF(E322&gt;0,VLOOKUP(E322,Направление!A$1:B$4660,2))))))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2" s="86"/>
      <c r="C322" s="87"/>
      <c r="D322" s="78"/>
      <c r="E322" s="77"/>
      <c r="F322" s="78">
        <v>100</v>
      </c>
      <c r="G322" s="42">
        <v>489960</v>
      </c>
      <c r="H322" s="352">
        <v>-12352</v>
      </c>
      <c r="I322" s="42">
        <f t="shared" si="36"/>
        <v>477608</v>
      </c>
    </row>
    <row r="323" spans="1:9" s="19" customFormat="1" ht="31.5">
      <c r="A323" s="41" t="str">
        <f>IF(B323&gt;0,VLOOKUP(B323,КВСР!A232:B1397,2),IF(C323&gt;0,VLOOKUP(C323,КФСР!A232:B1744,2),IF(D323&gt;0,VLOOKUP(D323,Программа!A$1:B$5008,2),IF(F323&gt;0,VLOOKUP(F323,КВР!A$1:B$5001,2),IF(E323&gt;0,VLOOKUP(E323,Направление!A$1:B$4660,2))))))</f>
        <v>Закупка товаров, работ и услуг для государственных нужд</v>
      </c>
      <c r="B323" s="86"/>
      <c r="C323" s="87"/>
      <c r="D323" s="78"/>
      <c r="E323" s="77"/>
      <c r="F323" s="78">
        <v>200</v>
      </c>
      <c r="G323" s="95">
        <v>168140</v>
      </c>
      <c r="H323" s="336">
        <v>12352</v>
      </c>
      <c r="I323" s="42">
        <f t="shared" si="36"/>
        <v>180492</v>
      </c>
    </row>
    <row r="324" spans="1:9" s="19" customFormat="1" ht="63">
      <c r="A324" s="41" t="str">
        <f>IF(B324&gt;0,VLOOKUP(B324,КВСР!A233:B1398,2),IF(C324&gt;0,VLOOKUP(C324,КФСР!A233:B1745,2),IF(D324&gt;0,VLOOKUP(D324,Программа!A$1:B$5008,2),IF(F324&gt;0,VLOOKUP(F324,КВР!A$1:B$5001,2),IF(E324&gt;0,VLOOKUP(E324,Направление!A$1:B$4660,2))))))</f>
        <v>Предоставление субсидий бюджетным, автономным учреждениям и иным некоммерческим организациям</v>
      </c>
      <c r="B324" s="86"/>
      <c r="C324" s="87"/>
      <c r="D324" s="78"/>
      <c r="E324" s="77"/>
      <c r="F324" s="78">
        <v>600</v>
      </c>
      <c r="G324" s="95">
        <v>904900</v>
      </c>
      <c r="H324" s="336"/>
      <c r="I324" s="42">
        <f t="shared" si="36"/>
        <v>904900</v>
      </c>
    </row>
    <row r="325" spans="1:9" s="19" customFormat="1">
      <c r="A325" s="41" t="str">
        <f>IF(B325&gt;0,VLOOKUP(B325,КВСР!A232:B1397,2),IF(C325&gt;0,VLOOKUP(C325,КФСР!A232:B1744,2),IF(D325&gt;0,VLOOKUP(D325,Программа!A$1:B$5008,2),IF(F325&gt;0,VLOOKUP(F325,КВР!A$1:B$5001,2),IF(E325&gt;0,VLOOKUP(E325,Направление!A$1:B$4660,2))))))</f>
        <v>Спорт высших достижений</v>
      </c>
      <c r="B325" s="86"/>
      <c r="C325" s="87">
        <v>1103</v>
      </c>
      <c r="D325" s="78"/>
      <c r="E325" s="77"/>
      <c r="F325" s="78"/>
      <c r="G325" s="95">
        <v>73700</v>
      </c>
      <c r="H325" s="370">
        <f>H327</f>
        <v>0</v>
      </c>
      <c r="I325" s="42">
        <f t="shared" si="36"/>
        <v>73700</v>
      </c>
    </row>
    <row r="326" spans="1:9" s="19" customFormat="1">
      <c r="A326" s="41" t="str">
        <f>IF(B326&gt;0,VLOOKUP(B326,КВСР!A232:B1397,2),IF(C326&gt;0,VLOOKUP(C326,КФСР!A232:B1744,2),IF(D326&gt;0,VLOOKUP(D326,Программа!A$1:B$5008,2),IF(F326&gt;0,VLOOKUP(F326,КВР!A$1:B$5001,2),IF(E326&gt;0,VLOOKUP(E326,Направление!A$1:B$4660,2))))))</f>
        <v>Развитие образования</v>
      </c>
      <c r="B326" s="86"/>
      <c r="C326" s="87"/>
      <c r="D326" s="78">
        <v>20</v>
      </c>
      <c r="E326" s="77"/>
      <c r="F326" s="78"/>
      <c r="G326" s="95">
        <v>73700</v>
      </c>
      <c r="H326" s="370">
        <f>H327</f>
        <v>0</v>
      </c>
      <c r="I326" s="42">
        <f t="shared" si="36"/>
        <v>73700</v>
      </c>
    </row>
    <row r="327" spans="1:9" s="19" customFormat="1" ht="78.75">
      <c r="A327" s="41" t="str">
        <f>IF(B327&gt;0,VLOOKUP(B327,КВСР!A233:B1398,2),IF(C327&gt;0,VLOOKUP(C327,КФСР!A233:B1745,2),IF(D327&gt;0,VLOOKUP(D327,Программа!A$1:B$5008,2),IF(F327&gt;0,VLOOKUP(F327,КВР!A$1:B$5001,2),IF(E327&gt;0,VLOOKUP(E327,Направление!A$1:B$4660,2))))))</f>
        <v>Ведомственная целевая программа департамента образования Администрации Тутаевского муниципального района на 2014-2016 годы.</v>
      </c>
      <c r="B327" s="86"/>
      <c r="C327" s="87"/>
      <c r="D327" s="78">
        <v>21</v>
      </c>
      <c r="E327" s="77"/>
      <c r="F327" s="78"/>
      <c r="G327" s="95">
        <v>73700</v>
      </c>
      <c r="H327" s="370">
        <f>H328+H330</f>
        <v>0</v>
      </c>
      <c r="I327" s="42">
        <f t="shared" si="36"/>
        <v>73700</v>
      </c>
    </row>
    <row r="328" spans="1:9" s="19" customFormat="1" ht="94.5">
      <c r="A328" s="41" t="str">
        <f>IF(B328&gt;0,VLOOKUP(B328,КВСР!A234:B1399,2),IF(C328&gt;0,VLOOKUP(C328,КФСР!A234:B1746,2),IF(D328&gt;0,VLOOKUP(D328,Программа!A$1:B$5008,2),IF(F328&gt;0,VLOOKUP(F328,КВР!A$1:B$5001,2),IF(E328&gt;0,VLOOKUP(E328,Направление!A$1:B$4660,2))))))</f>
        <v>Расходы на поощрение победителей и призеров смотра-конкурса на лучшую постановку учебно тренировочной работы по подготовке спортивного резерва  и спортсменов высокого класса</v>
      </c>
      <c r="B328" s="86"/>
      <c r="C328" s="87"/>
      <c r="D328" s="78"/>
      <c r="E328" s="77">
        <v>1341</v>
      </c>
      <c r="F328" s="78"/>
      <c r="G328" s="95">
        <v>3700</v>
      </c>
      <c r="H328" s="370">
        <f>H329</f>
        <v>0</v>
      </c>
      <c r="I328" s="42">
        <f t="shared" si="36"/>
        <v>3700</v>
      </c>
    </row>
    <row r="329" spans="1:9" s="19" customFormat="1" ht="63">
      <c r="A329" s="41" t="str">
        <f>IF(B329&gt;0,VLOOKUP(B329,КВСР!A235:B1400,2),IF(C329&gt;0,VLOOKUP(C329,КФСР!A235:B1747,2),IF(D329&gt;0,VLOOKUP(D329,Программа!A$1:B$5008,2),IF(F329&gt;0,VLOOKUP(F329,КВР!A$1:B$5001,2),IF(E329&gt;0,VLOOKUP(E329,Направление!A$1:B$4660,2))))))</f>
        <v>Предоставление субсидий бюджетным, автономным учреждениям и иным некоммерческим организациям</v>
      </c>
      <c r="B329" s="86"/>
      <c r="C329" s="87"/>
      <c r="D329" s="78"/>
      <c r="E329" s="77"/>
      <c r="F329" s="78">
        <v>600</v>
      </c>
      <c r="G329" s="95">
        <v>3700</v>
      </c>
      <c r="H329" s="336"/>
      <c r="I329" s="42">
        <f t="shared" si="36"/>
        <v>3700</v>
      </c>
    </row>
    <row r="330" spans="1:9" s="19" customFormat="1" ht="94.5">
      <c r="A330" s="41" t="str">
        <f>IF(B330&gt;0,VLOOKUP(B330,КВСР!A234:B1399,2),IF(C330&gt;0,VLOOKUP(C330,КФСР!A234:B1746,2),IF(D330&gt;0,VLOOKUP(D330,Программа!A$1:B$5008,2),IF(F330&gt;0,VLOOKUP(F330,КВР!A$1:B$5001,2),IF(E330&gt;0,VLOOKUP(E330,Направление!A$1:B$4660,2))))))</f>
        <v>Расходы  на поощрение победителей и призеров смотра-конкурса на лучшую постановку учебно тренировочной работы по подготовке спортивного резерва и спортсменов высокого класса</v>
      </c>
      <c r="B330" s="86"/>
      <c r="C330" s="87"/>
      <c r="D330" s="78"/>
      <c r="E330" s="77">
        <v>7193</v>
      </c>
      <c r="F330" s="78"/>
      <c r="G330" s="95">
        <v>70000</v>
      </c>
      <c r="H330" s="370">
        <f>H331</f>
        <v>0</v>
      </c>
      <c r="I330" s="42">
        <f t="shared" si="36"/>
        <v>70000</v>
      </c>
    </row>
    <row r="331" spans="1:9" s="19" customFormat="1" ht="63">
      <c r="A331" s="41" t="str">
        <f>IF(B331&gt;0,VLOOKUP(B331,КВСР!A235:B1400,2),IF(C331&gt;0,VLOOKUP(C331,КФСР!A235:B1747,2),IF(D331&gt;0,VLOOKUP(D331,Программа!A$1:B$5008,2),IF(F331&gt;0,VLOOKUP(F331,КВР!A$1:B$5001,2),IF(E331&gt;0,VLOOKUP(E331,Направление!A$1:B$4660,2))))))</f>
        <v>Предоставление субсидий бюджетным, автономным учреждениям и иным некоммерческим организациям</v>
      </c>
      <c r="B331" s="86"/>
      <c r="C331" s="87"/>
      <c r="D331" s="78"/>
      <c r="E331" s="77"/>
      <c r="F331" s="78">
        <v>600</v>
      </c>
      <c r="G331" s="95">
        <v>70000</v>
      </c>
      <c r="H331" s="336"/>
      <c r="I331" s="42">
        <f t="shared" si="36"/>
        <v>70000</v>
      </c>
    </row>
    <row r="332" spans="1:9" s="19" customFormat="1" ht="31.5">
      <c r="A332" s="258" t="str">
        <f>IF(B332&gt;0,VLOOKUP(B332,КВСР!A236:B1401,2),IF(C332&gt;0,VLOOKUP(C332,КФСР!A236:B1748,2),IF(D332&gt;0,VLOOKUP(D332,Программа!A$1:B$5008,2),IF(F332&gt;0,VLOOKUP(F332,КВР!A$1:B$5001,2),IF(E332&gt;0,VLOOKUP(E332,Направление!A$1:B$4660,2))))))</f>
        <v>Департамент труда и соц. развития Администрации ТМР</v>
      </c>
      <c r="B332" s="81">
        <v>954</v>
      </c>
      <c r="C332" s="82"/>
      <c r="D332" s="83"/>
      <c r="E332" s="82"/>
      <c r="F332" s="83"/>
      <c r="G332" s="47">
        <v>306144905</v>
      </c>
      <c r="H332" s="47">
        <f>H337+H342+H348+H357+H397+H411+H333</f>
        <v>-4073617</v>
      </c>
      <c r="I332" s="47">
        <f>I337+I342+I348+I357+I397+I411+I333</f>
        <v>302071288</v>
      </c>
    </row>
    <row r="333" spans="1:9" s="19" customFormat="1" ht="21.75" customHeight="1">
      <c r="A333" s="41" t="str">
        <f>IF(B333&gt;0,VLOOKUP(B333,КВСР!A233:B1398,2),IF(C333&gt;0,VLOOKUP(C333,КФСР!A233:B1745,2),IF(D333&gt;0,VLOOKUP(D333,Программа!A$1:B$5008,2),IF(F333&gt;0,VLOOKUP(F333,КВР!A$1:B$5001,2),IF(E333&gt;0,VLOOKUP(E333,Направление!A$1:B$4660,2))))))</f>
        <v>Резервные фонды</v>
      </c>
      <c r="B333" s="81"/>
      <c r="C333" s="82">
        <v>111</v>
      </c>
      <c r="D333" s="83"/>
      <c r="E333" s="82"/>
      <c r="F333" s="83"/>
      <c r="G333" s="42">
        <v>40000</v>
      </c>
      <c r="H333" s="42">
        <f t="shared" ref="H333:H334" si="38">H334</f>
        <v>85000</v>
      </c>
      <c r="I333" s="42">
        <f t="shared" ref="I333:I393" si="39">SUM(G333:H333)</f>
        <v>125000</v>
      </c>
    </row>
    <row r="334" spans="1:9" s="19" customFormat="1" ht="22.5" customHeight="1">
      <c r="A334" s="41" t="str">
        <f>IF(B334&gt;0,VLOOKUP(B334,КВСР!A234:B1399,2),IF(C334&gt;0,VLOOKUP(C334,КФСР!A234:B1746,2),IF(D334&gt;0,VLOOKUP(D334,Программа!A$1:B$5008,2),IF(F334&gt;0,VLOOKUP(F334,КВР!A$1:B$5001,2),IF(E334&gt;0,VLOOKUP(E334,Направление!A$1:B$4660,2))))))</f>
        <v>Непрограммные расходы бюджета</v>
      </c>
      <c r="B334" s="81"/>
      <c r="C334" s="82"/>
      <c r="D334" s="83">
        <v>409</v>
      </c>
      <c r="E334" s="82"/>
      <c r="F334" s="83"/>
      <c r="G334" s="42">
        <v>40000</v>
      </c>
      <c r="H334" s="42">
        <f t="shared" si="38"/>
        <v>85000</v>
      </c>
      <c r="I334" s="42">
        <f t="shared" si="39"/>
        <v>125000</v>
      </c>
    </row>
    <row r="335" spans="1:9" s="19" customFormat="1" ht="31.5">
      <c r="A335" s="41" t="str">
        <f>IF(B335&gt;0,VLOOKUP(B335,КВСР!A235:B1400,2),IF(C335&gt;0,VLOOKUP(C335,КФСР!A235:B1747,2),IF(D335&gt;0,VLOOKUP(D335,Программа!A$1:B$5008,2),IF(F335&gt;0,VLOOKUP(F335,КВР!A$1:B$5001,2),IF(E335&gt;0,VLOOKUP(E335,Направление!A$1:B$4660,2))))))</f>
        <v>Резервные фонды местных администраций</v>
      </c>
      <c r="B335" s="81"/>
      <c r="C335" s="82"/>
      <c r="D335" s="83"/>
      <c r="E335" s="82">
        <v>1290</v>
      </c>
      <c r="F335" s="83"/>
      <c r="G335" s="42">
        <v>40000</v>
      </c>
      <c r="H335" s="42">
        <f>H336</f>
        <v>85000</v>
      </c>
      <c r="I335" s="42">
        <f t="shared" si="39"/>
        <v>125000</v>
      </c>
    </row>
    <row r="336" spans="1:9" s="19" customFormat="1" ht="24" customHeight="1">
      <c r="A336" s="41" t="str">
        <f>IF(B336&gt;0,VLOOKUP(B336,КВСР!A236:B1401,2),IF(C336&gt;0,VLOOKUP(C336,КФСР!A236:B1748,2),IF(D336&gt;0,VLOOKUP(D336,Программа!A$1:B$5008,2),IF(F336&gt;0,VLOOKUP(F336,КВР!A$1:B$5001,2),IF(E336&gt;0,VLOOKUP(E336,Направление!A$1:B$4660,2))))))</f>
        <v>Резервные средства</v>
      </c>
      <c r="B336" s="81"/>
      <c r="C336" s="82"/>
      <c r="D336" s="83"/>
      <c r="E336" s="82"/>
      <c r="F336" s="83">
        <v>870</v>
      </c>
      <c r="G336" s="42">
        <v>40000</v>
      </c>
      <c r="H336" s="334">
        <v>85000</v>
      </c>
      <c r="I336" s="42">
        <f t="shared" si="39"/>
        <v>125000</v>
      </c>
    </row>
    <row r="337" spans="1:9" s="19" customFormat="1" ht="21" customHeight="1">
      <c r="A337" s="41" t="str">
        <f>IF(B337&gt;0,VLOOKUP(B337,КВСР!A237:B1402,2),IF(C337&gt;0,VLOOKUP(C337,КФСР!A237:B1749,2),IF(D337&gt;0,VLOOKUP(D337,Программа!A$1:B$5008,2),IF(F337&gt;0,VLOOKUP(F337,КВР!A$1:B$5001,2),IF(E337&gt;0,VLOOKUP(E337,Направление!A$1:B$4660,2))))))</f>
        <v>Транспорт</v>
      </c>
      <c r="B337" s="81"/>
      <c r="C337" s="82">
        <v>408</v>
      </c>
      <c r="D337" s="83"/>
      <c r="E337" s="82"/>
      <c r="F337" s="83"/>
      <c r="G337" s="42">
        <v>24200</v>
      </c>
      <c r="H337" s="42">
        <f t="shared" ref="H337:H340" si="40">H338</f>
        <v>0</v>
      </c>
      <c r="I337" s="42">
        <f t="shared" si="39"/>
        <v>24200</v>
      </c>
    </row>
    <row r="338" spans="1:9" s="19" customFormat="1" ht="21.75" customHeight="1">
      <c r="A338" s="41" t="str">
        <f>IF(B338&gt;0,VLOOKUP(B338,КВСР!A238:B1403,2),IF(C338&gt;0,VLOOKUP(C338,КФСР!A238:B1750,2),IF(D338&gt;0,VLOOKUP(D338,Программа!A$1:B$5008,2),IF(F338&gt;0,VLOOKUP(F338,КВР!A$1:B$5001,2),IF(E338&gt;0,VLOOKUP(E338,Направление!A$1:B$4660,2))))))</f>
        <v>Социальная поддержка граждан</v>
      </c>
      <c r="B338" s="81"/>
      <c r="C338" s="82"/>
      <c r="D338" s="83">
        <v>50</v>
      </c>
      <c r="E338" s="82"/>
      <c r="F338" s="83"/>
      <c r="G338" s="42">
        <v>24200</v>
      </c>
      <c r="H338" s="42">
        <f t="shared" si="40"/>
        <v>0</v>
      </c>
      <c r="I338" s="42">
        <f t="shared" si="39"/>
        <v>24200</v>
      </c>
    </row>
    <row r="339" spans="1:9" s="19" customFormat="1" ht="63">
      <c r="A339" s="41" t="str">
        <f>IF(B339&gt;0,VLOOKUP(B339,КВСР!A239:B1404,2),IF(C339&gt;0,VLOOKUP(C339,КФСР!A239:B1751,2),IF(D339&gt;0,VLOOKUP(D339,Программа!A$1:B$5008,2),IF(F339&gt;0,VLOOKUP(F339,КВР!A$1:B$5001,2),IF(E339&gt;0,VLOOKUP(E339,Направление!A$1:B$4660,2))))))</f>
        <v>Ведомственная целевая программа «Социальная поддержка населения Тутаевского муниципального района» на 2014-2016 годы.</v>
      </c>
      <c r="B339" s="81"/>
      <c r="C339" s="82"/>
      <c r="D339" s="83">
        <v>51</v>
      </c>
      <c r="E339" s="82"/>
      <c r="F339" s="83"/>
      <c r="G339" s="42">
        <v>24200</v>
      </c>
      <c r="H339" s="42">
        <f t="shared" si="40"/>
        <v>0</v>
      </c>
      <c r="I339" s="42">
        <f t="shared" si="39"/>
        <v>24200</v>
      </c>
    </row>
    <row r="340" spans="1:9" s="19" customFormat="1" ht="94.5">
      <c r="A340" s="41" t="str">
        <f>IF(B340&gt;0,VLOOKUP(B340,КВСР!A240:B1405,2),IF(C340&gt;0,VLOOKUP(C340,КФСР!A240:B1752,2),IF(D340&gt;0,VLOOKUP(D340,Программа!A$1:B$5008,2),IF(F340&gt;0,VLOOKUP(F340,КВР!A$1:B$5001,2),IF(E340&gt;0,VLOOKUP(E340,Направление!A$1:B$4660,2))))))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340" s="81"/>
      <c r="C340" s="82"/>
      <c r="D340" s="83"/>
      <c r="E340" s="82">
        <v>7255</v>
      </c>
      <c r="F340" s="83"/>
      <c r="G340" s="42">
        <v>24200</v>
      </c>
      <c r="H340" s="42">
        <f t="shared" si="40"/>
        <v>0</v>
      </c>
      <c r="I340" s="42">
        <f t="shared" si="39"/>
        <v>24200</v>
      </c>
    </row>
    <row r="341" spans="1:9" s="19" customFormat="1" ht="31.5">
      <c r="A341" s="41" t="str">
        <f>IF(B341&gt;0,VLOOKUP(B341,КВСР!A241:B1406,2),IF(C341&gt;0,VLOOKUP(C341,КФСР!A241:B1753,2),IF(D341&gt;0,VLOOKUP(D341,Программа!A$1:B$5008,2),IF(F341&gt;0,VLOOKUP(F341,КВР!A$1:B$5001,2),IF(E341&gt;0,VLOOKUP(E341,Направление!A$1:B$4660,2))))))</f>
        <v>Социальное обеспечение и иные выплаты населению</v>
      </c>
      <c r="B341" s="81"/>
      <c r="C341" s="82"/>
      <c r="D341" s="83"/>
      <c r="E341" s="82"/>
      <c r="F341" s="83">
        <v>300</v>
      </c>
      <c r="G341" s="42">
        <v>24200</v>
      </c>
      <c r="H341" s="334"/>
      <c r="I341" s="42">
        <f t="shared" si="39"/>
        <v>24200</v>
      </c>
    </row>
    <row r="342" spans="1:9" s="19" customFormat="1">
      <c r="A342" s="41" t="str">
        <f>IF(B342&gt;0,VLOOKUP(B342,КВСР!A241:B1406,2),IF(C342&gt;0,VLOOKUP(C342,КФСР!A241:B1753,2),IF(D342&gt;0,VLOOKUP(D342,Программа!A$1:B$5008,2),IF(F342&gt;0,VLOOKUP(F342,КВР!A$1:B$5001,2),IF(E342&gt;0,VLOOKUP(E342,Направление!A$1:B$4660,2))))))</f>
        <v>Пенсионное обеспечение</v>
      </c>
      <c r="B342" s="85"/>
      <c r="C342" s="77">
        <v>1001</v>
      </c>
      <c r="D342" s="78"/>
      <c r="E342" s="77"/>
      <c r="F342" s="78"/>
      <c r="G342" s="76">
        <v>2310539</v>
      </c>
      <c r="H342" s="76">
        <f t="shared" ref="H342:H344" si="41">H343</f>
        <v>-250000</v>
      </c>
      <c r="I342" s="42">
        <f t="shared" si="39"/>
        <v>2060539</v>
      </c>
    </row>
    <row r="343" spans="1:9" s="19" customFormat="1">
      <c r="A343" s="41" t="str">
        <f>IF(B343&gt;0,VLOOKUP(B343,КВСР!A242:B1407,2),IF(C343&gt;0,VLOOKUP(C343,КФСР!A242:B1754,2),IF(D343&gt;0,VLOOKUP(D343,Программа!A$1:B$5008,2),IF(F343&gt;0,VLOOKUP(F343,КВР!A$1:B$5001,2),IF(E343&gt;0,VLOOKUP(E343,Направление!A$1:B$4660,2))))))</f>
        <v>Социальная поддержка граждан</v>
      </c>
      <c r="B343" s="85"/>
      <c r="C343" s="77"/>
      <c r="D343" s="88">
        <v>50</v>
      </c>
      <c r="E343" s="87"/>
      <c r="F343" s="78"/>
      <c r="G343" s="76">
        <v>2310539</v>
      </c>
      <c r="H343" s="76">
        <f t="shared" si="41"/>
        <v>-250000</v>
      </c>
      <c r="I343" s="42">
        <f t="shared" si="39"/>
        <v>2060539</v>
      </c>
    </row>
    <row r="344" spans="1:9" s="19" customFormat="1" ht="63">
      <c r="A344" s="41" t="str">
        <f>IF(B344&gt;0,VLOOKUP(B344,КВСР!A243:B1408,2),IF(C344&gt;0,VLOOKUP(C344,КФСР!A243:B1755,2),IF(D344&gt;0,VLOOKUP(D344,Программа!A$1:B$5008,2),IF(F344&gt;0,VLOOKUP(F344,КВР!A$1:B$5001,2),IF(E344&gt;0,VLOOKUP(E344,Направление!A$1:B$4660,2))))))</f>
        <v>Ведомственная целевая программа «Социальная поддержка населения Тутаевского муниципального района» на 2014-2016 годы.</v>
      </c>
      <c r="B344" s="85"/>
      <c r="C344" s="77"/>
      <c r="D344" s="88">
        <v>51</v>
      </c>
      <c r="E344" s="87"/>
      <c r="F344" s="78"/>
      <c r="G344" s="76">
        <v>2310539</v>
      </c>
      <c r="H344" s="76">
        <f t="shared" si="41"/>
        <v>-250000</v>
      </c>
      <c r="I344" s="42">
        <f t="shared" si="39"/>
        <v>2060539</v>
      </c>
    </row>
    <row r="345" spans="1:9" s="19" customFormat="1" ht="31.5">
      <c r="A345" s="41" t="str">
        <f>IF(B345&gt;0,VLOOKUP(B345,КВСР!A243:B1408,2),IF(C345&gt;0,VLOOKUP(C345,КФСР!A243:B1755,2),IF(D345&gt;0,VLOOKUP(D345,Программа!A$1:B$5008,2),IF(F345&gt;0,VLOOKUP(F345,КВР!A$1:B$5001,2),IF(E345&gt;0,VLOOKUP(E345,Направление!A$1:B$4660,2))))))</f>
        <v>Доплаты к пенсиям муниципальных служащих</v>
      </c>
      <c r="B345" s="85"/>
      <c r="C345" s="77"/>
      <c r="D345" s="78"/>
      <c r="E345" s="77">
        <v>1601</v>
      </c>
      <c r="F345" s="78"/>
      <c r="G345" s="76">
        <v>2310539</v>
      </c>
      <c r="H345" s="76">
        <f>H347+H346</f>
        <v>-250000</v>
      </c>
      <c r="I345" s="42">
        <f t="shared" si="39"/>
        <v>2060539</v>
      </c>
    </row>
    <row r="346" spans="1:9" s="19" customFormat="1" ht="31.5">
      <c r="A346" s="41" t="str">
        <f>IF(B346&gt;0,VLOOKUP(B346,КВСР!A244:B1409,2),IF(C346&gt;0,VLOOKUP(C346,КФСР!A244:B1756,2),IF(D346&gt;0,VLOOKUP(D346,Программа!A$1:B$5008,2),IF(F346&gt;0,VLOOKUP(F346,КВР!A$1:B$5001,2),IF(E346&gt;0,VLOOKUP(E346,Направление!A$1:B$4660,2))))))</f>
        <v>Закупка товаров, работ и услуг для государственных нужд</v>
      </c>
      <c r="B346" s="85"/>
      <c r="C346" s="77"/>
      <c r="D346" s="78"/>
      <c r="E346" s="77"/>
      <c r="F346" s="78">
        <v>200</v>
      </c>
      <c r="G346" s="76">
        <v>34000</v>
      </c>
      <c r="H346" s="350"/>
      <c r="I346" s="42">
        <f t="shared" si="39"/>
        <v>34000</v>
      </c>
    </row>
    <row r="347" spans="1:9" s="19" customFormat="1" ht="31.5">
      <c r="A347" s="41" t="str">
        <f>IF(B347&gt;0,VLOOKUP(B347,КВСР!A244:B1409,2),IF(C347&gt;0,VLOOKUP(C347,КФСР!A244:B1756,2),IF(D347&gt;0,VLOOKUP(D347,Программа!A$1:B$5008,2),IF(F347&gt;0,VLOOKUP(F347,КВР!A$1:B$5001,2),IF(E347&gt;0,VLOOKUP(E347,Направление!A$1:B$4660,2))))))</f>
        <v>Социальное обеспечение и иные выплаты населению</v>
      </c>
      <c r="B347" s="85"/>
      <c r="C347" s="77"/>
      <c r="D347" s="78"/>
      <c r="E347" s="77"/>
      <c r="F347" s="78">
        <v>300</v>
      </c>
      <c r="G347" s="42">
        <v>2276539</v>
      </c>
      <c r="H347" s="334">
        <v>-250000</v>
      </c>
      <c r="I347" s="42">
        <f t="shared" si="39"/>
        <v>2026539</v>
      </c>
    </row>
    <row r="348" spans="1:9" s="19" customFormat="1" ht="31.5">
      <c r="A348" s="41" t="str">
        <f>IF(B348&gt;0,VLOOKUP(B348,КВСР!A245:B1410,2),IF(C348&gt;0,VLOOKUP(C348,КФСР!A245:B1757,2),IF(D348&gt;0,VLOOKUP(D348,Программа!A$1:B$5008,2),IF(F348&gt;0,VLOOKUP(F348,КВР!A$1:B$5001,2),IF(E348&gt;0,VLOOKUP(E348,Направление!A$1:B$4660,2))))))</f>
        <v>Социальное обслуживание населения</v>
      </c>
      <c r="B348" s="85"/>
      <c r="C348" s="77">
        <v>1002</v>
      </c>
      <c r="D348" s="78"/>
      <c r="E348" s="77"/>
      <c r="F348" s="78"/>
      <c r="G348" s="95">
        <v>49464001</v>
      </c>
      <c r="H348" s="95">
        <f>H349+H355</f>
        <v>0</v>
      </c>
      <c r="I348" s="42">
        <f t="shared" si="39"/>
        <v>49464001</v>
      </c>
    </row>
    <row r="349" spans="1:9" s="19" customFormat="1">
      <c r="A349" s="41" t="str">
        <f>IF(B349&gt;0,VLOOKUP(B349,КВСР!A246:B1411,2),IF(C349&gt;0,VLOOKUP(C349,КФСР!A246:B1758,2),IF(D349&gt;0,VLOOKUP(D349,Программа!A$1:B$5008,2),IF(F349&gt;0,VLOOKUP(F349,КВР!A$1:B$5001,2),IF(E349&gt;0,VLOOKUP(E349,Направление!A$1:B$4660,2))))))</f>
        <v>Социальная поддержка граждан</v>
      </c>
      <c r="B349" s="85"/>
      <c r="C349" s="77"/>
      <c r="D349" s="78">
        <v>50</v>
      </c>
      <c r="E349" s="77"/>
      <c r="F349" s="78"/>
      <c r="G349" s="95">
        <v>45453001</v>
      </c>
      <c r="H349" s="95">
        <f t="shared" ref="H349:H351" si="42">H350</f>
        <v>0</v>
      </c>
      <c r="I349" s="42">
        <f t="shared" si="39"/>
        <v>45453001</v>
      </c>
    </row>
    <row r="350" spans="1:9" s="19" customFormat="1" ht="63">
      <c r="A350" s="41" t="str">
        <f>IF(B350&gt;0,VLOOKUP(B350,КВСР!A247:B1412,2),IF(C350&gt;0,VLOOKUP(C350,КФСР!A247:B1759,2),IF(D350&gt;0,VLOOKUP(D350,Программа!A$1:B$5008,2),IF(F350&gt;0,VLOOKUP(F350,КВР!A$1:B$5001,2),IF(E350&gt;0,VLOOKUP(E350,Направление!A$1:B$4660,2))))))</f>
        <v>Ведомственная целевая программа «Социальная поддержка населения Тутаевского муниципального района» на 2014-2016 годы.</v>
      </c>
      <c r="B350" s="85"/>
      <c r="C350" s="77"/>
      <c r="D350" s="78">
        <v>51</v>
      </c>
      <c r="E350" s="77"/>
      <c r="F350" s="78"/>
      <c r="G350" s="95">
        <v>45453001</v>
      </c>
      <c r="H350" s="95">
        <f t="shared" si="42"/>
        <v>0</v>
      </c>
      <c r="I350" s="42">
        <f t="shared" si="39"/>
        <v>45453001</v>
      </c>
    </row>
    <row r="351" spans="1:9" s="19" customFormat="1" ht="157.5">
      <c r="A351" s="41" t="str">
        <f>IF(B351&gt;0,VLOOKUP(B351,КВСР!A248:B1413,2),IF(C351&gt;0,VLOOKUP(C351,КФСР!A248:B1760,2),IF(D351&gt;0,VLOOKUP(D351,Программа!A$1:B$5008,2),IF(F351&gt;0,VLOOKUP(F351,КВР!A$1:B$5001,2),IF(E351&gt;0,VLOOKUP(E351,Направление!A$1:B$4660,2))))))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51" s="85"/>
      <c r="C351" s="77"/>
      <c r="D351" s="78"/>
      <c r="E351" s="77">
        <v>7085</v>
      </c>
      <c r="F351" s="78"/>
      <c r="G351" s="42">
        <v>45453001</v>
      </c>
      <c r="H351" s="42">
        <f t="shared" si="42"/>
        <v>0</v>
      </c>
      <c r="I351" s="42">
        <f t="shared" si="39"/>
        <v>45453001</v>
      </c>
    </row>
    <row r="352" spans="1:9" s="19" customFormat="1" ht="63">
      <c r="A352" s="41" t="str">
        <f>IF(B352&gt;0,VLOOKUP(B352,КВСР!A249:B1414,2),IF(C352&gt;0,VLOOKUP(C352,КФСР!A249:B1761,2),IF(D352&gt;0,VLOOKUP(D352,Программа!A$1:B$5008,2),IF(F352&gt;0,VLOOKUP(F352,КВР!A$1:B$5001,2),IF(E352&gt;0,VLOOKUP(E352,Направление!A$1:B$4660,2))))))</f>
        <v>Предоставление субсидий бюджетным, автономным учреждениям и иным некоммерческим организациям</v>
      </c>
      <c r="B352" s="85"/>
      <c r="C352" s="77"/>
      <c r="D352" s="78"/>
      <c r="E352" s="77"/>
      <c r="F352" s="78">
        <v>600</v>
      </c>
      <c r="G352" s="42">
        <v>45453001</v>
      </c>
      <c r="H352" s="334"/>
      <c r="I352" s="42">
        <f t="shared" si="39"/>
        <v>45453001</v>
      </c>
    </row>
    <row r="353" spans="1:9" s="19" customFormat="1">
      <c r="A353" s="41" t="str">
        <f>IF(B353&gt;0,VLOOKUP(B353,КВСР!A246:B1411,2),IF(C353&gt;0,VLOOKUP(C353,КФСР!A246:B1758,2),IF(D353&gt;0,VLOOKUP(D353,Программа!A$1:B$5008,2),IF(F353&gt;0,VLOOKUP(F353,КВР!A$1:B$5001,2),IF(E353&gt;0,VLOOKUP(E353,Направление!A$1:B$4660,2))))))</f>
        <v>Доступная среда</v>
      </c>
      <c r="B353" s="85"/>
      <c r="C353" s="77"/>
      <c r="D353" s="78">
        <v>60</v>
      </c>
      <c r="E353" s="77"/>
      <c r="F353" s="78"/>
      <c r="G353" s="42">
        <v>4011000</v>
      </c>
      <c r="H353" s="340">
        <f>H354</f>
        <v>0</v>
      </c>
      <c r="I353" s="42">
        <f t="shared" si="39"/>
        <v>4011000</v>
      </c>
    </row>
    <row r="354" spans="1:9" s="19" customFormat="1" ht="47.25">
      <c r="A354" s="41" t="str">
        <f>IF(B354&gt;0,VLOOKUP(B354,КВСР!A247:B1412,2),IF(C354&gt;0,VLOOKUP(C354,КФСР!A247:B1759,2),IF(D354&gt;0,VLOOKUP(D354,Программа!A$1:B$5008,2),IF(F354&gt;0,VLOOKUP(F354,КВР!A$1:B$5001,2),IF(E354&gt;0,VLOOKUP(E354,Направление!A$1:B$4660,2))))))</f>
        <v>Муниципальная целевая программа «Доступная среда» на 2012-2015 годы.</v>
      </c>
      <c r="B354" s="85"/>
      <c r="C354" s="77"/>
      <c r="D354" s="78">
        <v>61</v>
      </c>
      <c r="E354" s="77"/>
      <c r="F354" s="78"/>
      <c r="G354" s="42">
        <v>4011000</v>
      </c>
      <c r="H354" s="340">
        <f>H355</f>
        <v>0</v>
      </c>
      <c r="I354" s="42">
        <f t="shared" si="39"/>
        <v>4011000</v>
      </c>
    </row>
    <row r="355" spans="1:9" s="19" customFormat="1" ht="157.5">
      <c r="A355" s="41" t="str">
        <f>IF(B355&gt;0,VLOOKUP(B355,КВСР!A248:B1413,2),IF(C355&gt;0,VLOOKUP(C355,КФСР!A248:B1760,2),IF(D355&gt;0,VLOOKUP(D355,Программа!A$1:B$5008,2),IF(F355&gt;0,VLOOKUP(F355,КВР!A$1:B$5001,2),IF(E355&gt;0,VLOOKUP(E355,Направление!A$1:B$4660,2))))))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55" s="85"/>
      <c r="C355" s="77"/>
      <c r="D355" s="78"/>
      <c r="E355" s="77">
        <v>7085</v>
      </c>
      <c r="F355" s="78"/>
      <c r="G355" s="42">
        <v>4011000</v>
      </c>
      <c r="H355" s="340">
        <f>H356</f>
        <v>0</v>
      </c>
      <c r="I355" s="42">
        <f t="shared" si="39"/>
        <v>4011000</v>
      </c>
    </row>
    <row r="356" spans="1:9" s="19" customFormat="1" ht="63">
      <c r="A356" s="41" t="str">
        <f>IF(B356&gt;0,VLOOKUP(B356,КВСР!A249:B1414,2),IF(C356&gt;0,VLOOKUP(C356,КФСР!A249:B1761,2),IF(D356&gt;0,VLOOKUP(D356,Программа!A$1:B$5008,2),IF(F356&gt;0,VLOOKUP(F356,КВР!A$1:B$5001,2),IF(E356&gt;0,VLOOKUP(E356,Направление!A$1:B$4660,2))))))</f>
        <v>Предоставление субсидий бюджетным, автономным учреждениям и иным некоммерческим организациям</v>
      </c>
      <c r="B356" s="85"/>
      <c r="C356" s="77"/>
      <c r="D356" s="78"/>
      <c r="E356" s="77"/>
      <c r="F356" s="78">
        <v>600</v>
      </c>
      <c r="G356" s="42">
        <v>4011000</v>
      </c>
      <c r="H356" s="334"/>
      <c r="I356" s="42">
        <f t="shared" si="39"/>
        <v>4011000</v>
      </c>
    </row>
    <row r="357" spans="1:9" s="19" customFormat="1">
      <c r="A357" s="41" t="str">
        <f>IF(B357&gt;0,VLOOKUP(B357,КВСР!A250:B1415,2),IF(C357&gt;0,VLOOKUP(C357,КФСР!A250:B1762,2),IF(D357&gt;0,VLOOKUP(D357,Программа!A$1:B$5008,2),IF(F357&gt;0,VLOOKUP(F357,КВР!A$1:B$5001,2),IF(E357&gt;0,VLOOKUP(E357,Направление!A$1:B$4660,2))))))</f>
        <v>Социальное обеспечение населения</v>
      </c>
      <c r="B357" s="85"/>
      <c r="C357" s="77">
        <v>1003</v>
      </c>
      <c r="D357" s="78"/>
      <c r="E357" s="77"/>
      <c r="F357" s="78"/>
      <c r="G357" s="76">
        <v>229376275</v>
      </c>
      <c r="H357" s="76">
        <f>H358+H394</f>
        <v>-4836617</v>
      </c>
      <c r="I357" s="42">
        <f t="shared" si="39"/>
        <v>224539658</v>
      </c>
    </row>
    <row r="358" spans="1:9" s="19" customFormat="1">
      <c r="A358" s="41" t="str">
        <f>IF(B358&gt;0,VLOOKUP(B358,КВСР!A251:B1416,2),IF(C358&gt;0,VLOOKUP(C358,КФСР!A251:B1763,2),IF(D358&gt;0,VLOOKUP(D358,Программа!A$1:B$5008,2),IF(F358&gt;0,VLOOKUP(F358,КВР!A$1:B$5001,2),IF(E358&gt;0,VLOOKUP(E358,Направление!A$1:B$4660,2))))))</f>
        <v>Социальная поддержка граждан</v>
      </c>
      <c r="B358" s="85"/>
      <c r="C358" s="77"/>
      <c r="D358" s="78">
        <v>50</v>
      </c>
      <c r="E358" s="77"/>
      <c r="F358" s="78"/>
      <c r="G358" s="76">
        <v>229216775</v>
      </c>
      <c r="H358" s="76">
        <f>H359</f>
        <v>-4836617</v>
      </c>
      <c r="I358" s="42">
        <f t="shared" si="39"/>
        <v>224380158</v>
      </c>
    </row>
    <row r="359" spans="1:9" s="19" customFormat="1" ht="63">
      <c r="A359" s="41" t="str">
        <f>IF(B359&gt;0,VLOOKUP(B359,КВСР!A251:B1416,2),IF(C359&gt;0,VLOOKUP(C359,КФСР!A251:B1763,2),IF(D359&gt;0,VLOOKUP(D359,Программа!A$1:B$5008,2),IF(F359&gt;0,VLOOKUP(F359,КВР!A$1:B$5001,2),IF(E359&gt;0,VLOOKUP(E359,Направление!A$1:B$4660,2))))))</f>
        <v>Ведомственная целевая программа «Социальная поддержка населения Тутаевского муниципального района» на 2014-2016 годы.</v>
      </c>
      <c r="B359" s="85"/>
      <c r="C359" s="77"/>
      <c r="D359" s="78">
        <v>51</v>
      </c>
      <c r="E359" s="77"/>
      <c r="F359" s="78"/>
      <c r="G359" s="76">
        <v>229216775</v>
      </c>
      <c r="H359" s="76">
        <f>H360+H362+H365+H367+H370+H372+H374+H377+H380+H383+H385+H388+H391</f>
        <v>-4836617</v>
      </c>
      <c r="I359" s="42">
        <f t="shared" si="39"/>
        <v>224380158</v>
      </c>
    </row>
    <row r="360" spans="1:9" s="19" customFormat="1" ht="47.25">
      <c r="A360" s="41" t="str">
        <f>IF(B360&gt;0,VLOOKUP(B360,КВСР!A252:B1417,2),IF(C360&gt;0,VLOOKUP(C360,КФСР!A252:B1764,2),IF(D360&gt;0,VLOOKUP(D360,Программа!A$1:B$5008,2),IF(F360&gt;0,VLOOKUP(F360,КВР!A$1:B$5001,2),IF(E360&gt;0,VLOOKUP(E360,Направление!A$1:B$4660,2))))))</f>
        <v>Организация перевозок больных, нуждающихся в амбулаторном гемодиализе</v>
      </c>
      <c r="B360" s="85"/>
      <c r="C360" s="77"/>
      <c r="D360" s="78"/>
      <c r="E360" s="77">
        <v>1621</v>
      </c>
      <c r="F360" s="78"/>
      <c r="G360" s="76">
        <v>420000</v>
      </c>
      <c r="H360" s="76">
        <f t="shared" ref="H360" si="43">H361</f>
        <v>0</v>
      </c>
      <c r="I360" s="42">
        <f t="shared" si="39"/>
        <v>420000</v>
      </c>
    </row>
    <row r="361" spans="1:9" s="19" customFormat="1" ht="31.5">
      <c r="A361" s="41" t="str">
        <f>IF(B361&gt;0,VLOOKUP(B361,КВСР!A253:B1418,2),IF(C361&gt;0,VLOOKUP(C361,КФСР!A253:B1765,2),IF(D361&gt;0,VLOOKUP(D361,Программа!A$1:B$5008,2),IF(F361&gt;0,VLOOKUP(F361,КВР!A$1:B$5001,2),IF(E361&gt;0,VLOOKUP(E361,Направление!A$1:B$4660,2))))))</f>
        <v>Закупка товаров, работ и услуг для государственных нужд</v>
      </c>
      <c r="B361" s="85"/>
      <c r="C361" s="77"/>
      <c r="D361" s="78"/>
      <c r="E361" s="77"/>
      <c r="F361" s="78">
        <v>200</v>
      </c>
      <c r="G361" s="76">
        <v>420000</v>
      </c>
      <c r="H361" s="337"/>
      <c r="I361" s="42">
        <f t="shared" si="39"/>
        <v>420000</v>
      </c>
    </row>
    <row r="362" spans="1:9" s="19" customFormat="1" ht="126">
      <c r="A362" s="41" t="str">
        <f>IF(B362&gt;0,VLOOKUP(B362,КВСР!A252:B1417,2),IF(C362&gt;0,VLOOKUP(C362,КФСР!A252:B1764,2),IF(D362&gt;0,VLOOKUP(D362,Программа!A$1:B$5008,2),IF(F362&gt;0,VLOOKUP(F362,КВР!A$1:B$5001,2),IF(E362&gt;0,VLOOKUP(E362,Направление!A$1:B$4660,2))))))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362" s="85"/>
      <c r="C362" s="77"/>
      <c r="D362" s="78"/>
      <c r="E362" s="77">
        <v>5220</v>
      </c>
      <c r="F362" s="78"/>
      <c r="G362" s="76">
        <v>4137000</v>
      </c>
      <c r="H362" s="76">
        <f>H363+H364</f>
        <v>7483</v>
      </c>
      <c r="I362" s="42">
        <f t="shared" si="39"/>
        <v>4144483</v>
      </c>
    </row>
    <row r="363" spans="1:9" s="19" customFormat="1" ht="31.5">
      <c r="A363" s="41" t="str">
        <f>IF(B363&gt;0,VLOOKUP(B363,КВСР!A253:B1418,2),IF(C363&gt;0,VLOOKUP(C363,КФСР!A253:B1765,2),IF(D363&gt;0,VLOOKUP(D363,Программа!A$1:B$5008,2),IF(F363&gt;0,VLOOKUP(F363,КВР!A$1:B$5001,2),IF(E363&gt;0,VLOOKUP(E363,Направление!A$1:B$4660,2))))))</f>
        <v>Закупка товаров, работ и услуг для государственных нужд</v>
      </c>
      <c r="B363" s="85"/>
      <c r="C363" s="77"/>
      <c r="D363" s="78"/>
      <c r="E363" s="77"/>
      <c r="F363" s="78">
        <v>200</v>
      </c>
      <c r="G363" s="76">
        <v>61138</v>
      </c>
      <c r="H363" s="335">
        <v>111</v>
      </c>
      <c r="I363" s="42">
        <f t="shared" si="39"/>
        <v>61249</v>
      </c>
    </row>
    <row r="364" spans="1:9" s="19" customFormat="1" ht="31.5">
      <c r="A364" s="41" t="str">
        <f>IF(B364&gt;0,VLOOKUP(B364,КВСР!A254:B1419,2),IF(C364&gt;0,VLOOKUP(C364,КФСР!A254:B1766,2),IF(D364&gt;0,VLOOKUP(D364,Программа!A$1:B$5008,2),IF(F364&gt;0,VLOOKUP(F364,КВР!A$1:B$5001,2),IF(E364&gt;0,VLOOKUP(E364,Направление!A$1:B$4660,2))))))</f>
        <v>Социальное обеспечение и иные выплаты населению</v>
      </c>
      <c r="B364" s="85"/>
      <c r="C364" s="77"/>
      <c r="D364" s="78"/>
      <c r="E364" s="77"/>
      <c r="F364" s="78">
        <v>300</v>
      </c>
      <c r="G364" s="76">
        <v>4075862</v>
      </c>
      <c r="H364" s="335">
        <v>7372</v>
      </c>
      <c r="I364" s="42">
        <f t="shared" si="39"/>
        <v>4083234</v>
      </c>
    </row>
    <row r="365" spans="1:9" s="19" customFormat="1" ht="94.5">
      <c r="A365" s="41" t="str">
        <f>IF(B365&gt;0,VLOOKUP(B365,КВСР!A255:B1420,2),IF(C365&gt;0,VLOOKUP(C365,КФСР!A255:B1767,2),IF(D365&gt;0,VLOOKUP(D365,Программа!A$1:B$5008,2),IF(F365&gt;0,VLOOKUP(F365,КВР!A$1:B$5001,2),IF(E365&gt;0,VLOOKUP(E365,Направление!A$1:B$4660,2))))))</f>
        <v>Выплата государственных единовременных пособий и ежемесячных денежных компенсаций гражданам при возникновении поствакцинальных осложнений</v>
      </c>
      <c r="B365" s="85"/>
      <c r="C365" s="77"/>
      <c r="D365" s="78"/>
      <c r="E365" s="77">
        <v>5240</v>
      </c>
      <c r="F365" s="78"/>
      <c r="G365" s="76">
        <v>14000</v>
      </c>
      <c r="H365" s="76">
        <f t="shared" ref="H365" si="44">H366</f>
        <v>0</v>
      </c>
      <c r="I365" s="42">
        <f t="shared" si="39"/>
        <v>14000</v>
      </c>
    </row>
    <row r="366" spans="1:9" s="19" customFormat="1" ht="31.5">
      <c r="A366" s="41" t="str">
        <f>IF(B366&gt;0,VLOOKUP(B366,КВСР!A256:B1421,2),IF(C366&gt;0,VLOOKUP(C366,КФСР!A256:B1768,2),IF(D366&gt;0,VLOOKUP(D366,Программа!A$1:B$5008,2),IF(F366&gt;0,VLOOKUP(F366,КВР!A$1:B$5001,2),IF(E366&gt;0,VLOOKUP(E366,Направление!A$1:B$4660,2))))))</f>
        <v>Социальное обеспечение и иные выплаты населению</v>
      </c>
      <c r="B366" s="85"/>
      <c r="C366" s="77"/>
      <c r="D366" s="78"/>
      <c r="E366" s="77"/>
      <c r="F366" s="78">
        <v>300</v>
      </c>
      <c r="G366" s="76">
        <v>14000</v>
      </c>
      <c r="H366" s="335"/>
      <c r="I366" s="42">
        <f t="shared" si="39"/>
        <v>14000</v>
      </c>
    </row>
    <row r="367" spans="1:9" s="19" customFormat="1" ht="63">
      <c r="A367" s="41" t="str">
        <f>IF(B367&gt;0,VLOOKUP(B367,КВСР!A252:B1417,2),IF(C367&gt;0,VLOOKUP(C367,КФСР!A252:B1764,2),IF(D367&gt;0,VLOOKUP(D367,Программа!A$1:B$5008,2),IF(F367&gt;0,VLOOKUP(F367,КВР!A$1:B$5001,2),IF(E367&gt;0,VLOOKUP(E367,Направление!A$1:B$4660,2))))))</f>
        <v>Оплата жилищно-коммунальных услуг отдельным категориям граждан за счет средств федерального бюджета</v>
      </c>
      <c r="B367" s="85"/>
      <c r="C367" s="77"/>
      <c r="D367" s="78"/>
      <c r="E367" s="77">
        <v>5250</v>
      </c>
      <c r="F367" s="78"/>
      <c r="G367" s="76">
        <v>33167000</v>
      </c>
      <c r="H367" s="76">
        <f>H369+H368</f>
        <v>-6424000</v>
      </c>
      <c r="I367" s="42">
        <f t="shared" si="39"/>
        <v>26743000</v>
      </c>
    </row>
    <row r="368" spans="1:9" s="19" customFormat="1" ht="31.5">
      <c r="A368" s="41" t="str">
        <f>IF(B368&gt;0,VLOOKUP(B368,КВСР!A252:B1417,2),IF(C368&gt;0,VLOOKUP(C368,КФСР!A252:B1764,2),IF(D368&gt;0,VLOOKUP(D368,Программа!A$1:B$5008,2),IF(F368&gt;0,VLOOKUP(F368,КВР!A$1:B$5001,2),IF(E368&gt;0,VLOOKUP(E368,Направление!A$1:B$4660,2))))))</f>
        <v>Закупка товаров, работ и услуг для государственных нужд</v>
      </c>
      <c r="B368" s="85"/>
      <c r="C368" s="77"/>
      <c r="D368" s="78"/>
      <c r="E368" s="77"/>
      <c r="F368" s="78">
        <v>200</v>
      </c>
      <c r="G368" s="76">
        <v>505000</v>
      </c>
      <c r="H368" s="343"/>
      <c r="I368" s="42">
        <f t="shared" si="39"/>
        <v>505000</v>
      </c>
    </row>
    <row r="369" spans="1:9" s="19" customFormat="1" ht="31.5">
      <c r="A369" s="41" t="str">
        <f>IF(B369&gt;0,VLOOKUP(B369,КВСР!A253:B1418,2),IF(C369&gt;0,VLOOKUP(C369,КФСР!A253:B1765,2),IF(D369&gt;0,VLOOKUP(D369,Программа!A$1:B$5008,2),IF(F369&gt;0,VLOOKUP(F369,КВР!A$1:B$5001,2),IF(E369&gt;0,VLOOKUP(E369,Направление!A$1:B$4660,2))))))</f>
        <v>Социальное обеспечение и иные выплаты населению</v>
      </c>
      <c r="B369" s="85"/>
      <c r="C369" s="77"/>
      <c r="D369" s="78"/>
      <c r="E369" s="77"/>
      <c r="F369" s="78">
        <v>300</v>
      </c>
      <c r="G369" s="42">
        <v>32662000</v>
      </c>
      <c r="H369" s="334">
        <v>-6424000</v>
      </c>
      <c r="I369" s="42">
        <f t="shared" si="39"/>
        <v>26238000</v>
      </c>
    </row>
    <row r="370" spans="1:9" s="19" customFormat="1" ht="126">
      <c r="A370" s="41" t="str">
        <f>IF(B370&gt;0,VLOOKUP(B370,КВСР!A254:B1419,2),IF(C370&gt;0,VLOOKUP(C370,КФСР!A254:B1766,2),IF(D370&gt;0,VLOOKUP(D370,Программа!A$1:B$5008,2),IF(F370&gt;0,VLOOKUP(F370,КВР!A$1:B$5001,2),IF(E370&gt;0,VLOOKUP(E370,Направление!A$1:B$4660,2))))))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370" s="85"/>
      <c r="C370" s="77"/>
      <c r="D370" s="78"/>
      <c r="E370" s="77">
        <v>5381</v>
      </c>
      <c r="F370" s="78"/>
      <c r="G370" s="42">
        <v>15272000</v>
      </c>
      <c r="H370" s="42">
        <f>H371</f>
        <v>0</v>
      </c>
      <c r="I370" s="42">
        <f t="shared" si="39"/>
        <v>15272000</v>
      </c>
    </row>
    <row r="371" spans="1:9" s="19" customFormat="1" ht="31.5">
      <c r="A371" s="41" t="str">
        <f>IF(B371&gt;0,VLOOKUP(B371,КВСР!A255:B1420,2),IF(C371&gt;0,VLOOKUP(C371,КФСР!A255:B1767,2),IF(D371&gt;0,VLOOKUP(D371,Программа!A$1:B$5008,2),IF(F371&gt;0,VLOOKUP(F371,КВР!A$1:B$5001,2),IF(E371&gt;0,VLOOKUP(E371,Направление!A$1:B$4660,2))))))</f>
        <v>Социальное обеспечение и иные выплаты населению</v>
      </c>
      <c r="B371" s="85"/>
      <c r="C371" s="77"/>
      <c r="D371" s="78"/>
      <c r="E371" s="77"/>
      <c r="F371" s="78">
        <v>300</v>
      </c>
      <c r="G371" s="42">
        <v>15272000</v>
      </c>
      <c r="H371" s="334"/>
      <c r="I371" s="42">
        <f t="shared" si="39"/>
        <v>15272000</v>
      </c>
    </row>
    <row r="372" spans="1:9" s="19" customFormat="1" ht="110.25">
      <c r="A372" s="41" t="str">
        <f>IF(B372&gt;0,VLOOKUP(B372,КВСР!A256:B1421,2),IF(C372&gt;0,VLOOKUP(C372,КФСР!A256:B1768,2),IF(D372&gt;0,VLOOKUP(D372,Программа!A$1:B$5008,2),IF(F372&gt;0,VLOOKUP(F372,КВР!A$1:B$5001,2),IF(E372&gt;0,VLOOKUP(E372,Направление!A$1:B$4660,2))))))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372" s="85"/>
      <c r="C372" s="77"/>
      <c r="D372" s="78"/>
      <c r="E372" s="77">
        <v>5385</v>
      </c>
      <c r="F372" s="78"/>
      <c r="G372" s="42">
        <v>1625000</v>
      </c>
      <c r="H372" s="42">
        <f>H373</f>
        <v>0</v>
      </c>
      <c r="I372" s="42">
        <f t="shared" si="39"/>
        <v>1625000</v>
      </c>
    </row>
    <row r="373" spans="1:9" s="19" customFormat="1" ht="31.5">
      <c r="A373" s="41" t="str">
        <f>IF(B373&gt;0,VLOOKUP(B373,КВСР!A257:B1422,2),IF(C373&gt;0,VLOOKUP(C373,КФСР!A257:B1769,2),IF(D373&gt;0,VLOOKUP(D373,Программа!A$1:B$5008,2),IF(F373&gt;0,VLOOKUP(F373,КВР!A$1:B$5001,2),IF(E373&gt;0,VLOOKUP(E373,Направление!A$1:B$4660,2))))))</f>
        <v>Социальное обеспечение и иные выплаты населению</v>
      </c>
      <c r="B373" s="85"/>
      <c r="C373" s="77"/>
      <c r="D373" s="78"/>
      <c r="E373" s="77"/>
      <c r="F373" s="78">
        <v>300</v>
      </c>
      <c r="G373" s="42">
        <v>1625000</v>
      </c>
      <c r="H373" s="334"/>
      <c r="I373" s="42">
        <f t="shared" si="39"/>
        <v>1625000</v>
      </c>
    </row>
    <row r="374" spans="1:9" s="19" customFormat="1" ht="63">
      <c r="A374" s="41" t="str">
        <f>IF(B374&gt;0,VLOOKUP(B374,КВСР!A258:B1423,2),IF(C374&gt;0,VLOOKUP(C374,КФСР!A258:B1770,2),IF(D374&gt;0,VLOOKUP(D374,Программа!A$1:B$5008,2),IF(F374&gt;0,VLOOKUP(F374,КВР!A$1:B$5001,2),IF(E374&gt;0,VLOOKUP(E374,Направление!A$1:B$4660,2))))))</f>
        <v>Предоставление гражданам субсидий на оплату жилого помещения и коммунальных услуг за счет средств областного бюджета</v>
      </c>
      <c r="B374" s="85"/>
      <c r="C374" s="77"/>
      <c r="D374" s="78"/>
      <c r="E374" s="77">
        <v>7074</v>
      </c>
      <c r="F374" s="78"/>
      <c r="G374" s="42">
        <v>28361000</v>
      </c>
      <c r="H374" s="42">
        <f>SUM(H375:H376)</f>
        <v>0</v>
      </c>
      <c r="I374" s="42">
        <f t="shared" si="39"/>
        <v>28361000</v>
      </c>
    </row>
    <row r="375" spans="1:9" s="19" customFormat="1" ht="31.5">
      <c r="A375" s="41" t="str">
        <f>IF(B375&gt;0,VLOOKUP(B375,КВСР!A258:B1423,2),IF(C375&gt;0,VLOOKUP(C375,КФСР!A258:B1770,2),IF(D375&gt;0,VLOOKUP(D375,Программа!A$1:B$5008,2),IF(F375&gt;0,VLOOKUP(F375,КВР!A$1:B$5001,2),IF(E375&gt;0,VLOOKUP(E375,Направление!A$1:B$4660,2))))))</f>
        <v>Закупка товаров, работ и услуг для государственных нужд</v>
      </c>
      <c r="B375" s="85"/>
      <c r="C375" s="77"/>
      <c r="D375" s="78"/>
      <c r="E375" s="77"/>
      <c r="F375" s="78">
        <v>200</v>
      </c>
      <c r="G375" s="42">
        <v>501000</v>
      </c>
      <c r="H375" s="339"/>
      <c r="I375" s="42">
        <f t="shared" si="39"/>
        <v>501000</v>
      </c>
    </row>
    <row r="376" spans="1:9" s="19" customFormat="1" ht="31.5">
      <c r="A376" s="41" t="str">
        <f>IF(B376&gt;0,VLOOKUP(B376,КВСР!A259:B1424,2),IF(C376&gt;0,VLOOKUP(C376,КФСР!A259:B1771,2),IF(D376&gt;0,VLOOKUP(D376,Программа!A$1:B$5008,2),IF(F376&gt;0,VLOOKUP(F376,КВР!A$1:B$5001,2),IF(E376&gt;0,VLOOKUP(E376,Направление!A$1:B$4660,2))))))</f>
        <v>Социальное обеспечение и иные выплаты населению</v>
      </c>
      <c r="B376" s="85"/>
      <c r="C376" s="77"/>
      <c r="D376" s="78"/>
      <c r="E376" s="77"/>
      <c r="F376" s="78">
        <v>300</v>
      </c>
      <c r="G376" s="42">
        <v>27860000</v>
      </c>
      <c r="H376" s="334"/>
      <c r="I376" s="42">
        <f t="shared" si="39"/>
        <v>27860000</v>
      </c>
    </row>
    <row r="377" spans="1:9" s="19" customFormat="1" ht="94.5">
      <c r="A377" s="41" t="str">
        <f>IF(B377&gt;0,VLOOKUP(B377,КВСР!A260:B1425,2),IF(C377&gt;0,VLOOKUP(C377,КФСР!A260:B1772,2),IF(D377&gt;0,VLOOKUP(D377,Программа!A$1:B$5008,2),IF(F377&gt;0,VLOOKUP(F377,КВР!A$1:B$5001,2),IF(E377&gt;0,VLOOKUP(E377,Направление!A$1:B$4660,2))))))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377" s="85"/>
      <c r="C377" s="77"/>
      <c r="D377" s="78"/>
      <c r="E377" s="77">
        <v>7075</v>
      </c>
      <c r="F377" s="78"/>
      <c r="G377" s="42">
        <v>24823000</v>
      </c>
      <c r="H377" s="42">
        <f>H378+H379</f>
        <v>-2000000</v>
      </c>
      <c r="I377" s="42">
        <f t="shared" si="39"/>
        <v>22823000</v>
      </c>
    </row>
    <row r="378" spans="1:9" s="19" customFormat="1" ht="31.5">
      <c r="A378" s="41" t="str">
        <f>IF(B378&gt;0,VLOOKUP(B378,КВСР!A261:B1426,2),IF(C378&gt;0,VLOOKUP(C378,КФСР!A261:B1773,2),IF(D378&gt;0,VLOOKUP(D378,Программа!A$1:B$5008,2),IF(F378&gt;0,VLOOKUP(F378,КВР!A$1:B$5001,2),IF(E378&gt;0,VLOOKUP(E378,Направление!A$1:B$4660,2))))))</f>
        <v>Закупка товаров, работ и услуг для государственных нужд</v>
      </c>
      <c r="B378" s="85"/>
      <c r="C378" s="77"/>
      <c r="D378" s="78"/>
      <c r="E378" s="77"/>
      <c r="F378" s="78">
        <v>200</v>
      </c>
      <c r="G378" s="42">
        <v>408000</v>
      </c>
      <c r="H378" s="352"/>
      <c r="I378" s="42">
        <f t="shared" si="39"/>
        <v>408000</v>
      </c>
    </row>
    <row r="379" spans="1:9" s="19" customFormat="1" ht="31.5">
      <c r="A379" s="41" t="str">
        <f>IF(B379&gt;0,VLOOKUP(B379,КВСР!A261:B1426,2),IF(C379&gt;0,VLOOKUP(C379,КФСР!A261:B1773,2),IF(D379&gt;0,VLOOKUP(D379,Программа!A$1:B$5008,2),IF(F379&gt;0,VLOOKUP(F379,КВР!A$1:B$5001,2),IF(E379&gt;0,VLOOKUP(E379,Направление!A$1:B$4660,2))))))</f>
        <v>Социальное обеспечение и иные выплаты населению</v>
      </c>
      <c r="B379" s="85"/>
      <c r="C379" s="77"/>
      <c r="D379" s="78"/>
      <c r="E379" s="77"/>
      <c r="F379" s="78">
        <v>300</v>
      </c>
      <c r="G379" s="42">
        <v>24415000</v>
      </c>
      <c r="H379" s="334">
        <v>-2000000</v>
      </c>
      <c r="I379" s="42">
        <f t="shared" si="39"/>
        <v>22415000</v>
      </c>
    </row>
    <row r="380" spans="1:9" s="19" customFormat="1" ht="110.25">
      <c r="A380" s="41" t="str">
        <f>IF(B380&gt;0,VLOOKUP(B380,КВСР!A254:B1419,2),IF(C380&gt;0,VLOOKUP(C380,КФСР!A254:B1766,2),IF(D380&gt;0,VLOOKUP(D380,Программа!A$1:B$5008,2),IF(F380&gt;0,VLOOKUP(F380,КВР!A$1:B$5001,2),IF(E380&gt;0,VLOOKUP(E380,Направление!A$1:B$4660,2))))))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380" s="85"/>
      <c r="C380" s="77"/>
      <c r="D380" s="78"/>
      <c r="E380" s="77">
        <v>7084</v>
      </c>
      <c r="F380" s="78"/>
      <c r="G380" s="76">
        <v>46843000</v>
      </c>
      <c r="H380" s="76">
        <f>H382+H381</f>
        <v>3579900</v>
      </c>
      <c r="I380" s="42">
        <f t="shared" si="39"/>
        <v>50422900</v>
      </c>
    </row>
    <row r="381" spans="1:9" s="19" customFormat="1" ht="31.5">
      <c r="A381" s="41" t="str">
        <f>IF(B381&gt;0,VLOOKUP(B381,КВСР!A254:B1419,2),IF(C381&gt;0,VLOOKUP(C381,КФСР!A254:B1766,2),IF(D381&gt;0,VLOOKUP(D381,Программа!A$1:B$5008,2),IF(F381&gt;0,VLOOKUP(F381,КВР!A$1:B$5001,2),IF(E381&gt;0,VLOOKUP(E381,Направление!A$1:B$4660,2))))))</f>
        <v>Закупка товаров, работ и услуг для государственных нужд</v>
      </c>
      <c r="B381" s="85"/>
      <c r="C381" s="77"/>
      <c r="D381" s="78"/>
      <c r="E381" s="77"/>
      <c r="F381" s="78">
        <v>200</v>
      </c>
      <c r="G381" s="76">
        <v>838000</v>
      </c>
      <c r="H381" s="343"/>
      <c r="I381" s="42">
        <f t="shared" si="39"/>
        <v>838000</v>
      </c>
    </row>
    <row r="382" spans="1:9" s="19" customFormat="1" ht="31.5">
      <c r="A382" s="41" t="str">
        <f>IF(B382&gt;0,VLOOKUP(B382,КВСР!A255:B1420,2),IF(C382&gt;0,VLOOKUP(C382,КФСР!A255:B1767,2),IF(D382&gt;0,VLOOKUP(D382,Программа!A$1:B$5008,2),IF(F382&gt;0,VLOOKUP(F382,КВР!A$1:B$5001,2),IF(E382&gt;0,VLOOKUP(E382,Направление!A$1:B$4660,2))))))</f>
        <v>Социальное обеспечение и иные выплаты населению</v>
      </c>
      <c r="B382" s="85"/>
      <c r="C382" s="77"/>
      <c r="D382" s="78"/>
      <c r="E382" s="77"/>
      <c r="F382" s="78">
        <v>300</v>
      </c>
      <c r="G382" s="76">
        <v>46005000</v>
      </c>
      <c r="H382" s="335">
        <v>3579900</v>
      </c>
      <c r="I382" s="42">
        <f t="shared" si="39"/>
        <v>49584900</v>
      </c>
    </row>
    <row r="383" spans="1:9" s="19" customFormat="1" ht="157.5">
      <c r="A383" s="41" t="str">
        <f>IF(B383&gt;0,VLOOKUP(B383,КВСР!A256:B1421,2),IF(C383&gt;0,VLOOKUP(C383,КФСР!A256:B1768,2),IF(D383&gt;0,VLOOKUP(D383,Программа!A$1:B$5008,2),IF(F383&gt;0,VLOOKUP(F383,КВР!A$1:B$5001,2),IF(E383&gt;0,VLOOKUP(E383,Направление!A$1:B$4660,2))))))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83" s="85"/>
      <c r="C383" s="77"/>
      <c r="D383" s="78"/>
      <c r="E383" s="77">
        <v>7085</v>
      </c>
      <c r="F383" s="78"/>
      <c r="G383" s="76">
        <v>350000</v>
      </c>
      <c r="H383" s="76">
        <f t="shared" ref="H383" si="45">H384</f>
        <v>0</v>
      </c>
      <c r="I383" s="42">
        <f t="shared" si="39"/>
        <v>350000</v>
      </c>
    </row>
    <row r="384" spans="1:9" s="19" customFormat="1" ht="63">
      <c r="A384" s="41" t="str">
        <f>IF(B384&gt;0,VLOOKUP(B384,КВСР!A257:B1422,2),IF(C384&gt;0,VLOOKUP(C384,КФСР!A257:B1769,2),IF(D384&gt;0,VLOOKUP(D384,Программа!A$1:B$5008,2),IF(F384&gt;0,VLOOKUP(F384,КВР!A$1:B$5001,2),IF(E384&gt;0,VLOOKUP(E384,Направление!A$1:B$4660,2))))))</f>
        <v>Предоставление субсидий бюджетным, автономным учреждениям и иным некоммерческим организациям</v>
      </c>
      <c r="B384" s="85"/>
      <c r="C384" s="77"/>
      <c r="D384" s="78"/>
      <c r="E384" s="77"/>
      <c r="F384" s="78">
        <v>600</v>
      </c>
      <c r="G384" s="76">
        <v>350000</v>
      </c>
      <c r="H384" s="335"/>
      <c r="I384" s="42">
        <f t="shared" si="39"/>
        <v>350000</v>
      </c>
    </row>
    <row r="385" spans="1:9" s="19" customFormat="1" ht="31.5">
      <c r="A385" s="41" t="str">
        <f>IF(B385&gt;0,VLOOKUP(B385,КВСР!A256:B1421,2),IF(C385&gt;0,VLOOKUP(C385,КФСР!A256:B1768,2),IF(D385&gt;0,VLOOKUP(D385,Программа!A$1:B$5008,2),IF(F385&gt;0,VLOOKUP(F385,КВР!A$1:B$5001,2),IF(E385&gt;0,VLOOKUP(E385,Направление!A$1:B$4660,2))))))</f>
        <v>Денежные выплаты за счет средств областного бюджета</v>
      </c>
      <c r="B385" s="85"/>
      <c r="C385" s="77"/>
      <c r="D385" s="78"/>
      <c r="E385" s="77">
        <v>7086</v>
      </c>
      <c r="F385" s="78"/>
      <c r="G385" s="76">
        <v>39163268</v>
      </c>
      <c r="H385" s="76">
        <f>H387+H386</f>
        <v>0</v>
      </c>
      <c r="I385" s="42">
        <f t="shared" si="39"/>
        <v>39163268</v>
      </c>
    </row>
    <row r="386" spans="1:9" s="19" customFormat="1" ht="31.5">
      <c r="A386" s="41" t="str">
        <f>IF(B386&gt;0,VLOOKUP(B386,КВСР!A257:B1422,2),IF(C386&gt;0,VLOOKUP(C386,КФСР!A257:B1769,2),IF(D386&gt;0,VLOOKUP(D386,Программа!A$1:B$5008,2),IF(F386&gt;0,VLOOKUP(F386,КВР!A$1:B$5001,2),IF(E386&gt;0,VLOOKUP(E386,Направление!A$1:B$4660,2))))))</f>
        <v>Закупка товаров, работ и услуг для государственных нужд</v>
      </c>
      <c r="B386" s="85"/>
      <c r="C386" s="77"/>
      <c r="D386" s="78"/>
      <c r="E386" s="77"/>
      <c r="F386" s="78">
        <v>200</v>
      </c>
      <c r="G386" s="76">
        <v>614000</v>
      </c>
      <c r="H386" s="350"/>
      <c r="I386" s="42">
        <f t="shared" si="39"/>
        <v>614000</v>
      </c>
    </row>
    <row r="387" spans="1:9" s="19" customFormat="1" ht="31.5">
      <c r="A387" s="41" t="str">
        <f>IF(B387&gt;0,VLOOKUP(B387,КВСР!A257:B1422,2),IF(C387&gt;0,VLOOKUP(C387,КФСР!A257:B1769,2),IF(D387&gt;0,VLOOKUP(D387,Программа!A$1:B$5008,2),IF(F387&gt;0,VLOOKUP(F387,КВР!A$1:B$5001,2),IF(E387&gt;0,VLOOKUP(E387,Направление!A$1:B$4660,2))))))</f>
        <v>Социальное обеспечение и иные выплаты населению</v>
      </c>
      <c r="B387" s="85"/>
      <c r="C387" s="77"/>
      <c r="D387" s="78"/>
      <c r="E387" s="77"/>
      <c r="F387" s="78">
        <v>300</v>
      </c>
      <c r="G387" s="76">
        <v>38549268</v>
      </c>
      <c r="H387" s="335"/>
      <c r="I387" s="42">
        <f t="shared" si="39"/>
        <v>38549268</v>
      </c>
    </row>
    <row r="388" spans="1:9" s="19" customFormat="1" ht="47.25">
      <c r="A388" s="41" t="str">
        <f>IF(B388&gt;0,VLOOKUP(B388,КВСР!A258:B1423,2),IF(C388&gt;0,VLOOKUP(C388,КФСР!A258:B1770,2),IF(D388&gt;0,VLOOKUP(D388,Программа!A$1:B$5008,2),IF(F388&gt;0,VLOOKUP(F388,КВР!A$1:B$5001,2),IF(E388&gt;0,VLOOKUP(E388,Направление!A$1:B$4660,2))))))</f>
        <v>Оказание социальной помощи отдельным категориям граждан за счет средств областного бюджета</v>
      </c>
      <c r="B388" s="85"/>
      <c r="C388" s="77"/>
      <c r="D388" s="78"/>
      <c r="E388" s="77">
        <v>7089</v>
      </c>
      <c r="F388" s="78"/>
      <c r="G388" s="76">
        <v>4511507</v>
      </c>
      <c r="H388" s="76">
        <f>H390+H389</f>
        <v>0</v>
      </c>
      <c r="I388" s="42">
        <f t="shared" si="39"/>
        <v>4511507</v>
      </c>
    </row>
    <row r="389" spans="1:9" s="19" customFormat="1" ht="42" customHeight="1">
      <c r="A389" s="41" t="str">
        <f>IF(B389&gt;0,VLOOKUP(B389,КВСР!A259:B1424,2),IF(C389&gt;0,VLOOKUP(C389,КФСР!A259:B1771,2),IF(D389&gt;0,VLOOKUP(D389,Программа!A$1:B$5008,2),IF(F389&gt;0,VLOOKUP(F389,КВР!A$1:B$5001,2),IF(E389&gt;0,VLOOKUP(E389,Направление!A$1:B$4660,2))))))</f>
        <v>Закупка товаров, работ и услуг для государственных нужд</v>
      </c>
      <c r="B389" s="85"/>
      <c r="C389" s="77"/>
      <c r="D389" s="78"/>
      <c r="E389" s="77"/>
      <c r="F389" s="78">
        <v>200</v>
      </c>
      <c r="G389" s="76">
        <v>122183</v>
      </c>
      <c r="H389" s="350">
        <v>-204</v>
      </c>
      <c r="I389" s="42">
        <f t="shared" si="39"/>
        <v>121979</v>
      </c>
    </row>
    <row r="390" spans="1:9" s="19" customFormat="1" ht="31.5">
      <c r="A390" s="41" t="str">
        <f>IF(B390&gt;0,VLOOKUP(B390,КВСР!A259:B1424,2),IF(C390&gt;0,VLOOKUP(C390,КФСР!A259:B1771,2),IF(D390&gt;0,VLOOKUP(D390,Программа!A$1:B$5008,2),IF(F390&gt;0,VLOOKUP(F390,КВР!A$1:B$5001,2),IF(E390&gt;0,VLOOKUP(E390,Направление!A$1:B$4660,2))))))</f>
        <v>Социальное обеспечение и иные выплаты населению</v>
      </c>
      <c r="B390" s="85"/>
      <c r="C390" s="77"/>
      <c r="D390" s="78"/>
      <c r="E390" s="77"/>
      <c r="F390" s="78">
        <v>300</v>
      </c>
      <c r="G390" s="76">
        <v>4389324</v>
      </c>
      <c r="H390" s="335">
        <v>204</v>
      </c>
      <c r="I390" s="42">
        <f t="shared" si="39"/>
        <v>4389528</v>
      </c>
    </row>
    <row r="391" spans="1:9" s="19" customFormat="1" ht="57" customHeight="1">
      <c r="A391" s="41" t="str">
        <f>IF(B391&gt;0,VLOOKUP(B391,КВСР!A256:B1421,2),IF(C391&gt;0,VLOOKUP(C391,КФСР!A256:B1768,2),IF(D391&gt;0,VLOOKUP(D391,Программа!A$1:B$5008,2),IF(F391&gt;0,VLOOKUP(F391,КВР!A$1:B$5001,2),IF(E391&gt;0,VLOOKUP(E391,Направление!A$1:B$4660,2))))))</f>
        <v>Расходы на социальную поддержку отдельных категорий граждан в части ежемесячного пособия на ребенка</v>
      </c>
      <c r="B391" s="85"/>
      <c r="C391" s="77"/>
      <c r="D391" s="78"/>
      <c r="E391" s="77">
        <v>7304</v>
      </c>
      <c r="F391" s="78"/>
      <c r="G391" s="42">
        <v>30530000</v>
      </c>
      <c r="H391" s="42">
        <f>H393+H392</f>
        <v>0</v>
      </c>
      <c r="I391" s="42">
        <f t="shared" si="39"/>
        <v>30530000</v>
      </c>
    </row>
    <row r="392" spans="1:9" s="19" customFormat="1" ht="31.5">
      <c r="A392" s="41" t="str">
        <f>IF(B392&gt;0,VLOOKUP(B392,КВСР!A257:B1422,2),IF(C392&gt;0,VLOOKUP(C392,КФСР!A257:B1769,2),IF(D392&gt;0,VLOOKUP(D392,Программа!A$1:B$5008,2),IF(F392&gt;0,VLOOKUP(F392,КВР!A$1:B$5001,2),IF(E392&gt;0,VLOOKUP(E392,Направление!A$1:B$4660,2))))))</f>
        <v>Закупка товаров, работ и услуг для государственных нужд</v>
      </c>
      <c r="B392" s="85"/>
      <c r="C392" s="77"/>
      <c r="D392" s="78"/>
      <c r="E392" s="77"/>
      <c r="F392" s="78">
        <v>200</v>
      </c>
      <c r="G392" s="42">
        <v>15000</v>
      </c>
      <c r="H392" s="352"/>
      <c r="I392" s="42">
        <f t="shared" si="39"/>
        <v>15000</v>
      </c>
    </row>
    <row r="393" spans="1:9" s="19" customFormat="1" ht="31.5">
      <c r="A393" s="41" t="str">
        <f>IF(B393&gt;0,VLOOKUP(B393,КВСР!A257:B1422,2),IF(C393&gt;0,VLOOKUP(C393,КФСР!A257:B1769,2),IF(D393&gt;0,VLOOKUP(D393,Программа!A$1:B$5008,2),IF(F393&gt;0,VLOOKUP(F393,КВР!A$1:B$5001,2),IF(E393&gt;0,VLOOKUP(E393,Направление!A$1:B$4660,2))))))</f>
        <v>Социальное обеспечение и иные выплаты населению</v>
      </c>
      <c r="B393" s="85"/>
      <c r="C393" s="77"/>
      <c r="D393" s="78"/>
      <c r="E393" s="77"/>
      <c r="F393" s="78">
        <v>300</v>
      </c>
      <c r="G393" s="76">
        <v>30515000</v>
      </c>
      <c r="H393" s="335"/>
      <c r="I393" s="42">
        <f t="shared" si="39"/>
        <v>30515000</v>
      </c>
    </row>
    <row r="394" spans="1:9" s="19" customFormat="1">
      <c r="A394" s="41" t="str">
        <f>IF(B394&gt;0,VLOOKUP(B394,КВСР!A261:B1426,2),IF(C394&gt;0,VLOOKUP(C394,КФСР!A261:B1773,2),IF(D394&gt;0,VLOOKUP(D394,Программа!A$1:B$5008,2),IF(F394&gt;0,VLOOKUP(F394,КВР!A$1:B$5001,2),IF(E394&gt;0,VLOOKUP(E394,Направление!A$1:B$4660,2))))))</f>
        <v>Непрограммные расходы бюджета</v>
      </c>
      <c r="B394" s="85"/>
      <c r="C394" s="77"/>
      <c r="D394" s="78">
        <v>409</v>
      </c>
      <c r="E394" s="77"/>
      <c r="F394" s="78"/>
      <c r="G394" s="76">
        <v>159500</v>
      </c>
      <c r="H394" s="76">
        <f t="shared" ref="H394" si="46">H395</f>
        <v>0</v>
      </c>
      <c r="I394" s="42">
        <f t="shared" ref="I394:I426" si="47">SUM(G394:H394)</f>
        <v>159500</v>
      </c>
    </row>
    <row r="395" spans="1:9" s="19" customFormat="1" ht="47.25">
      <c r="A395" s="41" t="str">
        <f>IF(B395&gt;0,VLOOKUP(B395,КВСР!A262:B1427,2),IF(C395&gt;0,VLOOKUP(C395,КФСР!A262:B1774,2),IF(D395&gt;0,VLOOKUP(D395,Программа!A$1:B$5008,2),IF(F395&gt;0,VLOOKUP(F395,КВР!A$1:B$5001,2),IF(E395&gt;0,VLOOKUP(E395,Направление!A$1:B$4660,2))))))</f>
        <v>Резервные фонды исполнительных органов государственной власти субъектов Российской Федерации</v>
      </c>
      <c r="B395" s="85"/>
      <c r="C395" s="77"/>
      <c r="D395" s="78"/>
      <c r="E395" s="77">
        <v>8012</v>
      </c>
      <c r="F395" s="78"/>
      <c r="G395" s="76">
        <v>159500</v>
      </c>
      <c r="H395" s="76">
        <f t="shared" ref="H395" si="48">H396</f>
        <v>0</v>
      </c>
      <c r="I395" s="42">
        <f t="shared" si="47"/>
        <v>159500</v>
      </c>
    </row>
    <row r="396" spans="1:9" s="19" customFormat="1" ht="31.5">
      <c r="A396" s="41" t="str">
        <f>IF(B396&gt;0,VLOOKUP(B396,КВСР!A263:B1428,2),IF(C396&gt;0,VLOOKUP(C396,КФСР!A263:B1775,2),IF(D396&gt;0,VLOOKUP(D396,Программа!A$1:B$5008,2),IF(F396&gt;0,VLOOKUP(F396,КВР!A$1:B$5001,2),IF(E396&gt;0,VLOOKUP(E396,Направление!A$1:B$4660,2))))))</f>
        <v>Социальное обеспечение и иные выплаты населению</v>
      </c>
      <c r="B396" s="85"/>
      <c r="C396" s="77"/>
      <c r="D396" s="78"/>
      <c r="E396" s="77"/>
      <c r="F396" s="78">
        <v>300</v>
      </c>
      <c r="G396" s="76">
        <v>159500</v>
      </c>
      <c r="H396" s="335"/>
      <c r="I396" s="42">
        <f t="shared" si="47"/>
        <v>159500</v>
      </c>
    </row>
    <row r="397" spans="1:9" s="20" customFormat="1">
      <c r="A397" s="41" t="str">
        <f>IF(B397&gt;0,VLOOKUP(B397,КВСР!A303:B1468,2),IF(C397&gt;0,VLOOKUP(C397,КФСР!A303:B1815,2),IF(D397&gt;0,VLOOKUP(D397,Программа!A$1:B$5008,2),IF(F397&gt;0,VLOOKUP(F397,КВР!A$1:B$5001,2),IF(E397&gt;0,VLOOKUP(E397,Направление!A$1:B$4660,2))))))</f>
        <v>Охрана семьи и детства</v>
      </c>
      <c r="B397" s="85"/>
      <c r="C397" s="77">
        <v>1004</v>
      </c>
      <c r="D397" s="78"/>
      <c r="E397" s="77"/>
      <c r="F397" s="78"/>
      <c r="G397" s="76">
        <v>12251600</v>
      </c>
      <c r="H397" s="76">
        <f>H399</f>
        <v>0</v>
      </c>
      <c r="I397" s="42">
        <f t="shared" si="47"/>
        <v>12251600</v>
      </c>
    </row>
    <row r="398" spans="1:9" s="20" customFormat="1">
      <c r="A398" s="41" t="str">
        <f>IF(B398&gt;0,VLOOKUP(B398,КВСР!A304:B1469,2),IF(C398&gt;0,VLOOKUP(C398,КФСР!A304:B1816,2),IF(D398&gt;0,VLOOKUP(D398,Программа!A$1:B$5008,2),IF(F398&gt;0,VLOOKUP(F398,КВР!A$1:B$5001,2),IF(E398&gt;0,VLOOKUP(E398,Направление!A$1:B$4660,2))))))</f>
        <v>Социальная поддержка граждан</v>
      </c>
      <c r="B398" s="85"/>
      <c r="C398" s="77"/>
      <c r="D398" s="78">
        <v>50</v>
      </c>
      <c r="E398" s="77"/>
      <c r="F398" s="78"/>
      <c r="G398" s="76">
        <v>12251600</v>
      </c>
      <c r="H398" s="76">
        <f>H399</f>
        <v>0</v>
      </c>
      <c r="I398" s="42">
        <f t="shared" si="47"/>
        <v>12251600</v>
      </c>
    </row>
    <row r="399" spans="1:9" s="20" customFormat="1" ht="63">
      <c r="A399" s="41" t="str">
        <f>IF(B399&gt;0,VLOOKUP(B399,КВСР!A305:B1470,2),IF(C399&gt;0,VLOOKUP(C399,КФСР!A305:B1817,2),IF(D399&gt;0,VLOOKUP(D399,Программа!A$1:B$5008,2),IF(F399&gt;0,VLOOKUP(F399,КВР!A$1:B$5001,2),IF(E399&gt;0,VLOOKUP(E399,Направление!A$1:B$4660,2))))))</f>
        <v>Ведомственная целевая программа «Социальная поддержка населения Тутаевского муниципального района» на 2014-2016 годы.</v>
      </c>
      <c r="B399" s="85"/>
      <c r="C399" s="77"/>
      <c r="D399" s="233">
        <v>51</v>
      </c>
      <c r="E399" s="237"/>
      <c r="F399" s="78"/>
      <c r="G399" s="76">
        <v>12251600</v>
      </c>
      <c r="H399" s="76">
        <f>H400+H409+H404+H402+H406</f>
        <v>0</v>
      </c>
      <c r="I399" s="42">
        <f t="shared" si="47"/>
        <v>12251600</v>
      </c>
    </row>
    <row r="400" spans="1:9" s="20" customFormat="1" ht="63">
      <c r="A400" s="41" t="str">
        <f>IF(B400&gt;0,VLOOKUP(B400,КВСР!A306:B1471,2),IF(C400&gt;0,VLOOKUP(C400,КФСР!A306:B1818,2),IF(D400&gt;0,VLOOKUP(D400,Программа!A$1:B$5008,2),IF(F400&gt;0,VLOOKUP(F400,КВР!A$1:B$5001,2),IF(E400&gt;0,VLOOKUP(E400,Направление!A$1:B$4660,2))))))</f>
        <v>Расходы на укрепление института семьи, повышение качества жизни семей с несовершеннолетними детьми</v>
      </c>
      <c r="B400" s="85"/>
      <c r="C400" s="77"/>
      <c r="D400" s="233"/>
      <c r="E400" s="237">
        <v>1611</v>
      </c>
      <c r="F400" s="78"/>
      <c r="G400" s="76">
        <v>3600</v>
      </c>
      <c r="H400" s="76">
        <f>H401</f>
        <v>0</v>
      </c>
      <c r="I400" s="42">
        <f t="shared" si="47"/>
        <v>3600</v>
      </c>
    </row>
    <row r="401" spans="1:9" s="20" customFormat="1" ht="31.5">
      <c r="A401" s="41" t="str">
        <f>IF(B401&gt;0,VLOOKUP(B401,КВСР!A307:B1472,2),IF(C401&gt;0,VLOOKUP(C401,КФСР!A307:B1819,2),IF(D401&gt;0,VLOOKUP(D401,Программа!A$1:B$5008,2),IF(F401&gt;0,VLOOKUP(F401,КВР!A$1:B$5001,2),IF(E401&gt;0,VLOOKUP(E401,Направление!A$1:B$4660,2))))))</f>
        <v>Закупка товаров, работ и услуг для государственных нужд</v>
      </c>
      <c r="B401" s="85"/>
      <c r="C401" s="77"/>
      <c r="D401" s="233"/>
      <c r="E401" s="237"/>
      <c r="F401" s="78">
        <v>200</v>
      </c>
      <c r="G401" s="76">
        <v>3600</v>
      </c>
      <c r="H401" s="335"/>
      <c r="I401" s="42">
        <f t="shared" si="47"/>
        <v>3600</v>
      </c>
    </row>
    <row r="402" spans="1:9" s="20" customFormat="1" ht="78.75">
      <c r="A402" s="41" t="str">
        <f>IF(B402&gt;0,VLOOKUP(B402,КВСР!A308:B1473,2),IF(C402&gt;0,VLOOKUP(C402,КФСР!A308:B1820,2),IF(D402&gt;0,VLOOKUP(D402,Программа!A$1:B$5008,2),IF(F402&gt;0,VLOOKUP(F402,КВР!A$1:B$5001,2),IF(E402&gt;0,VLOOKUP(E402,Направление!A$1:B$4660,2))))))</f>
        <v>Ежемесячная денежная выплата, назначаемая в случае рождения третьего ребенка или последующих детей до достижения ребенком возраста трех лет</v>
      </c>
      <c r="B402" s="85"/>
      <c r="C402" s="77"/>
      <c r="D402" s="233"/>
      <c r="E402" s="237">
        <v>5084</v>
      </c>
      <c r="F402" s="78"/>
      <c r="G402" s="76">
        <v>5584000</v>
      </c>
      <c r="H402" s="76">
        <f t="shared" ref="H402" si="49">H403</f>
        <v>0</v>
      </c>
      <c r="I402" s="42">
        <f t="shared" si="47"/>
        <v>5584000</v>
      </c>
    </row>
    <row r="403" spans="1:9" s="20" customFormat="1" ht="31.5">
      <c r="A403" s="41" t="str">
        <f>IF(B403&gt;0,VLOOKUP(B403,КВСР!A309:B1474,2),IF(C403&gt;0,VLOOKUP(C403,КФСР!A309:B1821,2),IF(D403&gt;0,VLOOKUP(D403,Программа!A$1:B$5008,2),IF(F403&gt;0,VLOOKUP(F403,КВР!A$1:B$5001,2),IF(E403&gt;0,VLOOKUP(E403,Направление!A$1:B$4660,2))))))</f>
        <v>Социальное обеспечение и иные выплаты населению</v>
      </c>
      <c r="B403" s="85"/>
      <c r="C403" s="77"/>
      <c r="D403" s="233"/>
      <c r="E403" s="237"/>
      <c r="F403" s="78">
        <v>300</v>
      </c>
      <c r="G403" s="76">
        <v>5584000</v>
      </c>
      <c r="H403" s="335"/>
      <c r="I403" s="42">
        <f t="shared" si="47"/>
        <v>5584000</v>
      </c>
    </row>
    <row r="404" spans="1:9" s="20" customFormat="1" ht="141.75">
      <c r="A404" s="41" t="str">
        <f>IF(B404&gt;0,VLOOKUP(B404,КВСР!A308:B1473,2),IF(C404&gt;0,VLOOKUP(C404,КФСР!A308:B1820,2),IF(D404&gt;0,VLOOKUP(D404,Программа!A$1:B$5008,2),IF(F404&gt;0,VLOOKUP(F404,КВР!A$1:B$5001,2),IF(E404&gt;0,VLOOKUP(E404,Направление!A$1:B$4660,2))))))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404" s="85"/>
      <c r="C404" s="77"/>
      <c r="D404" s="233"/>
      <c r="E404" s="237">
        <v>5270</v>
      </c>
      <c r="F404" s="78"/>
      <c r="G404" s="76">
        <v>513000</v>
      </c>
      <c r="H404" s="76">
        <f>H405</f>
        <v>0</v>
      </c>
      <c r="I404" s="42">
        <f t="shared" si="47"/>
        <v>513000</v>
      </c>
    </row>
    <row r="405" spans="1:9" s="20" customFormat="1" ht="31.5">
      <c r="A405" s="41" t="str">
        <f>IF(B405&gt;0,VLOOKUP(B405,КВСР!A309:B1474,2),IF(C405&gt;0,VLOOKUP(C405,КФСР!A309:B1821,2),IF(D405&gt;0,VLOOKUP(D405,Программа!A$1:B$5008,2),IF(F405&gt;0,VLOOKUP(F405,КВР!A$1:B$5001,2),IF(E405&gt;0,VLOOKUP(E405,Направление!A$1:B$4660,2))))))</f>
        <v>Социальное обеспечение и иные выплаты населению</v>
      </c>
      <c r="B405" s="85"/>
      <c r="C405" s="77"/>
      <c r="D405" s="233"/>
      <c r="E405" s="237"/>
      <c r="F405" s="78">
        <v>300</v>
      </c>
      <c r="G405" s="76">
        <v>513000</v>
      </c>
      <c r="H405" s="335"/>
      <c r="I405" s="42">
        <f t="shared" si="47"/>
        <v>513000</v>
      </c>
    </row>
    <row r="406" spans="1:9" s="20" customFormat="1" ht="94.5">
      <c r="A406" s="41" t="str">
        <f>IF(B406&gt;0,VLOOKUP(B406,КВСР!A310:B1475,2),IF(C406&gt;0,VLOOKUP(C406,КФСР!A310:B1822,2),IF(D406&gt;0,VLOOKUP(D406,Программа!A$1:B$5008,2),IF(F406&gt;0,VLOOKUP(F406,КВР!A$1:B$5001,2),IF(E406&gt;0,VLOOKUP(E406,Направление!A$1:B$4660,2))))))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406" s="85"/>
      <c r="C406" s="77"/>
      <c r="D406" s="233"/>
      <c r="E406" s="237">
        <v>7083</v>
      </c>
      <c r="F406" s="78"/>
      <c r="G406" s="76">
        <v>6119000</v>
      </c>
      <c r="H406" s="76">
        <f t="shared" ref="H406" si="50">H407+H408</f>
        <v>0</v>
      </c>
      <c r="I406" s="42">
        <f t="shared" si="47"/>
        <v>6119000</v>
      </c>
    </row>
    <row r="407" spans="1:9" s="20" customFormat="1" ht="31.5">
      <c r="A407" s="41" t="str">
        <f>IF(B407&gt;0,VLOOKUP(B407,КВСР!A311:B1476,2),IF(C407&gt;0,VLOOKUP(C407,КФСР!A311:B1823,2),IF(D407&gt;0,VLOOKUP(D407,Программа!A$1:B$5008,2),IF(F407&gt;0,VLOOKUP(F407,КВР!A$1:B$5001,2),IF(E407&gt;0,VLOOKUP(E407,Направление!A$1:B$4660,2))))))</f>
        <v>Закупка товаров, работ и услуг для государственных нужд</v>
      </c>
      <c r="B407" s="85"/>
      <c r="C407" s="77"/>
      <c r="D407" s="233"/>
      <c r="E407" s="237"/>
      <c r="F407" s="78">
        <v>200</v>
      </c>
      <c r="G407" s="76">
        <v>190000</v>
      </c>
      <c r="H407" s="335"/>
      <c r="I407" s="42">
        <f t="shared" si="47"/>
        <v>190000</v>
      </c>
    </row>
    <row r="408" spans="1:9" s="20" customFormat="1" ht="32.25" customHeight="1">
      <c r="A408" s="41" t="str">
        <f>IF(B408&gt;0,VLOOKUP(B408,КВСР!A312:B1477,2),IF(C408&gt;0,VLOOKUP(C408,КФСР!A312:B1824,2),IF(D408&gt;0,VLOOKUP(D408,Программа!A$1:B$5008,2),IF(F408&gt;0,VLOOKUP(F408,КВР!A$1:B$5001,2),IF(E408&gt;0,VLOOKUP(E408,Направление!A$1:B$4660,2))))))</f>
        <v>Социальное обеспечение и иные выплаты населению</v>
      </c>
      <c r="B408" s="85"/>
      <c r="C408" s="77"/>
      <c r="D408" s="233"/>
      <c r="E408" s="237"/>
      <c r="F408" s="78">
        <v>300</v>
      </c>
      <c r="G408" s="76">
        <v>5929000</v>
      </c>
      <c r="H408" s="335"/>
      <c r="I408" s="42">
        <f t="shared" si="47"/>
        <v>5929000</v>
      </c>
    </row>
    <row r="409" spans="1:9" s="20" customFormat="1" ht="78.75">
      <c r="A409" s="41" t="str">
        <f>IF(B409&gt;0,VLOOKUP(B409,КВСР!A306:B1471,2),IF(C409&gt;0,VLOOKUP(C409,КФСР!A306:B1818,2),IF(D409&gt;0,VLOOKUP(D409,Программа!A$1:B$5008,2),IF(F409&gt;0,VLOOKUP(F409,КВР!A$1:B$5001,2),IF(E409&gt;0,VLOOKUP(E409,Направление!A$1:B$4660,2))))))</f>
        <v>Расходы на укрепление института семьи, повышение качества жизни семей с несовершеннолетними детьми за счет средств областного бюджета</v>
      </c>
      <c r="B409" s="85"/>
      <c r="C409" s="77"/>
      <c r="D409" s="78"/>
      <c r="E409" s="77">
        <v>7097</v>
      </c>
      <c r="F409" s="78"/>
      <c r="G409" s="42">
        <v>32000</v>
      </c>
      <c r="H409" s="42">
        <f>H410</f>
        <v>0</v>
      </c>
      <c r="I409" s="42">
        <f t="shared" si="47"/>
        <v>32000</v>
      </c>
    </row>
    <row r="410" spans="1:9" s="20" customFormat="1" ht="31.5">
      <c r="A410" s="41" t="str">
        <f>IF(B410&gt;0,VLOOKUP(B410,КВСР!A307:B1472,2),IF(C410&gt;0,VLOOKUP(C410,КФСР!A307:B1819,2),IF(D410&gt;0,VLOOKUP(D410,Программа!A$1:B$5008,2),IF(F410&gt;0,VLOOKUP(F410,КВР!A$1:B$5001,2),IF(E410&gt;0,VLOOKUP(E410,Направление!A$1:B$4660,2))))))</f>
        <v>Закупка товаров, работ и услуг для государственных нужд</v>
      </c>
      <c r="B410" s="85"/>
      <c r="C410" s="77"/>
      <c r="D410" s="78"/>
      <c r="E410" s="77"/>
      <c r="F410" s="78">
        <v>200</v>
      </c>
      <c r="G410" s="42">
        <v>32000</v>
      </c>
      <c r="H410" s="334"/>
      <c r="I410" s="42">
        <f t="shared" si="47"/>
        <v>32000</v>
      </c>
    </row>
    <row r="411" spans="1:9" s="20" customFormat="1" ht="31.5">
      <c r="A411" s="41" t="str">
        <f>IF(B411&gt;0,VLOOKUP(B411,КВСР!A308:B1473,2),IF(C411&gt;0,VLOOKUP(C411,КФСР!A308:B1820,2),IF(D411&gt;0,VLOOKUP(D411,Программа!A$1:B$5008,2),IF(F411&gt;0,VLOOKUP(F411,КВР!A$1:B$5001,2),IF(E411&gt;0,VLOOKUP(E411,Направление!A$1:B$4660,2))))))</f>
        <v>Другие вопросы в области социальной политики</v>
      </c>
      <c r="B411" s="85"/>
      <c r="C411" s="77">
        <v>1006</v>
      </c>
      <c r="D411" s="83"/>
      <c r="E411" s="82"/>
      <c r="F411" s="78"/>
      <c r="G411" s="76">
        <v>12678290</v>
      </c>
      <c r="H411" s="76">
        <f>H412+H424</f>
        <v>928000</v>
      </c>
      <c r="I411" s="42">
        <f t="shared" si="47"/>
        <v>13606290</v>
      </c>
    </row>
    <row r="412" spans="1:9" s="20" customFormat="1">
      <c r="A412" s="41" t="str">
        <f>IF(B412&gt;0,VLOOKUP(B412,КВСР!A309:B1474,2),IF(C412&gt;0,VLOOKUP(C412,КФСР!A309:B1821,2),IF(D412&gt;0,VLOOKUP(D412,Программа!A$1:B$5008,2),IF(F412&gt;0,VLOOKUP(F412,КВР!A$1:B$5001,2),IF(E412&gt;0,VLOOKUP(E412,Направление!A$1:B$4660,2))))))</f>
        <v>Социальная поддержка граждан</v>
      </c>
      <c r="B412" s="85"/>
      <c r="C412" s="77"/>
      <c r="D412" s="83">
        <v>50</v>
      </c>
      <c r="E412" s="82"/>
      <c r="F412" s="78"/>
      <c r="G412" s="76">
        <v>12588380</v>
      </c>
      <c r="H412" s="76">
        <f>H413</f>
        <v>928000</v>
      </c>
      <c r="I412" s="42">
        <f t="shared" si="47"/>
        <v>13516380</v>
      </c>
    </row>
    <row r="413" spans="1:9" s="20" customFormat="1" ht="63">
      <c r="A413" s="41" t="str">
        <f>IF(B413&gt;0,VLOOKUP(B413,КВСР!A310:B1475,2),IF(C413&gt;0,VLOOKUP(C413,КФСР!A310:B1822,2),IF(D413&gt;0,VLOOKUP(D413,Программа!A$1:B$5008,2),IF(F413&gt;0,VLOOKUP(F413,КВР!A$1:B$5001,2),IF(E413&gt;0,VLOOKUP(E413,Направление!A$1:B$4660,2))))))</f>
        <v>Ведомственная целевая программа «Социальная поддержка населения Тутаевского муниципального района» на 2014-2016 годы.</v>
      </c>
      <c r="B413" s="85"/>
      <c r="C413" s="77"/>
      <c r="D413" s="83">
        <v>51</v>
      </c>
      <c r="E413" s="82"/>
      <c r="F413" s="78"/>
      <c r="G413" s="76">
        <v>12588380</v>
      </c>
      <c r="H413" s="76">
        <f>H414+H417+H421</f>
        <v>928000</v>
      </c>
      <c r="I413" s="42">
        <f t="shared" si="47"/>
        <v>13516380</v>
      </c>
    </row>
    <row r="414" spans="1:9" s="20" customFormat="1">
      <c r="A414" s="41" t="str">
        <f>IF(B414&gt;0,VLOOKUP(B414,КВСР!A311:B1476,2),IF(C414&gt;0,VLOOKUP(C414,КФСР!A311:B1823,2),IF(D414&gt;0,VLOOKUP(D414,Программа!A$1:B$5008,2),IF(F414&gt;0,VLOOKUP(F414,КВР!A$1:B$5001,2),IF(E414&gt;0,VLOOKUP(E414,Направление!A$1:B$4660,2))))))</f>
        <v>Содержание центрального аппарата</v>
      </c>
      <c r="B414" s="85"/>
      <c r="C414" s="77"/>
      <c r="D414" s="83"/>
      <c r="E414" s="82">
        <v>1201</v>
      </c>
      <c r="F414" s="78"/>
      <c r="G414" s="76">
        <v>303861</v>
      </c>
      <c r="H414" s="76">
        <f>H415+H416</f>
        <v>0</v>
      </c>
      <c r="I414" s="42">
        <f t="shared" si="47"/>
        <v>303861</v>
      </c>
    </row>
    <row r="415" spans="1:9" s="20" customFormat="1" ht="110.25">
      <c r="A415" s="41" t="str">
        <f>IF(B415&gt;0,VLOOKUP(B415,КВСР!A312:B1477,2),IF(C415&gt;0,VLOOKUP(C415,КФСР!A312:B1824,2),IF(D415&gt;0,VLOOKUP(D415,Программа!A$1:B$5008,2),IF(F415&gt;0,VLOOKUP(F415,КВР!A$1:B$5001,2),IF(E415&gt;0,VLOOKUP(E415,Направление!A$1:B$4660,2))))))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15" s="85"/>
      <c r="C415" s="77"/>
      <c r="D415" s="83"/>
      <c r="E415" s="82"/>
      <c r="F415" s="78">
        <v>100</v>
      </c>
      <c r="G415" s="76">
        <v>296661</v>
      </c>
      <c r="H415" s="335"/>
      <c r="I415" s="42">
        <f t="shared" si="47"/>
        <v>296661</v>
      </c>
    </row>
    <row r="416" spans="1:9" s="20" customFormat="1" ht="31.5">
      <c r="A416" s="41" t="str">
        <f>IF(B416&gt;0,VLOOKUP(B416,КВСР!A313:B1478,2),IF(C416&gt;0,VLOOKUP(C416,КФСР!A313:B1825,2),IF(D416&gt;0,VLOOKUP(D416,Программа!A$1:B$5008,2),IF(F416&gt;0,VLOOKUP(F416,КВР!A$1:B$5001,2),IF(E416&gt;0,VLOOKUP(E416,Направление!A$1:B$4660,2))))))</f>
        <v>Закупка товаров, работ и услуг для государственных нужд</v>
      </c>
      <c r="B416" s="85"/>
      <c r="C416" s="77"/>
      <c r="D416" s="83"/>
      <c r="E416" s="82"/>
      <c r="F416" s="78">
        <v>200</v>
      </c>
      <c r="G416" s="76">
        <v>7200</v>
      </c>
      <c r="H416" s="335"/>
      <c r="I416" s="42">
        <f t="shared" si="47"/>
        <v>7200</v>
      </c>
    </row>
    <row r="417" spans="1:9" s="20" customFormat="1" ht="78.75">
      <c r="A417" s="41" t="str">
        <f>IF(B417&gt;0,VLOOKUP(B417,КВСР!A314:B1479,2),IF(C417&gt;0,VLOOKUP(C417,КФСР!A314:B1826,2),IF(D417&gt;0,VLOOKUP(D417,Программа!A$1:B$5008,2),IF(F417&gt;0,VLOOKUP(F417,КВР!A$1:B$5001,2),IF(E417&gt;0,VLOOKUP(E417,Направление!A$1:B$4660,2))))))</f>
        <v>Расходы на обеспечение деятельности органов местного самоуправления в сфере социальной защиты населения за счет средств областного бюджета</v>
      </c>
      <c r="B417" s="85"/>
      <c r="C417" s="77"/>
      <c r="D417" s="78"/>
      <c r="E417" s="77">
        <v>7087</v>
      </c>
      <c r="F417" s="78"/>
      <c r="G417" s="76">
        <v>12259000</v>
      </c>
      <c r="H417" s="76">
        <f>H418+H419+H420</f>
        <v>928000</v>
      </c>
      <c r="I417" s="42">
        <f t="shared" si="47"/>
        <v>13187000</v>
      </c>
    </row>
    <row r="418" spans="1:9" s="20" customFormat="1" ht="110.25">
      <c r="A418" s="41" t="str">
        <f>IF(B418&gt;0,VLOOKUP(B418,КВСР!A315:B1480,2),IF(C418&gt;0,VLOOKUP(C418,КФСР!A315:B1827,2),IF(D418&gt;0,VLOOKUP(D418,Программа!A$1:B$5008,2),IF(F418&gt;0,VLOOKUP(F418,КВР!A$1:B$5001,2),IF(E418&gt;0,VLOOKUP(E418,Направление!A$1:B$4660,2))))))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18" s="85"/>
      <c r="C418" s="77"/>
      <c r="D418" s="78"/>
      <c r="E418" s="77"/>
      <c r="F418" s="78">
        <v>100</v>
      </c>
      <c r="G418" s="76">
        <v>10000000</v>
      </c>
      <c r="H418" s="335">
        <v>928000</v>
      </c>
      <c r="I418" s="42">
        <f t="shared" si="47"/>
        <v>10928000</v>
      </c>
    </row>
    <row r="419" spans="1:9" s="20" customFormat="1" ht="31.5">
      <c r="A419" s="41" t="str">
        <f>IF(B419&gt;0,VLOOKUP(B419,КВСР!A316:B1481,2),IF(C419&gt;0,VLOOKUP(C419,КФСР!A316:B1828,2),IF(D419&gt;0,VLOOKUP(D419,Программа!A$1:B$5008,2),IF(F419&gt;0,VLOOKUP(F419,КВР!A$1:B$5001,2),IF(E419&gt;0,VLOOKUP(E419,Направление!A$1:B$4660,2))))))</f>
        <v>Закупка товаров, работ и услуг для государственных нужд</v>
      </c>
      <c r="B419" s="85"/>
      <c r="C419" s="77"/>
      <c r="D419" s="78"/>
      <c r="E419" s="77"/>
      <c r="F419" s="78">
        <v>200</v>
      </c>
      <c r="G419" s="76">
        <v>2231000</v>
      </c>
      <c r="H419" s="335"/>
      <c r="I419" s="42">
        <f t="shared" si="47"/>
        <v>2231000</v>
      </c>
    </row>
    <row r="420" spans="1:9" s="20" customFormat="1">
      <c r="A420" s="41" t="str">
        <f>IF(B420&gt;0,VLOOKUP(B420,КВСР!A317:B1482,2),IF(C420&gt;0,VLOOKUP(C420,КФСР!A317:B1829,2),IF(D420&gt;0,VLOOKUP(D420,Программа!A$1:B$5008,2),IF(F420&gt;0,VLOOKUP(F420,КВР!A$1:B$5001,2),IF(E420&gt;0,VLOOKUP(E420,Направление!A$1:B$4660,2))))))</f>
        <v>Иные бюджетные ассигнования</v>
      </c>
      <c r="B420" s="85"/>
      <c r="C420" s="77"/>
      <c r="D420" s="78"/>
      <c r="E420" s="77"/>
      <c r="F420" s="78">
        <v>800</v>
      </c>
      <c r="G420" s="76">
        <v>28000</v>
      </c>
      <c r="H420" s="335"/>
      <c r="I420" s="42">
        <f t="shared" si="47"/>
        <v>28000</v>
      </c>
    </row>
    <row r="421" spans="1:9" s="20" customFormat="1" ht="47.25">
      <c r="A421" s="41" t="str">
        <f>IF(B421&gt;0,VLOOKUP(B421,КВСР!A316:B1481,2),IF(C421&gt;0,VLOOKUP(C421,КФСР!A316:B1828,2),IF(D421&gt;0,VLOOKUP(D421,Программа!A$1:B$5008,2),IF(F421&gt;0,VLOOKUP(F421,КВР!A$1:B$5001,2),IF(E421&gt;0,VLOOKUP(E421,Направление!A$1:B$4660,2))))))</f>
        <v>Расходы на развитие органов местного самоуправления на территории ЯО</v>
      </c>
      <c r="B421" s="85"/>
      <c r="C421" s="77"/>
      <c r="D421" s="78"/>
      <c r="E421" s="77">
        <v>7228</v>
      </c>
      <c r="F421" s="78"/>
      <c r="G421" s="76">
        <v>25519</v>
      </c>
      <c r="H421" s="354">
        <f>H422</f>
        <v>0</v>
      </c>
      <c r="I421" s="42">
        <f t="shared" si="47"/>
        <v>25519</v>
      </c>
    </row>
    <row r="422" spans="1:9" s="20" customFormat="1" ht="110.25">
      <c r="A422" s="41" t="str">
        <f>IF(B422&gt;0,VLOOKUP(B422,КВСР!A317:B1482,2),IF(C422&gt;0,VLOOKUP(C422,КФСР!A317:B1829,2),IF(D422&gt;0,VLOOKUP(D422,Программа!A$1:B$5008,2),IF(F422&gt;0,VLOOKUP(F422,КВР!A$1:B$5001,2),IF(E422&gt;0,VLOOKUP(E422,Направление!A$1:B$4660,2))))))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22" s="85"/>
      <c r="C422" s="77"/>
      <c r="D422" s="78"/>
      <c r="E422" s="77"/>
      <c r="F422" s="78">
        <v>100</v>
      </c>
      <c r="G422" s="76">
        <v>25519</v>
      </c>
      <c r="H422" s="335"/>
      <c r="I422" s="42">
        <f t="shared" si="47"/>
        <v>25519</v>
      </c>
    </row>
    <row r="423" spans="1:9" s="20" customFormat="1" ht="34.5" customHeight="1">
      <c r="A423" s="41" t="str">
        <f>IF(B423&gt;0,VLOOKUP(B423,КВСР!A318:B1483,2),IF(C423&gt;0,VLOOKUP(C423,КФСР!A318:B1830,2),IF(D423&gt;0,VLOOKUP(D423,Программа!A$1:B$5008,2),IF(F423&gt;0,VLOOKUP(F423,КВР!A$1:B$5001,2),IF(E423&gt;0,VLOOKUP(E423,Направление!A$1:B$4660,2))))))</f>
        <v>Энергоэффективность и развитие энергетики</v>
      </c>
      <c r="B423" s="85"/>
      <c r="C423" s="77"/>
      <c r="D423" s="78">
        <v>80</v>
      </c>
      <c r="E423" s="77"/>
      <c r="F423" s="78"/>
      <c r="G423" s="76">
        <v>89910</v>
      </c>
      <c r="H423" s="335"/>
      <c r="I423" s="42">
        <f t="shared" si="47"/>
        <v>89910</v>
      </c>
    </row>
    <row r="424" spans="1:9" s="20" customFormat="1" ht="78.75">
      <c r="A424" s="41" t="str">
        <f>IF(B424&gt;0,VLOOKUP(B424,КВСР!A318:B1483,2),IF(C424&gt;0,VLOOKUP(C424,КФСР!A318:B1830,2),IF(D424&gt;0,VLOOKUP(D424,Программа!A$1:B$5008,2),IF(F424&gt;0,VLOOKUP(F424,КВР!A$1:B$5001,2),IF(E424&gt;0,VLOOKUP(E424,Направление!A$1:B$4660,2))))))</f>
        <v>Муниципальная целевая программа «Об энергосбережении и повышении энергетической эффективности ТМР на 2014-2016 годы.</v>
      </c>
      <c r="B424" s="85"/>
      <c r="C424" s="77"/>
      <c r="D424" s="78">
        <v>81</v>
      </c>
      <c r="E424" s="77"/>
      <c r="F424" s="78"/>
      <c r="G424" s="76">
        <v>89910</v>
      </c>
      <c r="H424" s="354">
        <f>H425</f>
        <v>0</v>
      </c>
      <c r="I424" s="42">
        <f t="shared" si="47"/>
        <v>89910</v>
      </c>
    </row>
    <row r="425" spans="1:9" s="20" customFormat="1" ht="63">
      <c r="A425" s="41" t="str">
        <f>IF(B425&gt;0,VLOOKUP(B425,КВСР!A319:B1484,2),IF(C425&gt;0,VLOOKUP(C425,КФСР!A319:B1831,2),IF(D425&gt;0,VLOOKUP(D425,Программа!A$1:B$5008,2),IF(F425&gt;0,VLOOKUP(F425,КВР!A$1:B$5001,2),IF(E425&gt;0,VLOOKUP(E425,Направление!A$1:B$4660,2))))))</f>
        <v>Мероприятия по повышению энергоэффективности и энергосбережению за счет средств областного бюджета</v>
      </c>
      <c r="B425" s="85"/>
      <c r="C425" s="77"/>
      <c r="D425" s="78"/>
      <c r="E425" s="77">
        <v>7294</v>
      </c>
      <c r="F425" s="78"/>
      <c r="G425" s="76">
        <v>89910</v>
      </c>
      <c r="H425" s="354">
        <f>H426</f>
        <v>0</v>
      </c>
      <c r="I425" s="42">
        <f t="shared" si="47"/>
        <v>89910</v>
      </c>
    </row>
    <row r="426" spans="1:9" s="20" customFormat="1" ht="31.5">
      <c r="A426" s="41" t="str">
        <f>IF(B426&gt;0,VLOOKUP(B426,КВСР!A320:B1485,2),IF(C426&gt;0,VLOOKUP(C426,КФСР!A320:B1832,2),IF(D426&gt;0,VLOOKUP(D426,Программа!A$1:B$5008,2),IF(F426&gt;0,VLOOKUP(F426,КВР!A$1:B$5001,2),IF(E426&gt;0,VLOOKUP(E426,Направление!A$1:B$4660,2))))))</f>
        <v>Закупка товаров, работ и услуг для государственных нужд</v>
      </c>
      <c r="B426" s="85"/>
      <c r="C426" s="77"/>
      <c r="D426" s="78"/>
      <c r="E426" s="77"/>
      <c r="F426" s="78">
        <v>200</v>
      </c>
      <c r="G426" s="76">
        <v>89910</v>
      </c>
      <c r="H426" s="335"/>
      <c r="I426" s="42">
        <f t="shared" si="47"/>
        <v>89910</v>
      </c>
    </row>
    <row r="427" spans="1:9" s="20" customFormat="1" ht="31.5">
      <c r="A427" s="258" t="str">
        <f>IF(B427&gt;0,VLOOKUP(B427,КВСР!A318:B1483,2),IF(C427&gt;0,VLOOKUP(C427,КФСР!A318:B1830,2),IF(D427&gt;0,VLOOKUP(D427,Программа!A$1:B$5008,2),IF(F427&gt;0,VLOOKUP(F427,КВР!A$1:B$5001,2),IF(E427&gt;0,VLOOKUP(E427,Направление!A$1:B$4660,2))))))</f>
        <v>Департамент финансов администрации ТМР</v>
      </c>
      <c r="B427" s="81">
        <v>955</v>
      </c>
      <c r="C427" s="82"/>
      <c r="D427" s="83"/>
      <c r="E427" s="82"/>
      <c r="F427" s="83"/>
      <c r="G427" s="47">
        <v>24069765</v>
      </c>
      <c r="H427" s="47">
        <f>H428+H451+H455+H459+H466+H436</f>
        <v>0</v>
      </c>
      <c r="I427" s="47">
        <f>I428+I451+I455+I459+I466+I436</f>
        <v>24069765</v>
      </c>
    </row>
    <row r="428" spans="1:9" s="20" customFormat="1" ht="78.75">
      <c r="A428" s="41" t="str">
        <f>IF(B428&gt;0,VLOOKUP(B428,КВСР!A319:B1484,2),IF(C428&gt;0,VLOOKUP(C428,КФСР!A319:B1831,2),IF(D428&gt;0,VLOOKUP(D428,Программа!A$1:B$5008,2),IF(F428&gt;0,VLOOKUP(F428,КВР!A$1:B$5001,2),IF(E428&gt;0,VLOOKUP(E428,Направление!A$1:B$4660,2))))))</f>
        <v>Обеспечение деятельности финансовых, налоговых и таможенных органов и органов финансового (финансово-бюджетного) надзора</v>
      </c>
      <c r="B428" s="85"/>
      <c r="C428" s="77">
        <v>106</v>
      </c>
      <c r="D428" s="78"/>
      <c r="E428" s="77"/>
      <c r="F428" s="78"/>
      <c r="G428" s="43">
        <v>13541573</v>
      </c>
      <c r="H428" s="43">
        <f>H429</f>
        <v>0</v>
      </c>
      <c r="I428" s="42">
        <f t="shared" ref="I428:I469" si="51">SUM(G428:H428)</f>
        <v>13541573</v>
      </c>
    </row>
    <row r="429" spans="1:9" s="20" customFormat="1">
      <c r="A429" s="41" t="str">
        <f>IF(B429&gt;0,VLOOKUP(B429,КВСР!A320:B1485,2),IF(C429&gt;0,VLOOKUP(C429,КФСР!A320:B1832,2),IF(D429&gt;0,VLOOKUP(D429,Программа!A$1:B$5008,2),IF(F429&gt;0,VLOOKUP(F429,КВР!A$1:B$5001,2),IF(E429&gt;0,VLOOKUP(E429,Направление!A$1:B$4660,2))))))</f>
        <v>Непрограммные расходы бюджета</v>
      </c>
      <c r="B429" s="85"/>
      <c r="C429" s="77"/>
      <c r="D429" s="78">
        <v>409</v>
      </c>
      <c r="E429" s="77"/>
      <c r="F429" s="78"/>
      <c r="G429" s="43">
        <v>13541573</v>
      </c>
      <c r="H429" s="43">
        <f>H430+H434</f>
        <v>0</v>
      </c>
      <c r="I429" s="42">
        <f t="shared" si="51"/>
        <v>13541573</v>
      </c>
    </row>
    <row r="430" spans="1:9" s="20" customFormat="1">
      <c r="A430" s="41" t="str">
        <f>IF(B430&gt;0,VLOOKUP(B430,КВСР!A321:B1486,2),IF(C430&gt;0,VLOOKUP(C430,КФСР!A321:B1833,2),IF(D430&gt;0,VLOOKUP(D430,Программа!A$1:B$5008,2),IF(F430&gt;0,VLOOKUP(F430,КВР!A$1:B$5001,2),IF(E430&gt;0,VLOOKUP(E430,Направление!A$1:B$4660,2))))))</f>
        <v>Содержание центрального аппарата</v>
      </c>
      <c r="B430" s="85"/>
      <c r="C430" s="77"/>
      <c r="D430" s="83"/>
      <c r="E430" s="82">
        <v>1201</v>
      </c>
      <c r="F430" s="78"/>
      <c r="G430" s="76">
        <v>13301573</v>
      </c>
      <c r="H430" s="76">
        <f>H431+H432+H433</f>
        <v>0</v>
      </c>
      <c r="I430" s="42">
        <f t="shared" si="51"/>
        <v>13301573</v>
      </c>
    </row>
    <row r="431" spans="1:9" ht="110.25">
      <c r="A431" s="41" t="str">
        <f>IF(B431&gt;0,VLOOKUP(B431,КВСР!A322:B1487,2),IF(C431&gt;0,VLOOKUP(C431,КФСР!A322:B1834,2),IF(D431&gt;0,VLOOKUP(D431,Программа!A$1:B$5008,2),IF(F431&gt;0,VLOOKUP(F431,КВР!A$1:B$5001,2),IF(E431&gt;0,VLOOKUP(E431,Направление!A$1:B$4660,2))))))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31" s="85"/>
      <c r="C431" s="77"/>
      <c r="D431" s="78"/>
      <c r="E431" s="77"/>
      <c r="F431" s="78">
        <v>100</v>
      </c>
      <c r="G431" s="42">
        <v>10418405</v>
      </c>
      <c r="H431" s="334"/>
      <c r="I431" s="42">
        <f t="shared" si="51"/>
        <v>10418405</v>
      </c>
    </row>
    <row r="432" spans="1:9" ht="31.5">
      <c r="A432" s="41" t="str">
        <f>IF(B432&gt;0,VLOOKUP(B432,КВСР!A323:B1488,2),IF(C432&gt;0,VLOOKUP(C432,КФСР!A323:B1835,2),IF(D432&gt;0,VLOOKUP(D432,Программа!A$1:B$5008,2),IF(F432&gt;0,VLOOKUP(F432,КВР!A$1:B$5001,2),IF(E432&gt;0,VLOOKUP(E432,Направление!A$1:B$4660,2))))))</f>
        <v>Закупка товаров, работ и услуг для государственных нужд</v>
      </c>
      <c r="B432" s="85"/>
      <c r="C432" s="77"/>
      <c r="D432" s="78"/>
      <c r="E432" s="77"/>
      <c r="F432" s="78">
        <v>200</v>
      </c>
      <c r="G432" s="42">
        <v>2829668</v>
      </c>
      <c r="H432" s="334"/>
      <c r="I432" s="42">
        <f t="shared" si="51"/>
        <v>2829668</v>
      </c>
    </row>
    <row r="433" spans="1:9">
      <c r="A433" s="41" t="str">
        <f>IF(B433&gt;0,VLOOKUP(B433,КВСР!A324:B1489,2),IF(C433&gt;0,VLOOKUP(C433,КФСР!A324:B1836,2),IF(D433&gt;0,VLOOKUP(D433,Программа!A$1:B$5008,2),IF(F433&gt;0,VLOOKUP(F433,КВР!A$1:B$5001,2),IF(E433&gt;0,VLOOKUP(E433,Направление!A$1:B$4660,2))))))</f>
        <v>Иные бюджетные ассигнования</v>
      </c>
      <c r="B433" s="85"/>
      <c r="C433" s="77"/>
      <c r="D433" s="78"/>
      <c r="E433" s="77"/>
      <c r="F433" s="78">
        <v>800</v>
      </c>
      <c r="G433" s="42">
        <v>53500</v>
      </c>
      <c r="H433" s="334"/>
      <c r="I433" s="42">
        <f t="shared" si="51"/>
        <v>53500</v>
      </c>
    </row>
    <row r="434" spans="1:9" ht="78.75">
      <c r="A434" s="41" t="str">
        <f>IF(B434&gt;0,VLOOKUP(B434,КВСР!A325:B1490,2),IF(C434&gt;0,VLOOKUP(C434,КФСР!A325:B1837,2),IF(D434&gt;0,VLOOKUP(D434,Программа!A$1:B$5008,2),IF(F434&gt;0,VLOOKUP(F434,КВР!A$1:B$5001,2),IF(E434&gt;0,VLOOKUP(E434,Направление!A$1:B$4660,2))))))</f>
        <v>Расходы на обеспечение казначейской системы исполнения областного и местных бюджетов в муниципальных районах (городских округах) Ярославской области</v>
      </c>
      <c r="B434" s="85"/>
      <c r="C434" s="77"/>
      <c r="D434" s="78"/>
      <c r="E434" s="77">
        <v>7300</v>
      </c>
      <c r="F434" s="78"/>
      <c r="G434" s="42">
        <v>240000</v>
      </c>
      <c r="H434" s="42">
        <f>H435</f>
        <v>0</v>
      </c>
      <c r="I434" s="42">
        <f t="shared" si="51"/>
        <v>240000</v>
      </c>
    </row>
    <row r="435" spans="1:9" ht="31.5">
      <c r="A435" s="41" t="str">
        <f>IF(B435&gt;0,VLOOKUP(B435,КВСР!A326:B1491,2),IF(C435&gt;0,VLOOKUP(C435,КФСР!A326:B1838,2),IF(D435&gt;0,VLOOKUP(D435,Программа!A$1:B$5008,2),IF(F435&gt;0,VLOOKUP(F435,КВР!A$1:B$5001,2),IF(E435&gt;0,VLOOKUP(E435,Направление!A$1:B$4660,2))))))</f>
        <v>Закупка товаров, работ и услуг для государственных нужд</v>
      </c>
      <c r="B435" s="85"/>
      <c r="C435" s="77"/>
      <c r="D435" s="78"/>
      <c r="E435" s="77"/>
      <c r="F435" s="78">
        <v>200</v>
      </c>
      <c r="G435" s="42">
        <v>240000</v>
      </c>
      <c r="H435" s="334"/>
      <c r="I435" s="42">
        <f t="shared" si="51"/>
        <v>240000</v>
      </c>
    </row>
    <row r="436" spans="1:9" ht="31.5">
      <c r="A436" s="41" t="str">
        <f>IF(B436&gt;0,VLOOKUP(B436,КВСР!A327:B1492,2),IF(C436&gt;0,VLOOKUP(C436,КФСР!A327:B1839,2),IF(D436&gt;0,VLOOKUP(D436,Программа!A$1:B$5008,2),IF(F436&gt;0,VLOOKUP(F436,КВР!A$1:B$5001,2),IF(E436&gt;0,VLOOKUP(E436,Направление!A$1:B$4660,2))))))</f>
        <v>Другие общегосударственные вопросы</v>
      </c>
      <c r="B436" s="85"/>
      <c r="C436" s="77">
        <v>113</v>
      </c>
      <c r="D436" s="78"/>
      <c r="E436" s="77"/>
      <c r="F436" s="78"/>
      <c r="G436" s="42">
        <v>2223192</v>
      </c>
      <c r="H436" s="42">
        <f>H437+H441+H446</f>
        <v>0</v>
      </c>
      <c r="I436" s="42">
        <f t="shared" si="51"/>
        <v>2223192</v>
      </c>
    </row>
    <row r="437" spans="1:9" ht="31.5">
      <c r="A437" s="41" t="str">
        <f>IF(B437&gt;0,VLOOKUP(B437,КВСР!A328:B1493,2),IF(C437&gt;0,VLOOKUP(C437,КФСР!A328:B1840,2),IF(D437&gt;0,VLOOKUP(D437,Программа!A$1:B$5008,2),IF(F437&gt;0,VLOOKUP(F437,КВР!A$1:B$5001,2),IF(E437&gt;0,VLOOKUP(E437,Направление!A$1:B$4660,2))))))</f>
        <v>Создание единого информационного пространства</v>
      </c>
      <c r="B437" s="85"/>
      <c r="C437" s="77"/>
      <c r="D437" s="78">
        <v>110</v>
      </c>
      <c r="E437" s="77"/>
      <c r="F437" s="78"/>
      <c r="G437" s="42">
        <v>82460</v>
      </c>
      <c r="H437" s="42">
        <f t="shared" ref="H437:H438" si="52">H438</f>
        <v>0</v>
      </c>
      <c r="I437" s="42">
        <f t="shared" si="51"/>
        <v>82460</v>
      </c>
    </row>
    <row r="438" spans="1:9" ht="63">
      <c r="A438" s="41" t="str">
        <f>IF(B438&gt;0,VLOOKUP(B438,КВСР!A329:B1494,2),IF(C438&gt;0,VLOOKUP(C438,КФСР!A329:B1841,2),IF(D438&gt;0,VLOOKUP(D438,Программа!A$1:B$5008,2),IF(F438&gt;0,VLOOKUP(F438,КВР!A$1:B$5001,2),IF(E438&gt;0,VLOOKUP(E438,Направление!A$1:B$4660,2))))))</f>
        <v>Муниципальная целевая программа «Информатизация управленческой деятельности Администрации ТМР на 2013-2014 годы».</v>
      </c>
      <c r="B438" s="85"/>
      <c r="C438" s="77"/>
      <c r="D438" s="78">
        <v>111</v>
      </c>
      <c r="E438" s="77"/>
      <c r="F438" s="78"/>
      <c r="G438" s="42">
        <v>82460</v>
      </c>
      <c r="H438" s="42">
        <f t="shared" si="52"/>
        <v>0</v>
      </c>
      <c r="I438" s="42">
        <f t="shared" si="51"/>
        <v>82460</v>
      </c>
    </row>
    <row r="439" spans="1:9" ht="31.5">
      <c r="A439" s="41" t="str">
        <f>IF(B439&gt;0,VLOOKUP(B439,КВСР!A330:B1495,2),IF(C439&gt;0,VLOOKUP(C439,КФСР!A330:B1842,2),IF(D439&gt;0,VLOOKUP(D439,Программа!A$1:B$5008,2),IF(F439&gt;0,VLOOKUP(F439,КВР!A$1:B$5001,2),IF(E439&gt;0,VLOOKUP(E439,Направление!A$1:B$4660,2))))))</f>
        <v>Расходы на проведение мероприятий по информатизации</v>
      </c>
      <c r="B439" s="85"/>
      <c r="C439" s="77"/>
      <c r="D439" s="78"/>
      <c r="E439" s="77">
        <v>1221</v>
      </c>
      <c r="F439" s="78"/>
      <c r="G439" s="42">
        <v>82460</v>
      </c>
      <c r="H439" s="42">
        <f t="shared" ref="H439" si="53">H440</f>
        <v>0</v>
      </c>
      <c r="I439" s="42">
        <f t="shared" si="51"/>
        <v>82460</v>
      </c>
    </row>
    <row r="440" spans="1:9" ht="31.5">
      <c r="A440" s="41" t="str">
        <f>IF(B440&gt;0,VLOOKUP(B440,КВСР!A331:B1496,2),IF(C440&gt;0,VLOOKUP(C440,КФСР!A331:B1843,2),IF(D440&gt;0,VLOOKUP(D440,Программа!A$1:B$5008,2),IF(F440&gt;0,VLOOKUP(F440,КВР!A$1:B$5001,2),IF(E440&gt;0,VLOOKUP(E440,Направление!A$1:B$4660,2))))))</f>
        <v>Закупка товаров, работ и услуг для государственных нужд</v>
      </c>
      <c r="B440" s="85"/>
      <c r="C440" s="77"/>
      <c r="D440" s="78"/>
      <c r="E440" s="77"/>
      <c r="F440" s="78">
        <v>200</v>
      </c>
      <c r="G440" s="42">
        <v>82460</v>
      </c>
      <c r="H440" s="334"/>
      <c r="I440" s="42">
        <f t="shared" si="51"/>
        <v>82460</v>
      </c>
    </row>
    <row r="441" spans="1:9" ht="22.5" customHeight="1">
      <c r="A441" s="41" t="str">
        <f>IF(B441&gt;0,VLOOKUP(B441,КВСР!A331:B1496,2),IF(C441&gt;0,VLOOKUP(C441,КФСР!A331:B1843,2),IF(D441&gt;0,VLOOKUP(D441,Программа!A$1:B$5008,2),IF(F441&gt;0,VLOOKUP(F441,КВР!A$1:B$5001,2),IF(E441&gt;0,VLOOKUP(E441,Направление!A$1:B$4660,2))))))</f>
        <v>Непрограммные расходы бюджета</v>
      </c>
      <c r="B441" s="85"/>
      <c r="C441" s="77"/>
      <c r="D441" s="78">
        <v>409</v>
      </c>
      <c r="E441" s="77"/>
      <c r="F441" s="78"/>
      <c r="G441" s="42">
        <v>1191732</v>
      </c>
      <c r="H441" s="340">
        <f>H444+H442</f>
        <v>0</v>
      </c>
      <c r="I441" s="42">
        <f t="shared" si="51"/>
        <v>1191732</v>
      </c>
    </row>
    <row r="442" spans="1:9" ht="47.25">
      <c r="A442" s="41" t="str">
        <f>IF(B442&gt;0,VLOOKUP(B442,КВСР!A332:B1497,2),IF(C442&gt;0,VLOOKUP(C442,КФСР!A332:B1844,2),IF(D442&gt;0,VLOOKUP(D442,Программа!A$1:B$5008,2),IF(F442&gt;0,VLOOKUP(F442,КВР!A$1:B$5001,2),IF(E442&gt;0,VLOOKUP(E442,Направление!A$1:B$4660,2))))))</f>
        <v>Расходы на развитие органов местного самоуправления на территории ЯО</v>
      </c>
      <c r="B442" s="85"/>
      <c r="C442" s="77"/>
      <c r="D442" s="78"/>
      <c r="E442" s="77">
        <v>1230</v>
      </c>
      <c r="F442" s="78"/>
      <c r="G442" s="42">
        <v>266000</v>
      </c>
      <c r="H442" s="340">
        <f>H443</f>
        <v>0</v>
      </c>
      <c r="I442" s="42">
        <f t="shared" si="51"/>
        <v>266000</v>
      </c>
    </row>
    <row r="443" spans="1:9" ht="110.25">
      <c r="A443" s="41" t="str">
        <f>IF(B443&gt;0,VLOOKUP(B443,КВСР!A331:B1496,2),IF(C443&gt;0,VLOOKUP(C443,КФСР!A331:B1843,2),IF(D443&gt;0,VLOOKUP(D443,Программа!A$1:B$5008,2),IF(F443&gt;0,VLOOKUP(F443,КВР!A$1:B$5001,2),IF(E443&gt;0,VLOOKUP(E443,Направление!A$1:B$4660,2))))))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43" s="85"/>
      <c r="C443" s="77"/>
      <c r="D443" s="78"/>
      <c r="E443" s="77"/>
      <c r="F443" s="78">
        <v>100</v>
      </c>
      <c r="G443" s="42">
        <v>266000</v>
      </c>
      <c r="H443" s="334"/>
      <c r="I443" s="42">
        <f t="shared" si="51"/>
        <v>266000</v>
      </c>
    </row>
    <row r="444" spans="1:9" ht="47.25">
      <c r="A444" s="41" t="str">
        <f>IF(B444&gt;0,VLOOKUP(B444,КВСР!A332:B1497,2),IF(C444&gt;0,VLOOKUP(C444,КФСР!A332:B1844,2),IF(D444&gt;0,VLOOKUP(D444,Программа!A$1:B$5008,2),IF(F444&gt;0,VLOOKUP(F444,КВР!A$1:B$5001,2),IF(E444&gt;0,VLOOKUP(E444,Направление!A$1:B$4660,2))))))</f>
        <v>Расходы на развитие органов местного самоуправления на территории ЯО</v>
      </c>
      <c r="B444" s="85"/>
      <c r="C444" s="77"/>
      <c r="D444" s="78"/>
      <c r="E444" s="77">
        <v>7228</v>
      </c>
      <c r="F444" s="78"/>
      <c r="G444" s="42">
        <v>925732</v>
      </c>
      <c r="H444" s="340">
        <f>H445</f>
        <v>0</v>
      </c>
      <c r="I444" s="42">
        <f t="shared" si="51"/>
        <v>925732</v>
      </c>
    </row>
    <row r="445" spans="1:9" ht="110.25">
      <c r="A445" s="41" t="str">
        <f>IF(B445&gt;0,VLOOKUP(B445,КВСР!A333:B1498,2),IF(C445&gt;0,VLOOKUP(C445,КФСР!A333:B1845,2),IF(D445&gt;0,VLOOKUP(D445,Программа!A$1:B$5008,2),IF(F445&gt;0,VLOOKUP(F445,КВР!A$1:B$5001,2),IF(E445&gt;0,VLOOKUP(E445,Направление!A$1:B$4660,2))))))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45" s="85"/>
      <c r="C445" s="77"/>
      <c r="D445" s="78"/>
      <c r="E445" s="77"/>
      <c r="F445" s="78">
        <v>100</v>
      </c>
      <c r="G445" s="42">
        <v>925732</v>
      </c>
      <c r="H445" s="334"/>
      <c r="I445" s="42">
        <f t="shared" si="51"/>
        <v>925732</v>
      </c>
    </row>
    <row r="446" spans="1:9" ht="31.5">
      <c r="A446" s="41" t="str">
        <f>IF(B446&gt;0,VLOOKUP(B446,КВСР!A331:B1496,2),IF(C446&gt;0,VLOOKUP(C446,КФСР!A331:B1843,2),IF(D446&gt;0,VLOOKUP(D446,Программа!A$1:B$5008,2),IF(F446&gt;0,VLOOKUP(F446,КВР!A$1:B$5001,2),IF(E446&gt;0,VLOOKUP(E446,Направление!A$1:B$4660,2))))))</f>
        <v>Межбюджетные трансферты  поселениям района</v>
      </c>
      <c r="B446" s="85"/>
      <c r="C446" s="77"/>
      <c r="D446" s="78">
        <v>990</v>
      </c>
      <c r="E446" s="77"/>
      <c r="F446" s="78"/>
      <c r="G446" s="42">
        <v>949000</v>
      </c>
      <c r="H446" s="340">
        <f>H447+H449</f>
        <v>0</v>
      </c>
      <c r="I446" s="42">
        <f t="shared" si="51"/>
        <v>949000</v>
      </c>
    </row>
    <row r="447" spans="1:9" ht="47.25">
      <c r="A447" s="41" t="str">
        <f>IF(B447&gt;0,VLOOKUP(B447,КВСР!A332:B1497,2),IF(C447&gt;0,VLOOKUP(C447,КФСР!A332:B1844,2),IF(D447&gt;0,VLOOKUP(D447,Программа!A$1:B$5008,2),IF(F447&gt;0,VLOOKUP(F447,КВР!A$1:B$5001,2),IF(E447&gt;0,VLOOKUP(E447,Направление!A$1:B$4660,2))))))</f>
        <v>Расходы на развитие органов местного самоуправления на территории ЯО</v>
      </c>
      <c r="B447" s="85"/>
      <c r="C447" s="77"/>
      <c r="D447" s="78"/>
      <c r="E447" s="77">
        <v>7228</v>
      </c>
      <c r="F447" s="78"/>
      <c r="G447" s="42">
        <v>751000</v>
      </c>
      <c r="H447" s="340">
        <f>H448</f>
        <v>0</v>
      </c>
      <c r="I447" s="42">
        <f t="shared" si="51"/>
        <v>751000</v>
      </c>
    </row>
    <row r="448" spans="1:9">
      <c r="A448" s="41" t="str">
        <f>IF(B448&gt;0,VLOOKUP(B448,КВСР!A333:B1498,2),IF(C448&gt;0,VLOOKUP(C448,КФСР!A333:B1845,2),IF(D448&gt;0,VLOOKUP(D448,Программа!A$1:B$5008,2),IF(F448&gt;0,VLOOKUP(F448,КВР!A$1:B$5001,2),IF(E448&gt;0,VLOOKUP(E448,Направление!A$1:B$4660,2))))))</f>
        <v xml:space="preserve"> Межбюджетные трансферты</v>
      </c>
      <c r="B448" s="85"/>
      <c r="C448" s="77"/>
      <c r="D448" s="78"/>
      <c r="E448" s="77"/>
      <c r="F448" s="78">
        <v>500</v>
      </c>
      <c r="G448" s="42">
        <v>751000</v>
      </c>
      <c r="H448" s="334"/>
      <c r="I448" s="42">
        <f t="shared" si="51"/>
        <v>751000</v>
      </c>
    </row>
    <row r="449" spans="1:9" ht="47.25">
      <c r="A449" s="41" t="str">
        <f>IF(B449&gt;0,VLOOKUP(B449,КВСР!A332:B1497,2),IF(C449&gt;0,VLOOKUP(C449,КФСР!A332:B1844,2),IF(D449&gt;0,VLOOKUP(D449,Программа!A$1:B$5008,2),IF(F449&gt;0,VLOOKUP(F449,КВР!A$1:B$5001,2),IF(E449&gt;0,VLOOKUP(E449,Направление!A$1:B$4660,2))))))</f>
        <v>Расходы на реализацию ОЦП "Развитие органов местного самоуправления на территории ЯО"</v>
      </c>
      <c r="B449" s="85"/>
      <c r="C449" s="77"/>
      <c r="D449" s="78"/>
      <c r="E449" s="77">
        <v>7229</v>
      </c>
      <c r="F449" s="78"/>
      <c r="G449" s="42">
        <v>198000</v>
      </c>
      <c r="H449" s="340">
        <f>H450</f>
        <v>0</v>
      </c>
      <c r="I449" s="42">
        <f t="shared" si="51"/>
        <v>198000</v>
      </c>
    </row>
    <row r="450" spans="1:9">
      <c r="A450" s="41" t="str">
        <f>IF(B450&gt;0,VLOOKUP(B450,КВСР!A333:B1498,2),IF(C450&gt;0,VLOOKUP(C450,КФСР!A333:B1845,2),IF(D450&gt;0,VLOOKUP(D450,Программа!A$1:B$5008,2),IF(F450&gt;0,VLOOKUP(F450,КВР!A$1:B$5001,2),IF(E450&gt;0,VLOOKUP(E450,Направление!A$1:B$4660,2))))))</f>
        <v xml:space="preserve"> Межбюджетные трансферты</v>
      </c>
      <c r="B450" s="85"/>
      <c r="C450" s="77"/>
      <c r="D450" s="78"/>
      <c r="E450" s="77"/>
      <c r="F450" s="78">
        <v>500</v>
      </c>
      <c r="G450" s="42">
        <v>198000</v>
      </c>
      <c r="H450" s="334"/>
      <c r="I450" s="42">
        <f t="shared" si="51"/>
        <v>198000</v>
      </c>
    </row>
    <row r="451" spans="1:9" ht="31.5">
      <c r="A451" s="41" t="str">
        <f>IF(B451&gt;0,VLOOKUP(B451,КВСР!A334:B1499,2),IF(C451&gt;0,VLOOKUP(C451,КФСР!A334:B1846,2),IF(D451&gt;0,VLOOKUP(D451,Программа!A$1:B$5008,2),IF(F451&gt;0,VLOOKUP(F451,КВР!A$1:B$5001,2),IF(E451&gt;0,VLOOKUP(E451,Направление!A$1:B$4660,2))))))</f>
        <v>Мобилизационная и вневойсковая подготовка</v>
      </c>
      <c r="B451" s="85"/>
      <c r="C451" s="77">
        <v>203</v>
      </c>
      <c r="D451" s="78"/>
      <c r="E451" s="77"/>
      <c r="F451" s="78"/>
      <c r="G451" s="42">
        <v>884000</v>
      </c>
      <c r="H451" s="42">
        <f t="shared" ref="H451:H453" si="54">H452</f>
        <v>0</v>
      </c>
      <c r="I451" s="42">
        <f t="shared" si="51"/>
        <v>884000</v>
      </c>
    </row>
    <row r="452" spans="1:9" ht="31.5">
      <c r="A452" s="41" t="str">
        <f>IF(B452&gt;0,VLOOKUP(B452,КВСР!A335:B1500,2),IF(C452&gt;0,VLOOKUP(C452,КФСР!A335:B1847,2),IF(D452&gt;0,VLOOKUP(D452,Программа!A$1:B$5008,2),IF(F452&gt;0,VLOOKUP(F452,КВР!A$1:B$5001,2),IF(E452&gt;0,VLOOKUP(E452,Направление!A$1:B$4660,2))))))</f>
        <v>Межбюджетные трансферты  поселениям района</v>
      </c>
      <c r="B452" s="85"/>
      <c r="C452" s="77"/>
      <c r="D452" s="78">
        <v>990</v>
      </c>
      <c r="E452" s="77"/>
      <c r="F452" s="78"/>
      <c r="G452" s="42">
        <v>884000</v>
      </c>
      <c r="H452" s="42">
        <f t="shared" si="54"/>
        <v>0</v>
      </c>
      <c r="I452" s="42">
        <f t="shared" si="51"/>
        <v>884000</v>
      </c>
    </row>
    <row r="453" spans="1:9" ht="63">
      <c r="A453" s="41" t="str">
        <f>IF(B453&gt;0,VLOOKUP(B453,КВСР!A336:B1501,2),IF(C453&gt;0,VLOOKUP(C453,КФСР!A336:B1848,2),IF(D453&gt;0,VLOOKUP(D453,Программа!A$1:B$5008,2),IF(F453&gt;0,VLOOKUP(F453,КВР!A$1:B$5001,2),IF(E453&gt;0,VLOOKUP(E453,Направление!A$1:B$4660,2))))))</f>
        <v>Субвенция  на осуществление первичного воинского учета на территориях, где отсутствуют воинские комиссариаты</v>
      </c>
      <c r="B453" s="85"/>
      <c r="C453" s="77"/>
      <c r="D453" s="78"/>
      <c r="E453" s="77">
        <v>5118</v>
      </c>
      <c r="F453" s="78"/>
      <c r="G453" s="42">
        <v>884000</v>
      </c>
      <c r="H453" s="42">
        <f t="shared" si="54"/>
        <v>0</v>
      </c>
      <c r="I453" s="42">
        <f t="shared" si="51"/>
        <v>884000</v>
      </c>
    </row>
    <row r="454" spans="1:9">
      <c r="A454" s="41" t="str">
        <f>IF(B454&gt;0,VLOOKUP(B454,КВСР!A337:B1502,2),IF(C454&gt;0,VLOOKUP(C454,КФСР!A337:B1849,2),IF(D454&gt;0,VLOOKUP(D454,Программа!A$1:B$5008,2),IF(F454&gt;0,VLOOKUP(F454,КВР!A$1:B$5001,2),IF(E454&gt;0,VLOOKUP(E454,Направление!A$1:B$4660,2))))))</f>
        <v xml:space="preserve"> Межбюджетные трансферты</v>
      </c>
      <c r="B454" s="85"/>
      <c r="C454" s="77"/>
      <c r="D454" s="78"/>
      <c r="E454" s="77"/>
      <c r="F454" s="78">
        <v>500</v>
      </c>
      <c r="G454" s="42">
        <v>884000</v>
      </c>
      <c r="H454" s="334"/>
      <c r="I454" s="42">
        <f t="shared" si="51"/>
        <v>884000</v>
      </c>
    </row>
    <row r="455" spans="1:9" ht="47.25">
      <c r="A455" s="41" t="str">
        <f>IF(B455&gt;0,VLOOKUP(B455,КВСР!A338:B1503,2),IF(C455&gt;0,VLOOKUP(C455,КФСР!A338:B1850,2),IF(D455&gt;0,VLOOKUP(D455,Программа!A$1:B$5008,2),IF(F455&gt;0,VLOOKUP(F455,КВР!A$1:B$5001,2),IF(E455&gt;0,VLOOKUP(E455,Направление!A$1:B$4660,2))))))</f>
        <v>Обслуживание внутреннего государственного и муниципального долга</v>
      </c>
      <c r="B455" s="85"/>
      <c r="C455" s="77">
        <v>1301</v>
      </c>
      <c r="D455" s="78"/>
      <c r="E455" s="77"/>
      <c r="F455" s="78"/>
      <c r="G455" s="43">
        <v>1610000</v>
      </c>
      <c r="H455" s="43">
        <f t="shared" ref="H455:H457" si="55">H456</f>
        <v>0</v>
      </c>
      <c r="I455" s="42">
        <f t="shared" si="51"/>
        <v>1610000</v>
      </c>
    </row>
    <row r="456" spans="1:9">
      <c r="A456" s="41" t="str">
        <f>IF(B456&gt;0,VLOOKUP(B456,КВСР!A339:B1504,2),IF(C456&gt;0,VLOOKUP(C456,КФСР!A339:B1851,2),IF(D456&gt;0,VLOOKUP(D456,Программа!A$1:B$5008,2),IF(F456&gt;0,VLOOKUP(F456,КВР!A$1:B$5001,2),IF(E456&gt;0,VLOOKUP(E456,Направление!A$1:B$4660,2))))))</f>
        <v>Непрограммные расходы бюджета</v>
      </c>
      <c r="B456" s="85"/>
      <c r="C456" s="77"/>
      <c r="D456" s="78">
        <v>409</v>
      </c>
      <c r="E456" s="77"/>
      <c r="F456" s="78"/>
      <c r="G456" s="43">
        <v>1610000</v>
      </c>
      <c r="H456" s="43">
        <f t="shared" si="55"/>
        <v>0</v>
      </c>
      <c r="I456" s="42">
        <f t="shared" si="51"/>
        <v>1610000</v>
      </c>
    </row>
    <row r="457" spans="1:9" ht="47.25">
      <c r="A457" s="41" t="str">
        <f>IF(B457&gt;0,VLOOKUP(B457,КВСР!A340:B1505,2),IF(C457&gt;0,VLOOKUP(C457,КФСР!A340:B1852,2),IF(D457&gt;0,VLOOKUP(D457,Программа!A$1:B$5008,2),IF(F457&gt;0,VLOOKUP(F457,КВР!A$1:B$5001,2),IF(E457&gt;0,VLOOKUP(E457,Направление!A$1:B$4660,2))))))</f>
        <v>Процентные платежи по обслуживанию муниципального долга</v>
      </c>
      <c r="B457" s="85"/>
      <c r="C457" s="77"/>
      <c r="D457" s="78"/>
      <c r="E457" s="77">
        <v>1280</v>
      </c>
      <c r="F457" s="78"/>
      <c r="G457" s="43">
        <v>1610000</v>
      </c>
      <c r="H457" s="43">
        <f t="shared" si="55"/>
        <v>0</v>
      </c>
      <c r="I457" s="42">
        <f t="shared" si="51"/>
        <v>1610000</v>
      </c>
    </row>
    <row r="458" spans="1:9" ht="31.5">
      <c r="A458" s="41" t="str">
        <f>IF(B458&gt;0,VLOOKUP(B458,КВСР!A341:B1506,2),IF(C458&gt;0,VLOOKUP(C458,КФСР!A341:B1853,2),IF(D458&gt;0,VLOOKUP(D458,Программа!A$1:B$5008,2),IF(F458&gt;0,VLOOKUP(F458,КВР!A$1:B$5001,2),IF(E458&gt;0,VLOOKUP(E458,Направление!A$1:B$4660,2))))))</f>
        <v>Обслуживание государственного долга Российской Федерации</v>
      </c>
      <c r="B458" s="85"/>
      <c r="C458" s="77"/>
      <c r="D458" s="78"/>
      <c r="E458" s="77"/>
      <c r="F458" s="78">
        <v>700</v>
      </c>
      <c r="G458" s="42">
        <v>1610000</v>
      </c>
      <c r="H458" s="334"/>
      <c r="I458" s="42">
        <f t="shared" si="51"/>
        <v>1610000</v>
      </c>
    </row>
    <row r="459" spans="1:9" ht="63">
      <c r="A459" s="41" t="str">
        <f>IF(B459&gt;0,VLOOKUP(B459,КВСР!A342:B1507,2),IF(C459&gt;0,VLOOKUP(C459,КФСР!A342:B1854,2),IF(D459&gt;0,VLOOKUP(D459,Программа!A$1:B$5008,2),IF(F459&gt;0,VLOOKUP(F459,КВР!A$1:B$5001,2),IF(E459&gt;0,VLOOKUP(E459,Направление!A$1:B$4660,2))))))</f>
        <v>Дотации на выравнивание бюджетной обеспеченности субъектов Российской Федерации и муниципальных образований</v>
      </c>
      <c r="B459" s="85"/>
      <c r="C459" s="77">
        <v>1401</v>
      </c>
      <c r="D459" s="78"/>
      <c r="E459" s="77"/>
      <c r="F459" s="78"/>
      <c r="G459" s="43">
        <v>4014000</v>
      </c>
      <c r="H459" s="43">
        <f>+H460+H463</f>
        <v>0</v>
      </c>
      <c r="I459" s="42">
        <f t="shared" si="51"/>
        <v>4014000</v>
      </c>
    </row>
    <row r="460" spans="1:9">
      <c r="A460" s="41" t="str">
        <f>IF(B460&gt;0,VLOOKUP(B460,КВСР!A346:B1511,2),IF(C460&gt;0,VLOOKUP(C460,КФСР!A346:B1858,2),IF(D460&gt;0,VLOOKUP(D460,Программа!A$1:B$5008,2),IF(F460&gt;0,VLOOKUP(F460,КВР!A$1:B$5001,2),IF(E460&gt;0,VLOOKUP(E460,Направление!A$1:B$4660,2))))))</f>
        <v>Непрограммные расходы бюджета</v>
      </c>
      <c r="B460" s="85"/>
      <c r="C460" s="77"/>
      <c r="D460" s="78">
        <v>409</v>
      </c>
      <c r="E460" s="77"/>
      <c r="F460" s="78"/>
      <c r="G460" s="42">
        <v>534000</v>
      </c>
      <c r="H460" s="42">
        <f>H461</f>
        <v>0</v>
      </c>
      <c r="I460" s="42">
        <f t="shared" si="51"/>
        <v>534000</v>
      </c>
    </row>
    <row r="461" spans="1:9" ht="47.25">
      <c r="A461" s="41" t="str">
        <f>IF(B461&gt;0,VLOOKUP(B461,КВСР!A347:B1512,2),IF(C461&gt;0,VLOOKUP(C461,КФСР!A347:B1859,2),IF(D461&gt;0,VLOOKUP(D461,Программа!A$1:B$5008,2),IF(F461&gt;0,VLOOKUP(F461,КВР!A$1:B$5001,2),IF(E461&gt;0,VLOOKUP(E461,Направление!A$1:B$4660,2))))))</f>
        <v>Дотации поселениям района  на выравнивание бюджетной обеспеченности</v>
      </c>
      <c r="B461" s="85"/>
      <c r="C461" s="77"/>
      <c r="D461" s="78"/>
      <c r="E461" s="77">
        <v>1080</v>
      </c>
      <c r="F461" s="78"/>
      <c r="G461" s="95">
        <v>534000</v>
      </c>
      <c r="H461" s="95">
        <f>H462</f>
        <v>0</v>
      </c>
      <c r="I461" s="42">
        <f t="shared" si="51"/>
        <v>534000</v>
      </c>
    </row>
    <row r="462" spans="1:9">
      <c r="A462" s="41" t="str">
        <f>IF(B462&gt;0,VLOOKUP(B462,КВСР!A348:B1513,2),IF(C462&gt;0,VLOOKUP(C462,КФСР!A348:B1860,2),IF(D462&gt;0,VLOOKUP(D462,Программа!A$1:B$5008,2),IF(F462&gt;0,VLOOKUP(F462,КВР!A$1:B$5001,2),IF(E462&gt;0,VLOOKUP(E462,Направление!A$1:B$4660,2))))))</f>
        <v xml:space="preserve"> Межбюджетные трансферты</v>
      </c>
      <c r="B462" s="85"/>
      <c r="C462" s="77"/>
      <c r="D462" s="78"/>
      <c r="E462" s="77"/>
      <c r="F462" s="78">
        <v>500</v>
      </c>
      <c r="G462" s="95">
        <v>534000</v>
      </c>
      <c r="H462" s="336"/>
      <c r="I462" s="42">
        <f t="shared" si="51"/>
        <v>534000</v>
      </c>
    </row>
    <row r="463" spans="1:9" ht="31.5">
      <c r="A463" s="41" t="str">
        <f>IF(B463&gt;0,VLOOKUP(B463,КВСР!A349:B1514,2),IF(C463&gt;0,VLOOKUP(C463,КФСР!A349:B1861,2),IF(D463&gt;0,VLOOKUP(D463,Программа!A$1:B$5008,2),IF(F463&gt;0,VLOOKUP(F463,КВР!A$1:B$5001,2),IF(E463&gt;0,VLOOKUP(E463,Направление!A$1:B$4660,2))))))</f>
        <v>Межбюджетные трансферты  поселениям района</v>
      </c>
      <c r="B463" s="85"/>
      <c r="C463" s="77"/>
      <c r="D463" s="78">
        <v>990</v>
      </c>
      <c r="E463" s="77"/>
      <c r="F463" s="78"/>
      <c r="G463" s="95">
        <v>3480000</v>
      </c>
      <c r="H463" s="95">
        <f>H464</f>
        <v>0</v>
      </c>
      <c r="I463" s="42">
        <f t="shared" si="51"/>
        <v>3480000</v>
      </c>
    </row>
    <row r="464" spans="1:9" ht="47.25">
      <c r="A464" s="41" t="str">
        <f>IF(B464&gt;0,VLOOKUP(B464,КВСР!A350:B1515,2),IF(C464&gt;0,VLOOKUP(C464,КФСР!A350:B1862,2),IF(D464&gt;0,VLOOKUP(D464,Программа!A$1:B$5008,2),IF(F464&gt;0,VLOOKUP(F464,КВР!A$1:B$5001,2),IF(E464&gt;0,VLOOKUP(E464,Направление!A$1:B$4660,2))))))</f>
        <v>Дотации поселениям Ярославской области на выравнивание бюджетной обеспеченности</v>
      </c>
      <c r="B464" s="85"/>
      <c r="C464" s="77"/>
      <c r="D464" s="78"/>
      <c r="E464" s="77">
        <v>7297</v>
      </c>
      <c r="F464" s="78"/>
      <c r="G464" s="95">
        <v>3480000</v>
      </c>
      <c r="H464" s="95">
        <f>H465</f>
        <v>0</v>
      </c>
      <c r="I464" s="42">
        <f t="shared" si="51"/>
        <v>3480000</v>
      </c>
    </row>
    <row r="465" spans="1:9">
      <c r="A465" s="41" t="str">
        <f>IF(B465&gt;0,VLOOKUP(B465,КВСР!A351:B1516,2),IF(C465&gt;0,VLOOKUP(C465,КФСР!A351:B1863,2),IF(D465&gt;0,VLOOKUP(D465,Программа!A$1:B$5008,2),IF(F465&gt;0,VLOOKUP(F465,КВР!A$1:B$5001,2),IF(E465&gt;0,VLOOKUP(E465,Направление!A$1:B$4660,2))))))</f>
        <v xml:space="preserve"> Межбюджетные трансферты</v>
      </c>
      <c r="B465" s="85"/>
      <c r="C465" s="77"/>
      <c r="D465" s="78"/>
      <c r="E465" s="77"/>
      <c r="F465" s="78">
        <v>500</v>
      </c>
      <c r="G465" s="95">
        <v>3480000</v>
      </c>
      <c r="H465" s="336"/>
      <c r="I465" s="42">
        <f t="shared" si="51"/>
        <v>3480000</v>
      </c>
    </row>
    <row r="466" spans="1:9">
      <c r="A466" s="41" t="str">
        <f>IF(B466&gt;0,VLOOKUP(B466,КВСР!A352:B1517,2),IF(C466&gt;0,VLOOKUP(C466,КФСР!A352:B1864,2),IF(D466&gt;0,VLOOKUP(D466,Программа!A$1:B$5008,2),IF(F466&gt;0,VLOOKUP(F466,КВР!A$1:B$5001,2),IF(E466&gt;0,VLOOKUP(E466,Направление!A$1:B$4660,2))))))</f>
        <v>Иные дотации</v>
      </c>
      <c r="B466" s="85"/>
      <c r="C466" s="77">
        <v>1402</v>
      </c>
      <c r="D466" s="78"/>
      <c r="E466" s="77"/>
      <c r="F466" s="78"/>
      <c r="G466" s="95">
        <v>1797000</v>
      </c>
      <c r="H466" s="370">
        <f t="shared" ref="H466:H468" si="56">H467</f>
        <v>0</v>
      </c>
      <c r="I466" s="42">
        <f t="shared" si="51"/>
        <v>1797000</v>
      </c>
    </row>
    <row r="467" spans="1:9" ht="45" customHeight="1">
      <c r="A467" s="41" t="str">
        <f>IF(B467&gt;0,VLOOKUP(B467,КВСР!A353:B1518,2),IF(C467&gt;0,VLOOKUP(C467,КФСР!A353:B1865,2),IF(D467&gt;0,VLOOKUP(D467,Программа!A$1:B$5008,2),IF(F467&gt;0,VLOOKUP(F467,КВР!A$1:B$5001,2),IF(E467&gt;0,VLOOKUP(E467,Направление!A$1:B$4660,2))))))</f>
        <v>Межбюджетные трансферты  поселениям района</v>
      </c>
      <c r="B467" s="85"/>
      <c r="C467" s="77"/>
      <c r="D467" s="78">
        <v>990</v>
      </c>
      <c r="E467" s="77"/>
      <c r="F467" s="78"/>
      <c r="G467" s="95">
        <v>1797000</v>
      </c>
      <c r="H467" s="370">
        <f t="shared" si="56"/>
        <v>0</v>
      </c>
      <c r="I467" s="42">
        <f t="shared" si="51"/>
        <v>1797000</v>
      </c>
    </row>
    <row r="468" spans="1:9" ht="67.5" customHeight="1">
      <c r="A468" s="41" t="str">
        <f>IF(B468&gt;0,VLOOKUP(B468,КВСР!A354:B1519,2),IF(C468&gt;0,VLOOKUP(C468,КФСР!A354:B1866,2),IF(D468&gt;0,VLOOKUP(D468,Программа!A$1:B$5008,2),IF(F468&gt;0,VLOOKUP(F468,КВР!A$1:B$5001,2),IF(E468&gt;0,VLOOKUP(E468,Направление!A$1:B$4660,2))))))</f>
        <v>Дотации на реализацию мероприятий, предусмотренных НПА ОГВ, в рамках п.3 ст.8 Закона ЯО от 07.10.2008 г. № 40-з "О межбюджетных отношениях"</v>
      </c>
      <c r="B468" s="85"/>
      <c r="C468" s="77"/>
      <c r="D468" s="78"/>
      <c r="E468" s="77">
        <v>7326</v>
      </c>
      <c r="F468" s="78"/>
      <c r="G468" s="95">
        <v>1797000</v>
      </c>
      <c r="H468" s="370">
        <f t="shared" si="56"/>
        <v>0</v>
      </c>
      <c r="I468" s="42">
        <f t="shared" si="51"/>
        <v>1797000</v>
      </c>
    </row>
    <row r="469" spans="1:9" ht="27" customHeight="1">
      <c r="A469" s="41" t="str">
        <f>IF(B469&gt;0,VLOOKUP(B469,КВСР!A355:B1520,2),IF(C469&gt;0,VLOOKUP(C469,КФСР!A355:B1867,2),IF(D469&gt;0,VLOOKUP(D469,Программа!A$1:B$5008,2),IF(F469&gt;0,VLOOKUP(F469,КВР!A$1:B$5001,2),IF(E469&gt;0,VLOOKUP(E469,Направление!A$1:B$4660,2))))))</f>
        <v xml:space="preserve"> Межбюджетные трансферты</v>
      </c>
      <c r="B469" s="85"/>
      <c r="C469" s="77"/>
      <c r="D469" s="78"/>
      <c r="E469" s="77"/>
      <c r="F469" s="78">
        <v>500</v>
      </c>
      <c r="G469" s="95">
        <v>1797000</v>
      </c>
      <c r="H469" s="336"/>
      <c r="I469" s="42">
        <f t="shared" si="51"/>
        <v>1797000</v>
      </c>
    </row>
    <row r="470" spans="1:9" ht="47.25">
      <c r="A470" s="258" t="str">
        <f>IF(B470&gt;0,VLOOKUP(B470,КВСР!A352:B1517,2),IF(C470&gt;0,VLOOKUP(C470,КФСР!A352:B1864,2),IF(D470&gt;0,VLOOKUP(D470,Программа!A$1:B$5008,2),IF(F470&gt;0,VLOOKUP(F470,КВР!A$1:B$5001,2),IF(E470&gt;0,VLOOKUP(E470,Направление!A$1:B$4660,2))))))</f>
        <v>Департамент культуры, туризма и молодежной политики Администрации ТМР</v>
      </c>
      <c r="B470" s="81">
        <v>956</v>
      </c>
      <c r="C470" s="82"/>
      <c r="D470" s="83"/>
      <c r="E470" s="82"/>
      <c r="F470" s="83"/>
      <c r="G470" s="47">
        <v>170202706</v>
      </c>
      <c r="H470" s="47">
        <f>H471+H478+H492+H540+H572+H609+H622+H522</f>
        <v>1085254</v>
      </c>
      <c r="I470" s="47">
        <f>I471+I478+I492+I540+I572+I609+I622+I522</f>
        <v>171287960</v>
      </c>
    </row>
    <row r="471" spans="1:9" ht="31.5">
      <c r="A471" s="41" t="str">
        <f>IF(B471&gt;0,VLOOKUP(B471,КВСР!A353:B1518,2),IF(C471&gt;0,VLOOKUP(C471,КФСР!A353:B1865,2),IF(D471&gt;0,VLOOKUP(D471,Программа!A$1:B$5008,2),IF(F471&gt;0,VLOOKUP(F471,КВР!A$1:B$5001,2),IF(E471&gt;0,VLOOKUP(E471,Направление!A$1:B$4660,2))))))</f>
        <v>Другие вопросы в области национальной экономики</v>
      </c>
      <c r="B471" s="81"/>
      <c r="C471" s="82">
        <v>412</v>
      </c>
      <c r="D471" s="83"/>
      <c r="E471" s="82"/>
      <c r="F471" s="83"/>
      <c r="G471" s="177">
        <v>300000</v>
      </c>
      <c r="H471" s="177">
        <f t="shared" ref="H471:H472" si="57">H472</f>
        <v>109361</v>
      </c>
      <c r="I471" s="42">
        <f t="shared" ref="I471:I531" si="58">SUM(G471:H471)</f>
        <v>409361</v>
      </c>
    </row>
    <row r="472" spans="1:9">
      <c r="A472" s="41" t="str">
        <f>IF(B472&gt;0,VLOOKUP(B472,КВСР!A354:B1519,2),IF(C472&gt;0,VLOOKUP(C472,КФСР!A354:B1866,2),IF(D472&gt;0,VLOOKUP(D472,Программа!A$1:B$5008,2),IF(F472&gt;0,VLOOKUP(F472,КВР!A$1:B$5001,2),IF(E472&gt;0,VLOOKUP(E472,Направление!A$1:B$4660,2))))))</f>
        <v>Развитие культуры и туризма</v>
      </c>
      <c r="B472" s="81"/>
      <c r="C472" s="82"/>
      <c r="D472" s="83">
        <v>30</v>
      </c>
      <c r="E472" s="82"/>
      <c r="F472" s="83"/>
      <c r="G472" s="177">
        <v>300000</v>
      </c>
      <c r="H472" s="177">
        <f t="shared" si="57"/>
        <v>109361</v>
      </c>
      <c r="I472" s="42">
        <f t="shared" si="58"/>
        <v>409361</v>
      </c>
    </row>
    <row r="473" spans="1:9" ht="78.75">
      <c r="A473" s="41" t="str">
        <f>IF(B473&gt;0,VLOOKUP(B473,КВСР!A354:B1519,2),IF(C473&gt;0,VLOOKUP(C473,КФСР!A354:B1866,2),IF(D473&gt;0,VLOOKUP(D473,Программа!A$1:B$5008,2),IF(F473&gt;0,VLOOKUP(F473,КВР!A$1:B$5001,2),IF(E473&gt;0,VLOOKUP(E473,Направление!A$1:B$4660,2))))))</f>
        <v>Муниципальная целевая программа «Развитие въездного и внутреннего туризма на территории Тутаевского муниципального района  на 2011-2015 годы».</v>
      </c>
      <c r="B473" s="81"/>
      <c r="C473" s="82"/>
      <c r="D473" s="83">
        <v>32</v>
      </c>
      <c r="E473" s="82"/>
      <c r="F473" s="83"/>
      <c r="G473" s="177">
        <v>300000</v>
      </c>
      <c r="H473" s="177">
        <f>H474+H476</f>
        <v>109361</v>
      </c>
      <c r="I473" s="42">
        <f t="shared" si="58"/>
        <v>409361</v>
      </c>
    </row>
    <row r="474" spans="1:9" ht="31.5">
      <c r="A474" s="41" t="str">
        <f>IF(B474&gt;0,VLOOKUP(B474,КВСР!A355:B1520,2),IF(C474&gt;0,VLOOKUP(C474,КФСР!A355:B1867,2),IF(D474&gt;0,VLOOKUP(D474,Программа!A$1:B$5008,2),IF(F474&gt;0,VLOOKUP(F474,КВР!A$1:B$5001,2),IF(E474&gt;0,VLOOKUP(E474,Направление!A$1:B$4660,2))))))</f>
        <v>Мероприятия по развитию въездного и внутреннего туризма</v>
      </c>
      <c r="B474" s="81"/>
      <c r="C474" s="82"/>
      <c r="D474" s="83"/>
      <c r="E474" s="82">
        <v>1090</v>
      </c>
      <c r="F474" s="83"/>
      <c r="G474" s="177">
        <v>300000</v>
      </c>
      <c r="H474" s="177">
        <f>SUM(H475:H475)</f>
        <v>0</v>
      </c>
      <c r="I474" s="42">
        <f t="shared" si="58"/>
        <v>300000</v>
      </c>
    </row>
    <row r="475" spans="1:9" ht="63">
      <c r="A475" s="41" t="str">
        <f>IF(B475&gt;0,VLOOKUP(B475,КВСР!A357:B1522,2),IF(C475&gt;0,VLOOKUP(C475,КФСР!A357:B1869,2),IF(D475&gt;0,VLOOKUP(D475,Программа!A$1:B$5008,2),IF(F475&gt;0,VLOOKUP(F475,КВР!A$1:B$5001,2),IF(E475&gt;0,VLOOKUP(E475,Направление!A$1:B$4660,2))))))</f>
        <v>Предоставление субсидий бюджетным, автономным учреждениям и иным некоммерческим организациям</v>
      </c>
      <c r="B475" s="81"/>
      <c r="C475" s="82"/>
      <c r="D475" s="83"/>
      <c r="E475" s="82"/>
      <c r="F475" s="83">
        <v>600</v>
      </c>
      <c r="G475" s="42">
        <v>300000</v>
      </c>
      <c r="H475" s="334"/>
      <c r="I475" s="42">
        <f t="shared" si="58"/>
        <v>300000</v>
      </c>
    </row>
    <row r="476" spans="1:9" ht="78.75">
      <c r="A476" s="41" t="str">
        <f>IF(B476&gt;0,VLOOKUP(B476,КВСР!A358:B1523,2),IF(C476&gt;0,VLOOKUP(C476,КФСР!A358:B1870,2),IF(D476&gt;0,VLOOKUP(D476,Программа!A$1:B$5008,2),IF(F476&gt;0,VLOOKUP(F476,КВР!A$1:B$5001,2),IF(E476&gt;0,VLOOKUP(E476,Направление!A$1:B$4660,2))))))</f>
        <v>Субсидия на реализацию мероприятий по созданию условий для развития инфраструктуры досуга и отдыха за счет средств областного бюджета</v>
      </c>
      <c r="B476" s="81"/>
      <c r="C476" s="82"/>
      <c r="D476" s="83"/>
      <c r="E476" s="82">
        <v>7175</v>
      </c>
      <c r="F476" s="83"/>
      <c r="G476" s="42"/>
      <c r="H476" s="340">
        <f>H477</f>
        <v>109361</v>
      </c>
      <c r="I476" s="42">
        <f t="shared" si="58"/>
        <v>109361</v>
      </c>
    </row>
    <row r="477" spans="1:9" ht="63">
      <c r="A477" s="41" t="str">
        <f>IF(B477&gt;0,VLOOKUP(B477,КВСР!A359:B1524,2),IF(C477&gt;0,VLOOKUP(C477,КФСР!A359:B1871,2),IF(D477&gt;0,VLOOKUP(D477,Программа!A$1:B$5008,2),IF(F477&gt;0,VLOOKUP(F477,КВР!A$1:B$5001,2),IF(E477&gt;0,VLOOKUP(E477,Направление!A$1:B$4660,2))))))</f>
        <v>Предоставление субсидий бюджетным, автономным учреждениям и иным некоммерческим организациям</v>
      </c>
      <c r="B477" s="81"/>
      <c r="C477" s="82"/>
      <c r="D477" s="83"/>
      <c r="E477" s="82"/>
      <c r="F477" s="83">
        <v>600</v>
      </c>
      <c r="G477" s="42"/>
      <c r="H477" s="334">
        <v>109361</v>
      </c>
      <c r="I477" s="42">
        <f t="shared" si="58"/>
        <v>109361</v>
      </c>
    </row>
    <row r="478" spans="1:9" s="19" customFormat="1" ht="21" customHeight="1">
      <c r="A478" s="41" t="str">
        <f>IF(B478&gt;0,VLOOKUP(B478,КВСР!A358:B1523,2),IF(C478&gt;0,VLOOKUP(C478,КФСР!A358:B1870,2),IF(D478&gt;0,VLOOKUP(D478,Программа!A$1:B$5008,2),IF(F478&gt;0,VLOOKUP(F478,КВР!A$1:B$5001,2),IF(E478&gt;0,VLOOKUP(E478,Направление!A$1:B$4660,2))))))</f>
        <v>Общее образование</v>
      </c>
      <c r="B478" s="85"/>
      <c r="C478" s="77">
        <v>702</v>
      </c>
      <c r="D478" s="78"/>
      <c r="E478" s="77"/>
      <c r="F478" s="78"/>
      <c r="G478" s="43">
        <v>29191334</v>
      </c>
      <c r="H478" s="43">
        <f>H479+H489</f>
        <v>0</v>
      </c>
      <c r="I478" s="42">
        <f t="shared" si="58"/>
        <v>29191334</v>
      </c>
    </row>
    <row r="479" spans="1:9" s="19" customFormat="1" ht="18.75" customHeight="1">
      <c r="A479" s="41" t="str">
        <f>IF(B479&gt;0,VLOOKUP(B479,КВСР!A359:B1524,2),IF(C479&gt;0,VLOOKUP(C479,КФСР!A359:B1871,2),IF(D479&gt;0,VLOOKUP(D479,Программа!A$1:B$5008,2),IF(F479&gt;0,VLOOKUP(F479,КВР!A$1:B$5001,2),IF(E479&gt;0,VLOOKUP(E479,Направление!A$1:B$4660,2))))))</f>
        <v>Развитие культуры и туризма</v>
      </c>
      <c r="B479" s="85"/>
      <c r="C479" s="77"/>
      <c r="D479" s="88">
        <v>30</v>
      </c>
      <c r="E479" s="87"/>
      <c r="F479" s="78"/>
      <c r="G479" s="43">
        <v>28491334</v>
      </c>
      <c r="H479" s="43">
        <f>H480</f>
        <v>0</v>
      </c>
      <c r="I479" s="42">
        <f t="shared" si="58"/>
        <v>28491334</v>
      </c>
    </row>
    <row r="480" spans="1:9" s="19" customFormat="1" ht="63">
      <c r="A480" s="41" t="str">
        <f>IF(B480&gt;0,VLOOKUP(B480,КВСР!A360:B1525,2),IF(C480&gt;0,VLOOKUP(C480,КФСР!A360:B1872,2),IF(D480&gt;0,VLOOKUP(D480,Программа!A$1:B$5008,2),IF(F480&gt;0,VLOOKUP(F480,КВР!A$1:B$5001,2),IF(E480&gt;0,VLOOKUP(E480,Направление!A$1:B$4660,2))))))</f>
        <v>Ведомственная целевая программа «Сохранение и развитие культуры Тутаевского муниципального района» на 2014-2016 годы.</v>
      </c>
      <c r="B480" s="85"/>
      <c r="C480" s="77"/>
      <c r="D480" s="78">
        <v>31</v>
      </c>
      <c r="E480" s="77"/>
      <c r="F480" s="78"/>
      <c r="G480" s="43">
        <v>28491334</v>
      </c>
      <c r="H480" s="43">
        <f>H483+H485+H481+H487</f>
        <v>0</v>
      </c>
      <c r="I480" s="42">
        <f t="shared" si="58"/>
        <v>28491334</v>
      </c>
    </row>
    <row r="481" spans="1:9" s="19" customFormat="1" ht="63">
      <c r="A481" s="41" t="str">
        <f>IF(B481&gt;0,VLOOKUP(B481,КВСР!A361:B1526,2),IF(C481&gt;0,VLOOKUP(C481,КФСР!A361:B1873,2),IF(D481&gt;0,VLOOKUP(D481,Программа!A$1:B$5008,2),IF(F481&gt;0,VLOOKUP(F481,КВР!A$1:B$5001,2),IF(E481&gt;0,VLOOKUP(E481,Направление!A$1:B$4660,2))))))</f>
        <v>Расходы на выплату ежемесячных и разовых стипендий главы Тутаевского муниципального района</v>
      </c>
      <c r="B481" s="85"/>
      <c r="C481" s="77"/>
      <c r="D481" s="78"/>
      <c r="E481" s="77">
        <v>1270</v>
      </c>
      <c r="F481" s="78"/>
      <c r="G481" s="43">
        <v>40000</v>
      </c>
      <c r="H481" s="43">
        <f t="shared" ref="H481" si="59">H482</f>
        <v>0</v>
      </c>
      <c r="I481" s="42">
        <f t="shared" si="58"/>
        <v>40000</v>
      </c>
    </row>
    <row r="482" spans="1:9" s="19" customFormat="1" ht="63">
      <c r="A482" s="41" t="str">
        <f>IF(B482&gt;0,VLOOKUP(B482,КВСР!A362:B1527,2),IF(C482&gt;0,VLOOKUP(C482,КФСР!A362:B1874,2),IF(D482&gt;0,VLOOKUP(D482,Программа!A$1:B$5008,2),IF(F482&gt;0,VLOOKUP(F482,КВР!A$1:B$5001,2),IF(E482&gt;0,VLOOKUP(E482,Направление!A$1:B$4660,2))))))</f>
        <v>Предоставление субсидий бюджетным, автономным учреждениям и иным некоммерческим организациям</v>
      </c>
      <c r="B482" s="85"/>
      <c r="C482" s="77"/>
      <c r="D482" s="78"/>
      <c r="E482" s="77"/>
      <c r="F482" s="78">
        <v>600</v>
      </c>
      <c r="G482" s="43">
        <v>40000</v>
      </c>
      <c r="H482" s="350"/>
      <c r="I482" s="42">
        <f t="shared" si="58"/>
        <v>40000</v>
      </c>
    </row>
    <row r="483" spans="1:9" s="19" customFormat="1" ht="47.25">
      <c r="A483" s="41" t="str">
        <f>IF(B483&gt;0,VLOOKUP(B483,КВСР!A361:B1526,2),IF(C483&gt;0,VLOOKUP(C483,КФСР!A361:B1873,2),IF(D483&gt;0,VLOOKUP(D483,Программа!A$1:B$5008,2),IF(F483&gt;0,VLOOKUP(F483,КВР!A$1:B$5001,2),IF(E483&gt;0,VLOOKUP(E483,Направление!A$1:B$4660,2))))))</f>
        <v>Обеспечение деятельности учреждений дополнительного образования</v>
      </c>
      <c r="B483" s="85"/>
      <c r="C483" s="77"/>
      <c r="D483" s="78"/>
      <c r="E483" s="77">
        <v>1321</v>
      </c>
      <c r="F483" s="78"/>
      <c r="G483" s="42">
        <v>24837000</v>
      </c>
      <c r="H483" s="42">
        <f>H484</f>
        <v>0</v>
      </c>
      <c r="I483" s="42">
        <f t="shared" si="58"/>
        <v>24837000</v>
      </c>
    </row>
    <row r="484" spans="1:9" s="19" customFormat="1" ht="63">
      <c r="A484" s="41" t="str">
        <f>IF(B484&gt;0,VLOOKUP(B484,КВСР!A362:B1527,2),IF(C484&gt;0,VLOOKUP(C484,КФСР!A362:B1874,2),IF(D484&gt;0,VLOOKUP(D484,Программа!A$1:B$5008,2),IF(F484&gt;0,VLOOKUP(F484,КВР!A$1:B$5001,2),IF(E484&gt;0,VLOOKUP(E484,Направление!A$1:B$4660,2))))))</f>
        <v>Предоставление субсидий бюджетным, автономным учреждениям и иным некоммерческим организациям</v>
      </c>
      <c r="B484" s="85"/>
      <c r="C484" s="77"/>
      <c r="D484" s="78"/>
      <c r="E484" s="77"/>
      <c r="F484" s="78">
        <v>600</v>
      </c>
      <c r="G484" s="42">
        <v>24837000</v>
      </c>
      <c r="H484" s="334"/>
      <c r="I484" s="42">
        <f t="shared" si="58"/>
        <v>24837000</v>
      </c>
    </row>
    <row r="485" spans="1:9" s="19" customFormat="1">
      <c r="A485" s="41" t="str">
        <f>IF(B485&gt;0,VLOOKUP(B485,КВСР!A363:B1528,2),IF(C485&gt;0,VLOOKUP(C485,КФСР!A363:B1875,2),IF(D485&gt;0,VLOOKUP(D485,Программа!A$1:B$5008,2),IF(F485&gt;0,VLOOKUP(F485,КВР!A$1:B$5001,2),IF(E485&gt;0,VLOOKUP(E485,Направление!A$1:B$4660,2))))))</f>
        <v>Мероприятия в сфере культуры</v>
      </c>
      <c r="B485" s="85"/>
      <c r="C485" s="77"/>
      <c r="D485" s="78"/>
      <c r="E485" s="77">
        <v>1522</v>
      </c>
      <c r="F485" s="78"/>
      <c r="G485" s="42">
        <v>40000</v>
      </c>
      <c r="H485" s="42">
        <f>H486</f>
        <v>0</v>
      </c>
      <c r="I485" s="42">
        <f t="shared" si="58"/>
        <v>40000</v>
      </c>
    </row>
    <row r="486" spans="1:9" s="19" customFormat="1" ht="63">
      <c r="A486" s="41" t="str">
        <f>IF(B486&gt;0,VLOOKUP(B486,КВСР!A364:B1529,2),IF(C486&gt;0,VLOOKUP(C486,КФСР!A364:B1876,2),IF(D486&gt;0,VLOOKUP(D486,Программа!A$1:B$5008,2),IF(F486&gt;0,VLOOKUP(F486,КВР!A$1:B$5001,2),IF(E486&gt;0,VLOOKUP(E486,Направление!A$1:B$4660,2))))))</f>
        <v>Предоставление субсидий бюджетным, автономным учреждениям и иным некоммерческим организациям</v>
      </c>
      <c r="B486" s="85"/>
      <c r="C486" s="77"/>
      <c r="D486" s="78"/>
      <c r="E486" s="77"/>
      <c r="F486" s="78">
        <v>600</v>
      </c>
      <c r="G486" s="42">
        <v>40000</v>
      </c>
      <c r="H486" s="334"/>
      <c r="I486" s="42">
        <f t="shared" si="58"/>
        <v>40000</v>
      </c>
    </row>
    <row r="487" spans="1:9" s="19" customFormat="1" ht="31.5">
      <c r="A487" s="41" t="str">
        <f>IF(B487&gt;0,VLOOKUP(B487,КВСР!A367:B1532,2),IF(C487&gt;0,VLOOKUP(C487,КФСР!A367:B1879,2),IF(D487&gt;0,VLOOKUP(D487,Программа!A$1:B$5008,2),IF(F487&gt;0,VLOOKUP(F487,КВР!A$1:B$5001,2),IF(E487&gt;0,VLOOKUP(E487,Направление!A$1:B$4660,2))))))</f>
        <v>Оплата труда работников сферы культуры</v>
      </c>
      <c r="B487" s="85"/>
      <c r="C487" s="77"/>
      <c r="D487" s="78"/>
      <c r="E487" s="77">
        <v>7170</v>
      </c>
      <c r="F487" s="78"/>
      <c r="G487" s="42">
        <v>3574334</v>
      </c>
      <c r="H487" s="42">
        <f t="shared" ref="H487" si="60">H488</f>
        <v>0</v>
      </c>
      <c r="I487" s="42">
        <f t="shared" si="58"/>
        <v>3574334</v>
      </c>
    </row>
    <row r="488" spans="1:9" s="19" customFormat="1" ht="63">
      <c r="A488" s="41" t="str">
        <f>IF(B488&gt;0,VLOOKUP(B488,КВСР!A368:B1533,2),IF(C488&gt;0,VLOOKUP(C488,КФСР!A368:B1880,2),IF(D488&gt;0,VLOOKUP(D488,Программа!A$1:B$5008,2),IF(F488&gt;0,VLOOKUP(F488,КВР!A$1:B$5001,2),IF(E488&gt;0,VLOOKUP(E488,Направление!A$1:B$4660,2))))))</f>
        <v>Предоставление субсидий бюджетным, автономным учреждениям и иным некоммерческим организациям</v>
      </c>
      <c r="B488" s="85"/>
      <c r="C488" s="77"/>
      <c r="D488" s="78"/>
      <c r="E488" s="77"/>
      <c r="F488" s="78">
        <v>600</v>
      </c>
      <c r="G488" s="42">
        <v>3574334</v>
      </c>
      <c r="H488" s="334"/>
      <c r="I488" s="42">
        <f t="shared" si="58"/>
        <v>3574334</v>
      </c>
    </row>
    <row r="489" spans="1:9" s="19" customFormat="1">
      <c r="A489" s="41" t="str">
        <f>IF(B489&gt;0,VLOOKUP(B489,КВСР!A367:B1532,2),IF(C489&gt;0,VLOOKUP(C489,КФСР!A367:B1879,2),IF(D489&gt;0,VLOOKUP(D489,Программа!A$1:B$5008,2),IF(F489&gt;0,VLOOKUP(F489,КВР!A$1:B$5001,2),IF(E489&gt;0,VLOOKUP(E489,Направление!A$1:B$4660,2))))))</f>
        <v>Непрограммные расходы бюджета</v>
      </c>
      <c r="B489" s="85"/>
      <c r="C489" s="77"/>
      <c r="D489" s="78">
        <v>409</v>
      </c>
      <c r="E489" s="77"/>
      <c r="F489" s="78"/>
      <c r="G489" s="42">
        <v>700000</v>
      </c>
      <c r="H489" s="42">
        <f t="shared" ref="H489:H490" si="61">H490</f>
        <v>0</v>
      </c>
      <c r="I489" s="42">
        <f t="shared" si="58"/>
        <v>700000</v>
      </c>
    </row>
    <row r="490" spans="1:9" s="19" customFormat="1" ht="31.5">
      <c r="A490" s="41" t="str">
        <f>IF(B490&gt;0,VLOOKUP(B490,КВСР!A368:B1533,2),IF(C490&gt;0,VLOOKUP(C490,КФСР!A368:B1880,2),IF(D490&gt;0,VLOOKUP(D490,Программа!A$1:B$5008,2),IF(F490&gt;0,VLOOKUP(F490,КВР!A$1:B$5001,2),IF(E490&gt;0,VLOOKUP(E490,Направление!A$1:B$4660,2))))))</f>
        <v>Погашение задолженности прошлых лет</v>
      </c>
      <c r="B490" s="85"/>
      <c r="C490" s="77"/>
      <c r="D490" s="78"/>
      <c r="E490" s="77">
        <v>1260</v>
      </c>
      <c r="F490" s="78"/>
      <c r="G490" s="42">
        <v>700000</v>
      </c>
      <c r="H490" s="42">
        <f t="shared" si="61"/>
        <v>0</v>
      </c>
      <c r="I490" s="42">
        <f t="shared" si="58"/>
        <v>700000</v>
      </c>
    </row>
    <row r="491" spans="1:9" s="19" customFormat="1" ht="63">
      <c r="A491" s="41" t="str">
        <f>IF(B491&gt;0,VLOOKUP(B491,КВСР!A369:B1534,2),IF(C491&gt;0,VLOOKUP(C491,КФСР!A369:B1881,2),IF(D491&gt;0,VLOOKUP(D491,Программа!A$1:B$5008,2),IF(F491&gt;0,VLOOKUP(F491,КВР!A$1:B$5001,2),IF(E491&gt;0,VLOOKUP(E491,Направление!A$1:B$4660,2))))))</f>
        <v>Предоставление субсидий бюджетным, автономным учреждениям и иным некоммерческим организациям</v>
      </c>
      <c r="B491" s="85"/>
      <c r="C491" s="77"/>
      <c r="D491" s="78"/>
      <c r="E491" s="77"/>
      <c r="F491" s="78">
        <v>600</v>
      </c>
      <c r="G491" s="42">
        <v>700000</v>
      </c>
      <c r="H491" s="334"/>
      <c r="I491" s="42">
        <f t="shared" si="58"/>
        <v>700000</v>
      </c>
    </row>
    <row r="492" spans="1:9" s="19" customFormat="1" ht="31.5">
      <c r="A492" s="41" t="str">
        <f>IF(B492&gt;0,VLOOKUP(B492,КВСР!A362:B1527,2),IF(C492&gt;0,VLOOKUP(C492,КФСР!A362:B1874,2),IF(D492&gt;0,VLOOKUP(D492,Программа!A$1:B$5008,2),IF(F492&gt;0,VLOOKUP(F492,КВР!A$1:B$5001,2),IF(E492&gt;0,VLOOKUP(E492,Направление!A$1:B$4660,2))))))</f>
        <v>Молодежная политика и оздоровление детей</v>
      </c>
      <c r="B492" s="85"/>
      <c r="C492" s="77">
        <v>707</v>
      </c>
      <c r="D492" s="78"/>
      <c r="E492" s="77"/>
      <c r="F492" s="78"/>
      <c r="G492" s="76">
        <v>15611282</v>
      </c>
      <c r="H492" s="76">
        <f>H493+H514</f>
        <v>575000</v>
      </c>
      <c r="I492" s="42">
        <f t="shared" si="58"/>
        <v>16186282</v>
      </c>
    </row>
    <row r="493" spans="1:9" s="19" customFormat="1">
      <c r="A493" s="41" t="str">
        <f>IF(B493&gt;0,VLOOKUP(B493,КВСР!A363:B1528,2),IF(C493&gt;0,VLOOKUP(C493,КФСР!A363:B1875,2),IF(D493&gt;0,VLOOKUP(D493,Программа!A$1:B$5008,2),IF(F493&gt;0,VLOOKUP(F493,КВР!A$1:B$5001,2),IF(E493&gt;0,VLOOKUP(E493,Направление!A$1:B$4660,2))))))</f>
        <v>Развитие молодежной политики</v>
      </c>
      <c r="B493" s="85"/>
      <c r="C493" s="77"/>
      <c r="D493" s="78">
        <v>10</v>
      </c>
      <c r="E493" s="77"/>
      <c r="F493" s="78"/>
      <c r="G493" s="76">
        <v>13693582</v>
      </c>
      <c r="H493" s="76">
        <f>H494+H509</f>
        <v>575000</v>
      </c>
      <c r="I493" s="42">
        <f t="shared" si="58"/>
        <v>14268582</v>
      </c>
    </row>
    <row r="494" spans="1:9" s="19" customFormat="1" ht="31.5">
      <c r="A494" s="41" t="str">
        <f>IF(B494&gt;0,VLOOKUP(B494,КВСР!A364:B1529,2),IF(C494&gt;0,VLOOKUP(C494,КФСР!A364:B1876,2),IF(D494&gt;0,VLOOKUP(D494,Программа!A$1:B$5008,2),IF(F494&gt;0,VLOOKUP(F494,КВР!A$1:B$5001,2),IF(E494&gt;0,VLOOKUP(E494,Направление!A$1:B$4660,2))))))</f>
        <v>Ведомственная целевая программа «Молодежь на 2014-2016 годы».</v>
      </c>
      <c r="B494" s="85"/>
      <c r="C494" s="77"/>
      <c r="D494" s="78">
        <v>11</v>
      </c>
      <c r="E494" s="77"/>
      <c r="F494" s="78"/>
      <c r="G494" s="43">
        <v>13549082</v>
      </c>
      <c r="H494" s="43">
        <f t="shared" ref="H494" si="62">H495+H497+H499+H501+H503+H505+H507</f>
        <v>575000</v>
      </c>
      <c r="I494" s="42">
        <f t="shared" si="58"/>
        <v>14124082</v>
      </c>
    </row>
    <row r="495" spans="1:9" s="19" customFormat="1" ht="63">
      <c r="A495" s="41" t="str">
        <f>IF(B495&gt;0,VLOOKUP(B495,КВСР!A365:B1530,2),IF(C495&gt;0,VLOOKUP(C495,КФСР!A365:B1877,2),IF(D495&gt;0,VLOOKUP(D495,Программа!A$1:B$5008,2),IF(F495&gt;0,VLOOKUP(F495,КВР!A$1:B$5001,2),IF(E495&gt;0,VLOOKUP(E495,Направление!A$1:B$4660,2))))))</f>
        <v>Расходы на выплату ежемесячных и разовых стипендий главы Тутаевского муниципального района</v>
      </c>
      <c r="B495" s="85"/>
      <c r="C495" s="77"/>
      <c r="D495" s="78"/>
      <c r="E495" s="77">
        <v>1270</v>
      </c>
      <c r="F495" s="78"/>
      <c r="G495" s="43">
        <v>92000</v>
      </c>
      <c r="H495" s="43">
        <f t="shared" ref="H495" si="63">H496</f>
        <v>0</v>
      </c>
      <c r="I495" s="42">
        <f t="shared" si="58"/>
        <v>92000</v>
      </c>
    </row>
    <row r="496" spans="1:9" s="19" customFormat="1" ht="63">
      <c r="A496" s="41" t="str">
        <f>IF(B496&gt;0,VLOOKUP(B496,КВСР!A366:B1531,2),IF(C496&gt;0,VLOOKUP(C496,КФСР!A366:B1878,2),IF(D496&gt;0,VLOOKUP(D496,Программа!A$1:B$5008,2),IF(F496&gt;0,VLOOKUP(F496,КВР!A$1:B$5001,2),IF(E496&gt;0,VLOOKUP(E496,Направление!A$1:B$4660,2))))))</f>
        <v>Предоставление субсидий бюджетным, автономным учреждениям и иным некоммерческим организациям</v>
      </c>
      <c r="B496" s="85"/>
      <c r="C496" s="77"/>
      <c r="D496" s="78"/>
      <c r="E496" s="77"/>
      <c r="F496" s="78">
        <v>600</v>
      </c>
      <c r="G496" s="43">
        <v>92000</v>
      </c>
      <c r="H496" s="350"/>
      <c r="I496" s="42">
        <f t="shared" si="58"/>
        <v>92000</v>
      </c>
    </row>
    <row r="497" spans="1:9" s="19" customFormat="1" ht="47.25">
      <c r="A497" s="41" t="str">
        <f>IF(B497&gt;0,VLOOKUP(B497,КВСР!A365:B1530,2),IF(C497&gt;0,VLOOKUP(C497,КФСР!A365:B1877,2),IF(D497&gt;0,VLOOKUP(D497,Программа!A$1:B$5008,2),IF(F497&gt;0,VLOOKUP(F497,КВР!A$1:B$5001,2),IF(E497&gt;0,VLOOKUP(E497,Направление!A$1:B$4660,2))))))</f>
        <v xml:space="preserve">Обеспечение деятельности учреждений в сфере молодежной политики </v>
      </c>
      <c r="B497" s="85"/>
      <c r="C497" s="77"/>
      <c r="D497" s="78"/>
      <c r="E497" s="77">
        <v>1451</v>
      </c>
      <c r="F497" s="78"/>
      <c r="G497" s="42">
        <v>5488753</v>
      </c>
      <c r="H497" s="42">
        <f>H498</f>
        <v>575000</v>
      </c>
      <c r="I497" s="42">
        <f t="shared" si="58"/>
        <v>6063753</v>
      </c>
    </row>
    <row r="498" spans="1:9" s="19" customFormat="1" ht="63">
      <c r="A498" s="41" t="str">
        <f>IF(B498&gt;0,VLOOKUP(B498,КВСР!A366:B1531,2),IF(C498&gt;0,VLOOKUP(C498,КФСР!A366:B1878,2),IF(D498&gt;0,VLOOKUP(D498,Программа!A$1:B$5008,2),IF(F498&gt;0,VLOOKUP(F498,КВР!A$1:B$5001,2),IF(E498&gt;0,VLOOKUP(E498,Направление!A$1:B$4660,2))))))</f>
        <v>Предоставление субсидий бюджетным, автономным учреждениям и иным некоммерческим организациям</v>
      </c>
      <c r="B498" s="85"/>
      <c r="C498" s="77"/>
      <c r="D498" s="78"/>
      <c r="E498" s="77"/>
      <c r="F498" s="78">
        <v>600</v>
      </c>
      <c r="G498" s="42">
        <v>5488753</v>
      </c>
      <c r="H498" s="334">
        <v>575000</v>
      </c>
      <c r="I498" s="42">
        <f t="shared" si="58"/>
        <v>6063753</v>
      </c>
    </row>
    <row r="499" spans="1:9" s="19" customFormat="1" ht="63">
      <c r="A499" s="41" t="str">
        <f>IF(B499&gt;0,VLOOKUP(B499,КВСР!A367:B1532,2),IF(C499&gt;0,VLOOKUP(C499,КФСР!A367:B1879,2),IF(D499&gt;0,VLOOKUP(D499,Программа!A$1:B$5008,2),IF(F499&gt;0,VLOOKUP(F499,КВР!A$1:B$5001,2),IF(E499&gt;0,VLOOKUP(E499,Направление!A$1:B$4660,2))))))</f>
        <v>Расходы на оказание (выполнение) муниципальными учреждениями услуг (работ) в сфере молодежной политики</v>
      </c>
      <c r="B499" s="85"/>
      <c r="C499" s="77"/>
      <c r="D499" s="78"/>
      <c r="E499" s="77">
        <v>1455</v>
      </c>
      <c r="F499" s="78"/>
      <c r="G499" s="95">
        <v>1406045</v>
      </c>
      <c r="H499" s="95">
        <f>H500</f>
        <v>0</v>
      </c>
      <c r="I499" s="42">
        <f t="shared" si="58"/>
        <v>1406045</v>
      </c>
    </row>
    <row r="500" spans="1:9" s="19" customFormat="1" ht="63">
      <c r="A500" s="41" t="str">
        <f>IF(B500&gt;0,VLOOKUP(B500,КВСР!A368:B1533,2),IF(C500&gt;0,VLOOKUP(C500,КФСР!A368:B1880,2),IF(D500&gt;0,VLOOKUP(D500,Программа!A$1:B$5008,2),IF(F500&gt;0,VLOOKUP(F500,КВР!A$1:B$5001,2),IF(E500&gt;0,VLOOKUP(E500,Направление!A$1:B$4660,2))))))</f>
        <v>Предоставление субсидий бюджетным, автономным учреждениям и иным некоммерческим организациям</v>
      </c>
      <c r="B500" s="85"/>
      <c r="C500" s="77"/>
      <c r="D500" s="78"/>
      <c r="E500" s="77"/>
      <c r="F500" s="78">
        <v>600</v>
      </c>
      <c r="G500" s="42">
        <v>1406045</v>
      </c>
      <c r="H500" s="334"/>
      <c r="I500" s="42">
        <f t="shared" si="58"/>
        <v>1406045</v>
      </c>
    </row>
    <row r="501" spans="1:9" s="19" customFormat="1" ht="31.5">
      <c r="A501" s="41" t="str">
        <f>IF(B501&gt;0,VLOOKUP(B501,КВСР!A369:B1534,2),IF(C501&gt;0,VLOOKUP(C501,КФСР!A369:B1881,2),IF(D501&gt;0,VLOOKUP(D501,Программа!A$1:B$5008,2),IF(F501&gt;0,VLOOKUP(F501,КВР!A$1:B$5001,2),IF(E501&gt;0,VLOOKUP(E501,Направление!A$1:B$4660,2))))))</f>
        <v>Расходы на укрепление социальной защищенности пожилых людей</v>
      </c>
      <c r="B501" s="85"/>
      <c r="C501" s="77"/>
      <c r="D501" s="78"/>
      <c r="E501" s="77">
        <v>1457</v>
      </c>
      <c r="F501" s="78"/>
      <c r="G501" s="42">
        <v>11000</v>
      </c>
      <c r="H501" s="42">
        <f>H502</f>
        <v>0</v>
      </c>
      <c r="I501" s="42">
        <f t="shared" si="58"/>
        <v>11000</v>
      </c>
    </row>
    <row r="502" spans="1:9" s="19" customFormat="1" ht="63">
      <c r="A502" s="41" t="str">
        <f>IF(B502&gt;0,VLOOKUP(B502,КВСР!A370:B1535,2),IF(C502&gt;0,VLOOKUP(C502,КФСР!A370:B1882,2),IF(D502&gt;0,VLOOKUP(D502,Программа!A$1:B$5008,2),IF(F502&gt;0,VLOOKUP(F502,КВР!A$1:B$5001,2),IF(E502&gt;0,VLOOKUP(E502,Направление!A$1:B$4660,2))))))</f>
        <v>Предоставление субсидий бюджетным, автономным учреждениям и иным некоммерческим организациям</v>
      </c>
      <c r="B502" s="85"/>
      <c r="C502" s="77"/>
      <c r="D502" s="78"/>
      <c r="E502" s="77"/>
      <c r="F502" s="78">
        <v>600</v>
      </c>
      <c r="G502" s="42">
        <v>11000</v>
      </c>
      <c r="H502" s="334"/>
      <c r="I502" s="42">
        <f t="shared" si="58"/>
        <v>11000</v>
      </c>
    </row>
    <row r="503" spans="1:9" s="19" customFormat="1" ht="78.75">
      <c r="A503" s="41" t="str">
        <f>IF(B503&gt;0,VLOOKUP(B503,КВСР!A369:B1534,2),IF(C503&gt;0,VLOOKUP(C503,КФСР!A369:B1881,2),IF(D503&gt;0,VLOOKUP(D503,Программа!A$1:B$5008,2),IF(F503&gt;0,VLOOKUP(F503,КВР!A$1:B$5001,2),IF(E503&gt;0,VLOOKUP(E503,Направление!A$1:B$4660,2))))))</f>
        <v>Расходы на оказание (выполнение) муниципальными учреждениями услуг (работ) в сфере молодежной политики за счет средств областного бюджета</v>
      </c>
      <c r="B503" s="85"/>
      <c r="C503" s="77"/>
      <c r="D503" s="78"/>
      <c r="E503" s="77">
        <v>7065</v>
      </c>
      <c r="F503" s="78"/>
      <c r="G503" s="42">
        <v>5845480</v>
      </c>
      <c r="H503" s="42">
        <f>H504</f>
        <v>0</v>
      </c>
      <c r="I503" s="42">
        <f t="shared" si="58"/>
        <v>5845480</v>
      </c>
    </row>
    <row r="504" spans="1:9" s="19" customFormat="1" ht="63">
      <c r="A504" s="41" t="str">
        <f>IF(B504&gt;0,VLOOKUP(B504,КВСР!A370:B1535,2),IF(C504&gt;0,VLOOKUP(C504,КФСР!A370:B1882,2),IF(D504&gt;0,VLOOKUP(D504,Программа!A$1:B$5008,2),IF(F504&gt;0,VLOOKUP(F504,КВР!A$1:B$5001,2),IF(E504&gt;0,VLOOKUP(E504,Направление!A$1:B$4660,2))))))</f>
        <v>Предоставление субсидий бюджетным, автономным учреждениям и иным некоммерческим организациям</v>
      </c>
      <c r="B504" s="85"/>
      <c r="C504" s="77"/>
      <c r="D504" s="78"/>
      <c r="E504" s="77"/>
      <c r="F504" s="78">
        <v>600</v>
      </c>
      <c r="G504" s="95">
        <v>5845480</v>
      </c>
      <c r="H504" s="336"/>
      <c r="I504" s="42">
        <f t="shared" si="58"/>
        <v>5845480</v>
      </c>
    </row>
    <row r="505" spans="1:9" s="19" customFormat="1" ht="31.5">
      <c r="A505" s="41" t="str">
        <f>IF(B505&gt;0,VLOOKUP(B505,КВСР!A371:B1536,2),IF(C505&gt;0,VLOOKUP(C505,КФСР!A371:B1883,2),IF(D505&gt;0,VLOOKUP(D505,Программа!A$1:B$5008,2),IF(F505&gt;0,VLOOKUP(F505,КВР!A$1:B$5001,2),IF(E505&gt;0,VLOOKUP(E505,Направление!A$1:B$4660,2))))))</f>
        <v>Оплата труда работников сферы молодежной политики</v>
      </c>
      <c r="B505" s="85"/>
      <c r="C505" s="77"/>
      <c r="D505" s="78"/>
      <c r="E505" s="77">
        <v>7067</v>
      </c>
      <c r="F505" s="78"/>
      <c r="G505" s="95">
        <v>608365</v>
      </c>
      <c r="H505" s="95">
        <f t="shared" ref="H505" si="64">H506</f>
        <v>0</v>
      </c>
      <c r="I505" s="42">
        <f t="shared" si="58"/>
        <v>608365</v>
      </c>
    </row>
    <row r="506" spans="1:9" s="19" customFormat="1" ht="63">
      <c r="A506" s="41" t="str">
        <f>IF(B506&gt;0,VLOOKUP(B506,КВСР!A372:B1537,2),IF(C506&gt;0,VLOOKUP(C506,КФСР!A372:B1884,2),IF(D506&gt;0,VLOOKUP(D506,Программа!A$1:B$5008,2),IF(F506&gt;0,VLOOKUP(F506,КВР!A$1:B$5001,2),IF(E506&gt;0,VLOOKUP(E506,Направление!A$1:B$4660,2))))))</f>
        <v>Предоставление субсидий бюджетным, автономным учреждениям и иным некоммерческим организациям</v>
      </c>
      <c r="B506" s="85"/>
      <c r="C506" s="77"/>
      <c r="D506" s="78"/>
      <c r="E506" s="77"/>
      <c r="F506" s="78">
        <v>600</v>
      </c>
      <c r="G506" s="95">
        <v>608365</v>
      </c>
      <c r="H506" s="336"/>
      <c r="I506" s="42">
        <f t="shared" si="58"/>
        <v>608365</v>
      </c>
    </row>
    <row r="507" spans="1:9" s="19" customFormat="1" ht="36" customHeight="1">
      <c r="A507" s="41" t="str">
        <f>IF(B507&gt;0,VLOOKUP(B507,КВСР!A371:B1536,2),IF(C507&gt;0,VLOOKUP(C507,КФСР!A371:B1883,2),IF(D507&gt;0,VLOOKUP(D507,Программа!A$1:B$5008,2),IF(F507&gt;0,VLOOKUP(F507,КВР!A$1:B$5001,2),IF(E507&gt;0,VLOOKUP(E507,Направление!A$1:B$4660,2))))))</f>
        <v>Расходы на укрепление социальной защищенности пожилых людей</v>
      </c>
      <c r="B507" s="85"/>
      <c r="C507" s="77"/>
      <c r="D507" s="78"/>
      <c r="E507" s="77">
        <v>7092</v>
      </c>
      <c r="F507" s="78"/>
      <c r="G507" s="42">
        <v>97439</v>
      </c>
      <c r="H507" s="42">
        <f>H508</f>
        <v>0</v>
      </c>
      <c r="I507" s="42">
        <f t="shared" si="58"/>
        <v>97439</v>
      </c>
    </row>
    <row r="508" spans="1:9" s="19" customFormat="1" ht="63">
      <c r="A508" s="41" t="str">
        <f>IF(B508&gt;0,VLOOKUP(B508,КВСР!A372:B1537,2),IF(C508&gt;0,VLOOKUP(C508,КФСР!A372:B1884,2),IF(D508&gt;0,VLOOKUP(D508,Программа!A$1:B$5008,2),IF(F508&gt;0,VLOOKUP(F508,КВР!A$1:B$5001,2),IF(E508&gt;0,VLOOKUP(E508,Направление!A$1:B$4660,2))))))</f>
        <v>Предоставление субсидий бюджетным, автономным учреждениям и иным некоммерческим организациям</v>
      </c>
      <c r="B508" s="85"/>
      <c r="C508" s="77"/>
      <c r="D508" s="78"/>
      <c r="E508" s="77"/>
      <c r="F508" s="78">
        <v>600</v>
      </c>
      <c r="G508" s="42">
        <v>97439</v>
      </c>
      <c r="H508" s="334"/>
      <c r="I508" s="42">
        <f t="shared" si="58"/>
        <v>97439</v>
      </c>
    </row>
    <row r="509" spans="1:9" s="19" customFormat="1" ht="110.25">
      <c r="A509" s="41" t="str">
        <f>IF(B509&gt;0,VLOOKUP(B509,КВСР!A373:B1538,2),IF(C509&gt;0,VLOOKUP(C509,КФСР!A373:B1885,2),IF(D509&gt;0,VLOOKUP(D509,Программа!A$1:B$5008,2),IF(F509&gt;0,VLOOKUP(F509,КВР!A$1:B$5001,2),IF(E509&gt;0,VLOOKUP(E509,Направление!A$1:B$4660,2))))))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 на 2014-2016 годы.</v>
      </c>
      <c r="B509" s="85"/>
      <c r="C509" s="77"/>
      <c r="D509" s="78">
        <v>12</v>
      </c>
      <c r="E509" s="77"/>
      <c r="F509" s="78"/>
      <c r="G509" s="95">
        <v>144500</v>
      </c>
      <c r="H509" s="95">
        <f>H510+H512</f>
        <v>0</v>
      </c>
      <c r="I509" s="42">
        <f t="shared" si="58"/>
        <v>144500</v>
      </c>
    </row>
    <row r="510" spans="1:9" s="19" customFormat="1" ht="47.25">
      <c r="A510" s="41" t="str">
        <f>IF(B510&gt;0,VLOOKUP(B510,КВСР!A374:B1539,2),IF(C510&gt;0,VLOOKUP(C510,КФСР!A374:B1886,2),IF(D510&gt;0,VLOOKUP(D510,Программа!A$1:B$5008,2),IF(F510&gt;0,VLOOKUP(F510,КВР!A$1:B$5001,2),IF(E510&gt;0,VLOOKUP(E510,Направление!A$1:B$4660,2))))))</f>
        <v>Расходы на реализацию мероприятий патриотического воспитания молодежи</v>
      </c>
      <c r="B510" s="85"/>
      <c r="C510" s="77"/>
      <c r="D510" s="78"/>
      <c r="E510" s="77">
        <v>1456</v>
      </c>
      <c r="F510" s="78"/>
      <c r="G510" s="95">
        <v>14500</v>
      </c>
      <c r="H510" s="95">
        <f>H511</f>
        <v>0</v>
      </c>
      <c r="I510" s="42">
        <f t="shared" si="58"/>
        <v>14500</v>
      </c>
    </row>
    <row r="511" spans="1:9" s="19" customFormat="1" ht="63">
      <c r="A511" s="41" t="str">
        <f>IF(B511&gt;0,VLOOKUP(B511,КВСР!A375:B1540,2),IF(C511&gt;0,VLOOKUP(C511,КФСР!A375:B1887,2),IF(D511&gt;0,VLOOKUP(D511,Программа!A$1:B$5008,2),IF(F511&gt;0,VLOOKUP(F511,КВР!A$1:B$5001,2),IF(E511&gt;0,VLOOKUP(E511,Направление!A$1:B$4660,2))))))</f>
        <v>Предоставление субсидий бюджетным, автономным учреждениям и иным некоммерческим организациям</v>
      </c>
      <c r="B511" s="85"/>
      <c r="C511" s="77"/>
      <c r="D511" s="78"/>
      <c r="E511" s="77"/>
      <c r="F511" s="78">
        <v>600</v>
      </c>
      <c r="G511" s="95">
        <v>14500</v>
      </c>
      <c r="H511" s="336"/>
      <c r="I511" s="42">
        <f t="shared" si="58"/>
        <v>14500</v>
      </c>
    </row>
    <row r="512" spans="1:9" s="19" customFormat="1" ht="78.75">
      <c r="A512" s="41" t="str">
        <f>IF(B512&gt;0,VLOOKUP(B512,КВСР!A376:B1541,2),IF(C512&gt;0,VLOOKUP(C512,КФСР!A376:B1888,2),IF(D512&gt;0,VLOOKUP(D512,Программа!A$1:B$5008,2),IF(F512&gt;0,VLOOKUP(F512,КВР!A$1:B$5001,2),IF(E512&gt;0,VLOOKUP(E512,Направление!A$1:B$4660,2))))))</f>
        <v>Расходы на реализацию мероприятий патриотического воспитания молодежи Ярославской области за счет средств областного бюджета</v>
      </c>
      <c r="B512" s="85"/>
      <c r="C512" s="77"/>
      <c r="D512" s="78"/>
      <c r="E512" s="77">
        <v>7066</v>
      </c>
      <c r="F512" s="78"/>
      <c r="G512" s="95">
        <v>130000</v>
      </c>
      <c r="H512" s="95">
        <f>H513</f>
        <v>0</v>
      </c>
      <c r="I512" s="42">
        <f t="shared" si="58"/>
        <v>130000</v>
      </c>
    </row>
    <row r="513" spans="1:9" s="19" customFormat="1" ht="63">
      <c r="A513" s="41" t="str">
        <f>IF(B513&gt;0,VLOOKUP(B513,КВСР!A375:B1540,2),IF(C513&gt;0,VLOOKUP(C513,КФСР!A375:B1887,2),IF(D513&gt;0,VLOOKUP(D513,Программа!A$1:B$5008,2),IF(F513&gt;0,VLOOKUP(F513,КВР!A$1:B$5001,2),IF(E513&gt;0,VLOOKUP(E513,Направление!A$1:B$4660,2))))))</f>
        <v>Предоставление субсидий бюджетным, автономным учреждениям и иным некоммерческим организациям</v>
      </c>
      <c r="B513" s="85"/>
      <c r="C513" s="77"/>
      <c r="D513" s="78"/>
      <c r="E513" s="77"/>
      <c r="F513" s="78">
        <v>600</v>
      </c>
      <c r="G513" s="95">
        <v>130000</v>
      </c>
      <c r="H513" s="336"/>
      <c r="I513" s="42">
        <f t="shared" si="58"/>
        <v>130000</v>
      </c>
    </row>
    <row r="514" spans="1:9" s="19" customFormat="1">
      <c r="A514" s="41" t="str">
        <f>IF(B514&gt;0,VLOOKUP(B514,КВСР!A376:B1541,2),IF(C514&gt;0,VLOOKUP(C514,КФСР!A376:B1888,2),IF(D514&gt;0,VLOOKUP(D514,Программа!A$1:B$5008,2),IF(F514&gt;0,VLOOKUP(F514,КВР!A$1:B$5001,2),IF(E514&gt;0,VLOOKUP(E514,Направление!A$1:B$4660,2))))))</f>
        <v>Доступная среда</v>
      </c>
      <c r="B514" s="85"/>
      <c r="C514" s="77"/>
      <c r="D514" s="78">
        <v>60</v>
      </c>
      <c r="E514" s="77"/>
      <c r="F514" s="78"/>
      <c r="G514" s="95">
        <v>1917700</v>
      </c>
      <c r="H514" s="95">
        <f>H515</f>
        <v>0</v>
      </c>
      <c r="I514" s="42">
        <f t="shared" si="58"/>
        <v>1917700</v>
      </c>
    </row>
    <row r="515" spans="1:9" s="19" customFormat="1" ht="47.25">
      <c r="A515" s="41" t="str">
        <f>IF(B515&gt;0,VLOOKUP(B515,КВСР!A377:B1542,2),IF(C515&gt;0,VLOOKUP(C515,КФСР!A377:B1889,2),IF(D515&gt;0,VLOOKUP(D515,Программа!A$1:B$5008,2),IF(F515&gt;0,VLOOKUP(F515,КВР!A$1:B$5001,2),IF(E515&gt;0,VLOOKUP(E515,Направление!A$1:B$4660,2))))))</f>
        <v>Муниципальная целевая программа «Доступная среда» на 2012-2015 годы.</v>
      </c>
      <c r="B515" s="85"/>
      <c r="C515" s="77"/>
      <c r="D515" s="78">
        <v>61</v>
      </c>
      <c r="E515" s="77"/>
      <c r="F515" s="78"/>
      <c r="G515" s="95">
        <v>1917700</v>
      </c>
      <c r="H515" s="95">
        <f>H516+H518+H520</f>
        <v>0</v>
      </c>
      <c r="I515" s="42">
        <f t="shared" si="58"/>
        <v>1917700</v>
      </c>
    </row>
    <row r="516" spans="1:9" s="19" customFormat="1" ht="78.75">
      <c r="A516" s="41" t="str">
        <f>IF(B516&gt;0,VLOOKUP(B516,КВСР!A378:B1543,2),IF(C516&gt;0,VLOOKUP(C516,КФСР!A378:B1890,2),IF(D516&gt;0,VLOOKUP(D516,Программа!A$1:B$5008,2),IF(F516&gt;0,VLOOKUP(F516,КВР!A$1:B$5001,2),IF(E516&gt;0,VLOOKUP(E516,Направление!A$1:B$4660,2))))))</f>
        <v>Расходы на оборудование социально значимых объектов сферы молодежной политики с целью обеспечения доступности для инвалидов</v>
      </c>
      <c r="B516" s="85"/>
      <c r="C516" s="77"/>
      <c r="D516" s="78"/>
      <c r="E516" s="77">
        <v>1458</v>
      </c>
      <c r="F516" s="78"/>
      <c r="G516" s="95">
        <v>47700</v>
      </c>
      <c r="H516" s="95">
        <f>H517</f>
        <v>0</v>
      </c>
      <c r="I516" s="42">
        <f t="shared" si="58"/>
        <v>47700</v>
      </c>
    </row>
    <row r="517" spans="1:9" s="19" customFormat="1" ht="63">
      <c r="A517" s="41" t="str">
        <f>IF(B517&gt;0,VLOOKUP(B517,КВСР!A379:B1544,2),IF(C517&gt;0,VLOOKUP(C517,КФСР!A379:B1891,2),IF(D517&gt;0,VLOOKUP(D517,Программа!A$1:B$5008,2),IF(F517&gt;0,VLOOKUP(F517,КВР!A$1:B$5001,2),IF(E517&gt;0,VLOOKUP(E517,Направление!A$1:B$4660,2))))))</f>
        <v>Предоставление субсидий бюджетным, автономным учреждениям и иным некоммерческим организациям</v>
      </c>
      <c r="B517" s="85"/>
      <c r="C517" s="77"/>
      <c r="D517" s="78"/>
      <c r="E517" s="77"/>
      <c r="F517" s="78">
        <v>600</v>
      </c>
      <c r="G517" s="42">
        <v>47700</v>
      </c>
      <c r="H517" s="334"/>
      <c r="I517" s="42">
        <f t="shared" si="58"/>
        <v>47700</v>
      </c>
    </row>
    <row r="518" spans="1:9" s="19" customFormat="1" ht="63">
      <c r="A518" s="41" t="str">
        <f>IF(B518&gt;0,VLOOKUP(B518,КВСР!A378:B1543,2),IF(C518&gt;0,VLOOKUP(C518,КФСР!A378:B1890,2),IF(D518&gt;0,VLOOKUP(D518,Программа!A$1:B$5008,2),IF(F518&gt;0,VLOOKUP(F518,КВР!A$1:B$5001,2),IF(E518&gt;0,VLOOKUP(E518,Направление!A$1:B$4660,2))))))</f>
        <v>Росходы на мероприятия государственной программы Российской Федерации "Доступная среда" на 2011 - 2015 годы</v>
      </c>
      <c r="B518" s="85"/>
      <c r="C518" s="77"/>
      <c r="D518" s="78"/>
      <c r="E518" s="77">
        <v>5027</v>
      </c>
      <c r="F518" s="78"/>
      <c r="G518" s="42">
        <v>953000</v>
      </c>
      <c r="H518" s="340">
        <f>H519</f>
        <v>0</v>
      </c>
      <c r="I518" s="42">
        <f t="shared" si="58"/>
        <v>953000</v>
      </c>
    </row>
    <row r="519" spans="1:9" s="19" customFormat="1" ht="63">
      <c r="A519" s="41" t="str">
        <f>IF(B519&gt;0,VLOOKUP(B519,КВСР!A379:B1544,2),IF(C519&gt;0,VLOOKUP(C519,КФСР!A379:B1891,2),IF(D519&gt;0,VLOOKUP(D519,Программа!A$1:B$5008,2),IF(F519&gt;0,VLOOKUP(F519,КВР!A$1:B$5001,2),IF(E519&gt;0,VLOOKUP(E519,Направление!A$1:B$4660,2))))))</f>
        <v>Предоставление субсидий бюджетным, автономным учреждениям и иным некоммерческим организациям</v>
      </c>
      <c r="B519" s="85"/>
      <c r="C519" s="77"/>
      <c r="D519" s="78"/>
      <c r="E519" s="77"/>
      <c r="F519" s="78">
        <v>600</v>
      </c>
      <c r="G519" s="42">
        <v>953000</v>
      </c>
      <c r="H519" s="334"/>
      <c r="I519" s="42">
        <f t="shared" si="58"/>
        <v>953000</v>
      </c>
    </row>
    <row r="520" spans="1:9" s="19" customFormat="1" ht="94.5">
      <c r="A520" s="41" t="str">
        <f>IF(B520&gt;0,VLOOKUP(B520,КВСР!A380:B1545,2),IF(C520&gt;0,VLOOKUP(C520,КФСР!A380:B1892,2),IF(D520&gt;0,VLOOKUP(D520,Программа!A$1:B$5008,2),IF(F520&gt;0,VLOOKUP(F520,КВР!A$1:B$5001,2),IF(E520&gt;0,VLOOKUP(E520,Направление!A$1:B$4660,2))))))</f>
        <v>Расходы на оборудование социально-значимых объектов муниципальной собственности с целью обеспечения доступности для инвалидов за счет средств областного бюджета</v>
      </c>
      <c r="B520" s="85"/>
      <c r="C520" s="77"/>
      <c r="D520" s="78"/>
      <c r="E520" s="77">
        <v>7413</v>
      </c>
      <c r="F520" s="78"/>
      <c r="G520" s="95">
        <v>917000</v>
      </c>
      <c r="H520" s="370">
        <f>H521</f>
        <v>0</v>
      </c>
      <c r="I520" s="42">
        <f t="shared" si="58"/>
        <v>917000</v>
      </c>
    </row>
    <row r="521" spans="1:9" s="19" customFormat="1" ht="63">
      <c r="A521" s="41" t="str">
        <f>IF(B521&gt;0,VLOOKUP(B521,КВСР!A381:B1546,2),IF(C521&gt;0,VLOOKUP(C521,КФСР!A381:B1893,2),IF(D521&gt;0,VLOOKUP(D521,Программа!A$1:B$5008,2),IF(F521&gt;0,VLOOKUP(F521,КВР!A$1:B$5001,2),IF(E521&gt;0,VLOOKUP(E521,Направление!A$1:B$4660,2))))))</f>
        <v>Предоставление субсидий бюджетным, автономным учреждениям и иным некоммерческим организациям</v>
      </c>
      <c r="B521" s="85"/>
      <c r="C521" s="77"/>
      <c r="D521" s="78"/>
      <c r="E521" s="77"/>
      <c r="F521" s="78">
        <v>600</v>
      </c>
      <c r="G521" s="95">
        <v>917000</v>
      </c>
      <c r="H521" s="336"/>
      <c r="I521" s="42">
        <f t="shared" si="58"/>
        <v>917000</v>
      </c>
    </row>
    <row r="522" spans="1:9" s="19" customFormat="1" ht="31.5">
      <c r="A522" s="41" t="str">
        <f>IF(B522&gt;0,VLOOKUP(B522,КВСР!A382:B1547,2),IF(C522&gt;0,VLOOKUP(C522,КФСР!A382:B1894,2),IF(D522&gt;0,VLOOKUP(D522,Программа!A$1:B$5008,2),IF(F522&gt;0,VLOOKUP(F522,КВР!A$1:B$5001,2),IF(E522&gt;0,VLOOKUP(E522,Направление!A$1:B$4660,2))))))</f>
        <v>Другие вопросы в области образования</v>
      </c>
      <c r="B522" s="85"/>
      <c r="C522" s="77">
        <v>709</v>
      </c>
      <c r="D522" s="78"/>
      <c r="E522" s="77"/>
      <c r="F522" s="78"/>
      <c r="G522" s="95">
        <v>7593671</v>
      </c>
      <c r="H522" s="95">
        <f>H523+H530+H537</f>
        <v>48690</v>
      </c>
      <c r="I522" s="95">
        <f>I523+I530+I537</f>
        <v>7642361</v>
      </c>
    </row>
    <row r="523" spans="1:9" s="19" customFormat="1">
      <c r="A523" s="41" t="str">
        <f>IF(B523&gt;0,VLOOKUP(B523,КВСР!A383:B1548,2),IF(C523&gt;0,VLOOKUP(C523,КФСР!A383:B1895,2),IF(D523&gt;0,VLOOKUP(D523,Программа!A$1:B$5008,2),IF(F523&gt;0,VLOOKUP(F523,КВР!A$1:B$5001,2),IF(E523&gt;0,VLOOKUP(E523,Направление!A$1:B$4660,2))))))</f>
        <v>Развитие культуры и туризма</v>
      </c>
      <c r="B523" s="85"/>
      <c r="C523" s="77"/>
      <c r="D523" s="78">
        <v>30</v>
      </c>
      <c r="E523" s="77"/>
      <c r="F523" s="78"/>
      <c r="G523" s="95">
        <v>5547871</v>
      </c>
      <c r="H523" s="95">
        <f t="shared" ref="H523" si="65">H524</f>
        <v>0</v>
      </c>
      <c r="I523" s="42">
        <f t="shared" si="58"/>
        <v>5547871</v>
      </c>
    </row>
    <row r="524" spans="1:9" s="19" customFormat="1" ht="63">
      <c r="A524" s="41" t="str">
        <f>IF(B524&gt;0,VLOOKUP(B524,КВСР!A384:B1549,2),IF(C524&gt;0,VLOOKUP(C524,КФСР!A384:B1896,2),IF(D524&gt;0,VLOOKUP(D524,Программа!A$1:B$5008,2),IF(F524&gt;0,VLOOKUP(F524,КВР!A$1:B$5001,2),IF(E524&gt;0,VLOOKUP(E524,Направление!A$1:B$4660,2))))))</f>
        <v>Ведомственная целевая программа «Сохранение и развитие культуры Тутаевского муниципального района» на 2014-2016 годы.</v>
      </c>
      <c r="B524" s="85"/>
      <c r="C524" s="77"/>
      <c r="D524" s="78">
        <v>31</v>
      </c>
      <c r="E524" s="77"/>
      <c r="F524" s="78"/>
      <c r="G524" s="95">
        <v>5547871</v>
      </c>
      <c r="H524" s="95">
        <f t="shared" ref="H524" si="66">H525+H527</f>
        <v>0</v>
      </c>
      <c r="I524" s="42">
        <f t="shared" si="58"/>
        <v>5547871</v>
      </c>
    </row>
    <row r="525" spans="1:9" s="19" customFormat="1" ht="63">
      <c r="A525" s="41" t="str">
        <f>IF(B525&gt;0,VLOOKUP(B525,КВСР!A385:B1550,2),IF(C525&gt;0,VLOOKUP(C525,КФСР!A385:B1897,2),IF(D525&gt;0,VLOOKUP(D525,Программа!A$1:B$5008,2),IF(F525&gt;0,VLOOKUP(F525,КВР!A$1:B$5001,2),IF(E525&gt;0,VLOOKUP(E525,Направление!A$1:B$4660,2))))))</f>
        <v>Расходы на проведение капитального ремонта муниципальных учреждений культуры</v>
      </c>
      <c r="B525" s="85"/>
      <c r="C525" s="77"/>
      <c r="D525" s="78"/>
      <c r="E525" s="77">
        <v>1526</v>
      </c>
      <c r="F525" s="78"/>
      <c r="G525" s="95">
        <v>2547871</v>
      </c>
      <c r="H525" s="95">
        <f t="shared" ref="H525" si="67">H526</f>
        <v>0</v>
      </c>
      <c r="I525" s="42">
        <f t="shared" si="58"/>
        <v>2547871</v>
      </c>
    </row>
    <row r="526" spans="1:9" s="19" customFormat="1" ht="63">
      <c r="A526" s="41" t="str">
        <f>IF(B526&gt;0,VLOOKUP(B526,КВСР!A386:B1551,2),IF(C526&gt;0,VLOOKUP(C526,КФСР!A386:B1898,2),IF(D526&gt;0,VLOOKUP(D526,Программа!A$1:B$5008,2),IF(F526&gt;0,VLOOKUP(F526,КВР!A$1:B$5001,2),IF(E526&gt;0,VLOOKUP(E526,Направление!A$1:B$4660,2))))))</f>
        <v>Предоставление субсидий бюджетным, автономным учреждениям и иным некоммерческим организациям</v>
      </c>
      <c r="B526" s="85"/>
      <c r="C526" s="77"/>
      <c r="D526" s="78"/>
      <c r="E526" s="77"/>
      <c r="F526" s="78">
        <v>600</v>
      </c>
      <c r="G526" s="95">
        <v>2547871</v>
      </c>
      <c r="H526" s="336"/>
      <c r="I526" s="42">
        <f t="shared" si="58"/>
        <v>2547871</v>
      </c>
    </row>
    <row r="527" spans="1:9" s="19" customFormat="1" ht="63">
      <c r="A527" s="41" t="str">
        <f>IF(B527&gt;0,VLOOKUP(B527,КВСР!A387:B1552,2),IF(C527&gt;0,VLOOKUP(C527,КФСР!A387:B1899,2),IF(D527&gt;0,VLOOKUP(D527,Программа!A$1:B$5008,2),IF(F527&gt;0,VLOOKUP(F527,КВР!A$1:B$5001,2),IF(E527&gt;0,VLOOKUP(E527,Направление!A$1:B$4660,2))))))</f>
        <v>Расходы на проведение капитального ремонта муниципальных учреждений культуры</v>
      </c>
      <c r="B527" s="85"/>
      <c r="C527" s="77"/>
      <c r="D527" s="78"/>
      <c r="E527" s="77">
        <v>7169</v>
      </c>
      <c r="F527" s="78"/>
      <c r="G527" s="95">
        <v>3000000</v>
      </c>
      <c r="H527" s="95">
        <f t="shared" ref="H527" si="68">H528</f>
        <v>0</v>
      </c>
      <c r="I527" s="42">
        <f t="shared" si="58"/>
        <v>3000000</v>
      </c>
    </row>
    <row r="528" spans="1:9" s="19" customFormat="1" ht="63">
      <c r="A528" s="41" t="str">
        <f>IF(B528&gt;0,VLOOKUP(B528,КВСР!A388:B1553,2),IF(C528&gt;0,VLOOKUP(C528,КФСР!A388:B1900,2),IF(D528&gt;0,VLOOKUP(D528,Программа!A$1:B$5008,2),IF(F528&gt;0,VLOOKUP(F528,КВР!A$1:B$5001,2),IF(E528&gt;0,VLOOKUP(E528,Направление!A$1:B$4660,2))))))</f>
        <v>Предоставление субсидий бюджетным, автономным учреждениям и иным некоммерческим организациям</v>
      </c>
      <c r="B528" s="85"/>
      <c r="C528" s="77"/>
      <c r="D528" s="78"/>
      <c r="E528" s="77"/>
      <c r="F528" s="78">
        <v>600</v>
      </c>
      <c r="G528" s="95">
        <v>3000000</v>
      </c>
      <c r="H528" s="336"/>
      <c r="I528" s="42">
        <f t="shared" si="58"/>
        <v>3000000</v>
      </c>
    </row>
    <row r="529" spans="1:9" s="19" customFormat="1">
      <c r="A529" s="41" t="str">
        <f>IF(B529&gt;0,VLOOKUP(B529,КВСР!A389:B1554,2),IF(C529&gt;0,VLOOKUP(C529,КФСР!A389:B1901,2),IF(D529&gt;0,VLOOKUP(D529,Программа!A$1:B$5008,2),IF(F529&gt;0,VLOOKUP(F529,КВР!A$1:B$5001,2),IF(E529&gt;0,VLOOKUP(E529,Направление!A$1:B$4660,2))))))</f>
        <v>Доступная среда</v>
      </c>
      <c r="B529" s="85"/>
      <c r="C529" s="77"/>
      <c r="D529" s="78">
        <v>60</v>
      </c>
      <c r="E529" s="77"/>
      <c r="F529" s="78"/>
      <c r="G529" s="95">
        <v>2045800</v>
      </c>
      <c r="H529" s="370">
        <f>H530</f>
        <v>0</v>
      </c>
      <c r="I529" s="42">
        <f t="shared" si="58"/>
        <v>2045800</v>
      </c>
    </row>
    <row r="530" spans="1:9" s="19" customFormat="1" ht="47.25">
      <c r="A530" s="41" t="str">
        <f>IF(B530&gt;0,VLOOKUP(B530,КВСР!A383:B1548,2),IF(C530&gt;0,VLOOKUP(C530,КФСР!A383:B1895,2),IF(D530&gt;0,VLOOKUP(D530,Программа!A$1:B$5008,2),IF(F530&gt;0,VLOOKUP(F530,КВР!A$1:B$5001,2),IF(E530&gt;0,VLOOKUP(E530,Направление!A$1:B$4660,2))))))</f>
        <v>Муниципальная целевая программа «Доступная среда» на 2012-2015 годы.</v>
      </c>
      <c r="B530" s="85"/>
      <c r="C530" s="77"/>
      <c r="D530" s="78">
        <v>61</v>
      </c>
      <c r="E530" s="77"/>
      <c r="F530" s="78"/>
      <c r="G530" s="95">
        <v>2045800</v>
      </c>
      <c r="H530" s="370">
        <f>H533+H531+H535</f>
        <v>0</v>
      </c>
      <c r="I530" s="42">
        <f t="shared" si="58"/>
        <v>2045800</v>
      </c>
    </row>
    <row r="531" spans="1:9" s="19" customFormat="1" ht="78.75">
      <c r="A531" s="41" t="str">
        <f>IF(B531&gt;0,VLOOKUP(B531,КВСР!A382:B1547,2),IF(C531&gt;0,VLOOKUP(C531,КФСР!A382:B1894,2),IF(D531&gt;0,VLOOKUP(D531,Программа!A$1:B$5008,2),IF(F531&gt;0,VLOOKUP(F531,КВР!A$1:B$5001,2),IF(E531&gt;0,VLOOKUP(E531,Направление!A$1:B$4660,2))))))</f>
        <v>Расходы на оборудование социально значимых объектов в сфере культуры учреждений дополнительного образования с целью доступности для инвалидов.</v>
      </c>
      <c r="B531" s="85"/>
      <c r="C531" s="77"/>
      <c r="D531" s="78"/>
      <c r="E531" s="77">
        <v>1325</v>
      </c>
      <c r="F531" s="78"/>
      <c r="G531" s="95">
        <v>50800</v>
      </c>
      <c r="H531" s="370">
        <f>H532</f>
        <v>0</v>
      </c>
      <c r="I531" s="42">
        <f t="shared" si="58"/>
        <v>50800</v>
      </c>
    </row>
    <row r="532" spans="1:9" s="19" customFormat="1" ht="63">
      <c r="A532" s="41" t="str">
        <f>IF(B532&gt;0,VLOOKUP(B532,КВСР!A383:B1548,2),IF(C532&gt;0,VLOOKUP(C532,КФСР!A383:B1895,2),IF(D532&gt;0,VLOOKUP(D532,Программа!A$1:B$5008,2),IF(F532&gt;0,VLOOKUP(F532,КВР!A$1:B$5001,2),IF(E532&gt;0,VLOOKUP(E532,Направление!A$1:B$4660,2))))))</f>
        <v>Предоставление субсидий бюджетным, автономным учреждениям и иным некоммерческим организациям</v>
      </c>
      <c r="B532" s="85"/>
      <c r="C532" s="77"/>
      <c r="D532" s="78"/>
      <c r="E532" s="77"/>
      <c r="F532" s="78">
        <v>600</v>
      </c>
      <c r="G532" s="95">
        <v>50800</v>
      </c>
      <c r="H532" s="336"/>
      <c r="I532" s="42">
        <f t="shared" ref="I532:I598" si="69">SUM(G532:H532)</f>
        <v>50800</v>
      </c>
    </row>
    <row r="533" spans="1:9" s="19" customFormat="1" ht="63">
      <c r="A533" s="41" t="str">
        <f>IF(B533&gt;0,VLOOKUP(B533,КВСР!A384:B1549,2),IF(C533&gt;0,VLOOKUP(C533,КФСР!A384:B1896,2),IF(D533&gt;0,VLOOKUP(D533,Программа!A$1:B$5008,2),IF(F533&gt;0,VLOOKUP(F533,КВР!A$1:B$5001,2),IF(E533&gt;0,VLOOKUP(E533,Направление!A$1:B$4660,2))))))</f>
        <v>Росходы на мероприятия государственной программы Российской Федерации "Доступная среда" на 2011 - 2015 годы</v>
      </c>
      <c r="B533" s="85"/>
      <c r="C533" s="77"/>
      <c r="D533" s="78"/>
      <c r="E533" s="77">
        <v>5027</v>
      </c>
      <c r="F533" s="78"/>
      <c r="G533" s="95">
        <v>1023000</v>
      </c>
      <c r="H533" s="370">
        <f>H534</f>
        <v>0</v>
      </c>
      <c r="I533" s="42">
        <f t="shared" si="69"/>
        <v>1023000</v>
      </c>
    </row>
    <row r="534" spans="1:9" s="19" customFormat="1" ht="63">
      <c r="A534" s="41" t="str">
        <f>IF(B534&gt;0,VLOOKUP(B534,КВСР!A385:B1550,2),IF(C534&gt;0,VLOOKUP(C534,КФСР!A385:B1897,2),IF(D534&gt;0,VLOOKUP(D534,Программа!A$1:B$5008,2),IF(F534&gt;0,VLOOKUP(F534,КВР!A$1:B$5001,2),IF(E534&gt;0,VLOOKUP(E534,Направление!A$1:B$4660,2))))))</f>
        <v>Предоставление субсидий бюджетным, автономным учреждениям и иным некоммерческим организациям</v>
      </c>
      <c r="B534" s="85"/>
      <c r="C534" s="77"/>
      <c r="D534" s="78"/>
      <c r="E534" s="77"/>
      <c r="F534" s="78">
        <v>600</v>
      </c>
      <c r="G534" s="95">
        <v>1023000</v>
      </c>
      <c r="H534" s="336"/>
      <c r="I534" s="42">
        <f t="shared" si="69"/>
        <v>1023000</v>
      </c>
    </row>
    <row r="535" spans="1:9" s="19" customFormat="1" ht="94.5">
      <c r="A535" s="41" t="str">
        <f>IF(B535&gt;0,VLOOKUP(B535,КВСР!A384:B1549,2),IF(C535&gt;0,VLOOKUP(C535,КФСР!A384:B1896,2),IF(D535&gt;0,VLOOKUP(D535,Программа!A$1:B$5008,2),IF(F535&gt;0,VLOOKUP(F535,КВР!A$1:B$5001,2),IF(E535&gt;0,VLOOKUP(E535,Направление!A$1:B$4660,2))))))</f>
        <v>Расходы на оборудование социально-значимых объектов муниципальной собственности с целью обеспечения доступности для инвалидов за счет средств областного бюджета</v>
      </c>
      <c r="B535" s="85"/>
      <c r="C535" s="77"/>
      <c r="D535" s="78"/>
      <c r="E535" s="77">
        <v>7413</v>
      </c>
      <c r="F535" s="78"/>
      <c r="G535" s="95">
        <v>972000</v>
      </c>
      <c r="H535" s="370">
        <f>H536</f>
        <v>0</v>
      </c>
      <c r="I535" s="42">
        <f t="shared" si="69"/>
        <v>972000</v>
      </c>
    </row>
    <row r="536" spans="1:9" s="19" customFormat="1" ht="63">
      <c r="A536" s="41" t="str">
        <f>IF(B536&gt;0,VLOOKUP(B536,КВСР!A385:B1550,2),IF(C536&gt;0,VLOOKUP(C536,КФСР!A385:B1897,2),IF(D536&gt;0,VLOOKUP(D536,Программа!A$1:B$5008,2),IF(F536&gt;0,VLOOKUP(F536,КВР!A$1:B$5001,2),IF(E536&gt;0,VLOOKUP(E536,Направление!A$1:B$4660,2))))))</f>
        <v>Предоставление субсидий бюджетным, автономным учреждениям и иным некоммерческим организациям</v>
      </c>
      <c r="B536" s="85"/>
      <c r="C536" s="77"/>
      <c r="D536" s="78"/>
      <c r="E536" s="77"/>
      <c r="F536" s="78">
        <v>600</v>
      </c>
      <c r="G536" s="95">
        <v>972000</v>
      </c>
      <c r="H536" s="336"/>
      <c r="I536" s="42">
        <f t="shared" si="69"/>
        <v>972000</v>
      </c>
    </row>
    <row r="537" spans="1:9" s="19" customFormat="1">
      <c r="A537" s="41" t="str">
        <f>IF(B537&gt;0,VLOOKUP(B537,КВСР!A386:B1551,2),IF(C537&gt;0,VLOOKUP(C537,КФСР!A386:B1898,2),IF(D537&gt;0,VLOOKUP(D537,Программа!A$1:B$5008,2),IF(F537&gt;0,VLOOKUP(F537,КВР!A$1:B$5001,2),IF(E537&gt;0,VLOOKUP(E537,Направление!A$1:B$4660,2))))))</f>
        <v>Непрограммные расходы бюджета</v>
      </c>
      <c r="B537" s="85"/>
      <c r="C537" s="77"/>
      <c r="D537" s="78">
        <v>409</v>
      </c>
      <c r="E537" s="77"/>
      <c r="F537" s="78"/>
      <c r="G537" s="95">
        <f>G538</f>
        <v>0</v>
      </c>
      <c r="H537" s="95">
        <f t="shared" ref="H537:I537" si="70">H538</f>
        <v>48690</v>
      </c>
      <c r="I537" s="95">
        <f t="shared" si="70"/>
        <v>48690</v>
      </c>
    </row>
    <row r="538" spans="1:9" s="19" customFormat="1" ht="47.25">
      <c r="A538" s="41" t="str">
        <f>IF(B538&gt;0,VLOOKUP(B538,КВСР!A387:B1552,2),IF(C538&gt;0,VLOOKUP(C538,КФСР!A387:B1899,2),IF(D538&gt;0,VLOOKUP(D538,Программа!A$1:B$5008,2),IF(F538&gt;0,VLOOKUP(F538,КВР!A$1:B$5001,2),IF(E538&gt;0,VLOOKUP(E538,Направление!A$1:B$4660,2))))))</f>
        <v>Расходы на реализацию ОЦП "Развитие органов местного самоуправления на территории ЯО"</v>
      </c>
      <c r="B538" s="85"/>
      <c r="C538" s="77"/>
      <c r="D538" s="78"/>
      <c r="E538" s="77">
        <v>7229</v>
      </c>
      <c r="F538" s="78"/>
      <c r="G538" s="95">
        <f>G539</f>
        <v>0</v>
      </c>
      <c r="H538" s="95">
        <f t="shared" ref="H538:I538" si="71">H539</f>
        <v>48690</v>
      </c>
      <c r="I538" s="95">
        <f t="shared" si="71"/>
        <v>48690</v>
      </c>
    </row>
    <row r="539" spans="1:9" s="19" customFormat="1" ht="63">
      <c r="A539" s="41" t="str">
        <f>IF(B539&gt;0,VLOOKUP(B539,КВСР!A388:B1553,2),IF(C539&gt;0,VLOOKUP(C539,КФСР!A388:B1900,2),IF(D539&gt;0,VLOOKUP(D539,Программа!A$1:B$5008,2),IF(F539&gt;0,VLOOKUP(F539,КВР!A$1:B$5001,2),IF(E539&gt;0,VLOOKUP(E539,Направление!A$1:B$4660,2))))))</f>
        <v>Предоставление субсидий бюджетным, автономным учреждениям и иным некоммерческим организациям</v>
      </c>
      <c r="B539" s="85"/>
      <c r="C539" s="77"/>
      <c r="D539" s="78"/>
      <c r="E539" s="77"/>
      <c r="F539" s="78">
        <v>600</v>
      </c>
      <c r="G539" s="95"/>
      <c r="H539" s="336">
        <v>48690</v>
      </c>
      <c r="I539" s="42">
        <f>G539+H539</f>
        <v>48690</v>
      </c>
    </row>
    <row r="540" spans="1:9" s="19" customFormat="1">
      <c r="A540" s="41" t="str">
        <f>IF(B540&gt;0,VLOOKUP(B540,КВСР!A386:B1551,2),IF(C540&gt;0,VLOOKUP(C540,КФСР!A386:B1898,2),IF(D540&gt;0,VLOOKUP(D540,Программа!A$1:B$5008,2),IF(F540&gt;0,VLOOKUP(F540,КВР!A$1:B$5001,2),IF(E540&gt;0,VLOOKUP(E540,Направление!A$1:B$4660,2))))))</f>
        <v>Культура</v>
      </c>
      <c r="B540" s="85"/>
      <c r="C540" s="77">
        <v>801</v>
      </c>
      <c r="D540" s="88"/>
      <c r="E540" s="87"/>
      <c r="F540" s="88"/>
      <c r="G540" s="76">
        <v>98002755</v>
      </c>
      <c r="H540" s="76">
        <f>H541+H569</f>
        <v>203963</v>
      </c>
      <c r="I540" s="42">
        <f t="shared" si="69"/>
        <v>98206718</v>
      </c>
    </row>
    <row r="541" spans="1:9" s="19" customFormat="1">
      <c r="A541" s="41" t="str">
        <f>IF(B541&gt;0,VLOOKUP(B541,КВСР!A387:B1552,2),IF(C541&gt;0,VLOOKUP(C541,КФСР!A387:B1899,2),IF(D541&gt;0,VLOOKUP(D541,Программа!A$1:B$5008,2),IF(F541&gt;0,VLOOKUP(F541,КВР!A$1:B$5001,2),IF(E541&gt;0,VLOOKUP(E541,Направление!A$1:B$4660,2))))))</f>
        <v>Развитие культуры и туризма</v>
      </c>
      <c r="B541" s="85"/>
      <c r="C541" s="77"/>
      <c r="D541" s="88">
        <v>30</v>
      </c>
      <c r="E541" s="87"/>
      <c r="F541" s="88"/>
      <c r="G541" s="76">
        <v>95782230</v>
      </c>
      <c r="H541" s="76">
        <f>H542</f>
        <v>153963</v>
      </c>
      <c r="I541" s="42">
        <f t="shared" si="69"/>
        <v>95936193</v>
      </c>
    </row>
    <row r="542" spans="1:9" s="19" customFormat="1" ht="63">
      <c r="A542" s="41" t="str">
        <f>IF(B542&gt;0,VLOOKUP(B542,КВСР!A388:B1553,2),IF(C542&gt;0,VLOOKUP(C542,КФСР!A388:B1900,2),IF(D542&gt;0,VLOOKUP(D542,Программа!A$1:B$5008,2),IF(F542&gt;0,VLOOKUP(F542,КВР!A$1:B$5001,2),IF(E542&gt;0,VLOOKUP(E542,Направление!A$1:B$4660,2))))))</f>
        <v>Ведомственная целевая программа «Сохранение и развитие культуры Тутаевского муниципального района» на 2014-2016 годы.</v>
      </c>
      <c r="B542" s="85"/>
      <c r="C542" s="77"/>
      <c r="D542" s="88">
        <v>31</v>
      </c>
      <c r="E542" s="87"/>
      <c r="F542" s="88"/>
      <c r="G542" s="76">
        <v>95782230</v>
      </c>
      <c r="H542" s="76">
        <f>H545+H547+H549+H551+H563+H565+H553+H543+H555+H567+H559+H561+H557</f>
        <v>153963</v>
      </c>
      <c r="I542" s="76">
        <f>I545+I547+I549+I551+I563+I565+I553+I543+I555+I567+I559+I561+I557</f>
        <v>95936193</v>
      </c>
    </row>
    <row r="543" spans="1:9" s="19" customFormat="1" ht="63">
      <c r="A543" s="41" t="str">
        <f>IF(B543&gt;0,VLOOKUP(B543,КВСР!A389:B1554,2),IF(C543&gt;0,VLOOKUP(C543,КФСР!A389:B1901,2),IF(D543&gt;0,VLOOKUP(D543,Программа!A$1:B$5008,2),IF(F543&gt;0,VLOOKUP(F543,КВР!A$1:B$5001,2),IF(E543&gt;0,VLOOKUP(E543,Направление!A$1:B$4660,2))))))</f>
        <v>Расходы на выплату ежемесячных и разовых стипендий главы Тутаевского муниципального района</v>
      </c>
      <c r="B543" s="85"/>
      <c r="C543" s="77"/>
      <c r="D543" s="88"/>
      <c r="E543" s="87">
        <v>1270</v>
      </c>
      <c r="F543" s="88"/>
      <c r="G543" s="76">
        <v>40000</v>
      </c>
      <c r="H543" s="76">
        <f t="shared" ref="H543" si="72">H544</f>
        <v>0</v>
      </c>
      <c r="I543" s="42">
        <f t="shared" si="69"/>
        <v>40000</v>
      </c>
    </row>
    <row r="544" spans="1:9" s="19" customFormat="1" ht="63">
      <c r="A544" s="41" t="str">
        <f>IF(B544&gt;0,VLOOKUP(B544,КВСР!A390:B1555,2),IF(C544&gt;0,VLOOKUP(C544,КФСР!A390:B1902,2),IF(D544&gt;0,VLOOKUP(D544,Программа!A$1:B$5008,2),IF(F544&gt;0,VLOOKUP(F544,КВР!A$1:B$5001,2),IF(E544&gt;0,VLOOKUP(E544,Направление!A$1:B$4660,2))))))</f>
        <v>Предоставление субсидий бюджетным, автономным учреждениям и иным некоммерческим организациям</v>
      </c>
      <c r="B544" s="85"/>
      <c r="C544" s="77"/>
      <c r="D544" s="88"/>
      <c r="E544" s="87"/>
      <c r="F544" s="88">
        <v>600</v>
      </c>
      <c r="G544" s="76">
        <v>40000</v>
      </c>
      <c r="H544" s="350"/>
      <c r="I544" s="42">
        <f t="shared" si="69"/>
        <v>40000</v>
      </c>
    </row>
    <row r="545" spans="1:9" s="19" customFormat="1" ht="47.25">
      <c r="A545" s="41" t="str">
        <f>IF(B545&gt;0,VLOOKUP(B545,КВСР!A389:B1554,2),IF(C545&gt;0,VLOOKUP(C545,КФСР!A389:B1901,2),IF(D545&gt;0,VLOOKUP(D545,Программа!A$1:B$5008,2),IF(F545&gt;0,VLOOKUP(F545,КВР!A$1:B$5001,2),IF(E545&gt;0,VLOOKUP(E545,Направление!A$1:B$4660,2))))))</f>
        <v>Обеспечение деятельности учреждений по организации досуга в сфере культуры</v>
      </c>
      <c r="B545" s="85"/>
      <c r="C545" s="77"/>
      <c r="D545" s="88"/>
      <c r="E545" s="87">
        <v>1501</v>
      </c>
      <c r="F545" s="88"/>
      <c r="G545" s="43">
        <v>66273675</v>
      </c>
      <c r="H545" s="43">
        <f>H546</f>
        <v>0</v>
      </c>
      <c r="I545" s="42">
        <f t="shared" si="69"/>
        <v>66273675</v>
      </c>
    </row>
    <row r="546" spans="1:9" s="19" customFormat="1" ht="63">
      <c r="A546" s="41" t="str">
        <f>IF(B546&gt;0,VLOOKUP(B546,КВСР!A390:B1555,2),IF(C546&gt;0,VLOOKUP(C546,КФСР!A390:B1902,2),IF(D546&gt;0,VLOOKUP(D546,Программа!A$1:B$5008,2),IF(F546&gt;0,VLOOKUP(F546,КВР!A$1:B$5001,2),IF(E546&gt;0,VLOOKUP(E546,Направление!A$1:B$4660,2))))))</f>
        <v>Предоставление субсидий бюджетным, автономным учреждениям и иным некоммерческим организациям</v>
      </c>
      <c r="B546" s="85"/>
      <c r="C546" s="77"/>
      <c r="D546" s="88"/>
      <c r="E546" s="87"/>
      <c r="F546" s="88">
        <v>600</v>
      </c>
      <c r="G546" s="76">
        <v>66273675</v>
      </c>
      <c r="H546" s="335"/>
      <c r="I546" s="42">
        <f t="shared" si="69"/>
        <v>66273675</v>
      </c>
    </row>
    <row r="547" spans="1:9" s="19" customFormat="1" ht="47.25">
      <c r="A547" s="41" t="str">
        <f>IF(B547&gt;0,VLOOKUP(B547,КВСР!A391:B1556,2),IF(C547&gt;0,VLOOKUP(C547,КФСР!A391:B1903,2),IF(D547&gt;0,VLOOKUP(D547,Программа!A$1:B$5008,2),IF(F547&gt;0,VLOOKUP(F547,КВР!A$1:B$5001,2),IF(E547&gt;0,VLOOKUP(E547,Направление!A$1:B$4660,2))))))</f>
        <v>Расходы на повышение социальной активности пожилых людей в части организации культурных программ</v>
      </c>
      <c r="B547" s="85"/>
      <c r="C547" s="77"/>
      <c r="D547" s="88"/>
      <c r="E547" s="87">
        <v>1503</v>
      </c>
      <c r="F547" s="88"/>
      <c r="G547" s="76">
        <v>2300</v>
      </c>
      <c r="H547" s="76">
        <f>H548</f>
        <v>0</v>
      </c>
      <c r="I547" s="42">
        <f t="shared" si="69"/>
        <v>2300</v>
      </c>
    </row>
    <row r="548" spans="1:9" s="19" customFormat="1" ht="63">
      <c r="A548" s="41" t="str">
        <f>IF(B548&gt;0,VLOOKUP(B548,КВСР!A392:B1557,2),IF(C548&gt;0,VLOOKUP(C548,КФСР!A392:B1904,2),IF(D548&gt;0,VLOOKUP(D548,Программа!A$1:B$5008,2),IF(F548&gt;0,VLOOKUP(F548,КВР!A$1:B$5001,2),IF(E548&gt;0,VLOOKUP(E548,Направление!A$1:B$4660,2))))))</f>
        <v>Предоставление субсидий бюджетным, автономным учреждениям и иным некоммерческим организациям</v>
      </c>
      <c r="B548" s="85"/>
      <c r="C548" s="77"/>
      <c r="D548" s="88"/>
      <c r="E548" s="87"/>
      <c r="F548" s="88">
        <v>600</v>
      </c>
      <c r="G548" s="76">
        <v>2300</v>
      </c>
      <c r="H548" s="335"/>
      <c r="I548" s="42">
        <f t="shared" si="69"/>
        <v>2300</v>
      </c>
    </row>
    <row r="549" spans="1:9" s="19" customFormat="1" ht="31.5">
      <c r="A549" s="41" t="str">
        <f>IF(B549&gt;0,VLOOKUP(B549,КВСР!A391:B1556,2),IF(C549&gt;0,VLOOKUP(C549,КФСР!A391:B1903,2),IF(D549&gt;0,VLOOKUP(D549,Программа!A$1:B$5008,2),IF(F549&gt;0,VLOOKUP(F549,КВР!A$1:B$5001,2),IF(E549&gt;0,VLOOKUP(E549,Направление!A$1:B$4660,2))))))</f>
        <v>Обеспечение деятельности библиотек</v>
      </c>
      <c r="B549" s="85"/>
      <c r="C549" s="77"/>
      <c r="D549" s="88"/>
      <c r="E549" s="87">
        <v>1511</v>
      </c>
      <c r="F549" s="88"/>
      <c r="G549" s="76">
        <v>15569322</v>
      </c>
      <c r="H549" s="76">
        <f>H550</f>
        <v>108083</v>
      </c>
      <c r="I549" s="42">
        <f t="shared" si="69"/>
        <v>15677405</v>
      </c>
    </row>
    <row r="550" spans="1:9" s="19" customFormat="1" ht="63">
      <c r="A550" s="41" t="str">
        <f>IF(B550&gt;0,VLOOKUP(B550,КВСР!A392:B1557,2),IF(C550&gt;0,VLOOKUP(C550,КФСР!A392:B1904,2),IF(D550&gt;0,VLOOKUP(D550,Программа!A$1:B$5008,2),IF(F550&gt;0,VLOOKUP(F550,КВР!A$1:B$5001,2),IF(E550&gt;0,VLOOKUP(E550,Направление!A$1:B$4660,2))))))</f>
        <v>Предоставление субсидий бюджетным, автономным учреждениям и иным некоммерческим организациям</v>
      </c>
      <c r="B550" s="85"/>
      <c r="C550" s="77"/>
      <c r="D550" s="88"/>
      <c r="E550" s="87"/>
      <c r="F550" s="88">
        <v>600</v>
      </c>
      <c r="G550" s="76">
        <v>15569322</v>
      </c>
      <c r="H550" s="335">
        <v>108083</v>
      </c>
      <c r="I550" s="42">
        <f t="shared" si="69"/>
        <v>15677405</v>
      </c>
    </row>
    <row r="551" spans="1:9" s="19" customFormat="1">
      <c r="A551" s="41" t="str">
        <f>IF(B551&gt;0,VLOOKUP(B551,КВСР!A391:B1556,2),IF(C551&gt;0,VLOOKUP(C551,КФСР!A391:B1903,2),IF(D551&gt;0,VLOOKUP(D551,Программа!A$1:B$5008,2),IF(F551&gt;0,VLOOKUP(F551,КВР!A$1:B$5001,2),IF(E551&gt;0,VLOOKUP(E551,Направление!A$1:B$4660,2))))))</f>
        <v>Мероприятия в сфере культуры</v>
      </c>
      <c r="B551" s="85"/>
      <c r="C551" s="77"/>
      <c r="D551" s="88"/>
      <c r="E551" s="87">
        <v>1522</v>
      </c>
      <c r="F551" s="88"/>
      <c r="G551" s="43">
        <v>1228800</v>
      </c>
      <c r="H551" s="43">
        <f>H552</f>
        <v>0</v>
      </c>
      <c r="I551" s="42">
        <f t="shared" si="69"/>
        <v>1228800</v>
      </c>
    </row>
    <row r="552" spans="1:9" s="19" customFormat="1" ht="63">
      <c r="A552" s="41" t="str">
        <f>IF(B552&gt;0,VLOOKUP(B552,КВСР!A392:B1557,2),IF(C552&gt;0,VLOOKUP(C552,КФСР!A392:B1904,2),IF(D552&gt;0,VLOOKUP(D552,Программа!A$1:B$5008,2),IF(F552&gt;0,VLOOKUP(F552,КВР!A$1:B$5001,2),IF(E552&gt;0,VLOOKUP(E552,Направление!A$1:B$4660,2))))))</f>
        <v>Предоставление субсидий бюджетным, автономным учреждениям и иным некоммерческим организациям</v>
      </c>
      <c r="B552" s="85"/>
      <c r="C552" s="77"/>
      <c r="D552" s="78"/>
      <c r="E552" s="77"/>
      <c r="F552" s="78">
        <v>600</v>
      </c>
      <c r="G552" s="76">
        <v>1228800</v>
      </c>
      <c r="H552" s="335"/>
      <c r="I552" s="42">
        <f t="shared" si="69"/>
        <v>1228800</v>
      </c>
    </row>
    <row r="553" spans="1:9" s="19" customFormat="1" ht="63">
      <c r="A553" s="41" t="str">
        <f>IF(B553&gt;0,VLOOKUP(B553,КВСР!A393:B1558,2),IF(C553&gt;0,VLOOKUP(C553,КФСР!A393:B1905,2),IF(D553&gt;0,VLOOKUP(D553,Программа!A$1:B$5008,2),IF(F553&gt;0,VLOOKUP(F553,КВР!A$1:B$5001,2),IF(E553&gt;0,VLOOKUP(E553,Направление!A$1:B$4660,2))))))</f>
        <v>Расходы на проведение капитального ремонта муниципальных учреждений культуры</v>
      </c>
      <c r="B553" s="85"/>
      <c r="C553" s="77"/>
      <c r="D553" s="78"/>
      <c r="E553" s="77">
        <v>1526</v>
      </c>
      <c r="F553" s="78"/>
      <c r="G553" s="76">
        <v>177000</v>
      </c>
      <c r="H553" s="76">
        <f t="shared" ref="H553" si="73">H554</f>
        <v>100000</v>
      </c>
      <c r="I553" s="42">
        <f t="shared" si="69"/>
        <v>277000</v>
      </c>
    </row>
    <row r="554" spans="1:9" s="19" customFormat="1" ht="63">
      <c r="A554" s="41" t="str">
        <f>IF(B554&gt;0,VLOOKUP(B554,КВСР!A394:B1559,2),IF(C554&gt;0,VLOOKUP(C554,КФСР!A394:B1906,2),IF(D554&gt;0,VLOOKUP(D554,Программа!A$1:B$5008,2),IF(F554&gt;0,VLOOKUP(F554,КВР!A$1:B$5001,2),IF(E554&gt;0,VLOOKUP(E554,Направление!A$1:B$4660,2))))))</f>
        <v>Предоставление субсидий бюджетным, автономным учреждениям и иным некоммерческим организациям</v>
      </c>
      <c r="B554" s="85"/>
      <c r="C554" s="77"/>
      <c r="D554" s="78"/>
      <c r="E554" s="77"/>
      <c r="F554" s="78">
        <v>600</v>
      </c>
      <c r="G554" s="76">
        <v>177000</v>
      </c>
      <c r="H554" s="335">
        <v>100000</v>
      </c>
      <c r="I554" s="42">
        <f t="shared" si="69"/>
        <v>277000</v>
      </c>
    </row>
    <row r="555" spans="1:9" s="19" customFormat="1" ht="63">
      <c r="A555" s="41" t="str">
        <f>IF(B555&gt;0,VLOOKUP(B555,КВСР!A395:B1560,2),IF(C555&gt;0,VLOOKUP(C555,КФСР!A395:B1907,2),IF(D555&gt;0,VLOOKUP(D555,Программа!A$1:B$5008,2),IF(F555&gt;0,VLOOKUP(F555,КВР!A$1:B$5001,2),IF(E555&gt;0,VLOOKUP(E555,Направление!A$1:B$4660,2))))))</f>
        <v>Расходы  на осуществление переданных полномочий в части ремонтов домов культуры на территории поселения</v>
      </c>
      <c r="B555" s="85"/>
      <c r="C555" s="77"/>
      <c r="D555" s="78"/>
      <c r="E555" s="77">
        <v>2917</v>
      </c>
      <c r="F555" s="78"/>
      <c r="G555" s="76">
        <v>200000</v>
      </c>
      <c r="H555" s="76">
        <f t="shared" ref="H555" si="74">H556</f>
        <v>-100000</v>
      </c>
      <c r="I555" s="42">
        <f t="shared" si="69"/>
        <v>100000</v>
      </c>
    </row>
    <row r="556" spans="1:9" s="19" customFormat="1" ht="63">
      <c r="A556" s="41" t="str">
        <f>IF(B556&gt;0,VLOOKUP(B556,КВСР!A396:B1561,2),IF(C556&gt;0,VLOOKUP(C556,КФСР!A396:B1908,2),IF(D556&gt;0,VLOOKUP(D556,Программа!A$1:B$5008,2),IF(F556&gt;0,VLOOKUP(F556,КВР!A$1:B$5001,2),IF(E556&gt;0,VLOOKUP(E556,Направление!A$1:B$4660,2))))))</f>
        <v>Предоставление субсидий бюджетным, автономным учреждениям и иным некоммерческим организациям</v>
      </c>
      <c r="B556" s="85"/>
      <c r="C556" s="77"/>
      <c r="D556" s="78"/>
      <c r="E556" s="77"/>
      <c r="F556" s="78">
        <v>600</v>
      </c>
      <c r="G556" s="76">
        <v>200000</v>
      </c>
      <c r="H556" s="335">
        <v>-100000</v>
      </c>
      <c r="I556" s="42">
        <f t="shared" si="69"/>
        <v>100000</v>
      </c>
    </row>
    <row r="557" spans="1:9" s="19" customFormat="1" ht="157.5">
      <c r="A557" s="41" t="str">
        <f>IF(B557&gt;0,VLOOKUP(B557,КВСР!A397:B1562,2),IF(C557&gt;0,VLOOKUP(C557,КФСР!A397:B1909,2),IF(D557&gt;0,VLOOKUP(D557,Программа!A$1:B$5008,2),IF(F557&gt;0,VLOOKUP(F557,КВР!A$1:B$5001,2),IF(E557&gt;0,VLOOKUP(E557,Направление!A$1:B$4660,2))))))</f>
        <v>Расходы на проведение мероприятий по подключению общедоступных библиотек муниципальных образований области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v>
      </c>
      <c r="B557" s="85"/>
      <c r="C557" s="77"/>
      <c r="D557" s="78"/>
      <c r="E557" s="77">
        <v>5146</v>
      </c>
      <c r="F557" s="78"/>
      <c r="G557" s="76"/>
      <c r="H557" s="76">
        <f>H558</f>
        <v>45880</v>
      </c>
      <c r="I557" s="76">
        <f>I558</f>
        <v>45880</v>
      </c>
    </row>
    <row r="558" spans="1:9" s="19" customFormat="1" ht="63">
      <c r="A558" s="41" t="str">
        <f>IF(B558&gt;0,VLOOKUP(B558,КВСР!A398:B1563,2),IF(C558&gt;0,VLOOKUP(C558,КФСР!A398:B1910,2),IF(D558&gt;0,VLOOKUP(D558,Программа!A$1:B$5008,2),IF(F558&gt;0,VLOOKUP(F558,КВР!A$1:B$5001,2),IF(E558&gt;0,VLOOKUP(E558,Направление!A$1:B$4660,2))))))</f>
        <v>Предоставление субсидий бюджетным, автономным учреждениям и иным некоммерческим организациям</v>
      </c>
      <c r="B558" s="85"/>
      <c r="C558" s="77"/>
      <c r="D558" s="78"/>
      <c r="E558" s="77"/>
      <c r="F558" s="78">
        <v>600</v>
      </c>
      <c r="G558" s="76"/>
      <c r="H558" s="335">
        <v>45880</v>
      </c>
      <c r="I558" s="42">
        <f>G558+H558</f>
        <v>45880</v>
      </c>
    </row>
    <row r="559" spans="1:9" s="19" customFormat="1" ht="63">
      <c r="A559" s="41" t="str">
        <f>IF(B559&gt;0,VLOOKUP(B559,КВСР!A398:B1563,2),IF(C559&gt;0,VLOOKUP(C559,КФСР!A398:B1910,2),IF(D559&gt;0,VLOOKUP(D559,Программа!A$1:B$5008,2),IF(F559&gt;0,VLOOKUP(F559,КВР!A$1:B$5001,2),IF(E559&gt;0,VLOOKUP(E559,Направление!A$1:B$4660,2))))))</f>
        <v>Иные межбюджетные трансферты на государственную поддержку муниципальных учреждений культуры</v>
      </c>
      <c r="B559" s="85"/>
      <c r="C559" s="77"/>
      <c r="D559" s="78"/>
      <c r="E559" s="77">
        <v>5147</v>
      </c>
      <c r="F559" s="78"/>
      <c r="G559" s="76">
        <v>100000</v>
      </c>
      <c r="H559" s="354">
        <f>H560</f>
        <v>0</v>
      </c>
      <c r="I559" s="42">
        <f t="shared" si="69"/>
        <v>100000</v>
      </c>
    </row>
    <row r="560" spans="1:9" s="19" customFormat="1" ht="63">
      <c r="A560" s="41" t="str">
        <f>IF(B560&gt;0,VLOOKUP(B560,КВСР!A399:B1564,2),IF(C560&gt;0,VLOOKUP(C560,КФСР!A399:B1911,2),IF(D560&gt;0,VLOOKUP(D560,Программа!A$1:B$5008,2),IF(F560&gt;0,VLOOKUP(F560,КВР!A$1:B$5001,2),IF(E560&gt;0,VLOOKUP(E560,Направление!A$1:B$4660,2))))))</f>
        <v>Предоставление субсидий бюджетным, автономным учреждениям и иным некоммерческим организациям</v>
      </c>
      <c r="B560" s="85"/>
      <c r="C560" s="77"/>
      <c r="D560" s="78"/>
      <c r="E560" s="77"/>
      <c r="F560" s="78">
        <v>600</v>
      </c>
      <c r="G560" s="76">
        <v>100000</v>
      </c>
      <c r="H560" s="335"/>
      <c r="I560" s="42">
        <f t="shared" si="69"/>
        <v>100000</v>
      </c>
    </row>
    <row r="561" spans="1:9" s="19" customFormat="1" ht="78.75">
      <c r="A561" s="41" t="str">
        <f>IF(B561&gt;0,VLOOKUP(B561,КВСР!A398:B1563,2),IF(C561&gt;0,VLOOKUP(C561,КФСР!A398:B1910,2),IF(D561&gt;0,VLOOKUP(D561,Программа!A$1:B$5008,2),IF(F561&gt;0,VLOOKUP(F561,КВР!A$1:B$5001,2),IF(E561&gt;0,VLOOKUP(E561,Направление!A$1:B$4660,2))))))</f>
        <v>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v>
      </c>
      <c r="B561" s="85"/>
      <c r="C561" s="77"/>
      <c r="D561" s="78"/>
      <c r="E561" s="77">
        <v>5148</v>
      </c>
      <c r="F561" s="78"/>
      <c r="G561" s="76">
        <v>50000</v>
      </c>
      <c r="H561" s="354">
        <f>H562</f>
        <v>0</v>
      </c>
      <c r="I561" s="42">
        <f t="shared" si="69"/>
        <v>50000</v>
      </c>
    </row>
    <row r="562" spans="1:9" s="19" customFormat="1" ht="63">
      <c r="A562" s="41" t="str">
        <f>IF(B562&gt;0,VLOOKUP(B562,КВСР!A399:B1564,2),IF(C562&gt;0,VLOOKUP(C562,КФСР!A399:B1911,2),IF(D562&gt;0,VLOOKUP(D562,Программа!A$1:B$5008,2),IF(F562&gt;0,VLOOKUP(F562,КВР!A$1:B$5001,2),IF(E562&gt;0,VLOOKUP(E562,Направление!A$1:B$4660,2))))))</f>
        <v>Предоставление субсидий бюджетным, автономным учреждениям и иным некоммерческим организациям</v>
      </c>
      <c r="B562" s="85"/>
      <c r="C562" s="77"/>
      <c r="D562" s="78"/>
      <c r="E562" s="77"/>
      <c r="F562" s="78">
        <v>600</v>
      </c>
      <c r="G562" s="76">
        <v>50000</v>
      </c>
      <c r="H562" s="335"/>
      <c r="I562" s="42">
        <f t="shared" si="69"/>
        <v>50000</v>
      </c>
    </row>
    <row r="563" spans="1:9" s="19" customFormat="1" ht="63">
      <c r="A563" s="41" t="str">
        <f>IF(B563&gt;0,VLOOKUP(B563,КВСР!A400:B1565,2),IF(C563&gt;0,VLOOKUP(C563,КФСР!A400:B1912,2),IF(D563&gt;0,VLOOKUP(D563,Программа!A$1:B$5008,2),IF(F563&gt;0,VLOOKUP(F563,КВР!A$1:B$5001,2),IF(E563&gt;0,VLOOKUP(E563,Направление!A$1:B$4660,2))))))</f>
        <v>Расходы на повышение социальной активности пожилых людей в части организации культурных программ за счет средств областного бюджета</v>
      </c>
      <c r="B563" s="85"/>
      <c r="C563" s="77"/>
      <c r="D563" s="78"/>
      <c r="E563" s="77">
        <v>7093</v>
      </c>
      <c r="F563" s="78"/>
      <c r="G563" s="95">
        <v>20000</v>
      </c>
      <c r="H563" s="95">
        <f>H564</f>
        <v>0</v>
      </c>
      <c r="I563" s="42">
        <f t="shared" si="69"/>
        <v>20000</v>
      </c>
    </row>
    <row r="564" spans="1:9" s="19" customFormat="1" ht="63">
      <c r="A564" s="41" t="str">
        <f>IF(B564&gt;0,VLOOKUP(B564,КВСР!A401:B1566,2),IF(C564&gt;0,VLOOKUP(C564,КФСР!A401:B1913,2),IF(D564&gt;0,VLOOKUP(D564,Программа!A$1:B$5008,2),IF(F564&gt;0,VLOOKUP(F564,КВР!A$1:B$5001,2),IF(E564&gt;0,VLOOKUP(E564,Направление!A$1:B$4660,2))))))</f>
        <v>Предоставление субсидий бюджетным, автономным учреждениям и иным некоммерческим организациям</v>
      </c>
      <c r="B564" s="85"/>
      <c r="C564" s="77"/>
      <c r="D564" s="78"/>
      <c r="E564" s="77"/>
      <c r="F564" s="78">
        <v>600</v>
      </c>
      <c r="G564" s="42">
        <v>20000</v>
      </c>
      <c r="H564" s="334"/>
      <c r="I564" s="42">
        <f t="shared" si="69"/>
        <v>20000</v>
      </c>
    </row>
    <row r="565" spans="1:9" s="19" customFormat="1" ht="63">
      <c r="A565" s="41" t="str">
        <f>IF(B565&gt;0,VLOOKUP(B565,КВСР!A402:B1567,2),IF(C565&gt;0,VLOOKUP(C565,КФСР!A402:B1914,2),IF(D565&gt;0,VLOOKUP(D565,Программа!A$1:B$5008,2),IF(F565&gt;0,VLOOKUP(F565,КВР!A$1:B$5001,2),IF(E565&gt;0,VLOOKUP(E565,Направление!A$1:B$4660,2))))))</f>
        <v>Расходы на проведение капитального ремонта муниципальных учреждений культуры</v>
      </c>
      <c r="B565" s="85"/>
      <c r="C565" s="77"/>
      <c r="D565" s="78"/>
      <c r="E565" s="77">
        <v>7169</v>
      </c>
      <c r="F565" s="78"/>
      <c r="G565" s="42">
        <v>3400000</v>
      </c>
      <c r="H565" s="42">
        <f t="shared" ref="H565" si="75">H566</f>
        <v>0</v>
      </c>
      <c r="I565" s="42">
        <f t="shared" si="69"/>
        <v>3400000</v>
      </c>
    </row>
    <row r="566" spans="1:9" s="19" customFormat="1" ht="63">
      <c r="A566" s="41" t="str">
        <f>IF(B566&gt;0,VLOOKUP(B566,КВСР!A403:B1568,2),IF(C566&gt;0,VLOOKUP(C566,КФСР!A403:B1915,2),IF(D566&gt;0,VLOOKUP(D566,Программа!A$1:B$5008,2),IF(F566&gt;0,VLOOKUP(F566,КВР!A$1:B$5001,2),IF(E566&gt;0,VLOOKUP(E566,Направление!A$1:B$4660,2))))))</f>
        <v>Предоставление субсидий бюджетным, автономным учреждениям и иным некоммерческим организациям</v>
      </c>
      <c r="B566" s="85"/>
      <c r="C566" s="77"/>
      <c r="D566" s="78"/>
      <c r="E566" s="77"/>
      <c r="F566" s="78">
        <v>600</v>
      </c>
      <c r="G566" s="42">
        <v>3400000</v>
      </c>
      <c r="H566" s="334"/>
      <c r="I566" s="42">
        <f t="shared" si="69"/>
        <v>3400000</v>
      </c>
    </row>
    <row r="567" spans="1:9" s="19" customFormat="1" ht="31.5">
      <c r="A567" s="41" t="str">
        <f>IF(B567&gt;0,VLOOKUP(B567,КВСР!A404:B1569,2),IF(C567&gt;0,VLOOKUP(C567,КФСР!A404:B1916,2),IF(D567&gt;0,VLOOKUP(D567,Программа!A$1:B$5008,2),IF(F567&gt;0,VLOOKUP(F567,КВР!A$1:B$5001,2),IF(E567&gt;0,VLOOKUP(E567,Направление!A$1:B$4660,2))))))</f>
        <v>Оплата труда работников сферы культуры</v>
      </c>
      <c r="B567" s="85"/>
      <c r="C567" s="77"/>
      <c r="D567" s="78"/>
      <c r="E567" s="77">
        <v>7170</v>
      </c>
      <c r="F567" s="78"/>
      <c r="G567" s="42">
        <v>8721133</v>
      </c>
      <c r="H567" s="42">
        <f t="shared" ref="H567" si="76">H568</f>
        <v>0</v>
      </c>
      <c r="I567" s="42">
        <f t="shared" si="69"/>
        <v>8721133</v>
      </c>
    </row>
    <row r="568" spans="1:9" s="19" customFormat="1" ht="63">
      <c r="A568" s="41" t="str">
        <f>IF(B568&gt;0,VLOOKUP(B568,КВСР!A405:B1570,2),IF(C568&gt;0,VLOOKUP(C568,КФСР!A405:B1917,2),IF(D568&gt;0,VLOOKUP(D568,Программа!A$1:B$5008,2),IF(F568&gt;0,VLOOKUP(F568,КВР!A$1:B$5001,2),IF(E568&gt;0,VLOOKUP(E568,Направление!A$1:B$4660,2))))))</f>
        <v>Предоставление субсидий бюджетным, автономным учреждениям и иным некоммерческим организациям</v>
      </c>
      <c r="B568" s="85"/>
      <c r="C568" s="77"/>
      <c r="D568" s="78"/>
      <c r="E568" s="77"/>
      <c r="F568" s="78">
        <v>600</v>
      </c>
      <c r="G568" s="42">
        <v>8721133</v>
      </c>
      <c r="H568" s="334"/>
      <c r="I568" s="42">
        <f t="shared" si="69"/>
        <v>8721133</v>
      </c>
    </row>
    <row r="569" spans="1:9" s="19" customFormat="1">
      <c r="A569" s="41" t="str">
        <f>IF(B569&gt;0,VLOOKUP(B569,КВСР!A404:B1569,2),IF(C569&gt;0,VLOOKUP(C569,КФСР!A404:B1916,2),IF(D569&gt;0,VLOOKUP(D569,Программа!A$1:B$5008,2),IF(F569&gt;0,VLOOKUP(F569,КВР!A$1:B$5001,2),IF(E569&gt;0,VLOOKUP(E569,Направление!A$1:B$4660,2))))))</f>
        <v>Непрограммные расходы бюджета</v>
      </c>
      <c r="B569" s="85"/>
      <c r="C569" s="77"/>
      <c r="D569" s="78">
        <v>409</v>
      </c>
      <c r="E569" s="77"/>
      <c r="F569" s="78"/>
      <c r="G569" s="42">
        <v>2220525</v>
      </c>
      <c r="H569" s="42">
        <f t="shared" ref="H569:H570" si="77">H570</f>
        <v>50000</v>
      </c>
      <c r="I569" s="42">
        <f t="shared" si="69"/>
        <v>2270525</v>
      </c>
    </row>
    <row r="570" spans="1:9" s="19" customFormat="1" ht="31.5">
      <c r="A570" s="41" t="str">
        <f>IF(B570&gt;0,VLOOKUP(B570,КВСР!A405:B1570,2),IF(C570&gt;0,VLOOKUP(C570,КФСР!A405:B1917,2),IF(D570&gt;0,VLOOKUP(D570,Программа!A$1:B$5008,2),IF(F570&gt;0,VLOOKUP(F570,КВР!A$1:B$5001,2),IF(E570&gt;0,VLOOKUP(E570,Направление!A$1:B$4660,2))))))</f>
        <v>Погашение задолженности прошлых лет</v>
      </c>
      <c r="B570" s="85"/>
      <c r="C570" s="77"/>
      <c r="D570" s="78"/>
      <c r="E570" s="77">
        <v>1260</v>
      </c>
      <c r="F570" s="78"/>
      <c r="G570" s="42">
        <v>2220525</v>
      </c>
      <c r="H570" s="42">
        <f t="shared" si="77"/>
        <v>50000</v>
      </c>
      <c r="I570" s="42">
        <f t="shared" si="69"/>
        <v>2270525</v>
      </c>
    </row>
    <row r="571" spans="1:9" s="19" customFormat="1" ht="63">
      <c r="A571" s="41" t="str">
        <f>IF(B571&gt;0,VLOOKUP(B571,КВСР!A406:B1571,2),IF(C571&gt;0,VLOOKUP(C571,КФСР!A406:B1918,2),IF(D571&gt;0,VLOOKUP(D571,Программа!A$1:B$5008,2),IF(F571&gt;0,VLOOKUP(F571,КВР!A$1:B$5001,2),IF(E571&gt;0,VLOOKUP(E571,Направление!A$1:B$4660,2))))))</f>
        <v>Предоставление субсидий бюджетным, автономным учреждениям и иным некоммерческим организациям</v>
      </c>
      <c r="B571" s="85"/>
      <c r="C571" s="77"/>
      <c r="D571" s="78"/>
      <c r="E571" s="77"/>
      <c r="F571" s="78">
        <v>600</v>
      </c>
      <c r="G571" s="42">
        <v>2220525</v>
      </c>
      <c r="H571" s="334">
        <v>50000</v>
      </c>
      <c r="I571" s="42">
        <f t="shared" si="69"/>
        <v>2270525</v>
      </c>
    </row>
    <row r="572" spans="1:9" s="19" customFormat="1" ht="31.5">
      <c r="A572" s="41" t="str">
        <f>IF(B572&gt;0,VLOOKUP(B572,КВСР!A402:B1567,2),IF(C572&gt;0,VLOOKUP(C572,КФСР!A402:B1914,2),IF(D572&gt;0,VLOOKUP(D572,Программа!A$1:B$5008,2),IF(F572&gt;0,VLOOKUP(F572,КВР!A$1:B$5001,2),IF(E572&gt;0,VLOOKUP(E572,Направление!A$1:B$4660,2))))))</f>
        <v>Другие вопросы в области культуры, кинематографии</v>
      </c>
      <c r="B572" s="85"/>
      <c r="C572" s="77">
        <v>804</v>
      </c>
      <c r="D572" s="78"/>
      <c r="E572" s="77"/>
      <c r="F572" s="78"/>
      <c r="G572" s="95">
        <v>15713835</v>
      </c>
      <c r="H572" s="95">
        <f>H573+H586+H594+H602+H598+H606</f>
        <v>148240</v>
      </c>
      <c r="I572" s="42">
        <f t="shared" si="69"/>
        <v>15862075</v>
      </c>
    </row>
    <row r="573" spans="1:9" s="19" customFormat="1">
      <c r="A573" s="41" t="str">
        <f>IF(B573&gt;0,VLOOKUP(B573,КВСР!A403:B1568,2),IF(C573&gt;0,VLOOKUP(C573,КФСР!A403:B1915,2),IF(D573&gt;0,VLOOKUP(D573,Программа!A$1:B$5008,2),IF(F573&gt;0,VLOOKUP(F573,КВР!A$1:B$5001,2),IF(E573&gt;0,VLOOKUP(E573,Направление!A$1:B$4660,2))))))</f>
        <v>Развитие культуры и туризма</v>
      </c>
      <c r="B573" s="85"/>
      <c r="C573" s="77"/>
      <c r="D573" s="78">
        <v>30</v>
      </c>
      <c r="E573" s="77"/>
      <c r="F573" s="78"/>
      <c r="G573" s="95">
        <v>10386358</v>
      </c>
      <c r="H573" s="95">
        <f>H574</f>
        <v>0</v>
      </c>
      <c r="I573" s="42">
        <f t="shared" si="69"/>
        <v>10386358</v>
      </c>
    </row>
    <row r="574" spans="1:9" s="19" customFormat="1" ht="63">
      <c r="A574" s="41" t="str">
        <f>IF(B574&gt;0,VLOOKUP(B574,КВСР!A404:B1569,2),IF(C574&gt;0,VLOOKUP(C574,КФСР!A404:B1916,2),IF(D574&gt;0,VLOOKUP(D574,Программа!A$1:B$5008,2),IF(F574&gt;0,VLOOKUP(F574,КВР!A$1:B$5001,2),IF(E574&gt;0,VLOOKUP(E574,Направление!A$1:B$4660,2))))))</f>
        <v>Ведомственная целевая программа «Сохранение и развитие культуры Тутаевского муниципального района» на 2014-2016 годы.</v>
      </c>
      <c r="B574" s="85"/>
      <c r="C574" s="77"/>
      <c r="D574" s="78">
        <v>31</v>
      </c>
      <c r="E574" s="77"/>
      <c r="F574" s="78"/>
      <c r="G574" s="95">
        <v>10386358</v>
      </c>
      <c r="H574" s="95">
        <f>H575+H579+H582+H584</f>
        <v>0</v>
      </c>
      <c r="I574" s="42">
        <f t="shared" si="69"/>
        <v>10386358</v>
      </c>
    </row>
    <row r="575" spans="1:9" s="19" customFormat="1">
      <c r="A575" s="41" t="str">
        <f>IF(B575&gt;0,VLOOKUP(B575,КВСР!A405:B1570,2),IF(C575&gt;0,VLOOKUP(C575,КФСР!A405:B1917,2),IF(D575&gt;0,VLOOKUP(D575,Программа!A$1:B$5008,2),IF(F575&gt;0,VLOOKUP(F575,КВР!A$1:B$5001,2),IF(E575&gt;0,VLOOKUP(E575,Направление!A$1:B$4660,2))))))</f>
        <v>Содержание центрального аппарата</v>
      </c>
      <c r="B575" s="85"/>
      <c r="C575" s="77"/>
      <c r="D575" s="78"/>
      <c r="E575" s="77">
        <v>1201</v>
      </c>
      <c r="F575" s="78"/>
      <c r="G575" s="42">
        <v>4824700</v>
      </c>
      <c r="H575" s="42">
        <f>H576+H577+H578</f>
        <v>0</v>
      </c>
      <c r="I575" s="42">
        <f t="shared" si="69"/>
        <v>4824700</v>
      </c>
    </row>
    <row r="576" spans="1:9" s="19" customFormat="1" ht="110.25">
      <c r="A576" s="41" t="str">
        <f>IF(B576&gt;0,VLOOKUP(B576,КВСР!A406:B1571,2),IF(C576&gt;0,VLOOKUP(C576,КФСР!A406:B1918,2),IF(D576&gt;0,VLOOKUP(D576,Программа!A$1:B$5008,2),IF(F576&gt;0,VLOOKUP(F576,КВР!A$1:B$5001,2),IF(E576&gt;0,VLOOKUP(E576,Направление!A$1:B$4660,2))))))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76" s="85"/>
      <c r="C576" s="77"/>
      <c r="D576" s="78"/>
      <c r="E576" s="77"/>
      <c r="F576" s="78">
        <v>100</v>
      </c>
      <c r="G576" s="42">
        <v>3754534</v>
      </c>
      <c r="H576" s="334"/>
      <c r="I576" s="42">
        <f t="shared" si="69"/>
        <v>3754534</v>
      </c>
    </row>
    <row r="577" spans="1:9" s="19" customFormat="1" ht="31.5">
      <c r="A577" s="41" t="str">
        <f>IF(B577&gt;0,VLOOKUP(B577,КВСР!A407:B1572,2),IF(C577&gt;0,VLOOKUP(C577,КФСР!A407:B1919,2),IF(D577&gt;0,VLOOKUP(D577,Программа!A$1:B$5008,2),IF(F577&gt;0,VLOOKUP(F577,КВР!A$1:B$5001,2),IF(E577&gt;0,VLOOKUP(E577,Направление!A$1:B$4660,2))))))</f>
        <v>Закупка товаров, работ и услуг для государственных нужд</v>
      </c>
      <c r="B577" s="85"/>
      <c r="C577" s="77"/>
      <c r="D577" s="78"/>
      <c r="E577" s="77"/>
      <c r="F577" s="78">
        <v>200</v>
      </c>
      <c r="G577" s="42">
        <v>993166</v>
      </c>
      <c r="H577" s="334"/>
      <c r="I577" s="42">
        <f t="shared" si="69"/>
        <v>993166</v>
      </c>
    </row>
    <row r="578" spans="1:9" s="19" customFormat="1">
      <c r="A578" s="41" t="str">
        <f>IF(B578&gt;0,VLOOKUP(B578,КВСР!A408:B1573,2),IF(C578&gt;0,VLOOKUP(C578,КФСР!A408:B1920,2),IF(D578&gt;0,VLOOKUP(D578,Программа!A$1:B$5008,2),IF(F578&gt;0,VLOOKUP(F578,КВР!A$1:B$5001,2),IF(E578&gt;0,VLOOKUP(E578,Направление!A$1:B$4660,2))))))</f>
        <v>Иные бюджетные ассигнования</v>
      </c>
      <c r="B578" s="85"/>
      <c r="C578" s="77"/>
      <c r="D578" s="78"/>
      <c r="E578" s="77"/>
      <c r="F578" s="78">
        <v>800</v>
      </c>
      <c r="G578" s="42">
        <v>77000</v>
      </c>
      <c r="H578" s="334"/>
      <c r="I578" s="42">
        <f t="shared" si="69"/>
        <v>77000</v>
      </c>
    </row>
    <row r="579" spans="1:9" s="19" customFormat="1" ht="31.5">
      <c r="A579" s="41" t="str">
        <f>IF(B579&gt;0,VLOOKUP(B579,КВСР!A409:B1574,2),IF(C579&gt;0,VLOOKUP(C579,КФСР!A409:B1921,2),IF(D579&gt;0,VLOOKUP(D579,Программа!A$1:B$5008,2),IF(F579&gt;0,VLOOKUP(F579,КВР!A$1:B$5001,2),IF(E579&gt;0,VLOOKUP(E579,Направление!A$1:B$4660,2))))))</f>
        <v>Обеспечение деятельности прочих учреждений в сфере культуры</v>
      </c>
      <c r="B579" s="85"/>
      <c r="C579" s="77"/>
      <c r="D579" s="78"/>
      <c r="E579" s="77">
        <v>1521</v>
      </c>
      <c r="F579" s="78"/>
      <c r="G579" s="42">
        <v>5034480</v>
      </c>
      <c r="H579" s="42">
        <f>H580+H581</f>
        <v>0</v>
      </c>
      <c r="I579" s="42">
        <f t="shared" si="69"/>
        <v>5034480</v>
      </c>
    </row>
    <row r="580" spans="1:9" s="19" customFormat="1" ht="110.25">
      <c r="A580" s="41" t="str">
        <f>IF(B580&gt;0,VLOOKUP(B580,КВСР!A410:B1575,2),IF(C580&gt;0,VLOOKUP(C580,КФСР!A410:B1922,2),IF(D580&gt;0,VLOOKUP(D580,Программа!A$1:B$5008,2),IF(F580&gt;0,VLOOKUP(F580,КВР!A$1:B$5001,2),IF(E580&gt;0,VLOOKUP(E580,Направление!A$1:B$4660,2))))))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80" s="85"/>
      <c r="C580" s="77"/>
      <c r="D580" s="78"/>
      <c r="E580" s="77"/>
      <c r="F580" s="78">
        <v>100</v>
      </c>
      <c r="G580" s="95">
        <v>4331000</v>
      </c>
      <c r="H580" s="336"/>
      <c r="I580" s="42">
        <f t="shared" si="69"/>
        <v>4331000</v>
      </c>
    </row>
    <row r="581" spans="1:9" s="19" customFormat="1" ht="31.5">
      <c r="A581" s="41" t="str">
        <f>IF(B581&gt;0,VLOOKUP(B581,КВСР!A411:B1576,2),IF(C581&gt;0,VLOOKUP(C581,КФСР!A411:B1923,2),IF(D581&gt;0,VLOOKUP(D581,Программа!A$1:B$5008,2),IF(F581&gt;0,VLOOKUP(F581,КВР!A$1:B$5001,2),IF(E581&gt;0,VLOOKUP(E581,Направление!A$1:B$4660,2))))))</f>
        <v>Закупка товаров, работ и услуг для государственных нужд</v>
      </c>
      <c r="B581" s="85"/>
      <c r="C581" s="77"/>
      <c r="D581" s="78"/>
      <c r="E581" s="77"/>
      <c r="F581" s="78">
        <v>200</v>
      </c>
      <c r="G581" s="95">
        <v>703480</v>
      </c>
      <c r="H581" s="336"/>
      <c r="I581" s="42">
        <f t="shared" si="69"/>
        <v>703480</v>
      </c>
    </row>
    <row r="582" spans="1:9" s="19" customFormat="1" ht="31.5">
      <c r="A582" s="41" t="str">
        <f>IF(B582&gt;0,VLOOKUP(B582,КВСР!A412:B1577,2),IF(C582&gt;0,VLOOKUP(C582,КФСР!A412:B1924,2),IF(D582&gt;0,VLOOKUP(D582,Программа!A$1:B$5008,2),IF(F582&gt;0,VLOOKUP(F582,КВР!A$1:B$5001,2),IF(E582&gt;0,VLOOKUP(E582,Направление!A$1:B$4660,2))))))</f>
        <v>Оплата труда работников сферы культуры</v>
      </c>
      <c r="B582" s="85"/>
      <c r="C582" s="77"/>
      <c r="D582" s="78"/>
      <c r="E582" s="77">
        <v>7170</v>
      </c>
      <c r="F582" s="78"/>
      <c r="G582" s="95">
        <v>191000</v>
      </c>
      <c r="H582" s="95">
        <f t="shared" ref="H582" si="78">H583</f>
        <v>0</v>
      </c>
      <c r="I582" s="42">
        <f t="shared" si="69"/>
        <v>191000</v>
      </c>
    </row>
    <row r="583" spans="1:9" s="19" customFormat="1" ht="110.25">
      <c r="A583" s="41" t="str">
        <f>IF(B583&gt;0,VLOOKUP(B583,КВСР!A413:B1578,2),IF(C583&gt;0,VLOOKUP(C583,КФСР!A413:B1925,2),IF(D583&gt;0,VLOOKUP(D583,Программа!A$1:B$5008,2),IF(F583&gt;0,VLOOKUP(F583,КВР!A$1:B$5001,2),IF(E583&gt;0,VLOOKUP(E583,Направление!A$1:B$4660,2))))))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83" s="85"/>
      <c r="C583" s="77"/>
      <c r="D583" s="78"/>
      <c r="E583" s="77"/>
      <c r="F583" s="78">
        <v>100</v>
      </c>
      <c r="G583" s="95">
        <v>191000</v>
      </c>
      <c r="H583" s="336"/>
      <c r="I583" s="42">
        <f t="shared" si="69"/>
        <v>191000</v>
      </c>
    </row>
    <row r="584" spans="1:9" s="19" customFormat="1" ht="47.25">
      <c r="A584" s="41" t="str">
        <f>IF(B584&gt;0,VLOOKUP(B584,КВСР!A413:B1578,2),IF(C584&gt;0,VLOOKUP(C584,КФСР!A413:B1925,2),IF(D584&gt;0,VLOOKUP(D584,Программа!A$1:B$5008,2),IF(F584&gt;0,VLOOKUP(F584,КВР!A$1:B$5001,2),IF(E584&gt;0,VLOOKUP(E584,Направление!A$1:B$4660,2))))))</f>
        <v>Расходы на развитие органов местного самоуправления на территории ЯО</v>
      </c>
      <c r="B584" s="85"/>
      <c r="C584" s="77"/>
      <c r="D584" s="78"/>
      <c r="E584" s="77">
        <v>7228</v>
      </c>
      <c r="F584" s="78"/>
      <c r="G584" s="95">
        <v>336178</v>
      </c>
      <c r="H584" s="370">
        <f>H585</f>
        <v>0</v>
      </c>
      <c r="I584" s="42">
        <f t="shared" si="69"/>
        <v>336178</v>
      </c>
    </row>
    <row r="585" spans="1:9" s="19" customFormat="1" ht="110.25">
      <c r="A585" s="41" t="str">
        <f>IF(B585&gt;0,VLOOKUP(B585,КВСР!A414:B1579,2),IF(C585&gt;0,VLOOKUP(C585,КФСР!A414:B1926,2),IF(D585&gt;0,VLOOKUP(D585,Программа!A$1:B$5008,2),IF(F585&gt;0,VLOOKUP(F585,КВР!A$1:B$5001,2),IF(E585&gt;0,VLOOKUP(E585,Направление!A$1:B$4660,2))))))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85" s="85"/>
      <c r="C585" s="77"/>
      <c r="D585" s="78"/>
      <c r="E585" s="77"/>
      <c r="F585" s="78">
        <v>100</v>
      </c>
      <c r="G585" s="95">
        <v>336178</v>
      </c>
      <c r="H585" s="336"/>
      <c r="I585" s="42">
        <f t="shared" si="69"/>
        <v>336178</v>
      </c>
    </row>
    <row r="586" spans="1:9" s="19" customFormat="1">
      <c r="A586" s="41" t="str">
        <f>IF(B586&gt;0,VLOOKUP(B586,КВСР!A415:B1580,2),IF(C586&gt;0,VLOOKUP(C586,КФСР!A415:B1927,2),IF(D586&gt;0,VLOOKUP(D586,Программа!A$1:B$5008,2),IF(F586&gt;0,VLOOKUP(F586,КВР!A$1:B$5001,2),IF(E586&gt;0,VLOOKUP(E586,Направление!A$1:B$4660,2))))))</f>
        <v>Доступная среда</v>
      </c>
      <c r="B586" s="85"/>
      <c r="C586" s="77"/>
      <c r="D586" s="78">
        <v>60</v>
      </c>
      <c r="E586" s="77"/>
      <c r="F586" s="78"/>
      <c r="G586" s="42">
        <v>4415000</v>
      </c>
      <c r="H586" s="42">
        <f>H587</f>
        <v>0</v>
      </c>
      <c r="I586" s="42">
        <f t="shared" si="69"/>
        <v>4415000</v>
      </c>
    </row>
    <row r="587" spans="1:9" s="19" customFormat="1" ht="47.25">
      <c r="A587" s="41" t="str">
        <f>IF(B587&gt;0,VLOOKUP(B587,КВСР!A416:B1581,2),IF(C587&gt;0,VLOOKUP(C587,КФСР!A416:B1928,2),IF(D587&gt;0,VLOOKUP(D587,Программа!A$1:B$5008,2),IF(F587&gt;0,VLOOKUP(F587,КВР!A$1:B$5001,2),IF(E587&gt;0,VLOOKUP(E587,Направление!A$1:B$4660,2))))))</f>
        <v>Муниципальная целевая программа «Доступная среда» на 2012-2015 годы.</v>
      </c>
      <c r="B587" s="85"/>
      <c r="C587" s="77"/>
      <c r="D587" s="78">
        <v>61</v>
      </c>
      <c r="E587" s="77"/>
      <c r="F587" s="78"/>
      <c r="G587" s="95">
        <v>4415000</v>
      </c>
      <c r="H587" s="95">
        <f>H588+H590+H592</f>
        <v>0</v>
      </c>
      <c r="I587" s="42">
        <f t="shared" si="69"/>
        <v>4415000</v>
      </c>
    </row>
    <row r="588" spans="1:9" s="19" customFormat="1" ht="78.75">
      <c r="A588" s="41" t="str">
        <f>IF(B588&gt;0,VLOOKUP(B588,КВСР!A417:B1582,2),IF(C588&gt;0,VLOOKUP(C588,КФСР!A417:B1929,2),IF(D588&gt;0,VLOOKUP(D588,Программа!A$1:B$5008,2),IF(F588&gt;0,VLOOKUP(F588,КВР!A$1:B$5001,2),IF(E588&gt;0,VLOOKUP(E588,Направление!A$1:B$4660,2))))))</f>
        <v>Расходы на оборудование социально значимых объектов в сфере культуры с целью обеспечения доступности для инвалидов</v>
      </c>
      <c r="B588" s="85"/>
      <c r="C588" s="77"/>
      <c r="D588" s="78"/>
      <c r="E588" s="77">
        <v>1525</v>
      </c>
      <c r="F588" s="78"/>
      <c r="G588" s="95">
        <v>112000</v>
      </c>
      <c r="H588" s="95">
        <f>H589</f>
        <v>0</v>
      </c>
      <c r="I588" s="42">
        <f t="shared" si="69"/>
        <v>112000</v>
      </c>
    </row>
    <row r="589" spans="1:9" s="19" customFormat="1" ht="63">
      <c r="A589" s="41" t="str">
        <f>IF(B589&gt;0,VLOOKUP(B589,КВСР!A418:B1583,2),IF(C589&gt;0,VLOOKUP(C589,КФСР!A418:B1930,2),IF(D589&gt;0,VLOOKUP(D589,Программа!A$1:B$5008,2),IF(F589&gt;0,VLOOKUP(F589,КВР!A$1:B$5001,2),IF(E589&gt;0,VLOOKUP(E589,Направление!A$1:B$4660,2))))))</f>
        <v>Предоставление субсидий бюджетным, автономным учреждениям и иным некоммерческим организациям</v>
      </c>
      <c r="B589" s="85"/>
      <c r="C589" s="77"/>
      <c r="D589" s="78"/>
      <c r="E589" s="77"/>
      <c r="F589" s="78">
        <v>600</v>
      </c>
      <c r="G589" s="95">
        <v>112000</v>
      </c>
      <c r="H589" s="336"/>
      <c r="I589" s="42">
        <f t="shared" si="69"/>
        <v>112000</v>
      </c>
    </row>
    <row r="590" spans="1:9" s="19" customFormat="1" ht="63">
      <c r="A590" s="41" t="str">
        <f>IF(B590&gt;0,VLOOKUP(B590,КВСР!A417:B1582,2),IF(C590&gt;0,VLOOKUP(C590,КФСР!A417:B1929,2),IF(D590&gt;0,VLOOKUP(D590,Программа!A$1:B$5008,2),IF(F590&gt;0,VLOOKUP(F590,КВР!A$1:B$5001,2),IF(E590&gt;0,VLOOKUP(E590,Направление!A$1:B$4660,2))))))</f>
        <v>Росходы на мероприятия государственной программы Российской Федерации "Доступная среда" на 2011 - 2015 годы</v>
      </c>
      <c r="B590" s="85"/>
      <c r="C590" s="77"/>
      <c r="D590" s="78"/>
      <c r="E590" s="77">
        <v>5027</v>
      </c>
      <c r="F590" s="78"/>
      <c r="G590" s="95">
        <v>2199000</v>
      </c>
      <c r="H590" s="370">
        <f>H591</f>
        <v>0</v>
      </c>
      <c r="I590" s="42">
        <f t="shared" si="69"/>
        <v>2199000</v>
      </c>
    </row>
    <row r="591" spans="1:9" s="19" customFormat="1" ht="63">
      <c r="A591" s="41" t="str">
        <f>IF(B591&gt;0,VLOOKUP(B591,КВСР!A418:B1583,2),IF(C591&gt;0,VLOOKUP(C591,КФСР!A418:B1930,2),IF(D591&gt;0,VLOOKUP(D591,Программа!A$1:B$5008,2),IF(F591&gt;0,VLOOKUP(F591,КВР!A$1:B$5001,2),IF(E591&gt;0,VLOOKUP(E591,Направление!A$1:B$4660,2))))))</f>
        <v>Предоставление субсидий бюджетным, автономным учреждениям и иным некоммерческим организациям</v>
      </c>
      <c r="B591" s="85"/>
      <c r="C591" s="77"/>
      <c r="D591" s="78"/>
      <c r="E591" s="77"/>
      <c r="F591" s="78">
        <v>600</v>
      </c>
      <c r="G591" s="95">
        <v>2199000</v>
      </c>
      <c r="H591" s="336"/>
      <c r="I591" s="42">
        <f t="shared" si="69"/>
        <v>2199000</v>
      </c>
    </row>
    <row r="592" spans="1:9" ht="94.5">
      <c r="A592" s="41" t="str">
        <f>IF(B592&gt;0,VLOOKUP(B592,КВСР!A428:B1593,2),IF(C592&gt;0,VLOOKUP(C592,КФСР!A428:B1940,2),IF(D592&gt;0,VLOOKUP(D592,Программа!A$1:B$5008,2),IF(F592&gt;0,VLOOKUP(F592,КВР!A$1:B$5001,2),IF(E592&gt;0,VLOOKUP(E592,Направление!A$1:B$4660,2))))))</f>
        <v>Расходы на оборудование социально-значимых объектов муниципальной собственности с целью обеспечения доступности для инвалидов за счет средств областного бюджета</v>
      </c>
      <c r="B592" s="85"/>
      <c r="C592" s="77"/>
      <c r="D592" s="78"/>
      <c r="E592" s="77">
        <v>7413</v>
      </c>
      <c r="F592" s="78"/>
      <c r="G592" s="95">
        <v>2104000</v>
      </c>
      <c r="H592" s="370">
        <f>H593</f>
        <v>0</v>
      </c>
      <c r="I592" s="42">
        <f t="shared" si="69"/>
        <v>2104000</v>
      </c>
    </row>
    <row r="593" spans="1:9" ht="63">
      <c r="A593" s="41" t="str">
        <f>IF(B593&gt;0,VLOOKUP(B593,КВСР!A429:B1594,2),IF(C593&gt;0,VLOOKUP(C593,КФСР!A429:B1941,2),IF(D593&gt;0,VLOOKUP(D593,Программа!A$1:B$5008,2),IF(F593&gt;0,VLOOKUP(F593,КВР!A$1:B$5001,2),IF(E593&gt;0,VLOOKUP(E593,Направление!A$1:B$4660,2))))))</f>
        <v>Предоставление субсидий бюджетным, автономным учреждениям и иным некоммерческим организациям</v>
      </c>
      <c r="B593" s="85"/>
      <c r="C593" s="77"/>
      <c r="D593" s="78"/>
      <c r="E593" s="77"/>
      <c r="F593" s="78">
        <v>600</v>
      </c>
      <c r="G593" s="95">
        <v>2104000</v>
      </c>
      <c r="H593" s="336"/>
      <c r="I593" s="42">
        <f t="shared" si="69"/>
        <v>2104000</v>
      </c>
    </row>
    <row r="594" spans="1:9" ht="38.25" customHeight="1">
      <c r="A594" s="41" t="str">
        <f>IF(B594&gt;0,VLOOKUP(B594,КВСР!A430:B1595,2),IF(C594&gt;0,VLOOKUP(C594,КФСР!A430:B1942,2),IF(D594&gt;0,VLOOKUP(D594,Программа!A$1:B$5008,2),IF(F594&gt;0,VLOOKUP(F594,КВР!A$1:B$5001,2),IF(E594&gt;0,VLOOKUP(E594,Направление!A$1:B$4660,2))))))</f>
        <v>Энергоэффективность и развитие энергетики</v>
      </c>
      <c r="B594" s="85"/>
      <c r="C594" s="77"/>
      <c r="D594" s="78">
        <v>80</v>
      </c>
      <c r="E594" s="77"/>
      <c r="F594" s="78"/>
      <c r="G594" s="95">
        <v>716777</v>
      </c>
      <c r="H594" s="95">
        <f t="shared" ref="H594" si="79">H595</f>
        <v>0</v>
      </c>
      <c r="I594" s="42">
        <f t="shared" si="69"/>
        <v>716777</v>
      </c>
    </row>
    <row r="595" spans="1:9" ht="78.75">
      <c r="A595" s="41" t="str">
        <f>IF(B595&gt;0,VLOOKUP(B595,КВСР!A430:B1595,2),IF(C595&gt;0,VLOOKUP(C595,КФСР!A430:B1942,2),IF(D595&gt;0,VLOOKUP(D595,Программа!A$1:B$5008,2),IF(F595&gt;0,VLOOKUP(F595,КВР!A$1:B$5001,2),IF(E595&gt;0,VLOOKUP(E595,Направление!A$1:B$4660,2))))))</f>
        <v>Муниципальная целевая программа «Об энергосбережении и повышении энергетической эффективности ТМР на 2014-2016 годы.</v>
      </c>
      <c r="B595" s="85"/>
      <c r="C595" s="77"/>
      <c r="D595" s="78">
        <v>81</v>
      </c>
      <c r="E595" s="77"/>
      <c r="F595" s="78"/>
      <c r="G595" s="95">
        <v>716777</v>
      </c>
      <c r="H595" s="42">
        <f t="shared" ref="H595:H596" si="80">H596</f>
        <v>0</v>
      </c>
      <c r="I595" s="42">
        <f t="shared" si="69"/>
        <v>716777</v>
      </c>
    </row>
    <row r="596" spans="1:9" ht="63">
      <c r="A596" s="41" t="str">
        <f>IF(B596&gt;0,VLOOKUP(B596,КВСР!A431:B1596,2),IF(C596&gt;0,VLOOKUP(C596,КФСР!A431:B1943,2),IF(D596&gt;0,VLOOKUP(D596,Программа!A$1:B$5008,2),IF(F596&gt;0,VLOOKUP(F596,КВР!A$1:B$5001,2),IF(E596&gt;0,VLOOKUP(E596,Направление!A$1:B$4660,2))))))</f>
        <v>Мероприятия по повышению энергоэффективности и энергосбережению за счет средств областного бюджета</v>
      </c>
      <c r="B596" s="85"/>
      <c r="C596" s="77"/>
      <c r="D596" s="78"/>
      <c r="E596" s="77">
        <v>7294</v>
      </c>
      <c r="F596" s="78"/>
      <c r="G596" s="95">
        <v>716777</v>
      </c>
      <c r="H596" s="42">
        <f t="shared" si="80"/>
        <v>0</v>
      </c>
      <c r="I596" s="42">
        <f t="shared" si="69"/>
        <v>716777</v>
      </c>
    </row>
    <row r="597" spans="1:9" ht="63">
      <c r="A597" s="41" t="str">
        <f>IF(B597&gt;0,VLOOKUP(B597,КВСР!A432:B1597,2),IF(C597&gt;0,VLOOKUP(C597,КФСР!A432:B1944,2),IF(D597&gt;0,VLOOKUP(D597,Программа!A$1:B$5008,2),IF(F597&gt;0,VLOOKUP(F597,КВР!A$1:B$5001,2),IF(E597&gt;0,VLOOKUP(E597,Направление!A$1:B$4660,2))))))</f>
        <v>Предоставление субсидий бюджетным, автономным учреждениям и иным некоммерческим организациям</v>
      </c>
      <c r="B597" s="85"/>
      <c r="C597" s="77"/>
      <c r="D597" s="78"/>
      <c r="E597" s="77"/>
      <c r="F597" s="78">
        <v>600</v>
      </c>
      <c r="G597" s="95">
        <v>716777</v>
      </c>
      <c r="H597" s="336"/>
      <c r="I597" s="42">
        <f t="shared" si="69"/>
        <v>716777</v>
      </c>
    </row>
    <row r="598" spans="1:9" ht="31.5">
      <c r="A598" s="41" t="str">
        <f>IF(B598&gt;0,VLOOKUP(B598,КВСР!A433:B1598,2),IF(C598&gt;0,VLOOKUP(C598,КФСР!A433:B1945,2),IF(D598&gt;0,VLOOKUP(D598,Программа!A$1:B$5008,2),IF(F598&gt;0,VLOOKUP(F598,КВР!A$1:B$5001,2),IF(E598&gt;0,VLOOKUP(E598,Направление!A$1:B$4660,2))))))</f>
        <v>Создание единого информационного пространства</v>
      </c>
      <c r="B598" s="85"/>
      <c r="C598" s="77"/>
      <c r="D598" s="78">
        <v>110</v>
      </c>
      <c r="E598" s="77"/>
      <c r="F598" s="78"/>
      <c r="G598" s="95">
        <v>82460</v>
      </c>
      <c r="H598" s="95">
        <f t="shared" ref="H598:H599" si="81">H599</f>
        <v>0</v>
      </c>
      <c r="I598" s="42">
        <f t="shared" si="69"/>
        <v>82460</v>
      </c>
    </row>
    <row r="599" spans="1:9" ht="63">
      <c r="A599" s="41" t="str">
        <f>IF(B599&gt;0,VLOOKUP(B599,КВСР!A434:B1599,2),IF(C599&gt;0,VLOOKUP(C599,КФСР!A434:B1946,2),IF(D599&gt;0,VLOOKUP(D599,Программа!A$1:B$5008,2),IF(F599&gt;0,VLOOKUP(F599,КВР!A$1:B$5001,2),IF(E599&gt;0,VLOOKUP(E599,Направление!A$1:B$4660,2))))))</f>
        <v>Муниципальная целевая программа «Информатизация управленческой деятельности Администрации ТМР на 2013-2014 годы».</v>
      </c>
      <c r="B599" s="85"/>
      <c r="C599" s="77"/>
      <c r="D599" s="78">
        <v>111</v>
      </c>
      <c r="E599" s="77"/>
      <c r="F599" s="78"/>
      <c r="G599" s="95">
        <v>82460</v>
      </c>
      <c r="H599" s="95">
        <f t="shared" si="81"/>
        <v>0</v>
      </c>
      <c r="I599" s="42">
        <f t="shared" ref="I599:I625" si="82">SUM(G599:H599)</f>
        <v>82460</v>
      </c>
    </row>
    <row r="600" spans="1:9" ht="31.5">
      <c r="A600" s="41" t="str">
        <f>IF(B600&gt;0,VLOOKUP(B600,КВСР!A435:B1600,2),IF(C600&gt;0,VLOOKUP(C600,КФСР!A435:B1947,2),IF(D600&gt;0,VLOOKUP(D600,Программа!A$1:B$5008,2),IF(F600&gt;0,VLOOKUP(F600,КВР!A$1:B$5001,2),IF(E600&gt;0,VLOOKUP(E600,Направление!A$1:B$4660,2))))))</f>
        <v>Расходы на проведение мероприятий по информатизации</v>
      </c>
      <c r="B600" s="85"/>
      <c r="C600" s="77"/>
      <c r="D600" s="78"/>
      <c r="E600" s="77">
        <v>1221</v>
      </c>
      <c r="F600" s="78"/>
      <c r="G600" s="95">
        <v>82460</v>
      </c>
      <c r="H600" s="95">
        <f t="shared" ref="H600" si="83">H601</f>
        <v>0</v>
      </c>
      <c r="I600" s="42">
        <f t="shared" si="82"/>
        <v>82460</v>
      </c>
    </row>
    <row r="601" spans="1:9" ht="31.5">
      <c r="A601" s="41" t="str">
        <f>IF(B601&gt;0,VLOOKUP(B601,КВСР!A436:B1601,2),IF(C601&gt;0,VLOOKUP(C601,КФСР!A436:B1948,2),IF(D601&gt;0,VLOOKUP(D601,Программа!A$1:B$5008,2),IF(F601&gt;0,VLOOKUP(F601,КВР!A$1:B$5001,2),IF(E601&gt;0,VLOOKUP(E601,Направление!A$1:B$4660,2))))))</f>
        <v>Закупка товаров, работ и услуг для государственных нужд</v>
      </c>
      <c r="B601" s="85"/>
      <c r="C601" s="77"/>
      <c r="D601" s="78"/>
      <c r="E601" s="77"/>
      <c r="F601" s="78">
        <v>200</v>
      </c>
      <c r="G601" s="95">
        <v>82460</v>
      </c>
      <c r="H601" s="336"/>
      <c r="I601" s="42">
        <f t="shared" si="82"/>
        <v>82460</v>
      </c>
    </row>
    <row r="602" spans="1:9" ht="31.5">
      <c r="A602" s="41" t="str">
        <f>IF(B602&gt;0,VLOOKUP(B602,КВСР!A433:B1598,2),IF(C602&gt;0,VLOOKUP(C602,КФСР!A433:B1945,2),IF(D602&gt;0,VLOOKUP(D602,Программа!A$1:B$5008,2),IF(F602&gt;0,VLOOKUP(F602,КВР!A$1:B$5001,2),IF(E602&gt;0,VLOOKUP(E602,Направление!A$1:B$4660,2))))))</f>
        <v>Профилактика правонарушений и усиления борьбы с преступностью</v>
      </c>
      <c r="B602" s="85"/>
      <c r="C602" s="77"/>
      <c r="D602" s="78">
        <v>180</v>
      </c>
      <c r="E602" s="77"/>
      <c r="F602" s="78"/>
      <c r="G602" s="95">
        <v>29000</v>
      </c>
      <c r="H602" s="95">
        <f t="shared" ref="H602" si="84">H603</f>
        <v>0</v>
      </c>
      <c r="I602" s="42">
        <f t="shared" si="82"/>
        <v>29000</v>
      </c>
    </row>
    <row r="603" spans="1:9" ht="63">
      <c r="A603" s="41" t="str">
        <f>IF(B603&gt;0,VLOOKUP(B603,КВСР!A434:B1599,2),IF(C603&gt;0,VLOOKUP(C603,КФСР!A434:B1946,2),IF(D603&gt;0,VLOOKUP(D603,Программа!A$1:B$5008,2),IF(F603&gt;0,VLOOKUP(F603,КВР!A$1:B$5001,2),IF(E603&gt;0,VLOOKUP(E603,Направление!A$1:B$4660,2))))))</f>
        <v>МЦП "Профилактика правонарушений и усиления борьбы с преступностью в ТМР на 2014-2016 годы"</v>
      </c>
      <c r="B603" s="85"/>
      <c r="C603" s="77"/>
      <c r="D603" s="78">
        <v>181</v>
      </c>
      <c r="E603" s="77"/>
      <c r="F603" s="78"/>
      <c r="G603" s="95">
        <v>29000</v>
      </c>
      <c r="H603" s="95">
        <f t="shared" ref="H603" si="85">H604</f>
        <v>0</v>
      </c>
      <c r="I603" s="42">
        <f t="shared" si="82"/>
        <v>29000</v>
      </c>
    </row>
    <row r="604" spans="1:9" ht="53.25" customHeight="1">
      <c r="A604" s="41" t="str">
        <f>IF(B604&gt;0,VLOOKUP(B604,КВСР!A435:B1600,2),IF(C604&gt;0,VLOOKUP(C604,КФСР!A435:B1947,2),IF(D604&gt;0,VLOOKUP(D604,Программа!A$1:B$5008,2),IF(F604&gt;0,VLOOKUP(F604,КВР!A$1:B$5001,2),IF(E604&gt;0,VLOOKUP(E604,Направление!A$1:B$4660,2))))))</f>
        <v>Расходы на профилактику правонарушений и усиления борьбы с преступностью</v>
      </c>
      <c r="B604" s="85"/>
      <c r="C604" s="77"/>
      <c r="D604" s="78"/>
      <c r="E604" s="77">
        <v>1225</v>
      </c>
      <c r="F604" s="78"/>
      <c r="G604" s="95">
        <v>29000</v>
      </c>
      <c r="H604" s="95">
        <f t="shared" ref="H604" si="86">H605</f>
        <v>0</v>
      </c>
      <c r="I604" s="42">
        <f t="shared" si="82"/>
        <v>29000</v>
      </c>
    </row>
    <row r="605" spans="1:9" ht="63">
      <c r="A605" s="41" t="str">
        <f>IF(B605&gt;0,VLOOKUP(B605,КВСР!A436:B1601,2),IF(C605&gt;0,VLOOKUP(C605,КФСР!A436:B1948,2),IF(D605&gt;0,VLOOKUP(D605,Программа!A$1:B$5008,2),IF(F605&gt;0,VLOOKUP(F605,КВР!A$1:B$5001,2),IF(E605&gt;0,VLOOKUP(E605,Направление!A$1:B$4660,2))))))</f>
        <v>Предоставление субсидий бюджетным, автономным учреждениям и иным некоммерческим организациям</v>
      </c>
      <c r="B605" s="85"/>
      <c r="C605" s="77"/>
      <c r="D605" s="78"/>
      <c r="E605" s="77"/>
      <c r="F605" s="78">
        <v>600</v>
      </c>
      <c r="G605" s="95">
        <v>29000</v>
      </c>
      <c r="H605" s="336"/>
      <c r="I605" s="42">
        <f t="shared" si="82"/>
        <v>29000</v>
      </c>
    </row>
    <row r="606" spans="1:9">
      <c r="A606" s="41" t="str">
        <f>IF(B606&gt;0,VLOOKUP(B606,КВСР!A428:B1593,2),IF(C606&gt;0,VLOOKUP(C606,КФСР!A428:B1940,2),IF(D606&gt;0,VLOOKUP(D606,Программа!A$1:B$5008,2),IF(F606&gt;0,VLOOKUP(F606,КВР!A$1:B$5001,2),IF(E606&gt;0,VLOOKUP(E606,Направление!A$1:B$4660,2))))))</f>
        <v>Непрограммные расходы бюджета</v>
      </c>
      <c r="B606" s="85"/>
      <c r="C606" s="77"/>
      <c r="D606" s="78">
        <v>409</v>
      </c>
      <c r="E606" s="77"/>
      <c r="F606" s="78"/>
      <c r="G606" s="95">
        <v>84240</v>
      </c>
      <c r="H606" s="370">
        <f>H607</f>
        <v>148240</v>
      </c>
      <c r="I606" s="42">
        <f t="shared" si="82"/>
        <v>232480</v>
      </c>
    </row>
    <row r="607" spans="1:9" ht="47.25">
      <c r="A607" s="41" t="str">
        <f>IF(B607&gt;0,VLOOKUP(B607,КВСР!A429:B1594,2),IF(C607&gt;0,VLOOKUP(C607,КФСР!A429:B1941,2),IF(D607&gt;0,VLOOKUP(D607,Программа!A$1:B$5008,2),IF(F607&gt;0,VLOOKUP(F607,КВР!A$1:B$5001,2),IF(E607&gt;0,VLOOKUP(E607,Направление!A$1:B$4660,2))))))</f>
        <v>Расходы на реализацию ОЦП "Развитие органов местного самоуправления на территории ЯО"</v>
      </c>
      <c r="B607" s="85"/>
      <c r="C607" s="77"/>
      <c r="D607" s="78"/>
      <c r="E607" s="77">
        <v>7229</v>
      </c>
      <c r="F607" s="78"/>
      <c r="G607" s="95">
        <v>84240</v>
      </c>
      <c r="H607" s="370">
        <f>H608</f>
        <v>148240</v>
      </c>
      <c r="I607" s="42">
        <f t="shared" si="82"/>
        <v>232480</v>
      </c>
    </row>
    <row r="608" spans="1:9" ht="63">
      <c r="A608" s="41" t="str">
        <f>IF(B608&gt;0,VLOOKUP(B608,КВСР!A430:B1595,2),IF(C608&gt;0,VLOOKUP(C608,КФСР!A430:B1942,2),IF(D608&gt;0,VLOOKUP(D608,Программа!A$1:B$5008,2),IF(F608&gt;0,VLOOKUP(F608,КВР!A$1:B$5001,2),IF(E608&gt;0,VLOOKUP(E608,Направление!A$1:B$4660,2))))))</f>
        <v>Предоставление субсидий бюджетным, автономным учреждениям и иным некоммерческим организациям</v>
      </c>
      <c r="B608" s="85"/>
      <c r="C608" s="77"/>
      <c r="D608" s="78"/>
      <c r="E608" s="77"/>
      <c r="F608" s="78">
        <v>600</v>
      </c>
      <c r="G608" s="95">
        <v>84240</v>
      </c>
      <c r="H608" s="336">
        <v>148240</v>
      </c>
      <c r="I608" s="42">
        <f t="shared" si="82"/>
        <v>232480</v>
      </c>
    </row>
    <row r="609" spans="1:9">
      <c r="A609" s="41" t="str">
        <f>IF(B609&gt;0,VLOOKUP(B609,КВСР!A431:B1596,2),IF(C609&gt;0,VLOOKUP(C609,КФСР!A431:B1943,2),IF(D609&gt;0,VLOOKUP(D609,Программа!A$1:B$5008,2),IF(F609&gt;0,VLOOKUP(F609,КВР!A$1:B$5001,2),IF(E609&gt;0,VLOOKUP(E609,Направление!A$1:B$4660,2))))))</f>
        <v>Охрана семьи и детства</v>
      </c>
      <c r="B609" s="85"/>
      <c r="C609" s="77">
        <v>1004</v>
      </c>
      <c r="D609" s="78"/>
      <c r="E609" s="77"/>
      <c r="F609" s="78"/>
      <c r="G609" s="42">
        <v>174460</v>
      </c>
      <c r="H609" s="42">
        <f>H616+H610</f>
        <v>0</v>
      </c>
      <c r="I609" s="42">
        <f t="shared" si="82"/>
        <v>174460</v>
      </c>
    </row>
    <row r="610" spans="1:9">
      <c r="A610" s="41" t="str">
        <f>IF(B610&gt;0,VLOOKUP(B610,КВСР!A432:B1597,2),IF(C610&gt;0,VLOOKUP(C610,КФСР!A432:B1944,2),IF(D610&gt;0,VLOOKUP(D610,Программа!A$1:B$5008,2),IF(F610&gt;0,VLOOKUP(F610,КВР!A$1:B$5001,2),IF(E610&gt;0,VLOOKUP(E610,Направление!A$1:B$4660,2))))))</f>
        <v>Развитие молодежной политики</v>
      </c>
      <c r="B610" s="85"/>
      <c r="C610" s="77"/>
      <c r="D610" s="78">
        <v>10</v>
      </c>
      <c r="E610" s="77"/>
      <c r="F610" s="78"/>
      <c r="G610" s="42">
        <v>111120</v>
      </c>
      <c r="H610" s="42">
        <f t="shared" ref="H610" si="87">H611</f>
        <v>0</v>
      </c>
      <c r="I610" s="42">
        <f t="shared" si="82"/>
        <v>111120</v>
      </c>
    </row>
    <row r="611" spans="1:9" ht="31.5">
      <c r="A611" s="41" t="str">
        <f>IF(B611&gt;0,VLOOKUP(B611,КВСР!A433:B1598,2),IF(C611&gt;0,VLOOKUP(C611,КФСР!A433:B1945,2),IF(D611&gt;0,VLOOKUP(D611,Программа!A$1:B$5008,2),IF(F611&gt;0,VLOOKUP(F611,КВР!A$1:B$5001,2),IF(E611&gt;0,VLOOKUP(E611,Направление!A$1:B$4660,2))))))</f>
        <v>Ведомственная целевая программа «Молодежь на 2014-2016 годы».</v>
      </c>
      <c r="B611" s="85"/>
      <c r="C611" s="77"/>
      <c r="D611" s="78">
        <v>11</v>
      </c>
      <c r="E611" s="77"/>
      <c r="F611" s="78"/>
      <c r="G611" s="42">
        <v>111120</v>
      </c>
      <c r="H611" s="42">
        <f t="shared" ref="H611" si="88">H612+H614</f>
        <v>0</v>
      </c>
      <c r="I611" s="42">
        <f t="shared" si="82"/>
        <v>111120</v>
      </c>
    </row>
    <row r="612" spans="1:9" ht="63">
      <c r="A612" s="41" t="str">
        <f>IF(B612&gt;0,VLOOKUP(B612,КВСР!A434:B1599,2),IF(C612&gt;0,VLOOKUP(C612,КФСР!A434:B1946,2),IF(D612&gt;0,VLOOKUP(D612,Программа!A$1:B$5008,2),IF(F612&gt;0,VLOOKUP(F612,КВР!A$1:B$5001,2),IF(E612&gt;0,VLOOKUP(E612,Направление!A$1:B$4660,2))))))</f>
        <v>Расходы на укрепление института семьи, повышение качества жизни семей с несовершеннолетними детьми</v>
      </c>
      <c r="B612" s="85"/>
      <c r="C612" s="77"/>
      <c r="D612" s="78"/>
      <c r="E612" s="77">
        <v>1611</v>
      </c>
      <c r="F612" s="78"/>
      <c r="G612" s="42">
        <v>11120</v>
      </c>
      <c r="H612" s="42">
        <f t="shared" ref="H612" si="89">H613</f>
        <v>0</v>
      </c>
      <c r="I612" s="42">
        <f t="shared" si="82"/>
        <v>11120</v>
      </c>
    </row>
    <row r="613" spans="1:9" ht="63">
      <c r="A613" s="41" t="str">
        <f>IF(B613&gt;0,VLOOKUP(B613,КВСР!A435:B1600,2),IF(C613&gt;0,VLOOKUP(C613,КФСР!A435:B1947,2),IF(D613&gt;0,VLOOKUP(D613,Программа!A$1:B$5008,2),IF(F613&gt;0,VLOOKUP(F613,КВР!A$1:B$5001,2),IF(E613&gt;0,VLOOKUP(E613,Направление!A$1:B$4660,2))))))</f>
        <v>Предоставление субсидий бюджетным, автономным учреждениям и иным некоммерческим организациям</v>
      </c>
      <c r="B613" s="85"/>
      <c r="C613" s="77"/>
      <c r="D613" s="78"/>
      <c r="E613" s="77"/>
      <c r="F613" s="78">
        <v>600</v>
      </c>
      <c r="G613" s="42">
        <v>11120</v>
      </c>
      <c r="H613" s="352"/>
      <c r="I613" s="42">
        <f t="shared" si="82"/>
        <v>11120</v>
      </c>
    </row>
    <row r="614" spans="1:9" ht="78.75">
      <c r="A614" s="41" t="str">
        <f>IF(B614&gt;0,VLOOKUP(B614,КВСР!A436:B1601,2),IF(C614&gt;0,VLOOKUP(C614,КФСР!A436:B1948,2),IF(D614&gt;0,VLOOKUP(D614,Программа!A$1:B$5008,2),IF(F614&gt;0,VLOOKUP(F614,КВР!A$1:B$5001,2),IF(E614&gt;0,VLOOKUP(E614,Направление!A$1:B$4660,2))))))</f>
        <v>Расходы на укрепление института семьи, повышение качества жизни семей с несовершеннолетними детьми за счет средств областного бюджета</v>
      </c>
      <c r="B614" s="85"/>
      <c r="C614" s="77"/>
      <c r="D614" s="78"/>
      <c r="E614" s="77">
        <v>7097</v>
      </c>
      <c r="F614" s="78"/>
      <c r="G614" s="42">
        <v>100000</v>
      </c>
      <c r="H614" s="42">
        <f t="shared" ref="H614" si="90">H615</f>
        <v>0</v>
      </c>
      <c r="I614" s="42">
        <f t="shared" si="82"/>
        <v>100000</v>
      </c>
    </row>
    <row r="615" spans="1:9" ht="63">
      <c r="A615" s="41" t="str">
        <f>IF(B615&gt;0,VLOOKUP(B615,КВСР!A437:B1602,2),IF(C615&gt;0,VLOOKUP(C615,КФСР!A437:B1949,2),IF(D615&gt;0,VLOOKUP(D615,Программа!A$1:B$5008,2),IF(F615&gt;0,VLOOKUP(F615,КВР!A$1:B$5001,2),IF(E615&gt;0,VLOOKUP(E615,Направление!A$1:B$4660,2))))))</f>
        <v>Предоставление субсидий бюджетным, автономным учреждениям и иным некоммерческим организациям</v>
      </c>
      <c r="B615" s="85"/>
      <c r="C615" s="77"/>
      <c r="D615" s="78"/>
      <c r="E615" s="77"/>
      <c r="F615" s="78">
        <v>600</v>
      </c>
      <c r="G615" s="42">
        <v>100000</v>
      </c>
      <c r="H615" s="352"/>
      <c r="I615" s="42">
        <f t="shared" si="82"/>
        <v>100000</v>
      </c>
    </row>
    <row r="616" spans="1:9">
      <c r="A616" s="41" t="str">
        <f>IF(B616&gt;0,VLOOKUP(B616,КВСР!A432:B1597,2),IF(C616&gt;0,VLOOKUP(C616,КФСР!A432:B1944,2),IF(D616&gt;0,VLOOKUP(D616,Программа!A$1:B$5008,2),IF(F616&gt;0,VLOOKUP(F616,КВР!A$1:B$5001,2),IF(E616&gt;0,VLOOKUP(E616,Направление!A$1:B$4660,2))))))</f>
        <v>Развитие культуры и туризма</v>
      </c>
      <c r="B616" s="85"/>
      <c r="C616" s="77"/>
      <c r="D616" s="78">
        <v>30</v>
      </c>
      <c r="E616" s="77"/>
      <c r="F616" s="78"/>
      <c r="G616" s="42">
        <v>63340</v>
      </c>
      <c r="H616" s="42">
        <f>H617</f>
        <v>0</v>
      </c>
      <c r="I616" s="42">
        <f t="shared" si="82"/>
        <v>63340</v>
      </c>
    </row>
    <row r="617" spans="1:9" ht="63">
      <c r="A617" s="41" t="str">
        <f>IF(B617&gt;0,VLOOKUP(B617,КВСР!A433:B1598,2),IF(C617&gt;0,VLOOKUP(C617,КФСР!A433:B1945,2),IF(D617&gt;0,VLOOKUP(D617,Программа!A$1:B$5008,2),IF(F617&gt;0,VLOOKUP(F617,КВР!A$1:B$5001,2),IF(E617&gt;0,VLOOKUP(E617,Направление!A$1:B$4660,2))))))</f>
        <v>Ведомственная целевая программа «Сохранение и развитие культуры Тутаевского муниципального района» на 2014-2016 годы.</v>
      </c>
      <c r="B617" s="85"/>
      <c r="C617" s="77"/>
      <c r="D617" s="78">
        <v>31</v>
      </c>
      <c r="E617" s="77"/>
      <c r="F617" s="78"/>
      <c r="G617" s="42">
        <v>63340</v>
      </c>
      <c r="H617" s="42">
        <f>H618+H620</f>
        <v>0</v>
      </c>
      <c r="I617" s="42">
        <f t="shared" si="82"/>
        <v>63340</v>
      </c>
    </row>
    <row r="618" spans="1:9" ht="63">
      <c r="A618" s="41" t="str">
        <f>IF(B618&gt;0,VLOOKUP(B618,КВСР!A434:B1599,2),IF(C618&gt;0,VLOOKUP(C618,КФСР!A434:B1946,2),IF(D618&gt;0,VLOOKUP(D618,Программа!A$1:B$5008,2),IF(F618&gt;0,VLOOKUP(F618,КВР!A$1:B$5001,2),IF(E618&gt;0,VLOOKUP(E618,Направление!A$1:B$4660,2))))))</f>
        <v>Расходы на укрепление института семьи, повышение качества жизни семей с несовершеннолетними детьми</v>
      </c>
      <c r="B618" s="85"/>
      <c r="C618" s="77"/>
      <c r="D618" s="78"/>
      <c r="E618" s="77">
        <v>1611</v>
      </c>
      <c r="F618" s="78"/>
      <c r="G618" s="42">
        <v>6340</v>
      </c>
      <c r="H618" s="42">
        <f>H619</f>
        <v>0</v>
      </c>
      <c r="I618" s="42">
        <f t="shared" si="82"/>
        <v>6340</v>
      </c>
    </row>
    <row r="619" spans="1:9" ht="63">
      <c r="A619" s="41" t="str">
        <f>IF(B619&gt;0,VLOOKUP(B619,КВСР!A435:B1600,2),IF(C619&gt;0,VLOOKUP(C619,КФСР!A435:B1947,2),IF(D619&gt;0,VLOOKUP(D619,Программа!A$1:B$5008,2),IF(F619&gt;0,VLOOKUP(F619,КВР!A$1:B$5001,2),IF(E619&gt;0,VLOOKUP(E619,Направление!A$1:B$4660,2))))))</f>
        <v>Предоставление субсидий бюджетным, автономным учреждениям и иным некоммерческим организациям</v>
      </c>
      <c r="B619" s="85"/>
      <c r="C619" s="77"/>
      <c r="D619" s="78"/>
      <c r="E619" s="77"/>
      <c r="F619" s="78">
        <v>600</v>
      </c>
      <c r="G619" s="42">
        <v>6340</v>
      </c>
      <c r="H619" s="334"/>
      <c r="I619" s="42">
        <f t="shared" si="82"/>
        <v>6340</v>
      </c>
    </row>
    <row r="620" spans="1:9" ht="78.75">
      <c r="A620" s="41" t="str">
        <f>IF(B620&gt;0,VLOOKUP(B620,КВСР!A436:B1601,2),IF(C620&gt;0,VLOOKUP(C620,КФСР!A436:B1948,2),IF(D620&gt;0,VLOOKUP(D620,Программа!A$1:B$5008,2),IF(F620&gt;0,VLOOKUP(F620,КВР!A$1:B$5001,2),IF(E620&gt;0,VLOOKUP(E620,Направление!A$1:B$4660,2))))))</f>
        <v>Расходы на укрепление института семьи, повышение качества жизни семей с несовершеннолетними детьми за счет средств областного бюджета</v>
      </c>
      <c r="B620" s="85"/>
      <c r="C620" s="77"/>
      <c r="D620" s="78"/>
      <c r="E620" s="77">
        <v>7097</v>
      </c>
      <c r="F620" s="78"/>
      <c r="G620" s="42">
        <v>57000</v>
      </c>
      <c r="H620" s="42">
        <f>H621</f>
        <v>0</v>
      </c>
      <c r="I620" s="42">
        <f t="shared" si="82"/>
        <v>57000</v>
      </c>
    </row>
    <row r="621" spans="1:9" ht="63">
      <c r="A621" s="41" t="str">
        <f>IF(B621&gt;0,VLOOKUP(B621,КВСР!A437:B1602,2),IF(C621&gt;0,VLOOKUP(C621,КФСР!A437:B1949,2),IF(D621&gt;0,VLOOKUP(D621,Программа!A$1:B$5008,2),IF(F621&gt;0,VLOOKUP(F621,КВР!A$1:B$5001,2),IF(E621&gt;0,VLOOKUP(E621,Направление!A$1:B$4660,2))))))</f>
        <v>Предоставление субсидий бюджетным, автономным учреждениям и иным некоммерческим организациям</v>
      </c>
      <c r="B621" s="85"/>
      <c r="C621" s="77"/>
      <c r="D621" s="78"/>
      <c r="E621" s="77"/>
      <c r="F621" s="78">
        <v>600</v>
      </c>
      <c r="G621" s="42">
        <v>57000</v>
      </c>
      <c r="H621" s="334"/>
      <c r="I621" s="42">
        <f t="shared" si="82"/>
        <v>57000</v>
      </c>
    </row>
    <row r="622" spans="1:9" ht="31.5">
      <c r="A622" s="41" t="str">
        <f>IF(B622&gt;0,VLOOKUP(B622,КВСР!A436:B1601,2),IF(C622&gt;0,VLOOKUP(C622,КФСР!A436:B1948,2),IF(D622&gt;0,VLOOKUP(D622,Программа!A$1:B$5008,2),IF(F622&gt;0,VLOOKUP(F622,КВР!A$1:B$5001,2),IF(E622&gt;0,VLOOKUP(E622,Направление!A$1:B$4660,2))))))</f>
        <v>Периодическая печать и издательства</v>
      </c>
      <c r="B622" s="85"/>
      <c r="C622" s="77">
        <v>1202</v>
      </c>
      <c r="D622" s="78"/>
      <c r="E622" s="77"/>
      <c r="F622" s="78"/>
      <c r="G622" s="95">
        <v>3615369</v>
      </c>
      <c r="H622" s="95">
        <f t="shared" ref="H622:H624" si="91">H623</f>
        <v>0</v>
      </c>
      <c r="I622" s="42">
        <f t="shared" si="82"/>
        <v>3615369</v>
      </c>
    </row>
    <row r="623" spans="1:9">
      <c r="A623" s="41" t="str">
        <f>IF(B623&gt;0,VLOOKUP(B623,КВСР!A437:B1602,2),IF(C623&gt;0,VLOOKUP(C623,КФСР!A437:B1949,2),IF(D623&gt;0,VLOOKUP(D623,Программа!A$1:B$5008,2),IF(F623&gt;0,VLOOKUP(F623,КВР!A$1:B$5001,2),IF(E623&gt;0,VLOOKUP(E623,Направление!A$1:B$4660,2))))))</f>
        <v>Непрограммные расходы бюджета</v>
      </c>
      <c r="B623" s="85"/>
      <c r="C623" s="77"/>
      <c r="D623" s="78">
        <v>409</v>
      </c>
      <c r="E623" s="77"/>
      <c r="F623" s="78"/>
      <c r="G623" s="95">
        <v>3615369</v>
      </c>
      <c r="H623" s="95">
        <f t="shared" si="91"/>
        <v>0</v>
      </c>
      <c r="I623" s="42">
        <f t="shared" si="82"/>
        <v>3615369</v>
      </c>
    </row>
    <row r="624" spans="1:9">
      <c r="A624" s="41" t="str">
        <f>IF(B624&gt;0,VLOOKUP(B624,КВСР!A438:B1603,2),IF(C624&gt;0,VLOOKUP(C624,КФСР!A438:B1950,2),IF(D624&gt;0,VLOOKUP(D624,Программа!A$1:B$5008,2),IF(F624&gt;0,VLOOKUP(F624,КВР!A$1:B$5001,2),IF(E624&gt;0,VLOOKUP(E624,Направление!A$1:B$4660,2))))))</f>
        <v xml:space="preserve">Поддержка периодических изданий </v>
      </c>
      <c r="B624" s="85"/>
      <c r="C624" s="77"/>
      <c r="D624" s="78"/>
      <c r="E624" s="77">
        <v>1275</v>
      </c>
      <c r="F624" s="78"/>
      <c r="G624" s="95">
        <v>3615369</v>
      </c>
      <c r="H624" s="95">
        <f t="shared" si="91"/>
        <v>0</v>
      </c>
      <c r="I624" s="42">
        <f t="shared" si="82"/>
        <v>3615369</v>
      </c>
    </row>
    <row r="625" spans="1:9" ht="63">
      <c r="A625" s="41" t="str">
        <f>IF(B625&gt;0,VLOOKUP(B625,КВСР!A439:B1604,2),IF(C625&gt;0,VLOOKUP(C625,КФСР!A439:B1951,2),IF(D625&gt;0,VLOOKUP(D625,Программа!A$1:B$5008,2),IF(F625&gt;0,VLOOKUP(F625,КВР!A$1:B$5001,2),IF(E625&gt;0,VLOOKUP(E625,Направление!A$1:B$4660,2))))))</f>
        <v>Предоставление субсидий бюджетным, автономным учреждениям и иным некоммерческим организациям</v>
      </c>
      <c r="B625" s="85"/>
      <c r="C625" s="77"/>
      <c r="D625" s="78"/>
      <c r="E625" s="77"/>
      <c r="F625" s="78">
        <v>600</v>
      </c>
      <c r="G625" s="42">
        <v>3615369</v>
      </c>
      <c r="H625" s="334"/>
      <c r="I625" s="42">
        <f t="shared" si="82"/>
        <v>3615369</v>
      </c>
    </row>
    <row r="626" spans="1:9" ht="47.25">
      <c r="A626" s="258" t="str">
        <f>IF(B626&gt;0,VLOOKUP(B626,КВСР!A440:B1605,2),IF(C626&gt;0,VLOOKUP(C626,КФСР!A440:B1952,2),IF(D626&gt;0,VLOOKUP(D626,Программа!A$1:B$5008,2),IF(F626&gt;0,VLOOKUP(F626,КВР!A$1:B$5001,2),IF(E626&gt;0,VLOOKUP(E626,Направление!A$1:B$4660,2))))))</f>
        <v>Департамент ЖКХ и строительства Администрации ТМР</v>
      </c>
      <c r="B626" s="81">
        <v>958</v>
      </c>
      <c r="C626" s="82"/>
      <c r="D626" s="83"/>
      <c r="E626" s="82"/>
      <c r="F626" s="83"/>
      <c r="G626" s="47">
        <v>215449946.01999998</v>
      </c>
      <c r="H626" s="47">
        <f>H635+H657+H669+H674+H691+H721+H736+H748+H744+H627+H651</f>
        <v>-7682977</v>
      </c>
      <c r="I626" s="47">
        <f>I635+I657+I669+I674+I691+I721+I736+I748+I744+I627+I651</f>
        <v>207466969.01999998</v>
      </c>
    </row>
    <row r="627" spans="1:9">
      <c r="A627" s="41" t="str">
        <f>IF(B627&gt;0,VLOOKUP(B627,КВСР!A437:B1602,2),IF(C627&gt;0,VLOOKUP(C627,КФСР!A437:B1949,2),IF(D627&gt;0,VLOOKUP(D627,Программа!A$1:B$5008,2),IF(F627&gt;0,VLOOKUP(F627,КВР!A$1:B$5001,2),IF(E627&gt;0,VLOOKUP(E627,Направление!A$1:B$4660,2))))))</f>
        <v>Резервные фонды</v>
      </c>
      <c r="B627" s="81"/>
      <c r="C627" s="82">
        <v>111</v>
      </c>
      <c r="D627" s="83"/>
      <c r="E627" s="82"/>
      <c r="F627" s="83"/>
      <c r="G627" s="42">
        <v>873819</v>
      </c>
      <c r="H627" s="42">
        <f>H628+H632</f>
        <v>-356362</v>
      </c>
      <c r="I627" s="42">
        <f t="shared" ref="I627:I692" si="92">SUM(G627:H627)</f>
        <v>517457</v>
      </c>
    </row>
    <row r="628" spans="1:9">
      <c r="A628" s="41" t="str">
        <f>IF(B628&gt;0,VLOOKUP(B628,КВСР!A438:B1603,2),IF(C628&gt;0,VLOOKUP(C628,КФСР!A438:B1950,2),IF(D628&gt;0,VLOOKUP(D628,Программа!A$1:B$5008,2),IF(F628&gt;0,VLOOKUP(F628,КВР!A$1:B$5001,2),IF(E628&gt;0,VLOOKUP(E628,Направление!A$1:B$4660,2))))))</f>
        <v>Непрограммные расходы бюджета</v>
      </c>
      <c r="B628" s="81"/>
      <c r="C628" s="82"/>
      <c r="D628" s="83">
        <v>409</v>
      </c>
      <c r="E628" s="82"/>
      <c r="F628" s="83"/>
      <c r="G628" s="42">
        <v>650000</v>
      </c>
      <c r="H628" s="42">
        <f t="shared" ref="H628" si="93">H629</f>
        <v>-356362</v>
      </c>
      <c r="I628" s="42">
        <f t="shared" si="92"/>
        <v>293638</v>
      </c>
    </row>
    <row r="629" spans="1:9" ht="31.5">
      <c r="A629" s="41" t="str">
        <f>IF(B629&gt;0,VLOOKUP(B629,КВСР!A439:B1604,2),IF(C629&gt;0,VLOOKUP(C629,КФСР!A439:B1951,2),IF(D629&gt;0,VLOOKUP(D629,Программа!A$1:B$5008,2),IF(F629&gt;0,VLOOKUP(F629,КВР!A$1:B$5001,2),IF(E629&gt;0,VLOOKUP(E629,Направление!A$1:B$4660,2))))))</f>
        <v>Резервные фонды местных администраций</v>
      </c>
      <c r="B629" s="81"/>
      <c r="C629" s="82"/>
      <c r="D629" s="83"/>
      <c r="E629" s="82">
        <v>1290</v>
      </c>
      <c r="F629" s="83"/>
      <c r="G629" s="42">
        <v>650000</v>
      </c>
      <c r="H629" s="42">
        <f>H631+H630</f>
        <v>-356362</v>
      </c>
      <c r="I629" s="42">
        <f t="shared" si="92"/>
        <v>293638</v>
      </c>
    </row>
    <row r="630" spans="1:9" ht="63">
      <c r="A630" s="41" t="str">
        <f>IF(B630&gt;0,VLOOKUP(B630,КВСР!A440:B1605,2),IF(C630&gt;0,VLOOKUP(C630,КФСР!A440:B1952,2),IF(D630&gt;0,VLOOKUP(D630,Программа!A$1:B$5008,2),IF(F630&gt;0,VLOOKUP(F630,КВР!A$1:B$5001,2),IF(E630&gt;0,VLOOKUP(E630,Направление!A$1:B$4660,2))))))</f>
        <v>Предоставление субсидий бюджетным, автономным учреждениям и иным некоммерческим организациям</v>
      </c>
      <c r="B630" s="81"/>
      <c r="C630" s="82"/>
      <c r="D630" s="83"/>
      <c r="E630" s="82"/>
      <c r="F630" s="83">
        <v>600</v>
      </c>
      <c r="G630" s="42">
        <v>600000</v>
      </c>
      <c r="H630" s="42">
        <v>-356362</v>
      </c>
      <c r="I630" s="42">
        <f t="shared" si="92"/>
        <v>243638</v>
      </c>
    </row>
    <row r="631" spans="1:9">
      <c r="A631" s="41" t="str">
        <f>IF(B631&gt;0,VLOOKUP(B631,КВСР!A440:B1605,2),IF(C631&gt;0,VLOOKUP(C631,КФСР!A440:B1952,2),IF(D631&gt;0,VLOOKUP(D631,Программа!A$1:B$5008,2),IF(F631&gt;0,VLOOKUP(F631,КВР!A$1:B$5001,2),IF(E631&gt;0,VLOOKUP(E631,Направление!A$1:B$4660,2))))))</f>
        <v>Иные бюджетные ассигнования</v>
      </c>
      <c r="B631" s="81"/>
      <c r="C631" s="82"/>
      <c r="D631" s="83"/>
      <c r="E631" s="82"/>
      <c r="F631" s="83">
        <v>800</v>
      </c>
      <c r="G631" s="42">
        <v>50000</v>
      </c>
      <c r="H631" s="352"/>
      <c r="I631" s="42">
        <f t="shared" si="92"/>
        <v>50000</v>
      </c>
    </row>
    <row r="632" spans="1:9" ht="31.5">
      <c r="A632" s="41" t="str">
        <f>IF(B632&gt;0,VLOOKUP(B632,КВСР!A438:B1603,2),IF(C632&gt;0,VLOOKUP(C632,КФСР!A438:B1950,2),IF(D632&gt;0,VLOOKUP(D632,Программа!A$1:B$5008,2),IF(F632&gt;0,VLOOKUP(F632,КВР!A$1:B$5001,2),IF(E632&gt;0,VLOOKUP(E632,Направление!A$1:B$4660,2))))))</f>
        <v>Межбюджетные трансферты  поселениям района</v>
      </c>
      <c r="B632" s="81"/>
      <c r="C632" s="82"/>
      <c r="D632" s="83">
        <v>990</v>
      </c>
      <c r="E632" s="82"/>
      <c r="F632" s="83"/>
      <c r="G632" s="42">
        <v>223819</v>
      </c>
      <c r="H632" s="340">
        <f>H633</f>
        <v>0</v>
      </c>
      <c r="I632" s="42">
        <f t="shared" si="92"/>
        <v>223819</v>
      </c>
    </row>
    <row r="633" spans="1:9" ht="31.5">
      <c r="A633" s="41" t="str">
        <f>IF(B633&gt;0,VLOOKUP(B633,КВСР!A439:B1604,2),IF(C633&gt;0,VLOOKUP(C633,КФСР!A439:B1951,2),IF(D633&gt;0,VLOOKUP(D633,Программа!A$1:B$5008,2),IF(F633&gt;0,VLOOKUP(F633,КВР!A$1:B$5001,2),IF(E633&gt;0,VLOOKUP(E633,Направление!A$1:B$4660,2))))))</f>
        <v>Резервные фонды местных администраций</v>
      </c>
      <c r="B633" s="81"/>
      <c r="C633" s="82"/>
      <c r="D633" s="83"/>
      <c r="E633" s="82">
        <v>1290</v>
      </c>
      <c r="F633" s="83"/>
      <c r="G633" s="42">
        <v>223819</v>
      </c>
      <c r="H633" s="340">
        <f>H634</f>
        <v>0</v>
      </c>
      <c r="I633" s="42">
        <f t="shared" si="92"/>
        <v>223819</v>
      </c>
    </row>
    <row r="634" spans="1:9">
      <c r="A634" s="41" t="str">
        <f>IF(B634&gt;0,VLOOKUP(B634,КВСР!A440:B1605,2),IF(C634&gt;0,VLOOKUP(C634,КФСР!A440:B1952,2),IF(D634&gt;0,VLOOKUP(D634,Программа!A$1:B$5008,2),IF(F634&gt;0,VLOOKUP(F634,КВР!A$1:B$5001,2),IF(E634&gt;0,VLOOKUP(E634,Направление!A$1:B$4660,2))))))</f>
        <v xml:space="preserve"> Межбюджетные трансферты</v>
      </c>
      <c r="B634" s="81"/>
      <c r="C634" s="82"/>
      <c r="D634" s="83"/>
      <c r="E634" s="82"/>
      <c r="F634" s="83">
        <v>500</v>
      </c>
      <c r="G634" s="42">
        <v>223819</v>
      </c>
      <c r="H634" s="352"/>
      <c r="I634" s="42">
        <f t="shared" si="92"/>
        <v>223819</v>
      </c>
    </row>
    <row r="635" spans="1:9" ht="31.5">
      <c r="A635" s="41" t="str">
        <f>IF(B635&gt;0,VLOOKUP(B635,КВСР!A441:B1606,2),IF(C635&gt;0,VLOOKUP(C635,КФСР!A441:B1953,2),IF(D635&gt;0,VLOOKUP(D635,Программа!A$1:B$5008,2),IF(F635&gt;0,VLOOKUP(F635,КВР!A$1:B$5001,2),IF(E635&gt;0,VLOOKUP(E635,Направление!A$1:B$4660,2))))))</f>
        <v>Другие общегосударственные вопросы</v>
      </c>
      <c r="B635" s="81"/>
      <c r="C635" s="82">
        <v>113</v>
      </c>
      <c r="D635" s="83"/>
      <c r="E635" s="82"/>
      <c r="F635" s="83"/>
      <c r="G635" s="42">
        <v>8869182</v>
      </c>
      <c r="H635" s="42">
        <f>H644+H636+H640</f>
        <v>0</v>
      </c>
      <c r="I635" s="42">
        <f t="shared" si="92"/>
        <v>8869182</v>
      </c>
    </row>
    <row r="636" spans="1:9" ht="31.5">
      <c r="A636" s="41" t="str">
        <f>IF(B636&gt;0,VLOOKUP(B636,КВСР!A442:B1607,2),IF(C636&gt;0,VLOOKUP(C636,КФСР!A442:B1954,2),IF(D636&gt;0,VLOOKUP(D636,Программа!A$1:B$5008,2),IF(F636&gt;0,VLOOKUP(F636,КВР!A$1:B$5001,2),IF(E636&gt;0,VLOOKUP(E636,Направление!A$1:B$4660,2))))))</f>
        <v>Развитие физической культуры и спорта</v>
      </c>
      <c r="B636" s="81"/>
      <c r="C636" s="82"/>
      <c r="D636" s="83">
        <v>40</v>
      </c>
      <c r="E636" s="82"/>
      <c r="F636" s="83"/>
      <c r="G636" s="42">
        <v>99990</v>
      </c>
      <c r="H636" s="42">
        <f t="shared" ref="H636:H638" si="94">H637</f>
        <v>0</v>
      </c>
      <c r="I636" s="42">
        <f t="shared" si="92"/>
        <v>99990</v>
      </c>
    </row>
    <row r="637" spans="1:9" ht="78.75">
      <c r="A637" s="41" t="str">
        <f>IF(B637&gt;0,VLOOKUP(B637,КВСР!A443:B1608,2),IF(C637&gt;0,VLOOKUP(C637,КФСР!A443:B1955,2),IF(D637&gt;0,VLOOKUP(D637,Программа!A$1:B$5008,2),IF(F637&gt;0,VLOOKUP(F637,КВР!A$1:B$5001,2),IF(E637&gt;0,VLOOKUP(E637,Направление!A$1:B$4660,2))))))</f>
        <v>Муниципальная целевая программа «Развитие физической культуры и спорта в Тутаевском муниципальном районе на 2013-2015 годы».</v>
      </c>
      <c r="B637" s="81"/>
      <c r="C637" s="82"/>
      <c r="D637" s="83">
        <v>41</v>
      </c>
      <c r="E637" s="82"/>
      <c r="F637" s="83"/>
      <c r="G637" s="42">
        <v>99990</v>
      </c>
      <c r="H637" s="42">
        <f t="shared" si="94"/>
        <v>0</v>
      </c>
      <c r="I637" s="42">
        <f t="shared" si="92"/>
        <v>99990</v>
      </c>
    </row>
    <row r="638" spans="1:9" ht="63">
      <c r="A638" s="41" t="str">
        <f>IF(B638&gt;0,VLOOKUP(B638,КВСР!A444:B1609,2),IF(C638&gt;0,VLOOKUP(C638,КФСР!A444:B1956,2),IF(D638&gt;0,VLOOKUP(D638,Программа!A$1:B$5008,2),IF(F638&gt;0,VLOOKUP(F638,КВР!A$1:B$5001,2),IF(E638&gt;0,VLOOKUP(E638,Направление!A$1:B$4660,2))))))</f>
        <v>Расходы в части проектирования, межевания, проведения экспертизы и строительства открытого плоскостного сооружения</v>
      </c>
      <c r="B638" s="81"/>
      <c r="C638" s="82"/>
      <c r="D638" s="83"/>
      <c r="E638" s="82">
        <v>2918</v>
      </c>
      <c r="F638" s="83"/>
      <c r="G638" s="42">
        <v>99990</v>
      </c>
      <c r="H638" s="42">
        <f t="shared" si="94"/>
        <v>0</v>
      </c>
      <c r="I638" s="42">
        <f t="shared" si="92"/>
        <v>99990</v>
      </c>
    </row>
    <row r="639" spans="1:9" ht="63">
      <c r="A639" s="41" t="str">
        <f>IF(B639&gt;0,VLOOKUP(B639,КВСР!A445:B1610,2),IF(C639&gt;0,VLOOKUP(C639,КФСР!A445:B1957,2),IF(D639&gt;0,VLOOKUP(D639,Программа!A$1:B$5008,2),IF(F639&gt;0,VLOOKUP(F639,КВР!A$1:B$5001,2),IF(E639&gt;0,VLOOKUP(E639,Направление!A$1:B$4660,2))))))</f>
        <v>Предоставление субсидий бюджетным, автономным учреждениям и иным некоммерческим организациям</v>
      </c>
      <c r="B639" s="81"/>
      <c r="C639" s="82"/>
      <c r="D639" s="83"/>
      <c r="E639" s="82"/>
      <c r="F639" s="83">
        <v>600</v>
      </c>
      <c r="G639" s="42">
        <v>99990</v>
      </c>
      <c r="H639" s="352"/>
      <c r="I639" s="42">
        <f t="shared" si="92"/>
        <v>99990</v>
      </c>
    </row>
    <row r="640" spans="1:9" ht="31.5">
      <c r="A640" s="41" t="str">
        <f>IF(B640&gt;0,VLOOKUP(B640,КВСР!A446:B1611,2),IF(C640&gt;0,VLOOKUP(C640,КФСР!A446:B1958,2),IF(D640&gt;0,VLOOKUP(D640,Программа!A$1:B$5008,2),IF(F640&gt;0,VLOOKUP(F640,КВР!A$1:B$5001,2),IF(E640&gt;0,VLOOKUP(E640,Направление!A$1:B$4660,2))))))</f>
        <v>Развитие коммунальной и инженерной инфраструктуры</v>
      </c>
      <c r="B640" s="81"/>
      <c r="C640" s="82"/>
      <c r="D640" s="83">
        <v>70</v>
      </c>
      <c r="E640" s="82"/>
      <c r="F640" s="83"/>
      <c r="G640" s="42">
        <v>92614</v>
      </c>
      <c r="H640" s="42">
        <f t="shared" ref="H640:H642" si="95">H641</f>
        <v>0</v>
      </c>
      <c r="I640" s="42">
        <f t="shared" si="92"/>
        <v>92614</v>
      </c>
    </row>
    <row r="641" spans="1:9" ht="94.5">
      <c r="A641" s="41" t="str">
        <f>IF(B641&gt;0,VLOOKUP(B641,КВСР!A447:B1612,2),IF(C641&gt;0,VLOOKUP(C641,КФСР!A447:B1959,2),IF(D641&gt;0,VLOOKUP(D641,Программа!A$1:B$5008,2),IF(F641&gt;0,VLOOKUP(F641,КВР!A$1:B$5001,2),IF(E641&gt;0,VLOOKUP(E641,Направление!A$1:B$4660,2))))))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на 2014-2016 годы  </v>
      </c>
      <c r="B641" s="81"/>
      <c r="C641" s="82"/>
      <c r="D641" s="83">
        <v>73</v>
      </c>
      <c r="E641" s="82"/>
      <c r="F641" s="83"/>
      <c r="G641" s="42">
        <v>92614</v>
      </c>
      <c r="H641" s="42">
        <f t="shared" si="95"/>
        <v>0</v>
      </c>
      <c r="I641" s="42">
        <f t="shared" si="92"/>
        <v>92614</v>
      </c>
    </row>
    <row r="642" spans="1:9" ht="47.25">
      <c r="A642" s="41" t="str">
        <f>IF(B642&gt;0,VLOOKUP(B642,КВСР!A448:B1613,2),IF(C642&gt;0,VLOOKUP(C642,КФСР!A448:B1960,2),IF(D642&gt;0,VLOOKUP(D642,Программа!A$1:B$5008,2),IF(F642&gt;0,VLOOKUP(F642,КВР!A$1:B$5001,2),IF(E642&gt;0,VLOOKUP(E642,Направление!A$1:B$4660,2))))))</f>
        <v xml:space="preserve">Обеспечение мероприятий по строительству и реконструкции объектов  газификации </v>
      </c>
      <c r="B642" s="81"/>
      <c r="C642" s="82"/>
      <c r="D642" s="83"/>
      <c r="E642" s="82">
        <v>2904</v>
      </c>
      <c r="F642" s="83"/>
      <c r="G642" s="42">
        <v>92614</v>
      </c>
      <c r="H642" s="42">
        <f t="shared" si="95"/>
        <v>0</v>
      </c>
      <c r="I642" s="42">
        <f t="shared" si="92"/>
        <v>92614</v>
      </c>
    </row>
    <row r="643" spans="1:9" ht="63">
      <c r="A643" s="41" t="str">
        <f>IF(B643&gt;0,VLOOKUP(B643,КВСР!A449:B1614,2),IF(C643&gt;0,VLOOKUP(C643,КФСР!A449:B1961,2),IF(D643&gt;0,VLOOKUP(D643,Программа!A$1:B$5008,2),IF(F643&gt;0,VLOOKUP(F643,КВР!A$1:B$5001,2),IF(E643&gt;0,VLOOKUP(E643,Направление!A$1:B$4660,2))))))</f>
        <v>Предоставление субсидий бюджетным, автономным учреждениям и иным некоммерческим организациям</v>
      </c>
      <c r="B643" s="81"/>
      <c r="C643" s="82"/>
      <c r="D643" s="83"/>
      <c r="E643" s="82"/>
      <c r="F643" s="83">
        <v>600</v>
      </c>
      <c r="G643" s="42">
        <v>92614</v>
      </c>
      <c r="H643" s="352"/>
      <c r="I643" s="42">
        <f t="shared" si="92"/>
        <v>92614</v>
      </c>
    </row>
    <row r="644" spans="1:9">
      <c r="A644" s="41" t="str">
        <f>IF(B644&gt;0,VLOOKUP(B644,КВСР!A442:B1607,2),IF(C644&gt;0,VLOOKUP(C644,КФСР!A442:B1954,2),IF(D644&gt;0,VLOOKUP(D644,Программа!A$1:B$5008,2),IF(F644&gt;0,VLOOKUP(F644,КВР!A$1:B$5001,2),IF(E644&gt;0,VLOOKUP(E644,Направление!A$1:B$4660,2))))))</f>
        <v>Непрограммные расходы бюджета</v>
      </c>
      <c r="B644" s="81"/>
      <c r="C644" s="82"/>
      <c r="D644" s="83">
        <v>409</v>
      </c>
      <c r="E644" s="82"/>
      <c r="F644" s="83"/>
      <c r="G644" s="42">
        <v>8676578</v>
      </c>
      <c r="H644" s="42">
        <f>H645+H647+H649</f>
        <v>0</v>
      </c>
      <c r="I644" s="42">
        <f t="shared" si="92"/>
        <v>8676578</v>
      </c>
    </row>
    <row r="645" spans="1:9" ht="47.25">
      <c r="A645" s="41" t="str">
        <f>IF(B645&gt;0,VLOOKUP(B645,КВСР!A443:B1608,2),IF(C645&gt;0,VLOOKUP(C645,КФСР!A443:B1955,2),IF(D645&gt;0,VLOOKUP(D645,Программа!A$1:B$5008,2),IF(F645&gt;0,VLOOKUP(F645,КВР!A$1:B$5001,2),IF(E645&gt;0,VLOOKUP(E645,Направление!A$1:B$4660,2))))))</f>
        <v>Обеспечение деятельности подведомственных учреждений органов местного самоуправления</v>
      </c>
      <c r="B645" s="81"/>
      <c r="C645" s="82"/>
      <c r="D645" s="83"/>
      <c r="E645" s="82">
        <v>1210</v>
      </c>
      <c r="F645" s="83"/>
      <c r="G645" s="42">
        <v>7962115</v>
      </c>
      <c r="H645" s="42">
        <f t="shared" ref="H645" si="96">H646</f>
        <v>0</v>
      </c>
      <c r="I645" s="42">
        <f t="shared" si="92"/>
        <v>7962115</v>
      </c>
    </row>
    <row r="646" spans="1:9" ht="63">
      <c r="A646" s="41" t="str">
        <f>IF(B646&gt;0,VLOOKUP(B646,КВСР!A444:B1609,2),IF(C646&gt;0,VLOOKUP(C646,КФСР!A444:B1956,2),IF(D646&gt;0,VLOOKUP(D646,Программа!A$1:B$5008,2),IF(F646&gt;0,VLOOKUP(F646,КВР!A$1:B$5001,2),IF(E646&gt;0,VLOOKUP(E646,Направление!A$1:B$4660,2))))))</f>
        <v>Предоставление субсидий бюджетным, автономным учреждениям и иным некоммерческим организациям</v>
      </c>
      <c r="B646" s="81"/>
      <c r="C646" s="82"/>
      <c r="D646" s="83"/>
      <c r="E646" s="82"/>
      <c r="F646" s="83">
        <v>600</v>
      </c>
      <c r="G646" s="42">
        <v>7962115</v>
      </c>
      <c r="H646" s="334"/>
      <c r="I646" s="42">
        <f t="shared" si="92"/>
        <v>7962115</v>
      </c>
    </row>
    <row r="647" spans="1:9" ht="47.25">
      <c r="A647" s="41" t="str">
        <f>IF(B647&gt;0,VLOOKUP(B647,КВСР!A445:B1610,2),IF(C647&gt;0,VLOOKUP(C647,КФСР!A445:B1957,2),IF(D647&gt;0,VLOOKUP(D647,Программа!A$1:B$5008,2),IF(F647&gt;0,VLOOKUP(F647,КВР!A$1:B$5001,2),IF(E647&gt;0,VLOOKUP(E647,Направление!A$1:B$4660,2))))))</f>
        <v>Исполнение судебных актов, актов других органов и должностных лиц, иных документов</v>
      </c>
      <c r="B647" s="81"/>
      <c r="C647" s="82"/>
      <c r="D647" s="83"/>
      <c r="E647" s="82">
        <v>1213</v>
      </c>
      <c r="F647" s="83"/>
      <c r="G647" s="42">
        <v>329047</v>
      </c>
      <c r="H647" s="42">
        <f t="shared" ref="H647" si="97">H648</f>
        <v>0</v>
      </c>
      <c r="I647" s="42">
        <f t="shared" si="92"/>
        <v>329047</v>
      </c>
    </row>
    <row r="648" spans="1:9" ht="63">
      <c r="A648" s="41" t="str">
        <f>IF(B648&gt;0,VLOOKUP(B648,КВСР!A446:B1611,2),IF(C648&gt;0,VLOOKUP(C648,КФСР!A446:B1958,2),IF(D648&gt;0,VLOOKUP(D648,Программа!A$1:B$5008,2),IF(F648&gt;0,VLOOKUP(F648,КВР!A$1:B$5001,2),IF(E648&gt;0,VLOOKUP(E648,Направление!A$1:B$4660,2))))))</f>
        <v>Предоставление субсидий бюджетным, автономным учреждениям и иным некоммерческим организациям</v>
      </c>
      <c r="B648" s="81"/>
      <c r="C648" s="82"/>
      <c r="D648" s="83"/>
      <c r="E648" s="82"/>
      <c r="F648" s="83">
        <v>600</v>
      </c>
      <c r="G648" s="42">
        <v>329047</v>
      </c>
      <c r="H648" s="334"/>
      <c r="I648" s="42">
        <f t="shared" si="92"/>
        <v>329047</v>
      </c>
    </row>
    <row r="649" spans="1:9" ht="47.25">
      <c r="A649" s="41" t="str">
        <f>IF(B649&gt;0,VLOOKUP(B649,КВСР!A445:B1610,2),IF(C649&gt;0,VLOOKUP(C649,КФСР!A445:B1957,2),IF(D649&gt;0,VLOOKUP(D649,Программа!A$1:B$5008,2),IF(F649&gt;0,VLOOKUP(F649,КВР!A$1:B$5001,2),IF(E649&gt;0,VLOOKUP(E649,Направление!A$1:B$4660,2))))))</f>
        <v>Расходы на развитие органов местного самоуправления на территории ЯО</v>
      </c>
      <c r="B649" s="81"/>
      <c r="C649" s="82"/>
      <c r="D649" s="83"/>
      <c r="E649" s="82">
        <v>7228</v>
      </c>
      <c r="F649" s="83"/>
      <c r="G649" s="42">
        <v>385416</v>
      </c>
      <c r="H649" s="340">
        <f>H650</f>
        <v>0</v>
      </c>
      <c r="I649" s="42">
        <f t="shared" si="92"/>
        <v>385416</v>
      </c>
    </row>
    <row r="650" spans="1:9" ht="110.25">
      <c r="A650" s="41" t="str">
        <f>IF(B650&gt;0,VLOOKUP(B650,КВСР!A446:B1611,2),IF(C650&gt;0,VLOOKUP(C650,КФСР!A446:B1958,2),IF(D650&gt;0,VLOOKUP(D650,Программа!A$1:B$5008,2),IF(F650&gt;0,VLOOKUP(F650,КВР!A$1:B$5001,2),IF(E650&gt;0,VLOOKUP(E650,Направление!A$1:B$4660,2))))))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50" s="81"/>
      <c r="C650" s="82"/>
      <c r="D650" s="83"/>
      <c r="E650" s="82"/>
      <c r="F650" s="83">
        <v>100</v>
      </c>
      <c r="G650" s="42">
        <v>385416</v>
      </c>
      <c r="H650" s="334"/>
      <c r="I650" s="42">
        <f t="shared" si="92"/>
        <v>385416</v>
      </c>
    </row>
    <row r="651" spans="1:9" ht="78.75">
      <c r="A651" s="41" t="str">
        <f>IF(B651&gt;0,VLOOKUP(B651,КВСР!A447:B1612,2),IF(C651&gt;0,VLOOKUP(C651,КФСР!A447:B1959,2),IF(D651&gt;0,VLOOKUP(D651,Программа!A$1:B$5008,2),IF(F651&gt;0,VLOOKUP(F651,КВР!A$1:B$5001,2),IF(E651&gt;0,VLOOKUP(E651,Направление!A$1:B$4660,2))))))</f>
        <v>Защита населения и территории от последствий чрезвычайных ситуаций природного и техногенного характера, гражданская оборона</v>
      </c>
      <c r="B651" s="81"/>
      <c r="C651" s="82">
        <v>309</v>
      </c>
      <c r="D651" s="83"/>
      <c r="E651" s="82"/>
      <c r="F651" s="83"/>
      <c r="G651" s="42">
        <v>350000</v>
      </c>
      <c r="H651" s="340">
        <f>H652</f>
        <v>0</v>
      </c>
      <c r="I651" s="42">
        <f t="shared" si="92"/>
        <v>350000</v>
      </c>
    </row>
    <row r="652" spans="1:9" ht="22.5" customHeight="1">
      <c r="A652" s="41" t="str">
        <f>IF(B652&gt;0,VLOOKUP(B652,КВСР!A448:B1613,2),IF(C652&gt;0,VLOOKUP(C652,КФСР!A448:B1960,2),IF(D652&gt;0,VLOOKUP(D652,Программа!A$1:B$5008,2),IF(F652&gt;0,VLOOKUP(F652,КВР!A$1:B$5001,2),IF(E652&gt;0,VLOOKUP(E652,Направление!A$1:B$4660,2))))))</f>
        <v>Непрограммные расходы бюджета</v>
      </c>
      <c r="B652" s="81"/>
      <c r="C652" s="82"/>
      <c r="D652" s="83">
        <v>409</v>
      </c>
      <c r="E652" s="82"/>
      <c r="F652" s="83"/>
      <c r="G652" s="42">
        <v>350000</v>
      </c>
      <c r="H652" s="340">
        <f>H653+H655</f>
        <v>0</v>
      </c>
      <c r="I652" s="340">
        <f>I653+I655</f>
        <v>350000</v>
      </c>
    </row>
    <row r="653" spans="1:9" ht="22.5" customHeight="1">
      <c r="A653" s="41" t="str">
        <f>IF(B653&gt;0,VLOOKUP(B653,КВСР!A449:B1614,2),IF(C653&gt;0,VLOOKUP(C653,КФСР!A449:B1961,2),IF(D653&gt;0,VLOOKUP(D653,Программа!A$1:B$5008,2),IF(F653&gt;0,VLOOKUP(F653,КВР!A$1:B$5001,2),IF(E653&gt;0,VLOOKUP(E653,Направление!A$1:B$4660,2))))))</f>
        <v>Исполнение судебных актов, актов других органов и должностных лиц, иных документов</v>
      </c>
      <c r="B653" s="81"/>
      <c r="C653" s="82"/>
      <c r="D653" s="83"/>
      <c r="E653" s="82">
        <v>1213</v>
      </c>
      <c r="F653" s="83"/>
      <c r="G653" s="42"/>
      <c r="H653" s="340">
        <f>H654</f>
        <v>150000</v>
      </c>
      <c r="I653" s="42">
        <f>I654</f>
        <v>150000</v>
      </c>
    </row>
    <row r="654" spans="1:9" ht="22.5" customHeight="1">
      <c r="A654" s="41" t="str">
        <f>IF(B654&gt;0,VLOOKUP(B654,КВСР!A450:B1615,2),IF(C654&gt;0,VLOOKUP(C654,КФСР!A450:B1962,2),IF(D654&gt;0,VLOOKUP(D654,Программа!A$1:B$5008,2),IF(F654&gt;0,VLOOKUP(F654,КВР!A$1:B$5001,2),IF(E654&gt;0,VLOOKUP(E654,Направление!A$1:B$4660,2))))))</f>
        <v>Закупка товаров, работ и услуг для государственных нужд</v>
      </c>
      <c r="B654" s="81"/>
      <c r="C654" s="82"/>
      <c r="D654" s="83"/>
      <c r="E654" s="82"/>
      <c r="F654" s="83">
        <v>200</v>
      </c>
      <c r="G654" s="42"/>
      <c r="H654" s="334">
        <v>150000</v>
      </c>
      <c r="I654" s="42">
        <f>SUM(G654:H654)</f>
        <v>150000</v>
      </c>
    </row>
    <row r="655" spans="1:9" ht="39" customHeight="1">
      <c r="A655" s="41" t="str">
        <f>IF(B655&gt;0,VLOOKUP(B655,КВСР!A449:B1614,2),IF(C655&gt;0,VLOOKUP(C655,КФСР!A449:B1961,2),IF(D655&gt;0,VLOOKUP(D655,Программа!A$1:B$5008,2),IF(F655&gt;0,VLOOKUP(F655,КВР!A$1:B$5001,2),IF(E655&gt;0,VLOOKUP(E655,Направление!A$1:B$4660,2))))))</f>
        <v>Расходы на осуществление переданных полномочий по ГО ЧС</v>
      </c>
      <c r="B655" s="81"/>
      <c r="C655" s="82"/>
      <c r="D655" s="83"/>
      <c r="E655" s="82">
        <v>2914</v>
      </c>
      <c r="F655" s="83"/>
      <c r="G655" s="42">
        <v>350000</v>
      </c>
      <c r="H655" s="340">
        <f t="shared" ref="H655" si="98">H656</f>
        <v>-150000</v>
      </c>
      <c r="I655" s="42">
        <f t="shared" si="92"/>
        <v>200000</v>
      </c>
    </row>
    <row r="656" spans="1:9" ht="42" customHeight="1">
      <c r="A656" s="41" t="str">
        <f>IF(B656&gt;0,VLOOKUP(B656,КВСР!A450:B1615,2),IF(C656&gt;0,VLOOKUP(C656,КФСР!A450:B1962,2),IF(D656&gt;0,VLOOKUP(D656,Программа!A$1:B$5008,2),IF(F656&gt;0,VLOOKUP(F656,КВР!A$1:B$5001,2),IF(E656&gt;0,VLOOKUP(E656,Направление!A$1:B$4660,2))))))</f>
        <v>Закупка товаров, работ и услуг для государственных нужд</v>
      </c>
      <c r="B656" s="81"/>
      <c r="C656" s="82"/>
      <c r="D656" s="83"/>
      <c r="E656" s="82"/>
      <c r="F656" s="83">
        <v>200</v>
      </c>
      <c r="G656" s="42">
        <v>350000</v>
      </c>
      <c r="H656" s="334">
        <v>-150000</v>
      </c>
      <c r="I656" s="42">
        <f t="shared" si="92"/>
        <v>200000</v>
      </c>
    </row>
    <row r="657" spans="1:9">
      <c r="A657" s="41" t="str">
        <f>IF(B657&gt;0,VLOOKUP(B657,КВСР!A445:B1610,2),IF(C657&gt;0,VLOOKUP(C657,КФСР!A445:B1957,2),IF(D657&gt;0,VLOOKUP(D657,Программа!A$1:B$5008,2),IF(F657&gt;0,VLOOKUP(F657,КВР!A$1:B$5001,2),IF(E657&gt;0,VLOOKUP(E657,Направление!A$1:B$4660,2))))))</f>
        <v>Топливно-энергетический комплекс</v>
      </c>
      <c r="B657" s="81"/>
      <c r="C657" s="82">
        <v>402</v>
      </c>
      <c r="D657" s="83"/>
      <c r="E657" s="82"/>
      <c r="F657" s="83"/>
      <c r="G657" s="42">
        <v>5367584</v>
      </c>
      <c r="H657" s="42">
        <f>H658+H666</f>
        <v>0</v>
      </c>
      <c r="I657" s="42">
        <f t="shared" si="92"/>
        <v>5367584</v>
      </c>
    </row>
    <row r="658" spans="1:9" ht="31.5">
      <c r="A658" s="41" t="str">
        <f>IF(B658&gt;0,VLOOKUP(B658,КВСР!A446:B1611,2),IF(C658&gt;0,VLOOKUP(C658,КФСР!A446:B1958,2),IF(D658&gt;0,VLOOKUP(D658,Программа!A$1:B$5008,2),IF(F658&gt;0,VLOOKUP(F658,КВР!A$1:B$5001,2),IF(E658&gt;0,VLOOKUP(E658,Направление!A$1:B$4660,2))))))</f>
        <v>Энергоэффективность и развитие энергетики</v>
      </c>
      <c r="B658" s="81"/>
      <c r="C658" s="82"/>
      <c r="D658" s="83">
        <v>80</v>
      </c>
      <c r="E658" s="82"/>
      <c r="F658" s="83"/>
      <c r="G658" s="42">
        <v>4108754</v>
      </c>
      <c r="H658" s="42">
        <f>H659</f>
        <v>0</v>
      </c>
      <c r="I658" s="42">
        <f t="shared" si="92"/>
        <v>4108754</v>
      </c>
    </row>
    <row r="659" spans="1:9" ht="78.75">
      <c r="A659" s="41" t="str">
        <f>IF(B659&gt;0,VLOOKUP(B659,КВСР!A447:B1612,2),IF(C659&gt;0,VLOOKUP(C659,КФСР!A447:B1959,2),IF(D659&gt;0,VLOOKUP(D659,Программа!A$1:B$5008,2),IF(F659&gt;0,VLOOKUP(F659,КВР!A$1:B$5001,2),IF(E659&gt;0,VLOOKUP(E659,Направление!A$1:B$4660,2))))))</f>
        <v>Муниципальная целевая программа «Об энергосбережении и повышении энергетической эффективности ТМР на 2014-2016 годы.</v>
      </c>
      <c r="B659" s="81"/>
      <c r="C659" s="82"/>
      <c r="D659" s="83">
        <v>81</v>
      </c>
      <c r="E659" s="82"/>
      <c r="F659" s="83"/>
      <c r="G659" s="42">
        <v>4108754</v>
      </c>
      <c r="H659" s="42">
        <f>H660+H664+H662</f>
        <v>0</v>
      </c>
      <c r="I659" s="42">
        <f t="shared" si="92"/>
        <v>4108754</v>
      </c>
    </row>
    <row r="660" spans="1:9" ht="47.25">
      <c r="A660" s="41" t="str">
        <f>IF(B660&gt;0,VLOOKUP(B660,КВСР!A447:B1612,2),IF(C660&gt;0,VLOOKUP(C660,КФСР!A447:B1959,2),IF(D660&gt;0,VLOOKUP(D660,Программа!A$1:B$5008,2),IF(F660&gt;0,VLOOKUP(F660,КВР!A$1:B$5001,2),IF(E660&gt;0,VLOOKUP(E660,Направление!A$1:B$4660,2))))))</f>
        <v>Мероприятия по повышению энергоэффективности и энергосбережению</v>
      </c>
      <c r="B660" s="81"/>
      <c r="C660" s="82"/>
      <c r="D660" s="83"/>
      <c r="E660" s="82">
        <v>1040</v>
      </c>
      <c r="F660" s="83"/>
      <c r="G660" s="42">
        <v>605000</v>
      </c>
      <c r="H660" s="42">
        <f>H661</f>
        <v>0</v>
      </c>
      <c r="I660" s="42">
        <f t="shared" si="92"/>
        <v>605000</v>
      </c>
    </row>
    <row r="661" spans="1:9" ht="63">
      <c r="A661" s="41" t="str">
        <f>IF(B661&gt;0,VLOOKUP(B661,КВСР!A448:B1613,2),IF(C661&gt;0,VLOOKUP(C661,КФСР!A448:B1960,2),IF(D661&gt;0,VLOOKUP(D661,Программа!A$1:B$5008,2),IF(F661&gt;0,VLOOKUP(F661,КВР!A$1:B$5001,2),IF(E661&gt;0,VLOOKUP(E661,Направление!A$1:B$4660,2))))))</f>
        <v>Предоставление субсидий бюджетным, автономным учреждениям и иным некоммерческим организациям</v>
      </c>
      <c r="B661" s="81"/>
      <c r="C661" s="82"/>
      <c r="D661" s="83"/>
      <c r="E661" s="82"/>
      <c r="F661" s="83">
        <v>600</v>
      </c>
      <c r="G661" s="42">
        <v>605000</v>
      </c>
      <c r="H661" s="334"/>
      <c r="I661" s="42">
        <f t="shared" si="92"/>
        <v>605000</v>
      </c>
    </row>
    <row r="662" spans="1:9" ht="63">
      <c r="A662" s="41" t="str">
        <f>IF(B662&gt;0,VLOOKUP(B662,КВСР!A449:B1614,2),IF(C662&gt;0,VLOOKUP(C662,КФСР!A449:B1961,2),IF(D662&gt;0,VLOOKUP(D662,Программа!A$1:B$5008,2),IF(F662&gt;0,VLOOKUP(F662,КВР!A$1:B$5001,2),IF(E662&gt;0,VLOOKUP(E662,Направление!A$1:B$4660,2))))))</f>
        <v>Субсидия на проведение мероприятий по повышению энергоэффективности за счет средств федерального бюджета</v>
      </c>
      <c r="B662" s="81"/>
      <c r="C662" s="82"/>
      <c r="D662" s="83"/>
      <c r="E662" s="82">
        <v>5013</v>
      </c>
      <c r="F662" s="83"/>
      <c r="G662" s="42">
        <v>300000</v>
      </c>
      <c r="H662" s="340">
        <f>H663</f>
        <v>0</v>
      </c>
      <c r="I662" s="42">
        <f t="shared" si="92"/>
        <v>300000</v>
      </c>
    </row>
    <row r="663" spans="1:9" ht="63">
      <c r="A663" s="41" t="str">
        <f>IF(B663&gt;0,VLOOKUP(B663,КВСР!A450:B1615,2),IF(C663&gt;0,VLOOKUP(C663,КФСР!A450:B1962,2),IF(D663&gt;0,VLOOKUP(D663,Программа!A$1:B$5008,2),IF(F663&gt;0,VLOOKUP(F663,КВР!A$1:B$5001,2),IF(E663&gt;0,VLOOKUP(E663,Направление!A$1:B$4660,2))))))</f>
        <v>Предоставление субсидий бюджетным, автономным учреждениям и иным некоммерческим организациям</v>
      </c>
      <c r="B663" s="81"/>
      <c r="C663" s="82"/>
      <c r="D663" s="83"/>
      <c r="E663" s="82"/>
      <c r="F663" s="83">
        <v>600</v>
      </c>
      <c r="G663" s="42">
        <v>300000</v>
      </c>
      <c r="H663" s="334"/>
      <c r="I663" s="42">
        <f t="shared" si="92"/>
        <v>300000</v>
      </c>
    </row>
    <row r="664" spans="1:9" ht="63">
      <c r="A664" s="41" t="str">
        <f>IF(B664&gt;0,VLOOKUP(B664,КВСР!A449:B1614,2),IF(C664&gt;0,VLOOKUP(C664,КФСР!A449:B1961,2),IF(D664&gt;0,VLOOKUP(D664,Программа!A$1:B$5008,2),IF(F664&gt;0,VLOOKUP(F664,КВР!A$1:B$5001,2),IF(E664&gt;0,VLOOKUP(E664,Направление!A$1:B$4660,2))))))</f>
        <v>Мероприятия по повышению энергоэффективности и энергосбережению за счет средств областного бюджета</v>
      </c>
      <c r="B664" s="81"/>
      <c r="C664" s="82"/>
      <c r="D664" s="83"/>
      <c r="E664" s="82">
        <v>7294</v>
      </c>
      <c r="F664" s="83"/>
      <c r="G664" s="42">
        <v>3203754</v>
      </c>
      <c r="H664" s="340">
        <f>H665</f>
        <v>0</v>
      </c>
      <c r="I664" s="42">
        <f t="shared" si="92"/>
        <v>3203754</v>
      </c>
    </row>
    <row r="665" spans="1:9" ht="63">
      <c r="A665" s="41" t="str">
        <f>IF(B665&gt;0,VLOOKUP(B665,КВСР!A450:B1615,2),IF(C665&gt;0,VLOOKUP(C665,КФСР!A450:B1962,2),IF(D665&gt;0,VLOOKUP(D665,Программа!A$1:B$5008,2),IF(F665&gt;0,VLOOKUP(F665,КВР!A$1:B$5001,2),IF(E665&gt;0,VLOOKUP(E665,Направление!A$1:B$4660,2))))))</f>
        <v>Предоставление субсидий бюджетным, автономным учреждениям и иным некоммерческим организациям</v>
      </c>
      <c r="B665" s="81"/>
      <c r="C665" s="82"/>
      <c r="D665" s="83"/>
      <c r="E665" s="82"/>
      <c r="F665" s="83">
        <v>600</v>
      </c>
      <c r="G665" s="42">
        <v>3203754</v>
      </c>
      <c r="H665" s="334"/>
      <c r="I665" s="42">
        <f t="shared" si="92"/>
        <v>3203754</v>
      </c>
    </row>
    <row r="666" spans="1:9" ht="31.5">
      <c r="A666" s="41" t="str">
        <f>IF(B666&gt;0,VLOOKUP(B666,КВСР!A451:B1616,2),IF(C666&gt;0,VLOOKUP(C666,КФСР!A451:B1963,2),IF(D666&gt;0,VLOOKUP(D666,Программа!A$1:B$5008,2),IF(F666&gt;0,VLOOKUP(F666,КВР!A$1:B$5001,2),IF(E666&gt;0,VLOOKUP(E666,Направление!A$1:B$4660,2))))))</f>
        <v>Межбюджетные трансферты  поселениям района</v>
      </c>
      <c r="B666" s="81"/>
      <c r="C666" s="82"/>
      <c r="D666" s="83">
        <v>990</v>
      </c>
      <c r="E666" s="82"/>
      <c r="F666" s="83"/>
      <c r="G666" s="42">
        <v>1258830</v>
      </c>
      <c r="H666" s="340">
        <f>H667</f>
        <v>0</v>
      </c>
      <c r="I666" s="42">
        <f t="shared" si="92"/>
        <v>1258830</v>
      </c>
    </row>
    <row r="667" spans="1:9" ht="63">
      <c r="A667" s="41" t="str">
        <f>IF(B667&gt;0,VLOOKUP(B667,КВСР!A452:B1617,2),IF(C667&gt;0,VLOOKUP(C667,КФСР!A452:B1964,2),IF(D667&gt;0,VLOOKUP(D667,Программа!A$1:B$5008,2),IF(F667&gt;0,VLOOKUP(F667,КВР!A$1:B$5001,2),IF(E667&gt;0,VLOOKUP(E667,Направление!A$1:B$4660,2))))))</f>
        <v>Мероприятия по повышению энергоэффективности и энергосбережению за счет средств областного бюджета</v>
      </c>
      <c r="B667" s="81"/>
      <c r="C667" s="82"/>
      <c r="D667" s="83"/>
      <c r="E667" s="82">
        <v>7294</v>
      </c>
      <c r="F667" s="83"/>
      <c r="G667" s="42">
        <v>1258830</v>
      </c>
      <c r="H667" s="340">
        <f>H668</f>
        <v>0</v>
      </c>
      <c r="I667" s="42">
        <f t="shared" si="92"/>
        <v>1258830</v>
      </c>
    </row>
    <row r="668" spans="1:9">
      <c r="A668" s="41" t="str">
        <f>IF(B668&gt;0,VLOOKUP(B668,КВСР!A453:B1618,2),IF(C668&gt;0,VLOOKUP(C668,КФСР!A453:B1965,2),IF(D668&gt;0,VLOOKUP(D668,Программа!A$1:B$5008,2),IF(F668&gt;0,VLOOKUP(F668,КВР!A$1:B$5001,2),IF(E668&gt;0,VLOOKUP(E668,Направление!A$1:B$4660,2))))))</f>
        <v xml:space="preserve"> Межбюджетные трансферты</v>
      </c>
      <c r="B668" s="81"/>
      <c r="C668" s="82"/>
      <c r="D668" s="83"/>
      <c r="E668" s="82"/>
      <c r="F668" s="83">
        <v>500</v>
      </c>
      <c r="G668" s="42">
        <v>1258830</v>
      </c>
      <c r="H668" s="334"/>
      <c r="I668" s="42">
        <f t="shared" si="92"/>
        <v>1258830</v>
      </c>
    </row>
    <row r="669" spans="1:9">
      <c r="A669" s="41" t="str">
        <f>IF(B669&gt;0,VLOOKUP(B669,КВСР!A456:B1621,2),IF(C669&gt;0,VLOOKUP(C669,КФСР!A456:B1968,2),IF(D669&gt;0,VLOOKUP(D669,Программа!A$1:B$5008,2),IF(F669&gt;0,VLOOKUP(F669,КВР!A$1:B$5001,2),IF(E669&gt;0,VLOOKUP(E669,Направление!A$1:B$4660,2))))))</f>
        <v>Транспорт</v>
      </c>
      <c r="B669" s="81"/>
      <c r="C669" s="82">
        <v>408</v>
      </c>
      <c r="D669" s="83"/>
      <c r="E669" s="82"/>
      <c r="F669" s="83"/>
      <c r="G669" s="42">
        <v>16500000</v>
      </c>
      <c r="H669" s="42">
        <f t="shared" ref="H669:H670" si="99">H670</f>
        <v>0</v>
      </c>
      <c r="I669" s="42">
        <f t="shared" si="92"/>
        <v>16500000</v>
      </c>
    </row>
    <row r="670" spans="1:9">
      <c r="A670" s="41" t="str">
        <f>IF(B670&gt;0,VLOOKUP(B670,КВСР!A457:B1622,2),IF(C670&gt;0,VLOOKUP(C670,КФСР!A457:B1969,2),IF(D670&gt;0,VLOOKUP(D670,Программа!A$1:B$5008,2),IF(F670&gt;0,VLOOKUP(F670,КВР!A$1:B$5001,2),IF(E670&gt;0,VLOOKUP(E670,Направление!A$1:B$4660,2))))))</f>
        <v>Непрограммные расходы бюджета</v>
      </c>
      <c r="B670" s="85"/>
      <c r="C670" s="82"/>
      <c r="D670" s="83">
        <v>409</v>
      </c>
      <c r="E670" s="82"/>
      <c r="F670" s="83"/>
      <c r="G670" s="42">
        <v>16500000</v>
      </c>
      <c r="H670" s="42">
        <f t="shared" si="99"/>
        <v>0</v>
      </c>
      <c r="I670" s="42">
        <f t="shared" si="92"/>
        <v>16500000</v>
      </c>
    </row>
    <row r="671" spans="1:9" ht="94.5">
      <c r="A671" s="41" t="str">
        <f>IF(B671&gt;0,VLOOKUP(B671,КВСР!A458:B1623,2),IF(C671&gt;0,VLOOKUP(C671,КФСР!A458:B1970,2),IF(D671&gt;0,VLOOKUP(D671,Программа!A$1:B$5008,2),IF(F671&gt;0,VLOOKUP(F671,КВР!A$1:B$5001,2),IF(E671&gt;0,VLOOKUP(E671,Направление!A$1:B$4660,2))))))</f>
        <v>Субсидия организациям автомобильного транспорта на возмещение затрат по пассажирским перевозкам внутри муниципальным транспортом общего пользования</v>
      </c>
      <c r="B671" s="85"/>
      <c r="C671" s="82"/>
      <c r="D671" s="83"/>
      <c r="E671" s="82">
        <v>1010</v>
      </c>
      <c r="F671" s="83"/>
      <c r="G671" s="42">
        <v>16500000</v>
      </c>
      <c r="H671" s="42">
        <f>H672+H673</f>
        <v>0</v>
      </c>
      <c r="I671" s="42">
        <f t="shared" si="92"/>
        <v>16500000</v>
      </c>
    </row>
    <row r="672" spans="1:9" ht="31.5">
      <c r="A672" s="41" t="str">
        <f>IF(B672&gt;0,VLOOKUP(B672,КВСР!A459:B1624,2),IF(C672&gt;0,VLOOKUP(C672,КФСР!A459:B1971,2),IF(D672&gt;0,VLOOKUP(D672,Программа!A$1:B$5008,2),IF(F672&gt;0,VLOOKUP(F672,КВР!A$1:B$5001,2),IF(E672&gt;0,VLOOKUP(E672,Направление!A$1:B$4660,2))))))</f>
        <v>Закупка товаров, работ и услуг для государственных нужд</v>
      </c>
      <c r="B672" s="81"/>
      <c r="C672" s="82"/>
      <c r="D672" s="83"/>
      <c r="E672" s="82"/>
      <c r="F672" s="83">
        <v>200</v>
      </c>
      <c r="G672" s="42">
        <v>0</v>
      </c>
      <c r="H672" s="334"/>
      <c r="I672" s="42">
        <f t="shared" si="92"/>
        <v>0</v>
      </c>
    </row>
    <row r="673" spans="1:9">
      <c r="A673" s="41" t="str">
        <f>IF(B673&gt;0,VLOOKUP(B673,КВСР!A464:B1629,2),IF(C673&gt;0,VLOOKUP(C673,КФСР!A464:B1976,2),IF(D673&gt;0,VLOOKUP(D673,Программа!A$1:B$5008,2),IF(F673&gt;0,VLOOKUP(F673,КВР!A$1:B$5001,2),IF(E673&gt;0,VLOOKUP(E673,Направление!A$1:B$4660,2))))))</f>
        <v>Иные бюджетные ассигнования</v>
      </c>
      <c r="B673" s="81"/>
      <c r="C673" s="82"/>
      <c r="D673" s="83"/>
      <c r="E673" s="82"/>
      <c r="F673" s="83">
        <v>800</v>
      </c>
      <c r="G673" s="42">
        <v>16500000</v>
      </c>
      <c r="H673" s="334"/>
      <c r="I673" s="42">
        <f t="shared" si="92"/>
        <v>16500000</v>
      </c>
    </row>
    <row r="674" spans="1:9">
      <c r="A674" s="41" t="str">
        <f>IF(B674&gt;0,VLOOKUP(B674,КВСР!A465:B1630,2),IF(C674&gt;0,VLOOKUP(C674,КФСР!A465:B1977,2),IF(D674&gt;0,VLOOKUP(D674,Программа!A$1:B$5008,2),IF(F674&gt;0,VLOOKUP(F674,КВР!A$1:B$5001,2),IF(E674&gt;0,VLOOKUP(E674,Направление!A$1:B$4660,2))))))</f>
        <v>Дорожное хозяйство</v>
      </c>
      <c r="B674" s="81"/>
      <c r="C674" s="82">
        <v>409</v>
      </c>
      <c r="D674" s="83"/>
      <c r="E674" s="82"/>
      <c r="F674" s="83"/>
      <c r="G674" s="42">
        <v>66128224</v>
      </c>
      <c r="H674" s="42">
        <f>H675+H686</f>
        <v>-9700000</v>
      </c>
      <c r="I674" s="42">
        <f t="shared" si="92"/>
        <v>56428224</v>
      </c>
    </row>
    <row r="675" spans="1:9" ht="31.5">
      <c r="A675" s="41" t="str">
        <f>IF(B675&gt;0,VLOOKUP(B675,КВСР!A466:B1631,2),IF(C675&gt;0,VLOOKUP(C675,КФСР!A466:B1978,2),IF(D675&gt;0,VLOOKUP(D675,Программа!A$1:B$5008,2),IF(F675&gt;0,VLOOKUP(F675,КВР!A$1:B$5001,2),IF(E675&gt;0,VLOOKUP(E675,Направление!A$1:B$4660,2))))))</f>
        <v>Развитие дорожного хозяйства и транспорта</v>
      </c>
      <c r="B675" s="81"/>
      <c r="C675" s="82"/>
      <c r="D675" s="83">
        <v>150</v>
      </c>
      <c r="E675" s="82"/>
      <c r="F675" s="83"/>
      <c r="G675" s="42">
        <v>16741005</v>
      </c>
      <c r="H675" s="42">
        <f>H676+H679</f>
        <v>0</v>
      </c>
      <c r="I675" s="42">
        <f t="shared" si="92"/>
        <v>16741005</v>
      </c>
    </row>
    <row r="676" spans="1:9" ht="78.75">
      <c r="A676" s="41" t="str">
        <f>IF(B676&gt;0,VLOOKUP(B676,КВСР!A466:B1631,2),IF(C676&gt;0,VLOOKUP(C676,КФСР!A466:B1978,2),IF(D676&gt;0,VLOOKUP(D676,Программа!A$1:B$5008,2),IF(F676&gt;0,VLOOKUP(F676,КВР!A$1:B$5001,2),IF(E676&gt;0,VLOOKUP(E676,Направление!A$1:B$4660,2))))))</f>
        <v>Муниципальная целевая программа «Повышение безопасности дорожного движения на территории Тутаевского муниципального района на 2013-2015 годы».</v>
      </c>
      <c r="B676" s="81"/>
      <c r="C676" s="82"/>
      <c r="D676" s="83">
        <v>151</v>
      </c>
      <c r="E676" s="82"/>
      <c r="F676" s="83"/>
      <c r="G676" s="42">
        <v>400000</v>
      </c>
      <c r="H676" s="42">
        <f>H677</f>
        <v>-185000</v>
      </c>
      <c r="I676" s="42">
        <f t="shared" si="92"/>
        <v>215000</v>
      </c>
    </row>
    <row r="677" spans="1:9" ht="47.25">
      <c r="A677" s="41" t="str">
        <f>IF(B677&gt;0,VLOOKUP(B677,КВСР!A467:B1632,2),IF(C677&gt;0,VLOOKUP(C677,КФСР!A467:B1979,2),IF(D677&gt;0,VLOOKUP(D677,Программа!A$1:B$5008,2),IF(F677&gt;0,VLOOKUP(F677,КВР!A$1:B$5001,2),IF(E677&gt;0,VLOOKUP(E677,Направление!A$1:B$4660,2))))))</f>
        <v>Содержание и ремонт  автомобильных дорог общего пользования</v>
      </c>
      <c r="B677" s="81"/>
      <c r="C677" s="82"/>
      <c r="D677" s="83"/>
      <c r="E677" s="82">
        <v>1020</v>
      </c>
      <c r="F677" s="83"/>
      <c r="G677" s="42">
        <v>400000</v>
      </c>
      <c r="H677" s="42">
        <f>H678</f>
        <v>-185000</v>
      </c>
      <c r="I677" s="42">
        <f t="shared" si="92"/>
        <v>215000</v>
      </c>
    </row>
    <row r="678" spans="1:9" ht="31.5">
      <c r="A678" s="41" t="str">
        <f>IF(B678&gt;0,VLOOKUP(B678,КВСР!A468:B1633,2),IF(C678&gt;0,VLOOKUP(C678,КФСР!A468:B1980,2),IF(D678&gt;0,VLOOKUP(D678,Программа!A$1:B$5008,2),IF(F678&gt;0,VLOOKUP(F678,КВР!A$1:B$5001,2),IF(E678&gt;0,VLOOKUP(E678,Направление!A$1:B$4660,2))))))</f>
        <v>Закупка товаров, работ и услуг для государственных нужд</v>
      </c>
      <c r="B678" s="81"/>
      <c r="C678" s="82"/>
      <c r="D678" s="83"/>
      <c r="E678" s="82"/>
      <c r="F678" s="83">
        <v>200</v>
      </c>
      <c r="G678" s="42">
        <v>400000</v>
      </c>
      <c r="H678" s="334">
        <v>-185000</v>
      </c>
      <c r="I678" s="42">
        <f t="shared" si="92"/>
        <v>215000</v>
      </c>
    </row>
    <row r="679" spans="1:9" ht="78.75">
      <c r="A679" s="41" t="str">
        <f>IF(B679&gt;0,VLOOKUP(B679,КВСР!A469:B1634,2),IF(C679&gt;0,VLOOKUP(C679,КФСР!A469:B1981,2),IF(D679&gt;0,VLOOKUP(D679,Программа!A$1:B$5008,2),IF(F679&gt;0,VLOOKUP(F679,КВР!A$1:B$5001,2),IF(E679&gt;0,VLOOKUP(E679,Направление!A$1:B$4660,2))))))</f>
        <v>Муниципальная целевая программа «Сохранность автомобильных дорог общего пользования Тутаевского муниципального района на 2013-2015 годы».</v>
      </c>
      <c r="B679" s="81"/>
      <c r="C679" s="82"/>
      <c r="D679" s="83">
        <v>152</v>
      </c>
      <c r="E679" s="82"/>
      <c r="F679" s="83"/>
      <c r="G679" s="42">
        <v>16341005</v>
      </c>
      <c r="H679" s="42">
        <f>H680+H684+H682</f>
        <v>185000</v>
      </c>
      <c r="I679" s="42">
        <f t="shared" si="92"/>
        <v>16526005</v>
      </c>
    </row>
    <row r="680" spans="1:9" ht="47.25">
      <c r="A680" s="41" t="str">
        <f>IF(B680&gt;0,VLOOKUP(B680,КВСР!A470:B1635,2),IF(C680&gt;0,VLOOKUP(C680,КФСР!A470:B1982,2),IF(D680&gt;0,VLOOKUP(D680,Программа!A$1:B$5008,2),IF(F680&gt;0,VLOOKUP(F680,КВР!A$1:B$5001,2),IF(E680&gt;0,VLOOKUP(E680,Направление!A$1:B$4660,2))))))</f>
        <v>Содержание и ремонт  автомобильных дорог общего пользования</v>
      </c>
      <c r="B680" s="81"/>
      <c r="C680" s="82"/>
      <c r="D680" s="83"/>
      <c r="E680" s="82">
        <v>1020</v>
      </c>
      <c r="F680" s="83"/>
      <c r="G680" s="42">
        <v>8281000</v>
      </c>
      <c r="H680" s="42">
        <f>H681</f>
        <v>185000</v>
      </c>
      <c r="I680" s="42">
        <f t="shared" si="92"/>
        <v>8466000</v>
      </c>
    </row>
    <row r="681" spans="1:9" ht="31.5">
      <c r="A681" s="41" t="str">
        <f>IF(B681&gt;0,VLOOKUP(B681,КВСР!A471:B1636,2),IF(C681&gt;0,VLOOKUP(C681,КФСР!A471:B1983,2),IF(D681&gt;0,VLOOKUP(D681,Программа!A$1:B$5008,2),IF(F681&gt;0,VLOOKUP(F681,КВР!A$1:B$5001,2),IF(E681&gt;0,VLOOKUP(E681,Направление!A$1:B$4660,2))))))</f>
        <v>Закупка товаров, работ и услуг для государственных нужд</v>
      </c>
      <c r="B681" s="81"/>
      <c r="C681" s="82"/>
      <c r="D681" s="83"/>
      <c r="E681" s="82"/>
      <c r="F681" s="83">
        <v>200</v>
      </c>
      <c r="G681" s="42">
        <v>8281000</v>
      </c>
      <c r="H681" s="334">
        <v>185000</v>
      </c>
      <c r="I681" s="42">
        <f t="shared" si="92"/>
        <v>8466000</v>
      </c>
    </row>
    <row r="682" spans="1:9" ht="31.5">
      <c r="A682" s="41" t="str">
        <f>IF(B682&gt;0,VLOOKUP(B682,КВСР!A471:B1636,2),IF(C682&gt;0,VLOOKUP(C682,КФСР!A471:B1983,2),IF(D682&gt;0,VLOOKUP(D682,Программа!A$1:B$5008,2),IF(F682&gt;0,VLOOKUP(F682,КВР!A$1:B$5001,2),IF(E682&gt;0,VLOOKUP(E682,Направление!A$1:B$4660,2))))))</f>
        <v>Обеспечение мероприятий в области дорожного хозяйства</v>
      </c>
      <c r="B682" s="81"/>
      <c r="C682" s="82"/>
      <c r="D682" s="83"/>
      <c r="E682" s="82">
        <v>2906</v>
      </c>
      <c r="F682" s="83"/>
      <c r="G682" s="42">
        <v>2000000</v>
      </c>
      <c r="H682" s="340">
        <f>H683</f>
        <v>0</v>
      </c>
      <c r="I682" s="42">
        <f t="shared" si="92"/>
        <v>2000000</v>
      </c>
    </row>
    <row r="683" spans="1:9" ht="31.5">
      <c r="A683" s="41" t="str">
        <f>IF(B683&gt;0,VLOOKUP(B683,КВСР!A472:B1637,2),IF(C683&gt;0,VLOOKUP(C683,КФСР!A472:B1984,2),IF(D683&gt;0,VLOOKUP(D683,Программа!A$1:B$5008,2),IF(F683&gt;0,VLOOKUP(F683,КВР!A$1:B$5001,2),IF(E683&gt;0,VLOOKUP(E683,Направление!A$1:B$4660,2))))))</f>
        <v>Закупка товаров, работ и услуг для государственных нужд</v>
      </c>
      <c r="B683" s="81"/>
      <c r="C683" s="82"/>
      <c r="D683" s="83"/>
      <c r="E683" s="82"/>
      <c r="F683" s="83">
        <v>200</v>
      </c>
      <c r="G683" s="42">
        <v>2000000</v>
      </c>
      <c r="H683" s="334"/>
      <c r="I683" s="42">
        <f t="shared" si="92"/>
        <v>2000000</v>
      </c>
    </row>
    <row r="684" spans="1:9" ht="47.25">
      <c r="A684" s="41" t="str">
        <f>IF(B684&gt;0,VLOOKUP(B684,КВСР!A473:B1638,2),IF(C684&gt;0,VLOOKUP(C684,КФСР!A473:B1985,2),IF(D684&gt;0,VLOOKUP(D684,Программа!A$1:B$5008,2),IF(F684&gt;0,VLOOKUP(F684,КВР!A$1:B$5001,2),IF(E684&gt;0,VLOOKUP(E684,Направление!A$1:B$4660,2))))))</f>
        <v>Расходы на финансирование дорожного хозяйства за счет средств областного бюджета</v>
      </c>
      <c r="B684" s="81"/>
      <c r="C684" s="82"/>
      <c r="D684" s="83"/>
      <c r="E684" s="82">
        <v>7244</v>
      </c>
      <c r="F684" s="83"/>
      <c r="G684" s="42">
        <v>6060005</v>
      </c>
      <c r="H684" s="42">
        <f>H685</f>
        <v>0</v>
      </c>
      <c r="I684" s="42">
        <f t="shared" si="92"/>
        <v>6060005</v>
      </c>
    </row>
    <row r="685" spans="1:9" ht="31.5">
      <c r="A685" s="41" t="str">
        <f>IF(B685&gt;0,VLOOKUP(B685,КВСР!A474:B1639,2),IF(C685&gt;0,VLOOKUP(C685,КФСР!A474:B1986,2),IF(D685&gt;0,VLOOKUP(D685,Программа!A$1:B$5008,2),IF(F685&gt;0,VLOOKUP(F685,КВР!A$1:B$5001,2),IF(E685&gt;0,VLOOKUP(E685,Направление!A$1:B$4660,2))))))</f>
        <v>Закупка товаров, работ и услуг для государственных нужд</v>
      </c>
      <c r="B685" s="81"/>
      <c r="C685" s="82"/>
      <c r="D685" s="83"/>
      <c r="E685" s="82"/>
      <c r="F685" s="83">
        <v>200</v>
      </c>
      <c r="G685" s="42">
        <v>6060005</v>
      </c>
      <c r="H685" s="334"/>
      <c r="I685" s="42">
        <f t="shared" si="92"/>
        <v>6060005</v>
      </c>
    </row>
    <row r="686" spans="1:9" ht="31.5">
      <c r="A686" s="41" t="str">
        <f>IF(B686&gt;0,VLOOKUP(B686,КВСР!A475:B1640,2),IF(C686&gt;0,VLOOKUP(C686,КФСР!A475:B1987,2),IF(D686&gt;0,VLOOKUP(D686,Программа!A$1:B$5008,2),IF(F686&gt;0,VLOOKUP(F686,КВР!A$1:B$5001,2),IF(E686&gt;0,VLOOKUP(E686,Направление!A$1:B$4660,2))))))</f>
        <v>Межбюджетные трансферты  поселениям района</v>
      </c>
      <c r="B686" s="81"/>
      <c r="C686" s="82"/>
      <c r="D686" s="83">
        <v>990</v>
      </c>
      <c r="E686" s="82"/>
      <c r="F686" s="83"/>
      <c r="G686" s="42">
        <v>49387219</v>
      </c>
      <c r="H686" s="42">
        <f>H687+H689</f>
        <v>-9700000</v>
      </c>
      <c r="I686" s="42">
        <f t="shared" si="92"/>
        <v>39687219</v>
      </c>
    </row>
    <row r="687" spans="1:9" ht="47.25">
      <c r="A687" s="41" t="str">
        <f>IF(B687&gt;0,VLOOKUP(B687,КВСР!A471:B1636,2),IF(C687&gt;0,VLOOKUP(C687,КФСР!A471:B1983,2),IF(D687&gt;0,VLOOKUP(D687,Программа!A$1:B$5008,2),IF(F687&gt;0,VLOOKUP(F687,КВР!A$1:B$5001,2),IF(E687&gt;0,VLOOKUP(E687,Направление!A$1:B$4660,2))))))</f>
        <v>Расходы на финансирование дорожного хозяйства за счет средств областного бюджета</v>
      </c>
      <c r="B687" s="81"/>
      <c r="C687" s="82"/>
      <c r="D687" s="83"/>
      <c r="E687" s="82">
        <v>7244</v>
      </c>
      <c r="F687" s="83"/>
      <c r="G687" s="42">
        <v>22387219</v>
      </c>
      <c r="H687" s="42">
        <f>H688</f>
        <v>0</v>
      </c>
      <c r="I687" s="42">
        <f t="shared" si="92"/>
        <v>22387219</v>
      </c>
    </row>
    <row r="688" spans="1:9">
      <c r="A688" s="41" t="str">
        <f>IF(B688&gt;0,VLOOKUP(B688,КВСР!A472:B1637,2),IF(C688&gt;0,VLOOKUP(C688,КФСР!A472:B1984,2),IF(D688&gt;0,VLOOKUP(D688,Программа!A$1:B$5008,2),IF(F688&gt;0,VLOOKUP(F688,КВР!A$1:B$5001,2),IF(E688&gt;0,VLOOKUP(E688,Направление!A$1:B$4660,2))))))</f>
        <v xml:space="preserve"> Межбюджетные трансферты</v>
      </c>
      <c r="B688" s="81"/>
      <c r="C688" s="82"/>
      <c r="D688" s="83"/>
      <c r="E688" s="82"/>
      <c r="F688" s="83">
        <v>500</v>
      </c>
      <c r="G688" s="42">
        <v>22387219</v>
      </c>
      <c r="H688" s="334"/>
      <c r="I688" s="42">
        <f t="shared" si="92"/>
        <v>22387219</v>
      </c>
    </row>
    <row r="689" spans="1:9" ht="94.5">
      <c r="A689" s="41" t="str">
        <f>IF(B689&gt;0,VLOOKUP(B689,КВСР!A474:B1639,2),IF(C689&gt;0,VLOOKUP(C689,КФСР!A474:B1986,2),IF(D689&gt;0,VLOOKUP(D689,Программа!A$1:B$5008,2),IF(F689&gt;0,VLOOKUP(F689,КВР!A$1:B$5001,2),IF(E689&gt;0,VLOOKUP(E689,Направление!A$1:B$4660,2))))))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689" s="81"/>
      <c r="C689" s="82"/>
      <c r="D689" s="83"/>
      <c r="E689" s="82">
        <v>7247</v>
      </c>
      <c r="F689" s="83"/>
      <c r="G689" s="42">
        <v>27000000</v>
      </c>
      <c r="H689" s="42">
        <f>H690</f>
        <v>-9700000</v>
      </c>
      <c r="I689" s="42">
        <f t="shared" si="92"/>
        <v>17300000</v>
      </c>
    </row>
    <row r="690" spans="1:9">
      <c r="A690" s="41" t="str">
        <f>IF(B690&gt;0,VLOOKUP(B690,КВСР!A475:B1640,2),IF(C690&gt;0,VLOOKUP(C690,КФСР!A475:B1987,2),IF(D690&gt;0,VLOOKUP(D690,Программа!A$1:B$5008,2),IF(F690&gt;0,VLOOKUP(F690,КВР!A$1:B$5001,2),IF(E690&gt;0,VLOOKUP(E690,Направление!A$1:B$4660,2))))))</f>
        <v xml:space="preserve"> Межбюджетные трансферты</v>
      </c>
      <c r="B690" s="81"/>
      <c r="C690" s="82"/>
      <c r="D690" s="83"/>
      <c r="E690" s="82"/>
      <c r="F690" s="83">
        <v>500</v>
      </c>
      <c r="G690" s="42">
        <v>27000000</v>
      </c>
      <c r="H690" s="334">
        <v>-9700000</v>
      </c>
      <c r="I690" s="42">
        <f t="shared" si="92"/>
        <v>17300000</v>
      </c>
    </row>
    <row r="691" spans="1:9">
      <c r="A691" s="41" t="str">
        <f>IF(B691&gt;0,VLOOKUP(B691,КВСР!A472:B1637,2),IF(C691&gt;0,VLOOKUP(C691,КФСР!A472:B1984,2),IF(D691&gt;0,VLOOKUP(D691,Программа!A$1:B$5008,2),IF(F691&gt;0,VLOOKUP(F691,КВР!A$1:B$5001,2),IF(E691&gt;0,VLOOKUP(E691,Направление!A$1:B$4660,2))))))</f>
        <v>Коммунальное хозяйство</v>
      </c>
      <c r="B691" s="81"/>
      <c r="C691" s="82">
        <v>502</v>
      </c>
      <c r="D691" s="83"/>
      <c r="E691" s="82"/>
      <c r="F691" s="83"/>
      <c r="G691" s="42">
        <v>69852992.329999998</v>
      </c>
      <c r="H691" s="42">
        <f>H692+H716+H713</f>
        <v>133600</v>
      </c>
      <c r="I691" s="42">
        <f t="shared" si="92"/>
        <v>69986592.329999998</v>
      </c>
    </row>
    <row r="692" spans="1:9" ht="34.5" customHeight="1">
      <c r="A692" s="41" t="str">
        <f>IF(B692&gt;0,VLOOKUP(B692,КВСР!A473:B1638,2),IF(C692&gt;0,VLOOKUP(C692,КФСР!A473:B1985,2),IF(D692&gt;0,VLOOKUP(D692,Программа!A$1:B$5008,2),IF(F692&gt;0,VLOOKUP(F692,КВР!A$1:B$5001,2),IF(E692&gt;0,VLOOKUP(E692,Направление!A$1:B$4660,2))))))</f>
        <v>Развитие коммунальной и инженерной инфраструктуры</v>
      </c>
      <c r="B692" s="81"/>
      <c r="C692" s="82"/>
      <c r="D692" s="83">
        <v>70</v>
      </c>
      <c r="E692" s="82"/>
      <c r="F692" s="83"/>
      <c r="G692" s="42">
        <v>42025152.310000002</v>
      </c>
      <c r="H692" s="42">
        <f>H693+H701+H708</f>
        <v>282600</v>
      </c>
      <c r="I692" s="42">
        <f t="shared" si="92"/>
        <v>42307752.310000002</v>
      </c>
    </row>
    <row r="693" spans="1:9" ht="94.5">
      <c r="A693" s="41" t="str">
        <f>IF(B693&gt;0,VLOOKUP(B693,КВСР!A474:B1639,2),IF(C693&gt;0,VLOOKUP(C693,КФСР!A474:B1986,2),IF(D693&gt;0,VLOOKUP(D693,Программа!A$1:B$5008,2),IF(F693&gt;0,VLOOKUP(F693,КВР!A$1:B$5001,2),IF(E693&gt;0,VLOOKUP(E693,Направление!A$1:B$4660,2))))))</f>
        <v>Программа комплексного развития систем коммунальной инфраструктуры Тутаевского муниципального района на 2011-2015 годы с перспективой до 2030 года.</v>
      </c>
      <c r="B693" s="81"/>
      <c r="C693" s="82"/>
      <c r="D693" s="83">
        <v>71</v>
      </c>
      <c r="E693" s="82"/>
      <c r="F693" s="83"/>
      <c r="G693" s="42">
        <v>5661434</v>
      </c>
      <c r="H693" s="42">
        <f>H694+H699+H697</f>
        <v>82600</v>
      </c>
      <c r="I693" s="42">
        <f>SUM(G693:H693)</f>
        <v>5744034</v>
      </c>
    </row>
    <row r="694" spans="1:9" ht="63">
      <c r="A694" s="41" t="str">
        <f>IF(B694&gt;0,VLOOKUP(B694,КВСР!A475:B1640,2),IF(C694&gt;0,VLOOKUP(C694,КФСР!A475:B1987,2),IF(D694&gt;0,VLOOKUP(D694,Программа!A$1:B$5008,2),IF(F694&gt;0,VLOOKUP(F694,КВР!A$1:B$5001,2),IF(E694&gt;0,VLOOKUP(E694,Направление!A$1:B$4660,2))))))</f>
        <v>Субсидия на возмещение затрат по содержанию и  ремонту муниципальных коммунальных сетей</v>
      </c>
      <c r="B694" s="81"/>
      <c r="C694" s="82"/>
      <c r="D694" s="83"/>
      <c r="E694" s="82">
        <v>1004</v>
      </c>
      <c r="F694" s="83"/>
      <c r="G694" s="42">
        <v>5361434</v>
      </c>
      <c r="H694" s="42">
        <f>H696+H695</f>
        <v>0</v>
      </c>
      <c r="I694" s="42">
        <f t="shared" ref="I694:I753" si="100">SUM(G694:H694)</f>
        <v>5361434</v>
      </c>
    </row>
    <row r="695" spans="1:9" ht="39.75" customHeight="1">
      <c r="A695" s="41" t="str">
        <f>IF(B695&gt;0,VLOOKUP(B695,КВСР!A476:B1641,2),IF(C695&gt;0,VLOOKUP(C695,КФСР!A476:B1988,2),IF(D695&gt;0,VLOOKUP(D695,Программа!A$1:B$5008,2),IF(F695&gt;0,VLOOKUP(F695,КВР!A$1:B$5001,2),IF(E695&gt;0,VLOOKUP(E695,Направление!A$1:B$4660,2))))))</f>
        <v>Закупка товаров, работ и услуг для государственных нужд</v>
      </c>
      <c r="B695" s="81"/>
      <c r="C695" s="82"/>
      <c r="D695" s="83"/>
      <c r="E695" s="82"/>
      <c r="F695" s="83">
        <v>200</v>
      </c>
      <c r="G695" s="42">
        <v>750000</v>
      </c>
      <c r="H695" s="334">
        <v>-117414.61</v>
      </c>
      <c r="I695" s="42">
        <f t="shared" si="100"/>
        <v>632585.39</v>
      </c>
    </row>
    <row r="696" spans="1:9">
      <c r="A696" s="41" t="str">
        <f>IF(B696&gt;0,VLOOKUP(B696,КВСР!A476:B1641,2),IF(C696&gt;0,VLOOKUP(C696,КФСР!A476:B1988,2),IF(D696&gt;0,VLOOKUP(D696,Программа!A$1:B$5008,2),IF(F696&gt;0,VLOOKUP(F696,КВР!A$1:B$5001,2),IF(E696&gt;0,VLOOKUP(E696,Направление!A$1:B$4660,2))))))</f>
        <v>Иные бюджетные ассигнования</v>
      </c>
      <c r="B696" s="81"/>
      <c r="C696" s="82"/>
      <c r="D696" s="83"/>
      <c r="E696" s="82"/>
      <c r="F696" s="83">
        <v>800</v>
      </c>
      <c r="G696" s="42">
        <v>4611434</v>
      </c>
      <c r="H696" s="334">
        <v>117414.61</v>
      </c>
      <c r="I696" s="42">
        <f t="shared" si="100"/>
        <v>4728848.6100000003</v>
      </c>
    </row>
    <row r="697" spans="1:9" ht="69.75" customHeight="1">
      <c r="A697" s="41" t="str">
        <f>IF(B697&gt;0,VLOOKUP(B697,КВСР!A477:B1642,2),IF(C697&gt;0,VLOOKUP(C697,КФСР!A477:B1989,2),IF(D697&gt;0,VLOOKUP(D697,Программа!A$1:B$5008,2),IF(F697&gt;0,VLOOKUP(F697,КВР!A$1:B$5001,2),IF(E697&gt;0,VLOOKUP(E697,Направление!A$1:B$4660,2))))))</f>
        <v>Расходы на финансирование мероприятий на разработку и экспертизу проектно-сметной документации на строительство</v>
      </c>
      <c r="B697" s="81"/>
      <c r="C697" s="82"/>
      <c r="D697" s="83"/>
      <c r="E697" s="82">
        <v>1009</v>
      </c>
      <c r="F697" s="83"/>
      <c r="G697" s="42"/>
      <c r="H697" s="340">
        <f>H698</f>
        <v>82600</v>
      </c>
      <c r="I697" s="42">
        <f>I698</f>
        <v>82600</v>
      </c>
    </row>
    <row r="698" spans="1:9" ht="39.75" customHeight="1">
      <c r="A698" s="41" t="str">
        <f>IF(B698&gt;0,VLOOKUP(B698,КВСР!A478:B1643,2),IF(C698&gt;0,VLOOKUP(C698,КФСР!A478:B1990,2),IF(D698&gt;0,VLOOKUP(D698,Программа!A$1:B$5008,2),IF(F698&gt;0,VLOOKUP(F698,КВР!A$1:B$5001,2),IF(E698&gt;0,VLOOKUP(E698,Направление!A$1:B$4660,2))))))</f>
        <v>Закупка товаров, работ и услуг для государственных нужд</v>
      </c>
      <c r="B698" s="81"/>
      <c r="C698" s="82"/>
      <c r="D698" s="83"/>
      <c r="E698" s="82"/>
      <c r="F698" s="83">
        <v>200</v>
      </c>
      <c r="G698" s="42"/>
      <c r="H698" s="334">
        <v>82600</v>
      </c>
      <c r="I698" s="42">
        <f>SUM(G698:H698)</f>
        <v>82600</v>
      </c>
    </row>
    <row r="699" spans="1:9" ht="48.75" customHeight="1">
      <c r="A699" s="41" t="str">
        <f>IF(B699&gt;0,VLOOKUP(B699,КВСР!A477:B1642,2),IF(C699&gt;0,VLOOKUP(C699,КФСР!A477:B1989,2),IF(D699&gt;0,VLOOKUP(D699,Программа!A$1:B$5008,2),IF(F699&gt;0,VLOOKUP(F699,КВР!A$1:B$5001,2),IF(E699&gt;0,VLOOKUP(E699,Направление!A$1:B$4660,2))))))</f>
        <v>Мероприятия по строительству и реконструкции объектов теплоснабжения</v>
      </c>
      <c r="B699" s="81"/>
      <c r="C699" s="82"/>
      <c r="D699" s="83"/>
      <c r="E699" s="82">
        <v>2903</v>
      </c>
      <c r="F699" s="83"/>
      <c r="G699" s="42">
        <v>300000</v>
      </c>
      <c r="H699" s="340">
        <f>H700</f>
        <v>0</v>
      </c>
      <c r="I699" s="42">
        <f t="shared" si="100"/>
        <v>300000</v>
      </c>
    </row>
    <row r="700" spans="1:9" ht="23.25" customHeight="1">
      <c r="A700" s="41" t="str">
        <f>IF(B700&gt;0,VLOOKUP(B700,КВСР!A478:B1643,2),IF(C700&gt;0,VLOOKUP(C700,КФСР!A478:B1990,2),IF(D700&gt;0,VLOOKUP(D700,Программа!A$1:B$5008,2),IF(F700&gt;0,VLOOKUP(F700,КВР!A$1:B$5001,2),IF(E700&gt;0,VLOOKUP(E700,Направление!A$1:B$4660,2))))))</f>
        <v>Иные бюджетные ассигнования</v>
      </c>
      <c r="B700" s="81"/>
      <c r="C700" s="82"/>
      <c r="D700" s="83"/>
      <c r="E700" s="82"/>
      <c r="F700" s="83">
        <v>800</v>
      </c>
      <c r="G700" s="42">
        <v>300000</v>
      </c>
      <c r="H700" s="334"/>
      <c r="I700" s="42">
        <f t="shared" si="100"/>
        <v>300000</v>
      </c>
    </row>
    <row r="701" spans="1:9" ht="96.75" customHeight="1">
      <c r="A701" s="41" t="str">
        <f>IF(B701&gt;0,VLOOKUP(B701,КВСР!A479:B1644,2),IF(C701&gt;0,VLOOKUP(C701,КФСР!A479:B1991,2),IF(D701&gt;0,VLOOKUP(D701,Программа!A$1:B$5008,2),IF(F701&gt;0,VLOOKUP(F701,КВР!A$1:B$5001,2),IF(E701&gt;0,VLOOKUP(E701,Направление!A$1:B$4660,2))))))</f>
        <v>Муниципальная целевая программа «Развитие водоснабжения, водоотведения и очистки сточных вод» на территории Тутаевского муниципального района на период 2012-2017 годов.</v>
      </c>
      <c r="B701" s="81"/>
      <c r="C701" s="82"/>
      <c r="D701" s="83">
        <v>72</v>
      </c>
      <c r="E701" s="82"/>
      <c r="F701" s="83"/>
      <c r="G701" s="42">
        <v>2309690</v>
      </c>
      <c r="H701" s="340">
        <f>H702+H704+H706</f>
        <v>0</v>
      </c>
      <c r="I701" s="42">
        <f t="shared" si="100"/>
        <v>2309690</v>
      </c>
    </row>
    <row r="702" spans="1:9" ht="83.25" customHeight="1">
      <c r="A702" s="41" t="str">
        <f>IF(B702&gt;0,VLOOKUP(B702,КВСР!A480:B1645,2),IF(C702&gt;0,VLOOKUP(C702,КФСР!A480:B1992,2),IF(D702&gt;0,VLOOKUP(D702,Программа!A$1:B$5008,2),IF(F702&gt;0,VLOOKUP(F702,КВР!A$1:B$5001,2),IF(E702&gt;0,VLOOKUP(E702,Направление!A$1:B$4660,2))))))</f>
        <v>Субсидия на реализацию мероприятий на строительство и реконструкцию объектов водоснабжения и водоотведения за счет средств областного бюджета</v>
      </c>
      <c r="B702" s="81"/>
      <c r="C702" s="82"/>
      <c r="D702" s="83"/>
      <c r="E702" s="82">
        <v>7204</v>
      </c>
      <c r="F702" s="83"/>
      <c r="G702" s="42">
        <v>223402</v>
      </c>
      <c r="H702" s="340">
        <f>H703</f>
        <v>0</v>
      </c>
      <c r="I702" s="42">
        <f t="shared" si="100"/>
        <v>223402</v>
      </c>
    </row>
    <row r="703" spans="1:9" ht="23.25" customHeight="1">
      <c r="A703" s="41" t="str">
        <f>IF(B703&gt;0,VLOOKUP(B703,КВСР!A481:B1646,2),IF(C703&gt;0,VLOOKUP(C703,КФСР!A481:B1993,2),IF(D703&gt;0,VLOOKUP(D703,Программа!A$1:B$5008,2),IF(F703&gt;0,VLOOKUP(F703,КВР!A$1:B$5001,2),IF(E703&gt;0,VLOOKUP(E703,Направление!A$1:B$4660,2))))))</f>
        <v>Бюджетные инвестиции</v>
      </c>
      <c r="B703" s="81"/>
      <c r="C703" s="82"/>
      <c r="D703" s="83"/>
      <c r="E703" s="82"/>
      <c r="F703" s="83">
        <v>400</v>
      </c>
      <c r="G703" s="42">
        <v>223402</v>
      </c>
      <c r="H703" s="334"/>
      <c r="I703" s="42">
        <f t="shared" si="100"/>
        <v>223402</v>
      </c>
    </row>
    <row r="704" spans="1:9" ht="46.5" customHeight="1">
      <c r="A704" s="41" t="str">
        <f>IF(B704&gt;0,VLOOKUP(B704,КВСР!A482:B1647,2),IF(C704&gt;0,VLOOKUP(C704,КФСР!A482:B1994,2),IF(D704&gt;0,VLOOKUP(D704,Программа!A$1:B$5008,2),IF(F704&gt;0,VLOOKUP(F704,КВР!A$1:B$5001,2),IF(E704&gt;0,VLOOKUP(E704,Направление!A$1:B$4660,2))))))</f>
        <v>Расходы на содержание объектов находящихся в муниципальной собственности</v>
      </c>
      <c r="B704" s="81"/>
      <c r="C704" s="82"/>
      <c r="D704" s="83"/>
      <c r="E704" s="82">
        <v>1003</v>
      </c>
      <c r="F704" s="83"/>
      <c r="G704" s="42">
        <v>1300000</v>
      </c>
      <c r="H704" s="340">
        <f>H705</f>
        <v>0</v>
      </c>
      <c r="I704" s="42">
        <f t="shared" si="100"/>
        <v>1300000</v>
      </c>
    </row>
    <row r="705" spans="1:9" ht="30" customHeight="1">
      <c r="A705" s="41" t="str">
        <f>IF(B705&gt;0,VLOOKUP(B705,КВСР!A483:B1648,2),IF(C705&gt;0,VLOOKUP(C705,КФСР!A483:B1995,2),IF(D705&gt;0,VLOOKUP(D705,Программа!A$1:B$5008,2),IF(F705&gt;0,VLOOKUP(F705,КВР!A$1:B$5001,2),IF(E705&gt;0,VLOOKUP(E705,Направление!A$1:B$4660,2))))))</f>
        <v>Бюджетные инвестиции</v>
      </c>
      <c r="B705" s="81"/>
      <c r="C705" s="82"/>
      <c r="D705" s="83"/>
      <c r="E705" s="82"/>
      <c r="F705" s="83">
        <v>400</v>
      </c>
      <c r="G705" s="42">
        <v>1300000</v>
      </c>
      <c r="H705" s="334"/>
      <c r="I705" s="42">
        <f t="shared" si="100"/>
        <v>1300000</v>
      </c>
    </row>
    <row r="706" spans="1:9" ht="63" customHeight="1">
      <c r="A706" s="41" t="str">
        <f>IF(B706&gt;0,VLOOKUP(B706,КВСР!A484:B1649,2),IF(C706&gt;0,VLOOKUP(C706,КФСР!A484:B1996,2),IF(D706&gt;0,VLOOKUP(D706,Программа!A$1:B$5008,2),IF(F706&gt;0,VLOOKUP(F706,КВР!A$1:B$5001,2),IF(E706&gt;0,VLOOKUP(E706,Направление!A$1:B$4660,2))))))</f>
        <v xml:space="preserve">Обеспечение мероприятий на строительство и реконструкцию  объектов водоснабжения и водоотведения </v>
      </c>
      <c r="B706" s="81"/>
      <c r="C706" s="82"/>
      <c r="D706" s="83"/>
      <c r="E706" s="82">
        <v>2902</v>
      </c>
      <c r="F706" s="83"/>
      <c r="G706" s="42">
        <v>786288</v>
      </c>
      <c r="H706" s="340">
        <f>H707</f>
        <v>0</v>
      </c>
      <c r="I706" s="42">
        <f t="shared" si="100"/>
        <v>786288</v>
      </c>
    </row>
    <row r="707" spans="1:9" ht="30" customHeight="1">
      <c r="A707" s="41" t="str">
        <f>IF(B707&gt;0,VLOOKUP(B707,КВСР!A485:B1650,2),IF(C707&gt;0,VLOOKUP(C707,КФСР!A485:B1997,2),IF(D707&gt;0,VLOOKUP(D707,Программа!A$1:B$5008,2),IF(F707&gt;0,VLOOKUP(F707,КВР!A$1:B$5001,2),IF(E707&gt;0,VLOOKUP(E707,Направление!A$1:B$4660,2))))))</f>
        <v>Бюджетные инвестиции</v>
      </c>
      <c r="B707" s="81"/>
      <c r="C707" s="82"/>
      <c r="D707" s="83"/>
      <c r="E707" s="82"/>
      <c r="F707" s="83">
        <v>400</v>
      </c>
      <c r="G707" s="42">
        <v>786288</v>
      </c>
      <c r="H707" s="334"/>
      <c r="I707" s="42">
        <f t="shared" si="100"/>
        <v>786288</v>
      </c>
    </row>
    <row r="708" spans="1:9" ht="101.25" customHeight="1">
      <c r="A708" s="41" t="str">
        <f>IF(B708&gt;0,VLOOKUP(B708,КВСР!A482:B1647,2),IF(C708&gt;0,VLOOKUP(C708,КФСР!A482:B1994,2),IF(D708&gt;0,VLOOKUP(D708,Программа!A$1:B$5008,2),IF(F708&gt;0,VLOOKUP(F708,КВР!A$1:B$5001,2),IF(E708&gt;0,VLOOKUP(E708,Направление!A$1:B$4660,2))))))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на 2014-2016 годы  </v>
      </c>
      <c r="B708" s="81"/>
      <c r="C708" s="82"/>
      <c r="D708" s="83">
        <v>73</v>
      </c>
      <c r="E708" s="82"/>
      <c r="F708" s="83"/>
      <c r="G708" s="42">
        <v>34054028.310000002</v>
      </c>
      <c r="H708" s="340">
        <f>H709+H711</f>
        <v>200000</v>
      </c>
      <c r="I708" s="42">
        <f t="shared" si="100"/>
        <v>34254028.310000002</v>
      </c>
    </row>
    <row r="709" spans="1:9" ht="51.75" customHeight="1">
      <c r="A709" s="41" t="str">
        <f>IF(B709&gt;0,VLOOKUP(B709,КВСР!A483:B1648,2),IF(C709&gt;0,VLOOKUP(C709,КФСР!A483:B1995,2),IF(D709&gt;0,VLOOKUP(D709,Программа!A$1:B$5008,2),IF(F709&gt;0,VLOOKUP(F709,КВР!A$1:B$5001,2),IF(E709&gt;0,VLOOKUP(E709,Направление!A$1:B$4660,2))))))</f>
        <v xml:space="preserve">Обеспечение мероприятий по строительству и реконструкции объектов  газификации </v>
      </c>
      <c r="B709" s="81"/>
      <c r="C709" s="82"/>
      <c r="D709" s="83"/>
      <c r="E709" s="82">
        <v>2904</v>
      </c>
      <c r="F709" s="83"/>
      <c r="G709" s="42">
        <v>6491028.3100000005</v>
      </c>
      <c r="H709" s="340">
        <f>H710</f>
        <v>200000</v>
      </c>
      <c r="I709" s="42">
        <f t="shared" si="100"/>
        <v>6691028.3100000005</v>
      </c>
    </row>
    <row r="710" spans="1:9" ht="33.75" customHeight="1">
      <c r="A710" s="41" t="str">
        <f>IF(B710&gt;0,VLOOKUP(B710,КВСР!A484:B1649,2),IF(C710&gt;0,VLOOKUP(C710,КФСР!A484:B1996,2),IF(D710&gt;0,VLOOKUP(D710,Программа!A$1:B$5008,2),IF(F710&gt;0,VLOOKUP(F710,КВР!A$1:B$5001,2),IF(E710&gt;0,VLOOKUP(E710,Направление!A$1:B$4660,2))))))</f>
        <v>Бюджетные инвестиции</v>
      </c>
      <c r="B710" s="81"/>
      <c r="C710" s="82"/>
      <c r="D710" s="83"/>
      <c r="E710" s="82"/>
      <c r="F710" s="83">
        <v>400</v>
      </c>
      <c r="G710" s="42">
        <v>6491028.3100000005</v>
      </c>
      <c r="H710" s="334">
        <v>200000</v>
      </c>
      <c r="I710" s="42">
        <f t="shared" si="100"/>
        <v>6691028.3100000005</v>
      </c>
    </row>
    <row r="711" spans="1:9" ht="66" customHeight="1">
      <c r="A711" s="41" t="str">
        <f>IF(B711&gt;0,VLOOKUP(B711,КВСР!A485:B1650,2),IF(C711&gt;0,VLOOKUP(C711,КФСР!A485:B1997,2),IF(D711&gt;0,VLOOKUP(D711,Программа!A$1:B$5008,2),IF(F711&gt;0,VLOOKUP(F711,КВР!A$1:B$5001,2),IF(E711&gt;0,VLOOKUP(E711,Направление!A$1:B$4660,2))))))</f>
        <v>Субсидия на реализацию мероприятий по строительству и реконструкции объектов теплоснабжения и газификации</v>
      </c>
      <c r="B711" s="81"/>
      <c r="C711" s="82"/>
      <c r="D711" s="83"/>
      <c r="E711" s="82">
        <v>7201</v>
      </c>
      <c r="F711" s="83"/>
      <c r="G711" s="42">
        <v>27563000</v>
      </c>
      <c r="H711" s="340">
        <f>H712</f>
        <v>0</v>
      </c>
      <c r="I711" s="42">
        <f t="shared" si="100"/>
        <v>27563000</v>
      </c>
    </row>
    <row r="712" spans="1:9" ht="33.75" customHeight="1">
      <c r="A712" s="41" t="str">
        <f>IF(B712&gt;0,VLOOKUP(B712,КВСР!A486:B1651,2),IF(C712&gt;0,VLOOKUP(C712,КФСР!A486:B1998,2),IF(D712&gt;0,VLOOKUP(D712,Программа!A$1:B$5008,2),IF(F712&gt;0,VLOOKUP(F712,КВР!A$1:B$5001,2),IF(E712&gt;0,VLOOKUP(E712,Направление!A$1:B$4660,2))))))</f>
        <v>Бюджетные инвестиции</v>
      </c>
      <c r="B712" s="81"/>
      <c r="C712" s="82"/>
      <c r="D712" s="83"/>
      <c r="E712" s="82"/>
      <c r="F712" s="83">
        <v>400</v>
      </c>
      <c r="G712" s="42">
        <v>27563000</v>
      </c>
      <c r="H712" s="334"/>
      <c r="I712" s="42">
        <f t="shared" si="100"/>
        <v>27563000</v>
      </c>
    </row>
    <row r="713" spans="1:9">
      <c r="A713" s="41" t="str">
        <f>IF(B713&gt;0,VLOOKUP(B713,КВСР!A477:B1642,2),IF(C713&gt;0,VLOOKUP(C713,КФСР!A477:B1989,2),IF(D713&gt;0,VLOOKUP(D713,Программа!A$1:B$5008,2),IF(F713&gt;0,VLOOKUP(F713,КВР!A$1:B$5001,2),IF(E713&gt;0,VLOOKUP(E713,Направление!A$1:B$4660,2))))))</f>
        <v>Непрограммные расходы бюджета</v>
      </c>
      <c r="B713" s="81"/>
      <c r="C713" s="82"/>
      <c r="D713" s="83">
        <v>409</v>
      </c>
      <c r="E713" s="82"/>
      <c r="F713" s="83"/>
      <c r="G713" s="42">
        <v>41438.019999999997</v>
      </c>
      <c r="H713" s="340">
        <f>H714</f>
        <v>0</v>
      </c>
      <c r="I713" s="42">
        <f t="shared" si="100"/>
        <v>41438.019999999997</v>
      </c>
    </row>
    <row r="714" spans="1:9" ht="53.25" customHeight="1">
      <c r="A714" s="41" t="str">
        <f>IF(B714&gt;0,VLOOKUP(B714,КВСР!A478:B1643,2),IF(C714&gt;0,VLOOKUP(C714,КФСР!A478:B1990,2),IF(D714&gt;0,VLOOKUP(D714,Программа!A$1:B$5008,2),IF(F714&gt;0,VLOOKUP(F714,КВР!A$1:B$5001,2),IF(E714&gt;0,VLOOKUP(E714,Направление!A$1:B$4660,2))))))</f>
        <v>Исполнение судебных актов, актов других органов и должностных лиц, иных документов</v>
      </c>
      <c r="B714" s="81"/>
      <c r="C714" s="82"/>
      <c r="D714" s="83"/>
      <c r="E714" s="82">
        <v>1213</v>
      </c>
      <c r="F714" s="83"/>
      <c r="G714" s="42">
        <v>41438.019999999997</v>
      </c>
      <c r="H714" s="340">
        <f>H715</f>
        <v>0</v>
      </c>
      <c r="I714" s="42">
        <f t="shared" si="100"/>
        <v>41438.019999999997</v>
      </c>
    </row>
    <row r="715" spans="1:9" ht="74.25" customHeight="1">
      <c r="A715" s="41" t="str">
        <f>IF(B715&gt;0,VLOOKUP(B715,КВСР!A479:B1644,2),IF(C715&gt;0,VLOOKUP(C715,КФСР!A479:B1991,2),IF(D715&gt;0,VLOOKUP(D715,Программа!A$1:B$5008,2),IF(F715&gt;0,VLOOKUP(F715,КВР!A$1:B$5001,2),IF(E715&gt;0,VLOOKUP(E715,Направление!A$1:B$4660,2))))))</f>
        <v>Предоставление субсидий бюджетным, автономным учреждениям и иным некоммерческим организациям</v>
      </c>
      <c r="B715" s="81"/>
      <c r="C715" s="82"/>
      <c r="D715" s="83"/>
      <c r="E715" s="82"/>
      <c r="F715" s="83">
        <v>600</v>
      </c>
      <c r="G715" s="42">
        <v>41438.019999999997</v>
      </c>
      <c r="H715" s="334"/>
      <c r="I715" s="42">
        <f t="shared" si="100"/>
        <v>41438.019999999997</v>
      </c>
    </row>
    <row r="716" spans="1:9" ht="31.5">
      <c r="A716" s="41" t="str">
        <f>IF(B716&gt;0,VLOOKUP(B716,КВСР!A477:B1642,2),IF(C716&gt;0,VLOOKUP(C716,КФСР!A477:B1989,2),IF(D716&gt;0,VLOOKUP(D716,Программа!A$1:B$5008,2),IF(F716&gt;0,VLOOKUP(F716,КВР!A$1:B$5001,2),IF(E716&gt;0,VLOOKUP(E716,Направление!A$1:B$4660,2))))))</f>
        <v>Межбюджетные трансферты  поселениям района</v>
      </c>
      <c r="B716" s="81"/>
      <c r="C716" s="82"/>
      <c r="D716" s="83">
        <v>990</v>
      </c>
      <c r="E716" s="82"/>
      <c r="F716" s="83"/>
      <c r="G716" s="42">
        <v>27786402</v>
      </c>
      <c r="H716" s="340">
        <f>H717+H719</f>
        <v>-149000</v>
      </c>
      <c r="I716" s="42">
        <f t="shared" si="100"/>
        <v>27637402</v>
      </c>
    </row>
    <row r="717" spans="1:9" ht="70.5" customHeight="1">
      <c r="A717" s="41" t="str">
        <f>IF(B717&gt;0,VLOOKUP(B717,КВСР!A478:B1643,2),IF(C717&gt;0,VLOOKUP(C717,КФСР!A478:B1990,2),IF(D717&gt;0,VLOOKUP(D717,Программа!A$1:B$5008,2),IF(F717&gt;0,VLOOKUP(F717,КВР!A$1:B$5001,2),IF(E717&gt;0,VLOOKUP(E717,Направление!A$1:B$4660,2))))))</f>
        <v>Субсидия на реализацию мероприятий по строительству и реконструкции объектов теплоснабжения и газификации</v>
      </c>
      <c r="B717" s="81"/>
      <c r="C717" s="82"/>
      <c r="D717" s="83"/>
      <c r="E717" s="82">
        <v>7201</v>
      </c>
      <c r="F717" s="83"/>
      <c r="G717" s="42">
        <v>27563000</v>
      </c>
      <c r="H717" s="340">
        <f>H718</f>
        <v>-149000</v>
      </c>
      <c r="I717" s="42">
        <f t="shared" si="100"/>
        <v>27414000</v>
      </c>
    </row>
    <row r="718" spans="1:9">
      <c r="A718" s="41" t="str">
        <f>IF(B718&gt;0,VLOOKUP(B718,КВСР!A479:B1644,2),IF(C718&gt;0,VLOOKUP(C718,КФСР!A479:B1991,2),IF(D718&gt;0,VLOOKUP(D718,Программа!A$1:B$5008,2),IF(F718&gt;0,VLOOKUP(F718,КВР!A$1:B$5001,2),IF(E718&gt;0,VLOOKUP(E718,Направление!A$1:B$4660,2))))))</f>
        <v xml:space="preserve"> Межбюджетные трансферты</v>
      </c>
      <c r="B718" s="81"/>
      <c r="C718" s="82"/>
      <c r="D718" s="83"/>
      <c r="E718" s="82"/>
      <c r="F718" s="83">
        <v>500</v>
      </c>
      <c r="G718" s="42">
        <v>27563000</v>
      </c>
      <c r="H718" s="334">
        <v>-149000</v>
      </c>
      <c r="I718" s="42">
        <f t="shared" si="100"/>
        <v>27414000</v>
      </c>
    </row>
    <row r="719" spans="1:9" ht="83.25" customHeight="1">
      <c r="A719" s="41" t="str">
        <f>IF(B719&gt;0,VLOOKUP(B719,КВСР!A480:B1645,2),IF(C719&gt;0,VLOOKUP(C719,КФСР!A480:B1992,2),IF(D719&gt;0,VLOOKUP(D719,Программа!A$1:B$5008,2),IF(F719&gt;0,VLOOKUP(F719,КВР!A$1:B$5001,2),IF(E719&gt;0,VLOOKUP(E719,Направление!A$1:B$4660,2))))))</f>
        <v>Субсидия на реализацию мероприятий на строительство и реконструкцию объектов водоснабжения и водоотведения за счет средств областного бюджета</v>
      </c>
      <c r="B719" s="81"/>
      <c r="C719" s="82"/>
      <c r="D719" s="83"/>
      <c r="E719" s="82">
        <v>7204</v>
      </c>
      <c r="F719" s="83"/>
      <c r="G719" s="42">
        <v>223402</v>
      </c>
      <c r="H719" s="340">
        <f>H720</f>
        <v>0</v>
      </c>
      <c r="I719" s="42">
        <f t="shared" si="100"/>
        <v>223402</v>
      </c>
    </row>
    <row r="720" spans="1:9" ht="20.25" customHeight="1">
      <c r="A720" s="41" t="str">
        <f>IF(B720&gt;0,VLOOKUP(B720,КВСР!A481:B1646,2),IF(C720&gt;0,VLOOKUP(C720,КФСР!A481:B1993,2),IF(D720&gt;0,VLOOKUP(D720,Программа!A$1:B$5008,2),IF(F720&gt;0,VLOOKUP(F720,КВР!A$1:B$5001,2),IF(E720&gt;0,VLOOKUP(E720,Направление!A$1:B$4660,2))))))</f>
        <v xml:space="preserve"> Межбюджетные трансферты</v>
      </c>
      <c r="B720" s="81"/>
      <c r="C720" s="82"/>
      <c r="D720" s="83"/>
      <c r="E720" s="82"/>
      <c r="F720" s="83">
        <v>500</v>
      </c>
      <c r="G720" s="42">
        <v>223402</v>
      </c>
      <c r="H720" s="334"/>
      <c r="I720" s="42">
        <f t="shared" si="100"/>
        <v>223402</v>
      </c>
    </row>
    <row r="721" spans="1:9" ht="31.5">
      <c r="A721" s="41" t="str">
        <f>IF(B721&gt;0,VLOOKUP(B721,КВСР!A481:B1646,2),IF(C721&gt;0,VLOOKUP(C721,КФСР!A481:B1993,2),IF(D721&gt;0,VLOOKUP(D721,Программа!A$1:B$5008,2),IF(F721&gt;0,VLOOKUP(F721,КВР!A$1:B$5001,2),IF(E721&gt;0,VLOOKUP(E721,Направление!A$1:B$4660,2))))))</f>
        <v>Другие вопросы в области жилищно-коммунального хозяйства</v>
      </c>
      <c r="B721" s="69"/>
      <c r="C721" s="77">
        <v>505</v>
      </c>
      <c r="D721" s="78"/>
      <c r="E721" s="77"/>
      <c r="F721" s="78"/>
      <c r="G721" s="42">
        <v>7773795.6899999995</v>
      </c>
      <c r="H721" s="42">
        <f>H726+H722</f>
        <v>293300</v>
      </c>
      <c r="I721" s="42">
        <f t="shared" si="100"/>
        <v>8067095.6899999995</v>
      </c>
    </row>
    <row r="722" spans="1:9" ht="31.5">
      <c r="A722" s="41" t="str">
        <f>IF(B722&gt;0,VLOOKUP(B722,КВСР!A482:B1647,2),IF(C722&gt;0,VLOOKUP(C722,КФСР!A482:B1994,2),IF(D722&gt;0,VLOOKUP(D722,Программа!A$1:B$5008,2),IF(F722&gt;0,VLOOKUP(F722,КВР!A$1:B$5001,2),IF(E722&gt;0,VLOOKUP(E722,Направление!A$1:B$4660,2))))))</f>
        <v>Создание единого информационного пространства</v>
      </c>
      <c r="B722" s="69"/>
      <c r="C722" s="77"/>
      <c r="D722" s="78">
        <v>110</v>
      </c>
      <c r="E722" s="77"/>
      <c r="F722" s="78"/>
      <c r="G722" s="42">
        <v>82460</v>
      </c>
      <c r="H722" s="42">
        <f t="shared" ref="H722" si="101">H723</f>
        <v>0</v>
      </c>
      <c r="I722" s="42">
        <f t="shared" si="100"/>
        <v>82460</v>
      </c>
    </row>
    <row r="723" spans="1:9" ht="63">
      <c r="A723" s="41" t="str">
        <f>IF(B723&gt;0,VLOOKUP(B723,КВСР!A483:B1648,2),IF(C723&gt;0,VLOOKUP(C723,КФСР!A483:B1995,2),IF(D723&gt;0,VLOOKUP(D723,Программа!A$1:B$5008,2),IF(F723&gt;0,VLOOKUP(F723,КВР!A$1:B$5001,2),IF(E723&gt;0,VLOOKUP(E723,Направление!A$1:B$4660,2))))))</f>
        <v>Муниципальная целевая программа «Информатизация управленческой деятельности Администрации ТМР на 2013-2014 годы».</v>
      </c>
      <c r="B723" s="69"/>
      <c r="C723" s="77"/>
      <c r="D723" s="78">
        <v>111</v>
      </c>
      <c r="E723" s="77"/>
      <c r="F723" s="78"/>
      <c r="G723" s="42">
        <v>82460</v>
      </c>
      <c r="H723" s="42">
        <f t="shared" ref="H723" si="102">H724</f>
        <v>0</v>
      </c>
      <c r="I723" s="42">
        <f t="shared" si="100"/>
        <v>82460</v>
      </c>
    </row>
    <row r="724" spans="1:9" ht="31.5">
      <c r="A724" s="41" t="str">
        <f>IF(B724&gt;0,VLOOKUP(B724,КВСР!A484:B1649,2),IF(C724&gt;0,VLOOKUP(C724,КФСР!A484:B1996,2),IF(D724&gt;0,VLOOKUP(D724,Программа!A$1:B$5008,2),IF(F724&gt;0,VLOOKUP(F724,КВР!A$1:B$5001,2),IF(E724&gt;0,VLOOKUP(E724,Направление!A$1:B$4660,2))))))</f>
        <v>Расходы на проведение мероприятий по информатизации</v>
      </c>
      <c r="B724" s="69"/>
      <c r="C724" s="77"/>
      <c r="D724" s="78"/>
      <c r="E724" s="77">
        <v>1221</v>
      </c>
      <c r="F724" s="78"/>
      <c r="G724" s="42">
        <v>82460</v>
      </c>
      <c r="H724" s="42">
        <f t="shared" ref="H724" si="103">H725</f>
        <v>0</v>
      </c>
      <c r="I724" s="42">
        <f t="shared" si="100"/>
        <v>82460</v>
      </c>
    </row>
    <row r="725" spans="1:9" ht="31.5">
      <c r="A725" s="41" t="str">
        <f>IF(B725&gt;0,VLOOKUP(B725,КВСР!A485:B1650,2),IF(C725&gt;0,VLOOKUP(C725,КФСР!A485:B1997,2),IF(D725&gt;0,VLOOKUP(D725,Программа!A$1:B$5008,2),IF(F725&gt;0,VLOOKUP(F725,КВР!A$1:B$5001,2),IF(E725&gt;0,VLOOKUP(E725,Направление!A$1:B$4660,2))))))</f>
        <v>Закупка товаров, работ и услуг для государственных нужд</v>
      </c>
      <c r="B725" s="69"/>
      <c r="C725" s="77"/>
      <c r="D725" s="78"/>
      <c r="E725" s="77"/>
      <c r="F725" s="78">
        <v>200</v>
      </c>
      <c r="G725" s="42">
        <v>82460</v>
      </c>
      <c r="H725" s="42"/>
      <c r="I725" s="42">
        <f t="shared" si="100"/>
        <v>82460</v>
      </c>
    </row>
    <row r="726" spans="1:9">
      <c r="A726" s="41" t="str">
        <f>IF(B726&gt;0,VLOOKUP(B726,КВСР!A482:B1647,2),IF(C726&gt;0,VLOOKUP(C726,КФСР!A482:B1994,2),IF(D726&gt;0,VLOOKUP(D726,Программа!A$1:B$5008,2),IF(F726&gt;0,VLOOKUP(F726,КВР!A$1:B$5001,2),IF(E726&gt;0,VLOOKUP(E726,Направление!A$1:B$4660,2))))))</f>
        <v>Непрограммные расходы бюджета</v>
      </c>
      <c r="B726" s="85"/>
      <c r="C726" s="77"/>
      <c r="D726" s="78">
        <v>409</v>
      </c>
      <c r="E726" s="77"/>
      <c r="F726" s="78"/>
      <c r="G726" s="44">
        <v>7691335.6899999995</v>
      </c>
      <c r="H726" s="44">
        <f>H727+H732+H730</f>
        <v>293300</v>
      </c>
      <c r="I726" s="42">
        <f t="shared" si="100"/>
        <v>7984635.6899999995</v>
      </c>
    </row>
    <row r="727" spans="1:9">
      <c r="A727" s="41" t="str">
        <f>IF(B727&gt;0,VLOOKUP(B727,КВСР!A483:B1648,2),IF(C727&gt;0,VLOOKUP(C727,КФСР!A483:B1995,2),IF(D727&gt;0,VLOOKUP(D727,Программа!A$1:B$5008,2),IF(F727&gt;0,VLOOKUP(F727,КВР!A$1:B$5001,2),IF(E727&gt;0,VLOOKUP(E727,Направление!A$1:B$4660,2))))))</f>
        <v>Содержание центрального аппарата</v>
      </c>
      <c r="B727" s="85"/>
      <c r="C727" s="77"/>
      <c r="D727" s="78"/>
      <c r="E727" s="77">
        <v>1201</v>
      </c>
      <c r="F727" s="78"/>
      <c r="G727" s="42">
        <v>2373016</v>
      </c>
      <c r="H727" s="42">
        <f>H728+H729</f>
        <v>367400</v>
      </c>
      <c r="I727" s="42">
        <f t="shared" si="100"/>
        <v>2740416</v>
      </c>
    </row>
    <row r="728" spans="1:9" ht="110.25">
      <c r="A728" s="41" t="str">
        <f>IF(B728&gt;0,VLOOKUP(B728,КВСР!A484:B1649,2),IF(C728&gt;0,VLOOKUP(C728,КФСР!A484:B1996,2),IF(D728&gt;0,VLOOKUP(D728,Программа!A$1:B$5008,2),IF(F728&gt;0,VLOOKUP(F728,КВР!A$1:B$5001,2),IF(E728&gt;0,VLOOKUP(E728,Направление!A$1:B$4660,2))))))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28" s="85"/>
      <c r="C728" s="77"/>
      <c r="D728" s="78"/>
      <c r="E728" s="77"/>
      <c r="F728" s="78">
        <v>100</v>
      </c>
      <c r="G728" s="42">
        <v>1991000</v>
      </c>
      <c r="H728" s="334"/>
      <c r="I728" s="42">
        <f t="shared" si="100"/>
        <v>1991000</v>
      </c>
    </row>
    <row r="729" spans="1:9" ht="31.5">
      <c r="A729" s="41" t="str">
        <f>IF(B729&gt;0,VLOOKUP(B729,КВСР!A485:B1650,2),IF(C729&gt;0,VLOOKUP(C729,КФСР!A485:B1997,2),IF(D729&gt;0,VLOOKUP(D729,Программа!A$1:B$5008,2),IF(F729&gt;0,VLOOKUP(F729,КВР!A$1:B$5001,2),IF(E729&gt;0,VLOOKUP(E729,Направление!A$1:B$4660,2))))))</f>
        <v>Закупка товаров, работ и услуг для государственных нужд</v>
      </c>
      <c r="B729" s="85"/>
      <c r="C729" s="77"/>
      <c r="D729" s="78"/>
      <c r="E729" s="77"/>
      <c r="F729" s="78">
        <v>200</v>
      </c>
      <c r="G729" s="42">
        <v>382016</v>
      </c>
      <c r="H729" s="334">
        <v>367400</v>
      </c>
      <c r="I729" s="42">
        <f t="shared" si="100"/>
        <v>749416</v>
      </c>
    </row>
    <row r="730" spans="1:9" ht="50.25" customHeight="1">
      <c r="A730" s="41" t="str">
        <f>IF(B730&gt;0,VLOOKUP(B730,КВСР!A486:B1651,2),IF(C730&gt;0,VLOOKUP(C730,КФСР!A486:B1998,2),IF(D730&gt;0,VLOOKUP(D730,Программа!A$1:B$5008,2),IF(F730&gt;0,VLOOKUP(F730,КВР!A$1:B$5001,2),IF(E730&gt;0,VLOOKUP(E730,Направление!A$1:B$4660,2))))))</f>
        <v>Исполнение судебных актов, актов других органов и должностных лиц, иных документов</v>
      </c>
      <c r="B730" s="85"/>
      <c r="C730" s="77"/>
      <c r="D730" s="78"/>
      <c r="E730" s="77">
        <v>1213</v>
      </c>
      <c r="F730" s="78"/>
      <c r="G730" s="42">
        <v>100000</v>
      </c>
      <c r="H730" s="340">
        <f>H731</f>
        <v>-100000</v>
      </c>
      <c r="I730" s="42">
        <f t="shared" si="100"/>
        <v>0</v>
      </c>
    </row>
    <row r="731" spans="1:9" ht="31.5">
      <c r="A731" s="41" t="str">
        <f>IF(B731&gt;0,VLOOKUP(B731,КВСР!A487:B1652,2),IF(C731&gt;0,VLOOKUP(C731,КФСР!A487:B1999,2),IF(D731&gt;0,VLOOKUP(D731,Программа!A$1:B$5008,2),IF(F731&gt;0,VLOOKUP(F731,КВР!A$1:B$5001,2),IF(E731&gt;0,VLOOKUP(E731,Направление!A$1:B$4660,2))))))</f>
        <v>Закупка товаров, работ и услуг для государственных нужд</v>
      </c>
      <c r="B731" s="85"/>
      <c r="C731" s="77"/>
      <c r="D731" s="78"/>
      <c r="E731" s="77"/>
      <c r="F731" s="78">
        <v>200</v>
      </c>
      <c r="G731" s="42">
        <v>100000</v>
      </c>
      <c r="H731" s="334">
        <v>-100000</v>
      </c>
      <c r="I731" s="42">
        <f t="shared" si="100"/>
        <v>0</v>
      </c>
    </row>
    <row r="732" spans="1:9" ht="46.5" customHeight="1">
      <c r="A732" s="41" t="str">
        <f>IF(B732&gt;0,VLOOKUP(B732,КВСР!A486:B1651,2),IF(C732&gt;0,VLOOKUP(C732,КФСР!A486:B1998,2),IF(D732&gt;0,VLOOKUP(D732,Программа!A$1:B$5008,2),IF(F732&gt;0,VLOOKUP(F732,КВР!A$1:B$5001,2),IF(E732&gt;0,VLOOKUP(E732,Направление!A$1:B$4660,2))))))</f>
        <v>Содержание центрального аппарата за счет средств поселений</v>
      </c>
      <c r="B732" s="85"/>
      <c r="C732" s="77"/>
      <c r="D732" s="78"/>
      <c r="E732" s="77">
        <v>2905</v>
      </c>
      <c r="F732" s="78"/>
      <c r="G732" s="42">
        <v>5218319.6899999995</v>
      </c>
      <c r="H732" s="340">
        <f>SUM(H733:H735)</f>
        <v>25900</v>
      </c>
      <c r="I732" s="42">
        <f t="shared" si="100"/>
        <v>5244219.6899999995</v>
      </c>
    </row>
    <row r="733" spans="1:9" ht="110.25">
      <c r="A733" s="41" t="str">
        <f>IF(B733&gt;0,VLOOKUP(B733,КВСР!A487:B1652,2),IF(C733&gt;0,VLOOKUP(C733,КФСР!A487:B1999,2),IF(D733&gt;0,VLOOKUP(D733,Программа!A$1:B$5008,2),IF(F733&gt;0,VLOOKUP(F733,КВР!A$1:B$5001,2),IF(E733&gt;0,VLOOKUP(E733,Направление!A$1:B$4660,2))))))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33" s="85"/>
      <c r="C733" s="77"/>
      <c r="D733" s="78"/>
      <c r="E733" s="77"/>
      <c r="F733" s="78">
        <v>100</v>
      </c>
      <c r="G733" s="42">
        <v>4089826</v>
      </c>
      <c r="H733" s="334"/>
      <c r="I733" s="42">
        <f t="shared" si="100"/>
        <v>4089826</v>
      </c>
    </row>
    <row r="734" spans="1:9" ht="39.75" customHeight="1">
      <c r="A734" s="41" t="str">
        <f>IF(B734&gt;0,VLOOKUP(B734,КВСР!A488:B1653,2),IF(C734&gt;0,VLOOKUP(C734,КФСР!A488:B2000,2),IF(D734&gt;0,VLOOKUP(D734,Программа!A$1:B$5008,2),IF(F734&gt;0,VLOOKUP(F734,КВР!A$1:B$5001,2),IF(E734&gt;0,VLOOKUP(E734,Направление!A$1:B$4660,2))))))</f>
        <v>Закупка товаров, работ и услуг для государственных нужд</v>
      </c>
      <c r="B734" s="85"/>
      <c r="C734" s="77"/>
      <c r="D734" s="78"/>
      <c r="E734" s="77"/>
      <c r="F734" s="78">
        <v>200</v>
      </c>
      <c r="G734" s="42">
        <v>1118493.69</v>
      </c>
      <c r="H734" s="334">
        <v>25900</v>
      </c>
      <c r="I734" s="42">
        <f t="shared" si="100"/>
        <v>1144393.69</v>
      </c>
    </row>
    <row r="735" spans="1:9" ht="26.25" customHeight="1">
      <c r="A735" s="41" t="str">
        <f>IF(B735&gt;0,VLOOKUP(B735,КВСР!A489:B1654,2),IF(C735&gt;0,VLOOKUP(C735,КФСР!A489:B2001,2),IF(D735&gt;0,VLOOKUP(D735,Программа!A$1:B$5008,2),IF(F735&gt;0,VLOOKUP(F735,КВР!A$1:B$5001,2),IF(E735&gt;0,VLOOKUP(E735,Направление!A$1:B$4660,2))))))</f>
        <v>Иные бюджетные ассигнования</v>
      </c>
      <c r="B735" s="85"/>
      <c r="C735" s="77"/>
      <c r="D735" s="78"/>
      <c r="E735" s="77"/>
      <c r="F735" s="78">
        <v>800</v>
      </c>
      <c r="G735" s="42">
        <v>10000</v>
      </c>
      <c r="H735" s="334"/>
      <c r="I735" s="42">
        <f t="shared" si="100"/>
        <v>10000</v>
      </c>
    </row>
    <row r="736" spans="1:9">
      <c r="A736" s="41" t="str">
        <f>IF(B736&gt;0,VLOOKUP(B736,КВСР!A490:B1655,2),IF(C736&gt;0,VLOOKUP(C736,КФСР!A490:B2002,2),IF(D736&gt;0,VLOOKUP(D736,Программа!A$1:B$5008,2),IF(F736&gt;0,VLOOKUP(F736,КВР!A$1:B$5001,2),IF(E736&gt;0,VLOOKUP(E736,Направление!A$1:B$4660,2))))))</f>
        <v>Дошкольное образование</v>
      </c>
      <c r="B736" s="85"/>
      <c r="C736" s="77">
        <v>701</v>
      </c>
      <c r="D736" s="78"/>
      <c r="E736" s="77"/>
      <c r="F736" s="78"/>
      <c r="G736" s="95">
        <v>36765409</v>
      </c>
      <c r="H736" s="95">
        <f>H737</f>
        <v>898180</v>
      </c>
      <c r="I736" s="42">
        <f t="shared" si="100"/>
        <v>37663589</v>
      </c>
    </row>
    <row r="737" spans="1:9">
      <c r="A737" s="41" t="str">
        <f>IF(B737&gt;0,VLOOKUP(B737,КВСР!A495:B1660,2),IF(C737&gt;0,VLOOKUP(C737,КФСР!A495:B2007,2),IF(D737&gt;0,VLOOKUP(D737,Программа!A$1:B$5008,2),IF(F737&gt;0,VLOOKUP(F737,КВР!A$1:B$5001,2),IF(E737&gt;0,VLOOKUP(E737,Направление!A$1:B$4660,2))))))</f>
        <v>Непрограммные расходы бюджета</v>
      </c>
      <c r="B737" s="85"/>
      <c r="C737" s="77"/>
      <c r="D737" s="78">
        <v>409</v>
      </c>
      <c r="E737" s="77"/>
      <c r="F737" s="78"/>
      <c r="G737" s="95">
        <v>36765409</v>
      </c>
      <c r="H737" s="95">
        <f>H740+H742+H738</f>
        <v>898180</v>
      </c>
      <c r="I737" s="95">
        <f>I740+I742+I738</f>
        <v>37663589</v>
      </c>
    </row>
    <row r="738" spans="1:9" ht="31.5">
      <c r="A738" s="41" t="str">
        <f>IF(B738&gt;0,VLOOKUP(B738,КВСР!A496:B1661,2),IF(C738&gt;0,VLOOKUP(C738,КФСР!A496:B2008,2),IF(D738&gt;0,VLOOKUP(D738,Программа!A$1:B$5008,2),IF(F738&gt;0,VLOOKUP(F738,КВР!A$1:B$5001,2),IF(E738&gt;0,VLOOKUP(E738,Направление!A$1:B$4660,2))))))</f>
        <v>Обеспечение деятельности дошкольных учреждений</v>
      </c>
      <c r="B738" s="85"/>
      <c r="C738" s="77"/>
      <c r="D738" s="78"/>
      <c r="E738" s="77">
        <v>1301</v>
      </c>
      <c r="F738" s="78"/>
      <c r="G738" s="95">
        <f>G739</f>
        <v>0</v>
      </c>
      <c r="H738" s="95">
        <f t="shared" ref="H738:I738" si="104">H739</f>
        <v>185000</v>
      </c>
      <c r="I738" s="95">
        <f t="shared" si="104"/>
        <v>185000</v>
      </c>
    </row>
    <row r="739" spans="1:9" ht="63">
      <c r="A739" s="41" t="str">
        <f>IF(B739&gt;0,VLOOKUP(B739,КВСР!A497:B1662,2),IF(C739&gt;0,VLOOKUP(C739,КФСР!A497:B2009,2),IF(D739&gt;0,VLOOKUP(D739,Программа!A$1:B$5008,2),IF(F739&gt;0,VLOOKUP(F739,КВР!A$1:B$5001,2),IF(E739&gt;0,VLOOKUP(E739,Направление!A$1:B$4660,2))))))</f>
        <v>Предоставление субсидий бюджетным, автономным учреждениям и иным некоммерческим организациям</v>
      </c>
      <c r="B739" s="85"/>
      <c r="C739" s="77"/>
      <c r="D739" s="78"/>
      <c r="E739" s="77"/>
      <c r="F739" s="78">
        <v>600</v>
      </c>
      <c r="G739" s="95"/>
      <c r="H739" s="351">
        <v>185000</v>
      </c>
      <c r="I739" s="42">
        <f>G739+H739</f>
        <v>185000</v>
      </c>
    </row>
    <row r="740" spans="1:9" ht="63">
      <c r="A740" s="41" t="str">
        <f>IF(B740&gt;0,VLOOKUP(B740,КВСР!A496:B1661,2),IF(C740&gt;0,VLOOKUP(C740,КФСР!A496:B2008,2),IF(D740&gt;0,VLOOKUP(D740,Программа!A$1:B$5008,2),IF(F740&gt;0,VLOOKUP(F740,КВР!A$1:B$5001,2),IF(E740&gt;0,VLOOKUP(E740,Направление!A$1:B$4660,2))))))</f>
        <v>Расходы на реализацию мероприятий по строительству и реконструкции дошкольных образовательных учреждений</v>
      </c>
      <c r="B740" s="85"/>
      <c r="C740" s="77"/>
      <c r="D740" s="78"/>
      <c r="E740" s="77">
        <v>1351</v>
      </c>
      <c r="F740" s="78"/>
      <c r="G740" s="95">
        <v>3329160</v>
      </c>
      <c r="H740" s="95">
        <f>H741</f>
        <v>713180</v>
      </c>
      <c r="I740" s="42">
        <f t="shared" si="100"/>
        <v>4042340</v>
      </c>
    </row>
    <row r="741" spans="1:9" ht="21" customHeight="1">
      <c r="A741" s="41" t="str">
        <f>IF(B741&gt;0,VLOOKUP(B741,КВСР!A497:B1662,2),IF(C741&gt;0,VLOOKUP(C741,КФСР!A497:B2009,2),IF(D741&gt;0,VLOOKUP(D741,Программа!A$1:B$5008,2),IF(F741&gt;0,VLOOKUP(F741,КВР!A$1:B$5001,2),IF(E741&gt;0,VLOOKUP(E741,Направление!A$1:B$4660,2))))))</f>
        <v>Бюджетные инвестиции</v>
      </c>
      <c r="B741" s="85"/>
      <c r="C741" s="77"/>
      <c r="D741" s="78"/>
      <c r="E741" s="77"/>
      <c r="F741" s="78">
        <v>400</v>
      </c>
      <c r="G741" s="95">
        <v>3329160</v>
      </c>
      <c r="H741" s="336">
        <v>713180</v>
      </c>
      <c r="I741" s="42">
        <f t="shared" si="100"/>
        <v>4042340</v>
      </c>
    </row>
    <row r="742" spans="1:9" ht="78.75">
      <c r="A742" s="41" t="str">
        <f>IF(B742&gt;0,VLOOKUP(B742,КВСР!A496:B1661,2),IF(C742&gt;0,VLOOKUP(C742,КФСР!A496:B2008,2),IF(D742&gt;0,VLOOKUP(D742,Программа!A$1:B$5008,2),IF(F742&gt;0,VLOOKUP(F742,КВР!A$1:B$5001,2),IF(E742&gt;0,VLOOKUP(E742,Направление!A$1:B$4660,2))))))</f>
        <v>Расходы на реализацию мероприятий по строительству дошкольных образовательных учреждений за счет средств областного бюджета</v>
      </c>
      <c r="B742" s="85"/>
      <c r="C742" s="77"/>
      <c r="D742" s="78"/>
      <c r="E742" s="77">
        <v>7057</v>
      </c>
      <c r="F742" s="78"/>
      <c r="G742" s="95">
        <v>33436249</v>
      </c>
      <c r="H742" s="95">
        <f>H743</f>
        <v>0</v>
      </c>
      <c r="I742" s="42">
        <f t="shared" si="100"/>
        <v>33436249</v>
      </c>
    </row>
    <row r="743" spans="1:9">
      <c r="A743" s="41" t="str">
        <f>IF(B743&gt;0,VLOOKUP(B743,КВСР!A496:B1661,2),IF(C743&gt;0,VLOOKUP(C743,КФСР!A496:B2008,2),IF(D743&gt;0,VLOOKUP(D743,Программа!A$1:B$5008,2),IF(F743&gt;0,VLOOKUP(F743,КВР!A$1:B$5001,2),IF(E743&gt;0,VLOOKUP(E743,Направление!A$1:B$4660,2))))))</f>
        <v>Бюджетные инвестиции</v>
      </c>
      <c r="B743" s="85"/>
      <c r="C743" s="77"/>
      <c r="D743" s="78"/>
      <c r="E743" s="77"/>
      <c r="F743" s="78">
        <v>400</v>
      </c>
      <c r="G743" s="42">
        <v>33436249</v>
      </c>
      <c r="H743" s="334"/>
      <c r="I743" s="42">
        <f t="shared" si="100"/>
        <v>33436249</v>
      </c>
    </row>
    <row r="744" spans="1:9" ht="24" customHeight="1">
      <c r="A744" s="41" t="str">
        <f>IF(B744&gt;0,VLOOKUP(B744,КВСР!A497:B1662,2),IF(C744&gt;0,VLOOKUP(C744,КФСР!A497:B2009,2),IF(D744&gt;0,VLOOKUP(D744,Программа!A$1:B$5008,2),IF(F744&gt;0,VLOOKUP(F744,КВР!A$1:B$5001,2),IF(E744&gt;0,VLOOKUP(E744,Направление!A$1:B$4660,2))))))</f>
        <v>Социальное обслуживание населения</v>
      </c>
      <c r="B744" s="85"/>
      <c r="C744" s="77">
        <v>1002</v>
      </c>
      <c r="D744" s="78"/>
      <c r="E744" s="77"/>
      <c r="F744" s="78"/>
      <c r="G744" s="42">
        <v>71794</v>
      </c>
      <c r="H744" s="42">
        <f t="shared" ref="H744:H745" si="105">H745</f>
        <v>0</v>
      </c>
      <c r="I744" s="42">
        <f t="shared" si="100"/>
        <v>71794</v>
      </c>
    </row>
    <row r="745" spans="1:9">
      <c r="A745" s="41" t="str">
        <f>IF(B745&gt;0,VLOOKUP(B745,КВСР!A498:B1663,2),IF(C745&gt;0,VLOOKUP(C745,КФСР!A498:B2010,2),IF(D745&gt;0,VLOOKUP(D745,Программа!A$1:B$5008,2),IF(F745&gt;0,VLOOKUP(F745,КВР!A$1:B$5001,2),IF(E745&gt;0,VLOOKUP(E745,Направление!A$1:B$4660,2))))))</f>
        <v>Непрограммные расходы бюджета</v>
      </c>
      <c r="B745" s="85"/>
      <c r="C745" s="77"/>
      <c r="D745" s="78">
        <v>409</v>
      </c>
      <c r="E745" s="77"/>
      <c r="F745" s="78"/>
      <c r="G745" s="42">
        <v>71794</v>
      </c>
      <c r="H745" s="42">
        <f t="shared" si="105"/>
        <v>0</v>
      </c>
      <c r="I745" s="42">
        <f t="shared" si="100"/>
        <v>71794</v>
      </c>
    </row>
    <row r="746" spans="1:9" ht="47.25">
      <c r="A746" s="41" t="str">
        <f>IF(B746&gt;0,VLOOKUP(B746,КВСР!A499:B1664,2),IF(C746&gt;0,VLOOKUP(C746,КФСР!A499:B2011,2),IF(D746&gt;0,VLOOKUP(D746,Программа!A$1:B$5008,2),IF(F746&gt;0,VLOOKUP(F746,КВР!A$1:B$5001,2),IF(E746&gt;0,VLOOKUP(E746,Направление!A$1:B$4660,2))))))</f>
        <v>Мероприятия по строительству и реконструкции учреждения социальной защиты</v>
      </c>
      <c r="B746" s="85"/>
      <c r="C746" s="77"/>
      <c r="D746" s="78"/>
      <c r="E746" s="77">
        <v>1605</v>
      </c>
      <c r="F746" s="78"/>
      <c r="G746" s="42">
        <v>71794</v>
      </c>
      <c r="H746" s="42">
        <f t="shared" ref="H746" si="106">H747</f>
        <v>0</v>
      </c>
      <c r="I746" s="42">
        <f t="shared" si="100"/>
        <v>71794</v>
      </c>
    </row>
    <row r="747" spans="1:9">
      <c r="A747" s="41" t="str">
        <f>IF(B747&gt;0,VLOOKUP(B747,КВСР!A500:B1665,2),IF(C747&gt;0,VLOOKUP(C747,КФСР!A500:B2012,2),IF(D747&gt;0,VLOOKUP(D747,Программа!A$1:B$5008,2),IF(F747&gt;0,VLOOKUP(F747,КВР!A$1:B$5001,2),IF(E747&gt;0,VLOOKUP(E747,Направление!A$1:B$4660,2))))))</f>
        <v>Бюджетные инвестиции</v>
      </c>
      <c r="B747" s="85"/>
      <c r="C747" s="77"/>
      <c r="D747" s="78"/>
      <c r="E747" s="77"/>
      <c r="F747" s="78">
        <v>400</v>
      </c>
      <c r="G747" s="42">
        <v>71794</v>
      </c>
      <c r="H747" s="334"/>
      <c r="I747" s="42">
        <f t="shared" si="100"/>
        <v>71794</v>
      </c>
    </row>
    <row r="748" spans="1:9" ht="24" customHeight="1">
      <c r="A748" s="41" t="str">
        <f>IF(B748&gt;0,VLOOKUP(B748,КВСР!A497:B1662,2),IF(C748&gt;0,VLOOKUP(C748,КФСР!A497:B2009,2),IF(D748&gt;0,VLOOKUP(D748,Программа!A$1:B$5008,2),IF(F748&gt;0,VLOOKUP(F748,КВР!A$1:B$5001,2),IF(E748&gt;0,VLOOKUP(E748,Направление!A$1:B$4660,2))))))</f>
        <v>Социальное обеспечение населения</v>
      </c>
      <c r="B748" s="85"/>
      <c r="C748" s="77">
        <v>1003</v>
      </c>
      <c r="D748" s="78"/>
      <c r="E748" s="77"/>
      <c r="F748" s="78"/>
      <c r="G748" s="42">
        <v>2597146</v>
      </c>
      <c r="H748" s="340">
        <f>H749</f>
        <v>1048305</v>
      </c>
      <c r="I748" s="42">
        <f t="shared" si="100"/>
        <v>3645451</v>
      </c>
    </row>
    <row r="749" spans="1:9" ht="31.5">
      <c r="A749" s="41" t="str">
        <f>IF(B749&gt;0,VLOOKUP(B749,КВСР!A498:B1663,2),IF(C749&gt;0,VLOOKUP(C749,КФСР!A498:B2010,2),IF(D749&gt;0,VLOOKUP(D749,Программа!A$1:B$5008,2),IF(F749&gt;0,VLOOKUP(F749,КВР!A$1:B$5001,2),IF(E749&gt;0,VLOOKUP(E749,Направление!A$1:B$4660,2))))))</f>
        <v>Межбюджетные трансферты  поселениям района</v>
      </c>
      <c r="B749" s="85"/>
      <c r="C749" s="77"/>
      <c r="D749" s="78">
        <v>990</v>
      </c>
      <c r="E749" s="77"/>
      <c r="F749" s="78"/>
      <c r="G749" s="42">
        <v>2597146</v>
      </c>
      <c r="H749" s="340">
        <f>H752+H750</f>
        <v>1048305</v>
      </c>
      <c r="I749" s="340">
        <f>I752+I750</f>
        <v>3645451</v>
      </c>
    </row>
    <row r="750" spans="1:9" ht="84" customHeight="1">
      <c r="A750" s="41" t="str">
        <f>IF(B750&gt;0,VLOOKUP(B750,КВСР!A499:B1664,2),IF(C750&gt;0,VLOOKUP(C750,КФСР!A499:B2011,2),IF(D750&gt;0,VLOOKUP(D750,Программа!A$1:B$5008,2),IF(F750&gt;0,VLOOKUP(F750,КВР!A$1:B$5001,2),IF(E750&gt;0,VLOOKUP(E750,Направление!A$1:B$4660,2))))))</f>
        <v>Субсидия на государственную поддержку молодых семей Ярославской области в приобретении (строительстве) жилья за счет средств федерального бюджета</v>
      </c>
      <c r="B750" s="85"/>
      <c r="C750" s="77"/>
      <c r="D750" s="78"/>
      <c r="E750" s="77">
        <v>5020</v>
      </c>
      <c r="F750" s="78"/>
      <c r="G750" s="42"/>
      <c r="H750" s="340">
        <f>H751</f>
        <v>1048305</v>
      </c>
      <c r="I750" s="42">
        <f>I751</f>
        <v>1048305</v>
      </c>
    </row>
    <row r="751" spans="1:9">
      <c r="A751" s="41" t="str">
        <f>IF(B751&gt;0,VLOOKUP(B751,КВСР!A500:B1665,2),IF(C751&gt;0,VLOOKUP(C751,КФСР!A500:B2012,2),IF(D751&gt;0,VLOOKUP(D751,Программа!A$1:B$5008,2),IF(F751&gt;0,VLOOKUP(F751,КВР!A$1:B$5001,2),IF(E751&gt;0,VLOOKUP(E751,Направление!A$1:B$4660,2))))))</f>
        <v xml:space="preserve"> Межбюджетные трансферты</v>
      </c>
      <c r="B751" s="85"/>
      <c r="C751" s="77"/>
      <c r="D751" s="78"/>
      <c r="E751" s="77"/>
      <c r="F751" s="78">
        <v>500</v>
      </c>
      <c r="G751" s="42"/>
      <c r="H751" s="334">
        <v>1048305</v>
      </c>
      <c r="I751" s="42">
        <f>SUM(G751:H751)</f>
        <v>1048305</v>
      </c>
    </row>
    <row r="752" spans="1:9" ht="94.5">
      <c r="A752" s="41" t="str">
        <f>IF(B752&gt;0,VLOOKUP(B752,КВСР!A499:B1664,2),IF(C752&gt;0,VLOOKUP(C752,КФСР!A499:B2011,2),IF(D752&gt;0,VLOOKUP(D752,Программа!A$1:B$5008,2),IF(F752&gt;0,VLOOKUP(F752,КВР!A$1:B$5001,2),IF(E752&gt;0,VLOOKUP(E752,Направление!A$1:B$4660,2))))))</f>
        <v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v>
      </c>
      <c r="B752" s="85"/>
      <c r="C752" s="77"/>
      <c r="D752" s="78"/>
      <c r="E752" s="77">
        <v>7119</v>
      </c>
      <c r="F752" s="78"/>
      <c r="G752" s="42">
        <v>2597146</v>
      </c>
      <c r="H752" s="340">
        <f>H753</f>
        <v>0</v>
      </c>
      <c r="I752" s="42">
        <f t="shared" si="100"/>
        <v>2597146</v>
      </c>
    </row>
    <row r="753" spans="1:9">
      <c r="A753" s="41" t="str">
        <f>IF(B753&gt;0,VLOOKUP(B753,КВСР!A500:B1665,2),IF(C753&gt;0,VLOOKUP(C753,КФСР!A500:B2012,2),IF(D753&gt;0,VLOOKUP(D753,Программа!A$1:B$5008,2),IF(F753&gt;0,VLOOKUP(F753,КВР!A$1:B$5001,2),IF(E753&gt;0,VLOOKUP(E753,Направление!A$1:B$4660,2))))))</f>
        <v xml:space="preserve"> Межбюджетные трансферты</v>
      </c>
      <c r="B753" s="85"/>
      <c r="C753" s="77"/>
      <c r="D753" s="78"/>
      <c r="E753" s="77"/>
      <c r="F753" s="78">
        <v>500</v>
      </c>
      <c r="G753" s="42">
        <v>2597146</v>
      </c>
      <c r="H753" s="334"/>
      <c r="I753" s="42">
        <f t="shared" si="100"/>
        <v>2597146</v>
      </c>
    </row>
    <row r="754" spans="1:9" ht="31.5">
      <c r="A754" s="258" t="str">
        <f>IF(B754&gt;0,VLOOKUP(B754,КВСР!A527:B1692,2),IF(C754&gt;0,VLOOKUP(C754,КФСР!A527:B2039,2),IF(D754&gt;0,VLOOKUP(D754,Программа!A$1:B$5008,2),IF(F754&gt;0,VLOOKUP(F754,КВР!A$1:B$5001,2),IF(E754&gt;0,VLOOKUP(E754,Направление!A$1:B$4660,2))))))</f>
        <v>МУ Контрольно-счетная палата ТМР</v>
      </c>
      <c r="B754" s="81">
        <v>982</v>
      </c>
      <c r="C754" s="89"/>
      <c r="D754" s="93"/>
      <c r="E754" s="89"/>
      <c r="F754" s="93"/>
      <c r="G754" s="48">
        <v>1785089</v>
      </c>
      <c r="H754" s="48">
        <f>H755+H763</f>
        <v>0</v>
      </c>
      <c r="I754" s="48">
        <f>I755+I763</f>
        <v>1785089</v>
      </c>
    </row>
    <row r="755" spans="1:9" ht="78.75">
      <c r="A755" s="41" t="str">
        <f>IF(B755&gt;0,VLOOKUP(B755,КВСР!A528:B1693,2),IF(C755&gt;0,VLOOKUP(C755,КФСР!A528:B2040,2),IF(D755&gt;0,VLOOKUP(D755,Программа!A$1:B$5008,2),IF(F755&gt;0,VLOOKUP(F755,КВР!A$1:B$5001,2),IF(E755&gt;0,VLOOKUP(E755,Направление!A$1:B$4660,2))))))</f>
        <v>Обеспечение деятельности финансовых, налоговых и таможенных органов и органов финансового (финансово-бюджетного) надзора</v>
      </c>
      <c r="B755" s="90"/>
      <c r="C755" s="77">
        <v>106</v>
      </c>
      <c r="D755" s="92"/>
      <c r="E755" s="91"/>
      <c r="F755" s="92"/>
      <c r="G755" s="44">
        <v>1670640</v>
      </c>
      <c r="H755" s="44">
        <f>H756</f>
        <v>0</v>
      </c>
      <c r="I755" s="42">
        <f t="shared" ref="I755:I766" si="107">SUM(G755:H755)</f>
        <v>1670640</v>
      </c>
    </row>
    <row r="756" spans="1:9" ht="21" customHeight="1">
      <c r="A756" s="41" t="str">
        <f>IF(B756&gt;0,VLOOKUP(B756,КВСР!A529:B1694,2),IF(C756&gt;0,VLOOKUP(C756,КФСР!A529:B2041,2),IF(D756&gt;0,VLOOKUP(D756,Программа!A$1:B$5008,2),IF(F756&gt;0,VLOOKUP(F756,КВР!A$1:B$5001,2),IF(E756&gt;0,VLOOKUP(E756,Направление!A$1:B$4660,2))))))</f>
        <v>Непрограммные расходы бюджета</v>
      </c>
      <c r="B756" s="90"/>
      <c r="C756" s="77"/>
      <c r="D756" s="92">
        <v>409</v>
      </c>
      <c r="E756" s="91"/>
      <c r="F756" s="92"/>
      <c r="G756" s="44">
        <v>1670640</v>
      </c>
      <c r="H756" s="44">
        <f>H757+H761</f>
        <v>0</v>
      </c>
      <c r="I756" s="42">
        <f t="shared" si="107"/>
        <v>1670640</v>
      </c>
    </row>
    <row r="757" spans="1:9" ht="20.25" customHeight="1">
      <c r="A757" s="41" t="str">
        <f>IF(B757&gt;0,VLOOKUP(B757,КВСР!A530:B1695,2),IF(C757&gt;0,VLOOKUP(C757,КФСР!A530:B2042,2),IF(D757&gt;0,VLOOKUP(D757,Программа!A$1:B$5008,2),IF(F757&gt;0,VLOOKUP(F757,КВР!A$1:B$5001,2),IF(E757&gt;0,VLOOKUP(E757,Направление!A$1:B$4660,2))))))</f>
        <v>Содержание центрального аппарата</v>
      </c>
      <c r="B757" s="90"/>
      <c r="C757" s="91"/>
      <c r="D757" s="83"/>
      <c r="E757" s="82">
        <v>1201</v>
      </c>
      <c r="F757" s="92"/>
      <c r="G757" s="42">
        <v>1124470</v>
      </c>
      <c r="H757" s="42">
        <f>H758+H759+H760</f>
        <v>0</v>
      </c>
      <c r="I757" s="42">
        <f t="shared" si="107"/>
        <v>1124470</v>
      </c>
    </row>
    <row r="758" spans="1:9" ht="110.25">
      <c r="A758" s="41" t="str">
        <f>IF(B758&gt;0,VLOOKUP(B758,КВСР!A531:B1696,2),IF(C758&gt;0,VLOOKUP(C758,КФСР!A531:B2043,2),IF(D758&gt;0,VLOOKUP(D758,Программа!A$1:B$5008,2),IF(F758&gt;0,VLOOKUP(F758,КВР!A$1:B$5001,2),IF(E758&gt;0,VLOOKUP(E758,Направление!A$1:B$4660,2))))))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58" s="90"/>
      <c r="C758" s="91"/>
      <c r="D758" s="92"/>
      <c r="E758" s="91"/>
      <c r="F758" s="92">
        <v>100</v>
      </c>
      <c r="G758" s="42">
        <v>788270</v>
      </c>
      <c r="H758" s="334"/>
      <c r="I758" s="42">
        <f t="shared" si="107"/>
        <v>788270</v>
      </c>
    </row>
    <row r="759" spans="1:9" ht="31.5">
      <c r="A759" s="41" t="str">
        <f>IF(B759&gt;0,VLOOKUP(B759,КВСР!A532:B1697,2),IF(C759&gt;0,VLOOKUP(C759,КФСР!A532:B2044,2),IF(D759&gt;0,VLOOKUP(D759,Программа!A$1:B$5008,2),IF(F759&gt;0,VLOOKUP(F759,КВР!A$1:B$5001,2),IF(E759&gt;0,VLOOKUP(E759,Направление!A$1:B$4660,2))))))</f>
        <v>Закупка товаров, работ и услуг для государственных нужд</v>
      </c>
      <c r="B759" s="90"/>
      <c r="C759" s="91"/>
      <c r="D759" s="92"/>
      <c r="E759" s="91"/>
      <c r="F759" s="92">
        <v>200</v>
      </c>
      <c r="G759" s="42">
        <v>333200</v>
      </c>
      <c r="H759" s="334"/>
      <c r="I759" s="42">
        <f t="shared" si="107"/>
        <v>333200</v>
      </c>
    </row>
    <row r="760" spans="1:9" ht="22.5" customHeight="1">
      <c r="A760" s="41" t="str">
        <f>IF(B760&gt;0,VLOOKUP(B760,КВСР!A533:B1698,2),IF(C760&gt;0,VLOOKUP(C760,КФСР!A533:B2045,2),IF(D760&gt;0,VLOOKUP(D760,Программа!A$1:B$5008,2),IF(F760&gt;0,VLOOKUP(F760,КВР!A$1:B$5001,2),IF(E760&gt;0,VLOOKUP(E760,Направление!A$1:B$4660,2))))))</f>
        <v>Иные бюджетные ассигнования</v>
      </c>
      <c r="B760" s="90"/>
      <c r="C760" s="91"/>
      <c r="D760" s="92"/>
      <c r="E760" s="91"/>
      <c r="F760" s="92">
        <v>800</v>
      </c>
      <c r="G760" s="42">
        <v>3000</v>
      </c>
      <c r="H760" s="334"/>
      <c r="I760" s="42">
        <f t="shared" si="107"/>
        <v>3000</v>
      </c>
    </row>
    <row r="761" spans="1:9" ht="63">
      <c r="A761" s="41" t="str">
        <f>IF(B761&gt;0,VLOOKUP(B761,КВСР!A534:B1699,2),IF(C761&gt;0,VLOOKUP(C761,КФСР!A534:B2046,2),IF(D761&gt;0,VLOOKUP(D761,Программа!A$1:B$5008,2),IF(F761&gt;0,VLOOKUP(F761,КВР!A$1:B$5001,2),IF(E761&gt;0,VLOOKUP(E761,Направление!A$1:B$4660,2))))))</f>
        <v>Содержание руководителя контрольно-счетной палаты муниципального образования и его заместителей</v>
      </c>
      <c r="B761" s="90"/>
      <c r="C761" s="91"/>
      <c r="D761" s="92"/>
      <c r="E761" s="91">
        <v>1203</v>
      </c>
      <c r="F761" s="92"/>
      <c r="G761" s="42">
        <v>546170</v>
      </c>
      <c r="H761" s="42">
        <f>H762</f>
        <v>0</v>
      </c>
      <c r="I761" s="42">
        <f t="shared" si="107"/>
        <v>546170</v>
      </c>
    </row>
    <row r="762" spans="1:9" ht="110.25">
      <c r="A762" s="41" t="str">
        <f>IF(B762&gt;0,VLOOKUP(B762,КВСР!A535:B1700,2),IF(C762&gt;0,VLOOKUP(C762,КФСР!A535:B2047,2),IF(D762&gt;0,VLOOKUP(D762,Программа!A$1:B$5008,2),IF(F762&gt;0,VLOOKUP(F762,КВР!A$1:B$5001,2),IF(E762&gt;0,VLOOKUP(E762,Направление!A$1:B$4660,2))))))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62" s="90"/>
      <c r="C762" s="91"/>
      <c r="D762" s="92"/>
      <c r="E762" s="91"/>
      <c r="F762" s="92">
        <v>100</v>
      </c>
      <c r="G762" s="42">
        <v>546170</v>
      </c>
      <c r="H762" s="334"/>
      <c r="I762" s="42">
        <f t="shared" si="107"/>
        <v>546170</v>
      </c>
    </row>
    <row r="763" spans="1:9" ht="31.5">
      <c r="A763" s="41" t="str">
        <f>IF(B763&gt;0,VLOOKUP(B763,КВСР!A536:B1701,2),IF(C763&gt;0,VLOOKUP(C763,КФСР!A536:B2048,2),IF(D763&gt;0,VLOOKUP(D763,Программа!A$1:B$5008,2),IF(F763&gt;0,VLOOKUP(F763,КВР!A$1:B$5001,2),IF(E763&gt;0,VLOOKUP(E763,Направление!A$1:B$4660,2))))))</f>
        <v>Другие общегосударственные вопросы</v>
      </c>
      <c r="B763" s="90"/>
      <c r="C763" s="91">
        <v>113</v>
      </c>
      <c r="D763" s="92"/>
      <c r="E763" s="91"/>
      <c r="F763" s="92"/>
      <c r="G763" s="42">
        <v>114449</v>
      </c>
      <c r="H763" s="340">
        <f t="shared" ref="H763:H764" si="108">H764</f>
        <v>0</v>
      </c>
      <c r="I763" s="42">
        <f t="shared" si="107"/>
        <v>114449</v>
      </c>
    </row>
    <row r="764" spans="1:9">
      <c r="A764" s="41" t="str">
        <f>IF(B764&gt;0,VLOOKUP(B764,КВСР!A537:B1702,2),IF(C764&gt;0,VLOOKUP(C764,КФСР!A537:B2049,2),IF(D764&gt;0,VLOOKUP(D764,Программа!A$1:B$5008,2),IF(F764&gt;0,VLOOKUP(F764,КВР!A$1:B$5001,2),IF(E764&gt;0,VLOOKUP(E764,Направление!A$1:B$4660,2))))))</f>
        <v>Непрограммные расходы бюджета</v>
      </c>
      <c r="B764" s="90"/>
      <c r="C764" s="91"/>
      <c r="D764" s="92">
        <v>409</v>
      </c>
      <c r="E764" s="91"/>
      <c r="F764" s="92"/>
      <c r="G764" s="42">
        <v>114449</v>
      </c>
      <c r="H764" s="340">
        <f t="shared" si="108"/>
        <v>0</v>
      </c>
      <c r="I764" s="42">
        <f t="shared" si="107"/>
        <v>114449</v>
      </c>
    </row>
    <row r="765" spans="1:9" ht="47.25">
      <c r="A765" s="41" t="str">
        <f>IF(B765&gt;0,VLOOKUP(B765,КВСР!A538:B1703,2),IF(C765&gt;0,VLOOKUP(C765,КФСР!A538:B2050,2),IF(D765&gt;0,VLOOKUP(D765,Программа!A$1:B$5008,2),IF(F765&gt;0,VLOOKUP(F765,КВР!A$1:B$5001,2),IF(E765&gt;0,VLOOKUP(E765,Направление!A$1:B$4660,2))))))</f>
        <v>Расходы на развитие органов местного самоуправления на территории ЯО</v>
      </c>
      <c r="B765" s="90"/>
      <c r="C765" s="91"/>
      <c r="D765" s="92"/>
      <c r="E765" s="91">
        <v>7228</v>
      </c>
      <c r="F765" s="92"/>
      <c r="G765" s="42">
        <v>114449</v>
      </c>
      <c r="H765" s="340">
        <f>H766</f>
        <v>0</v>
      </c>
      <c r="I765" s="42">
        <f t="shared" si="107"/>
        <v>114449</v>
      </c>
    </row>
    <row r="766" spans="1:9" ht="110.25">
      <c r="A766" s="41" t="str">
        <f>IF(B766&gt;0,VLOOKUP(B766,КВСР!A539:B1704,2),IF(C766&gt;0,VLOOKUP(C766,КФСР!A539:B2051,2),IF(D766&gt;0,VLOOKUP(D766,Программа!A$1:B$5008,2),IF(F766&gt;0,VLOOKUP(F766,КВР!A$1:B$5001,2),IF(E766&gt;0,VLOOKUP(E766,Направление!A$1:B$4660,2))))))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66" s="90"/>
      <c r="C766" s="91"/>
      <c r="D766" s="92"/>
      <c r="E766" s="91"/>
      <c r="F766" s="92">
        <v>100</v>
      </c>
      <c r="G766" s="42">
        <v>114449</v>
      </c>
      <c r="H766" s="334"/>
      <c r="I766" s="42">
        <f t="shared" si="107"/>
        <v>114449</v>
      </c>
    </row>
    <row r="767" spans="1:9">
      <c r="A767" s="46" t="s">
        <v>1130</v>
      </c>
      <c r="B767" s="69"/>
      <c r="C767" s="69"/>
      <c r="D767" s="83"/>
      <c r="E767" s="82"/>
      <c r="F767" s="69"/>
      <c r="G767" s="47">
        <v>1802071742.6399999</v>
      </c>
      <c r="H767" s="47">
        <f>SUM(H10+H142+H165+H332+H427+H470+H626+H754)</f>
        <v>-17339476.359999999</v>
      </c>
      <c r="I767" s="47">
        <f>SUM(I10+I142+I165+I332+I427+I470+I626+I754)</f>
        <v>1784432266.28</v>
      </c>
    </row>
    <row r="771" spans="8:8">
      <c r="H771" s="394"/>
    </row>
  </sheetData>
  <sheetProtection formatCells="0"/>
  <protectedRanges>
    <protectedRange password="EE71" sqref="G813 B768:G809" name="Диапазон1" securityDescriptor="O:WDG:WDD:(A;;CC;;;S-1-5-21-796845957-1547161642-725345543-1004)"/>
    <protectedRange sqref="G499:H499 G227:H227 G587:H591 G186:H188 G459:H459 G572:H574 G736:H737 G280:H280 G202:H203 G165:H170 G509:H516 G461:H469 G208:H209 G622:H624 G348:H350 G563:H563 I165 G520:H536 G595:G596 G504:H506 G580:H585 G75:H78 G427:I427 G597:H608 G592:H594 G323:H331 G30:H67 G69:H70 G68:I68 I55 G539:H539 G537:I538 I522 G739:H742 G738:I738 I737 G307:H320 G471:H477" name="Диапазон1_14"/>
  </protectedRanges>
  <dataConsolidate/>
  <customSheetViews>
    <customSheetView guid="{91923F83-3A6B-4204-9891-178562AB34F1}" scale="90" showPageBreaks="1" printArea="1" showAutoFilter="1" view="pageBreakPreview" showRuler="0" topLeftCell="A677">
      <selection activeCell="G685" sqref="G685"/>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1"/>
      <headerFooter alignWithMargins="0">
        <oddFooter>&amp;C&amp;P</oddFooter>
      </headerFooter>
      <autoFilter ref="B1:J1"/>
    </customSheetView>
    <customSheetView guid="{66DBF0AC-E9A0-482F-9E41-1928B6CA83DC}" scale="90" showPageBreaks="1" showAutoFilter="1" view="pageBreakPreview" showRuler="0" topLeftCell="B748">
      <selection activeCell="F760" sqref="F760"/>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2"/>
      <headerFooter alignWithMargins="0">
        <oddFooter>&amp;C&amp;P</oddFooter>
      </headerFooter>
      <autoFilter ref="B1:J1"/>
    </customSheetView>
    <customSheetView guid="{A5E41FC9-89B1-40D2-B587-57BC4C5E4715}" scale="90" showPageBreaks="1" printArea="1" showAutoFilter="1" view="pageBreakPreview" showRuler="0" topLeftCell="B256">
      <selection activeCell="G263" sqref="G263"/>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3"/>
      <headerFooter alignWithMargins="0">
        <oddFooter>&amp;C&amp;P</oddFooter>
      </headerFooter>
      <autoFilter ref="B1:J1"/>
    </customSheetView>
    <customSheetView guid="{F3607253-7816-4CF7-9CFD-2ADFFAD916F8}" scale="90" showPageBreaks="1" printArea="1" showAutoFilter="1" view="pageBreakPreview" showRuler="0">
      <selection activeCell="G48" sqref="G48"/>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4"/>
      <headerFooter alignWithMargins="0">
        <oddFooter>&amp;C&amp;P</oddFooter>
      </headerFooter>
      <autoFilter ref="B1:J1"/>
    </customSheetView>
    <customSheetView guid="{B3311466-F005-49F1-A579-3E6CECE305A8}" scale="90" showPageBreaks="1" printArea="1" showAutoFilter="1" view="pageBreakPreview" showRuler="0" topLeftCell="A625">
      <selection activeCell="E644" sqref="E644"/>
      <rowBreaks count="31" manualBreakCount="31">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50" max="6" man="1"/>
        <brk id="652" max="6" man="1"/>
        <brk id="676" max="6" man="1"/>
        <brk id="699" max="6" man="1"/>
        <brk id="725" max="6" man="1"/>
        <brk id="749" max="6" man="1"/>
      </rowBreaks>
      <pageMargins left="0.78740157480314965" right="0.19685039370078741" top="0.39370078740157483" bottom="0.59055118110236227" header="0.31496062992125984" footer="0.31496062992125984"/>
      <pageSetup paperSize="9" scale="90" orientation="portrait" r:id="rId5"/>
      <headerFooter alignWithMargins="0">
        <oddFooter>&amp;C&amp;P</oddFooter>
      </headerFooter>
      <autoFilter ref="B1:J1"/>
    </customSheetView>
    <customSheetView guid="{E5662E33-D4B0-43EA-9B06-C8DA9DFDBEF6}" scale="90" showPageBreaks="1" printArea="1" showAutoFilter="1" view="pageBreakPreview" showRuler="0" topLeftCell="A641">
      <selection activeCell="G644" sqref="G644"/>
      <rowBreaks count="33" manualBreakCount="33">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5" max="6" man="1"/>
        <brk id="696" max="6" man="1"/>
        <brk id="721" max="6" man="1"/>
        <brk id="722" max="6" man="1"/>
        <brk id="745" max="6" man="1"/>
        <brk id="746" max="6" man="1"/>
      </rowBreaks>
      <pageMargins left="0.78740157480314965" right="0.19685039370078741" top="0.39370078740157483" bottom="0.59055118110236227" header="0.31496062992125984" footer="0.31496062992125984"/>
      <pageSetup paperSize="9" scale="90" orientation="portrait" r:id="rId6"/>
      <headerFooter alignWithMargins="0">
        <oddFooter>&amp;C&amp;P</oddFooter>
      </headerFooter>
      <autoFilter ref="B1:J1"/>
    </customSheetView>
  </customSheetViews>
  <mergeCells count="13">
    <mergeCell ref="A1:I1"/>
    <mergeCell ref="A2:I2"/>
    <mergeCell ref="A3:I3"/>
    <mergeCell ref="A4:I4"/>
    <mergeCell ref="A6:I6"/>
    <mergeCell ref="I8:I9"/>
    <mergeCell ref="A8:A9"/>
    <mergeCell ref="B8:B9"/>
    <mergeCell ref="C8:C9"/>
    <mergeCell ref="D8:E8"/>
    <mergeCell ref="F8:F9"/>
    <mergeCell ref="G8:G9"/>
    <mergeCell ref="H8:H9"/>
  </mergeCells>
  <phoneticPr fontId="0" type="noConversion"/>
  <pageMargins left="0.70866141732283472" right="0.70866141732283472" top="0.74803149606299213" bottom="0.74803149606299213" header="0.31496062992125984" footer="0.31496062992125984"/>
  <pageSetup paperSize="9" scale="65" fitToHeight="0" orientation="portrait" r:id="rId7"/>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codeName="Лист34"/>
  <dimension ref="A1:F128"/>
  <sheetViews>
    <sheetView showGridLines="0" view="pageBreakPreview" topLeftCell="A51" zoomScaleSheetLayoutView="100" workbookViewId="0">
      <selection activeCell="J68" sqref="J68"/>
    </sheetView>
  </sheetViews>
  <sheetFormatPr defaultColWidth="9.140625" defaultRowHeight="12.75"/>
  <cols>
    <col min="1" max="1" width="6.140625" style="327" customWidth="1"/>
    <col min="2" max="2" width="41.42578125" style="146" customWidth="1"/>
    <col min="3" max="3" width="13.28515625" style="146" customWidth="1"/>
    <col min="4" max="4" width="14.85546875" style="146" hidden="1" customWidth="1"/>
    <col min="5" max="5" width="14.42578125" style="146" hidden="1" customWidth="1"/>
    <col min="6" max="6" width="16.7109375" style="146" customWidth="1"/>
    <col min="7" max="7" width="9.140625" style="146"/>
    <col min="8" max="8" width="43.42578125" style="146" customWidth="1"/>
    <col min="9" max="16384" width="9.140625" style="146"/>
  </cols>
  <sheetData>
    <row r="1" spans="1:6" ht="15.75">
      <c r="A1" s="454" t="s">
        <v>98</v>
      </c>
      <c r="B1" s="454"/>
      <c r="C1" s="454"/>
      <c r="D1" s="454"/>
      <c r="E1" s="454"/>
      <c r="F1" s="454"/>
    </row>
    <row r="2" spans="1:6" ht="15.75">
      <c r="A2" s="454" t="s">
        <v>1051</v>
      </c>
      <c r="B2" s="454"/>
      <c r="C2" s="454"/>
      <c r="D2" s="454"/>
      <c r="E2" s="454"/>
      <c r="F2" s="454"/>
    </row>
    <row r="3" spans="1:6" ht="15.75">
      <c r="A3" s="454" t="s">
        <v>700</v>
      </c>
      <c r="B3" s="454"/>
      <c r="C3" s="454"/>
      <c r="D3" s="454"/>
      <c r="E3" s="454"/>
      <c r="F3" s="454"/>
    </row>
    <row r="4" spans="1:6" ht="15.75">
      <c r="A4" s="454" t="s">
        <v>2623</v>
      </c>
      <c r="B4" s="454"/>
      <c r="C4" s="454"/>
      <c r="D4" s="454"/>
      <c r="E4" s="454"/>
      <c r="F4" s="454"/>
    </row>
    <row r="5" spans="1:6" ht="15.75">
      <c r="A5" s="325"/>
      <c r="B5" s="1"/>
      <c r="C5" s="214"/>
      <c r="D5" s="455"/>
      <c r="E5" s="455"/>
      <c r="F5" s="455"/>
    </row>
    <row r="6" spans="1:6" ht="35.25" customHeight="1">
      <c r="A6" s="433" t="s">
        <v>2526</v>
      </c>
      <c r="B6" s="433"/>
      <c r="C6" s="433"/>
      <c r="D6" s="433"/>
      <c r="E6" s="433"/>
      <c r="F6" s="433"/>
    </row>
    <row r="7" spans="1:6" ht="16.5" thickBot="1">
      <c r="A7" s="325"/>
      <c r="B7" s="1"/>
      <c r="C7" s="214"/>
      <c r="D7" s="456"/>
      <c r="E7" s="456"/>
      <c r="F7" s="456"/>
    </row>
    <row r="8" spans="1:6" ht="15.75" customHeight="1" thickBot="1">
      <c r="A8" s="459" t="s">
        <v>2044</v>
      </c>
      <c r="B8" s="460" t="s">
        <v>7</v>
      </c>
      <c r="C8" s="457" t="s">
        <v>2303</v>
      </c>
      <c r="D8" s="457" t="s">
        <v>2755</v>
      </c>
      <c r="E8" s="460" t="s">
        <v>1122</v>
      </c>
      <c r="F8" s="457" t="s">
        <v>2791</v>
      </c>
    </row>
    <row r="9" spans="1:6" ht="15.75" customHeight="1" thickBot="1">
      <c r="A9" s="459"/>
      <c r="B9" s="460"/>
      <c r="C9" s="461"/>
      <c r="D9" s="458"/>
      <c r="E9" s="460"/>
      <c r="F9" s="458"/>
    </row>
    <row r="10" spans="1:6" ht="16.5" thickBot="1">
      <c r="A10" s="326">
        <v>1</v>
      </c>
      <c r="B10" s="317" t="str">
        <f>IF(C10&gt;0,VLOOKUP(C10,Программа!A$2:B$5008,2))</f>
        <v>Развитие молодежной политики</v>
      </c>
      <c r="C10" s="318">
        <v>10</v>
      </c>
      <c r="D10" s="319">
        <f>SUMIFS(Пр_4!G$10:G$1193,Пр_4!$D$10:$D$1193,C10)</f>
        <v>14241702</v>
      </c>
      <c r="E10" s="319">
        <f>SUMIFS(Пр_4!H$10:H$1193,Пр_4!$D$10:$D$1193,C10)</f>
        <v>575000</v>
      </c>
      <c r="F10" s="319">
        <f>SUMIFS(Пр_4!I$10:I$1193,Пр_4!$D$10:$D$1193,C10)</f>
        <v>14816702</v>
      </c>
    </row>
    <row r="11" spans="1:6" ht="32.25" thickBot="1">
      <c r="A11" s="328" t="s">
        <v>2492</v>
      </c>
      <c r="B11" s="317" t="str">
        <f>IF(C11&gt;0,VLOOKUP(C11,Программа!A$2:B$5008,2))</f>
        <v>Ведомственная целевая программа «Молодежь на 2014-2016 годы».</v>
      </c>
      <c r="C11" s="320">
        <v>11</v>
      </c>
      <c r="D11" s="319">
        <f>SUMIFS(Пр_4!G$10:G$1193,Пр_4!D$10:D$1193,C11)</f>
        <v>13660202</v>
      </c>
      <c r="E11" s="319">
        <f>SUMIFS(Пр_4!H$10:H$1193,Пр_4!$D$10:$D$1193,C11)</f>
        <v>575000</v>
      </c>
      <c r="F11" s="319">
        <f>SUMIFS(Пр_4!I$10:I$1193,Пр_4!$D$10:$D$1193,C11)</f>
        <v>14235202</v>
      </c>
    </row>
    <row r="12" spans="1:6" ht="95.25" thickBot="1">
      <c r="A12" s="328" t="s">
        <v>2493</v>
      </c>
      <c r="B12" s="317" t="str">
        <f>IF(C12&gt;0,VLOOKUP(C12,Программа!A$2:B$5008,2))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 на 2014-2016 годы.</v>
      </c>
      <c r="C12" s="320">
        <v>12</v>
      </c>
      <c r="D12" s="319">
        <f>SUMIFS(Пр_4!G$10:G$1193,Пр_4!D$10:D$1193,C12)</f>
        <v>181500</v>
      </c>
      <c r="E12" s="319">
        <f>SUMIFS(Пр_4!H$10:H$1193,Пр_4!$D$10:$D$1193,C12)</f>
        <v>0</v>
      </c>
      <c r="F12" s="319">
        <f>SUMIFS(Пр_4!I$10:I$1193,Пр_4!$D$10:$D$1193,C12)</f>
        <v>181500</v>
      </c>
    </row>
    <row r="13" spans="1:6" ht="79.5" thickBot="1">
      <c r="A13" s="329" t="s">
        <v>2494</v>
      </c>
      <c r="B13" s="317" t="str">
        <f>IF(C13&gt;0,VLOOKUP(C13,Программа!A$2:B$5008,2))</f>
        <v>Муниципальная целевая программа «Комплексные меры противодействия злоупотреблению наркотиками и их незаконному обороту на 2012-2014 годы».</v>
      </c>
      <c r="C13" s="318">
        <v>13</v>
      </c>
      <c r="D13" s="319">
        <f>SUMIFS(Пр_4!G$10:G$1193,Пр_4!D$10:D$1193,C13)</f>
        <v>400000</v>
      </c>
      <c r="E13" s="319">
        <f>SUMIFS(Пр_4!H$10:H$1193,Пр_4!$D$10:$D$1193,C13)</f>
        <v>0</v>
      </c>
      <c r="F13" s="319">
        <f>SUMIFS(Пр_4!I$10:I$1193,Пр_4!$D$10:$D$1193,C13)</f>
        <v>400000</v>
      </c>
    </row>
    <row r="14" spans="1:6" ht="16.5" thickBot="1">
      <c r="A14" s="326" t="s">
        <v>266</v>
      </c>
      <c r="B14" s="317" t="str">
        <f>IF(C14&gt;0,VLOOKUP(C14,Программа!A$2:B$5008,2))</f>
        <v>Развитие образования</v>
      </c>
      <c r="C14" s="318">
        <v>20</v>
      </c>
      <c r="D14" s="319">
        <f>SUMIFS(Пр_4!G$10:G$1193,Пр_4!D$10:D$1193,C14)</f>
        <v>868156847</v>
      </c>
      <c r="E14" s="319">
        <f>SUMIFS(Пр_4!H$10:H$1193,Пр_4!$D$10:$D$1193,C14)</f>
        <v>580654</v>
      </c>
      <c r="F14" s="319">
        <f>SUMIFS(Пр_4!I$10:I$1193,Пр_4!$D$10:$D$1193,C14)</f>
        <v>868737501</v>
      </c>
    </row>
    <row r="15" spans="1:6" ht="79.5" thickBot="1">
      <c r="A15" s="328" t="s">
        <v>2495</v>
      </c>
      <c r="B15" s="317" t="str">
        <f>IF(C15&gt;0,VLOOKUP(C15,Программа!A$2:B$5008,2))</f>
        <v>Ведомственная целевая программа департамента образования Администрации Тутаевского муниципального района на 2014-2016 годы.</v>
      </c>
      <c r="C15" s="318">
        <v>21</v>
      </c>
      <c r="D15" s="319">
        <f>SUMIFS(Пр_4!G$10:G$1193,Пр_4!D$10:D$1193,C15)</f>
        <v>838573847</v>
      </c>
      <c r="E15" s="319">
        <f>SUMIFS(Пр_4!H$10:H$1193,Пр_4!$D$10:$D$1193,C15)</f>
        <v>3107954</v>
      </c>
      <c r="F15" s="319">
        <f>SUMIFS(Пр_4!I$10:I$1193,Пр_4!$D$10:$D$1193,C15)</f>
        <v>841681801</v>
      </c>
    </row>
    <row r="16" spans="1:6" ht="79.5" thickBot="1">
      <c r="A16" s="328" t="s">
        <v>2496</v>
      </c>
      <c r="B16" s="317" t="str">
        <f>IF(C16&gt;0,VLOOKUP(C16,Программа!A$2:B$5008,2))</f>
        <v>Муниципальная целевая программа «Здоровое питание обучающихся образовательных учреждений Тутаевского муниципального района» на 2014-2016 годы.</v>
      </c>
      <c r="C16" s="318">
        <v>22</v>
      </c>
      <c r="D16" s="319">
        <f>SUMIFS(Пр_4!G$10:G$1193,Пр_4!D$10:D$1193,C16)</f>
        <v>29583000</v>
      </c>
      <c r="E16" s="319">
        <f>SUMIFS(Пр_4!H$10:H$1193,Пр_4!$D$10:$D$1193,C16)</f>
        <v>-2527300</v>
      </c>
      <c r="F16" s="319">
        <f>SUMIFS(Пр_4!I$10:I$1193,Пр_4!$D$10:$D$1193,C16)</f>
        <v>27055700</v>
      </c>
    </row>
    <row r="17" spans="1:6" ht="16.5" thickBot="1">
      <c r="A17" s="326" t="s">
        <v>2497</v>
      </c>
      <c r="B17" s="317" t="str">
        <f>IF(C17&gt;0,VLOOKUP(C17,Программа!A$2:B$5008,2))</f>
        <v>Развитие культуры и туризма</v>
      </c>
      <c r="C17" s="318">
        <v>30</v>
      </c>
      <c r="D17" s="319">
        <f>SUMIFS(Пр_4!G$10:G$1193,Пр_4!D$10:D$1193,C17)</f>
        <v>140571133</v>
      </c>
      <c r="E17" s="319">
        <f>SUMIFS(Пр_4!H$10:H$1193,Пр_4!$D$10:$D$1193,C17)</f>
        <v>263324</v>
      </c>
      <c r="F17" s="319">
        <f>SUMIFS(Пр_4!I$10:I$1193,Пр_4!$D$10:$D$1193,C17)</f>
        <v>140834457</v>
      </c>
    </row>
    <row r="18" spans="1:6" ht="63.75" thickBot="1">
      <c r="A18" s="328" t="s">
        <v>2498</v>
      </c>
      <c r="B18" s="317" t="str">
        <f>IF(C18&gt;0,VLOOKUP(C18,Программа!A$2:B$5008,2))</f>
        <v>Ведомственная целевая программа «Сохранение и развитие культуры Тутаевского муниципального района» на 2014-2016 годы.</v>
      </c>
      <c r="C18" s="318">
        <v>31</v>
      </c>
      <c r="D18" s="319">
        <f>SUMIFS(Пр_4!G$10:G$1193,Пр_4!D$10:D$1193,C18)</f>
        <v>140271133</v>
      </c>
      <c r="E18" s="319">
        <f>SUMIFS(Пр_4!H$10:H$1193,Пр_4!$D$10:$D$1193,C18)</f>
        <v>153963</v>
      </c>
      <c r="F18" s="319">
        <f>SUMIFS(Пр_4!I$10:I$1193,Пр_4!$D$10:$D$1193,C18)</f>
        <v>140425096</v>
      </c>
    </row>
    <row r="19" spans="1:6" ht="79.5" thickBot="1">
      <c r="A19" s="328" t="s">
        <v>2499</v>
      </c>
      <c r="B19" s="317" t="str">
        <f>IF(C19&gt;0,VLOOKUP(C19,Программа!A$2:B$5008,2))</f>
        <v>Муниципальная целевая программа «Развитие въездного и внутреннего туризма на территории Тутаевского муниципального района  на 2011-2015 годы».</v>
      </c>
      <c r="C19" s="318">
        <v>32</v>
      </c>
      <c r="D19" s="319">
        <f>SUMIFS(Пр_4!G$10:G$1193,Пр_4!D$10:D$1193,C19)</f>
        <v>300000</v>
      </c>
      <c r="E19" s="319">
        <f>SUMIFS(Пр_4!H$10:H$1193,Пр_4!$D$10:$D$1193,C19)</f>
        <v>109361</v>
      </c>
      <c r="F19" s="319">
        <f>SUMIFS(Пр_4!I$10:I$1193,Пр_4!$D$10:$D$1193,C19)</f>
        <v>409361</v>
      </c>
    </row>
    <row r="20" spans="1:6" ht="16.5" thickBot="1">
      <c r="A20" s="326" t="s">
        <v>2500</v>
      </c>
      <c r="B20" s="317" t="str">
        <f>IF(C20&gt;0,VLOOKUP(C20,Программа!A$2:B$5008,2))</f>
        <v>Развитие физической культуры и спорта</v>
      </c>
      <c r="C20" s="318">
        <v>40</v>
      </c>
      <c r="D20" s="319">
        <f>SUMIFS(Пр_4!G$10:G$1193,Пр_4!D$10:D$1193,C20)</f>
        <v>1662990</v>
      </c>
      <c r="E20" s="319">
        <f>SUMIFS(Пр_4!H$10:H$1193,Пр_4!$D$10:$D$1193,C20)</f>
        <v>0</v>
      </c>
      <c r="F20" s="319">
        <f>SUMIFS(Пр_4!I$10:I$1193,Пр_4!$D$10:$D$1193,C20)</f>
        <v>1662990</v>
      </c>
    </row>
    <row r="21" spans="1:6" ht="63.75" thickBot="1">
      <c r="A21" s="328" t="s">
        <v>2501</v>
      </c>
      <c r="B21" s="317" t="str">
        <f>IF(C21&gt;0,VLOOKUP(C21,Программа!A$2:B$5008,2))</f>
        <v>Муниципальная целевая программа «Развитие физической культуры и спорта в Тутаевском муниципальном районе на 2013-2015 годы».</v>
      </c>
      <c r="C21" s="318">
        <v>41</v>
      </c>
      <c r="D21" s="319">
        <f>SUMIFS(Пр_4!G$10:G$1193,Пр_4!D$10:D$1193,C21)</f>
        <v>1662990</v>
      </c>
      <c r="E21" s="319">
        <f>SUMIFS(Пр_4!H$10:H$1193,Пр_4!$D$10:$D$1193,C21)</f>
        <v>0</v>
      </c>
      <c r="F21" s="319">
        <f>SUMIFS(Пр_4!I$10:I$1193,Пр_4!$D$10:$D$1193,C21)</f>
        <v>1662990</v>
      </c>
    </row>
    <row r="22" spans="1:6" ht="16.5" thickBot="1">
      <c r="A22" s="326" t="s">
        <v>2502</v>
      </c>
      <c r="B22" s="317" t="str">
        <f>IF(C22&gt;0,VLOOKUP(C22,Программа!A$2:B$5008,2))</f>
        <v>Социальная поддержка граждан</v>
      </c>
      <c r="C22" s="318">
        <v>50</v>
      </c>
      <c r="D22" s="319">
        <f>SUMIFS(Пр_4!G$10:G$1193,Пр_4!D$10:D$1193,C22)</f>
        <v>301844495</v>
      </c>
      <c r="E22" s="319">
        <f>SUMIFS(Пр_4!H$10:H$1193,Пр_4!$D$10:$D$1193,C22)</f>
        <v>-4158617</v>
      </c>
      <c r="F22" s="319">
        <f>SUMIFS(Пр_4!I$10:I$1193,Пр_4!$D$10:$D$1193,C22)</f>
        <v>297685878</v>
      </c>
    </row>
    <row r="23" spans="1:6" ht="63.75" thickBot="1">
      <c r="A23" s="326" t="s">
        <v>2503</v>
      </c>
      <c r="B23" s="317" t="str">
        <f>IF(C23&gt;0,VLOOKUP(C23,Программа!A$2:B$5008,2))</f>
        <v>Ведомственная целевая программа «Социальная поддержка населения Тутаевского муниципального района» на 2014-2016 годы.</v>
      </c>
      <c r="C23" s="318">
        <v>51</v>
      </c>
      <c r="D23" s="319">
        <f>SUMIFS(Пр_4!G$10:G$1193,Пр_4!D$10:D$1193,C23)</f>
        <v>301844495</v>
      </c>
      <c r="E23" s="319">
        <f>SUMIFS(Пр_4!H$10:H$1193,Пр_4!$D$10:$D$1193,C23)</f>
        <v>-4158617</v>
      </c>
      <c r="F23" s="319">
        <f>SUMIFS(Пр_4!I$10:I$1193,Пр_4!$D$10:$D$1193,C23)</f>
        <v>297685878</v>
      </c>
    </row>
    <row r="24" spans="1:6" ht="16.5" thickBot="1">
      <c r="A24" s="326" t="s">
        <v>2504</v>
      </c>
      <c r="B24" s="317" t="str">
        <f>IF(C24&gt;0,VLOOKUP(C24,Программа!A$2:B$5008,2))</f>
        <v>Доступная среда</v>
      </c>
      <c r="C24" s="318">
        <v>60</v>
      </c>
      <c r="D24" s="319">
        <f>SUMIFS(Пр_4!G$10:G$1193,Пр_4!D$10:D$1193,C24)</f>
        <v>14029890</v>
      </c>
      <c r="E24" s="319">
        <f>SUMIFS(Пр_4!H$10:H$1193,Пр_4!$D$10:$D$1193,C24)</f>
        <v>0</v>
      </c>
      <c r="F24" s="319">
        <f>SUMIFS(Пр_4!I$10:I$1193,Пр_4!$D$10:$D$1193,C24)</f>
        <v>14029890</v>
      </c>
    </row>
    <row r="25" spans="1:6" ht="32.25" thickBot="1">
      <c r="A25" s="328" t="s">
        <v>2505</v>
      </c>
      <c r="B25" s="317" t="str">
        <f>IF(C25&gt;0,VLOOKUP(C25,Программа!A$2:B$5008,2))</f>
        <v>Муниципальная целевая программа «Доступная среда» на 2012-2015 годы.</v>
      </c>
      <c r="C25" s="318">
        <v>61</v>
      </c>
      <c r="D25" s="319">
        <f>SUMIFS(Пр_4!G$10:G$1193,Пр_4!D$10:D$1193,C25)</f>
        <v>14029890</v>
      </c>
      <c r="E25" s="319">
        <f>SUMIFS(Пр_4!H$10:H$1193,Пр_4!$D$10:$D$1193,C25)</f>
        <v>0</v>
      </c>
      <c r="F25" s="319">
        <f>SUMIFS(Пр_4!I$10:I$1193,Пр_4!$D$10:$D$1193,C25)</f>
        <v>14029890</v>
      </c>
    </row>
    <row r="26" spans="1:6" ht="32.25" thickBot="1">
      <c r="A26" s="326" t="s">
        <v>2506</v>
      </c>
      <c r="B26" s="317" t="str">
        <f>IF(C26&gt;0,VLOOKUP(C26,Программа!A$2:B$5008,2))</f>
        <v>Развитие коммунальной и инженерной инфраструктуры</v>
      </c>
      <c r="C26" s="318">
        <v>70</v>
      </c>
      <c r="D26" s="319">
        <f>SUMIFS(Пр_4!G$10:G$1193,Пр_4!D$10:D$1193,C26)</f>
        <v>42117766.310000002</v>
      </c>
      <c r="E26" s="319">
        <f>SUMIFS(Пр_4!H$10:H$1193,Пр_4!$D$10:$D$1193,C26)</f>
        <v>282600</v>
      </c>
      <c r="F26" s="319">
        <f>SUMIFS(Пр_4!I$10:I$1193,Пр_4!$D$10:$D$1193,C26)</f>
        <v>42400366.310000002</v>
      </c>
    </row>
    <row r="27" spans="1:6" ht="79.5" thickBot="1">
      <c r="A27" s="328" t="s">
        <v>2507</v>
      </c>
      <c r="B27" s="317" t="str">
        <f>IF(C27&gt;0,VLOOKUP(C27,Программа!A$2:B$5008,2))</f>
        <v>Программа комплексного развития систем коммунальной инфраструктуры Тутаевского муниципального района на 2011-2015 годы с перспективой до 2030 года.</v>
      </c>
      <c r="C27" s="318">
        <v>71</v>
      </c>
      <c r="D27" s="319">
        <f>SUMIFS(Пр_4!G$10:G$1193,Пр_4!D$10:D$1193,C27)</f>
        <v>5661434</v>
      </c>
      <c r="E27" s="319">
        <f>SUMIFS(Пр_4!H$10:H$1193,Пр_4!$D$10:$D$1193,C27)</f>
        <v>82600</v>
      </c>
      <c r="F27" s="319">
        <f>SUMIFS(Пр_4!I$10:I$1193,Пр_4!$D$10:$D$1193,C27)</f>
        <v>5744034</v>
      </c>
    </row>
    <row r="28" spans="1:6" ht="95.25" thickBot="1">
      <c r="A28" s="328" t="s">
        <v>2508</v>
      </c>
      <c r="B28" s="317" t="str">
        <f>IF(C28&gt;0,VLOOKUP(C28,Программа!A$2:B$5008,2))</f>
        <v>Муниципальная целевая программа «Развитие водоснабжения, водоотведения и очистки сточных вод» на территории Тутаевского муниципального района на период 2012-2017 годов.</v>
      </c>
      <c r="C28" s="318">
        <v>72</v>
      </c>
      <c r="D28" s="319">
        <f>SUMIFS(Пр_4!G$10:G$1193,Пр_4!D$10:D$1193,C28)</f>
        <v>2309690</v>
      </c>
      <c r="E28" s="319">
        <f>SUMIFS(Пр_4!H$10:H$1193,Пр_4!$D$10:$D$1193,C28)</f>
        <v>0</v>
      </c>
      <c r="F28" s="319">
        <f>SUMIFS(Пр_4!I$10:I$1193,Пр_4!$D$10:$D$1193,C28)</f>
        <v>2309690</v>
      </c>
    </row>
    <row r="29" spans="1:6" ht="95.25" thickBot="1">
      <c r="A29" s="328" t="s">
        <v>2675</v>
      </c>
      <c r="B29" s="317" t="str">
        <f>IF(C29&gt;0,VLOOKUP(C29,Программа!A$2:B$5008,2))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на 2014-2016 годы  </v>
      </c>
      <c r="C29" s="318">
        <v>73</v>
      </c>
      <c r="D29" s="319">
        <f>SUMIFS(Пр_4!G$10:G$1193,Пр_4!D$10:D$1193,C29)</f>
        <v>34146642.310000002</v>
      </c>
      <c r="E29" s="319">
        <f>SUMIFS(Пр_4!H$10:H$1193,Пр_4!$D$10:$D$1193,C29)</f>
        <v>200000</v>
      </c>
      <c r="F29" s="319">
        <f>SUMIFS(Пр_4!I$10:I$1193,Пр_4!$D$10:$D$1193,C29)</f>
        <v>34346642.310000002</v>
      </c>
    </row>
    <row r="30" spans="1:6" ht="32.25" thickBot="1">
      <c r="A30" s="326" t="s">
        <v>2509</v>
      </c>
      <c r="B30" s="317" t="str">
        <f>IF(C30&gt;0,VLOOKUP(C30,Программа!A$2:B$5008,2))</f>
        <v>Энергоэффективность и развитие энергетики</v>
      </c>
      <c r="C30" s="318">
        <v>80</v>
      </c>
      <c r="D30" s="319">
        <f>SUMIFS(Пр_4!G$10:G$1193,Пр_4!D$10:D$1193,C30)</f>
        <v>5873000</v>
      </c>
      <c r="E30" s="319">
        <f>SUMIFS(Пр_4!H$10:H$1193,Пр_4!$D$10:$D$1193,C30)</f>
        <v>0</v>
      </c>
      <c r="F30" s="319">
        <f>SUMIFS(Пр_4!I$10:I$1193,Пр_4!$D$10:$D$1193,C30)</f>
        <v>5873000</v>
      </c>
    </row>
    <row r="31" spans="1:6" ht="63.75" thickBot="1">
      <c r="A31" s="328" t="s">
        <v>2510</v>
      </c>
      <c r="B31" s="317" t="str">
        <f>IF(C31&gt;0,VLOOKUP(C31,Программа!A$2:B$5008,2))</f>
        <v>Муниципальная целевая программа «Об энергосбережении и повышении энергетической эффективности ТМР на 2014-2016 годы.</v>
      </c>
      <c r="C31" s="318">
        <v>81</v>
      </c>
      <c r="D31" s="319">
        <f>SUMIFS(Пр_4!G$10:G$1193,Пр_4!D$10:D$1193,C31)</f>
        <v>5873000</v>
      </c>
      <c r="E31" s="319">
        <f>SUMIFS(Пр_4!H$10:H$1193,Пр_4!$D$10:$D$1193,C31)</f>
        <v>0</v>
      </c>
      <c r="F31" s="319">
        <f>SUMIFS(Пр_4!I$10:I$1193,Пр_4!$D$10:$D$1193,C31)</f>
        <v>5873000</v>
      </c>
    </row>
    <row r="32" spans="1:6" ht="32.25" thickBot="1">
      <c r="A32" s="326" t="s">
        <v>2511</v>
      </c>
      <c r="B32" s="317" t="str">
        <f>IF(C32&gt;0,VLOOKUP(C32,Программа!A$2:B$5008,2))</f>
        <v>Развитие системы муниципального заказа</v>
      </c>
      <c r="C32" s="318">
        <v>90</v>
      </c>
      <c r="D32" s="319">
        <f>SUMIFS(Пр_4!G$10:G$1193,Пр_4!D$10:D$1193,C32)</f>
        <v>146876</v>
      </c>
      <c r="E32" s="319">
        <f>SUMIFS(Пр_4!H$10:H$1193,Пр_4!$D$10:$D$1193,C32)</f>
        <v>0</v>
      </c>
      <c r="F32" s="319">
        <f>SUMIFS(Пр_4!I$10:I$1193,Пр_4!$D$10:$D$1193,C32)</f>
        <v>146876</v>
      </c>
    </row>
    <row r="33" spans="1:6" ht="63.75" thickBot="1">
      <c r="A33" s="328" t="s">
        <v>2512</v>
      </c>
      <c r="B33" s="317" t="str">
        <f>IF(C33&gt;0,VLOOKUP(C33,Программа!A$2:B$5008,2))</f>
        <v>Муниципальная целевая программа «Развитие системы муниципального заказа в Тутаевском муниципальном районе в 2014-2016 годах».</v>
      </c>
      <c r="C33" s="318">
        <v>91</v>
      </c>
      <c r="D33" s="319">
        <f>SUMIFS(Пр_4!G$10:G$1193,Пр_4!D$10:D$1193,C33)</f>
        <v>146876</v>
      </c>
      <c r="E33" s="319">
        <f>SUMIFS(Пр_4!H$10:H$1193,Пр_4!$D$10:$D$1193,C33)</f>
        <v>0</v>
      </c>
      <c r="F33" s="319">
        <f>SUMIFS(Пр_4!I$10:I$1193,Пр_4!$D$10:$D$1193,C33)</f>
        <v>146876</v>
      </c>
    </row>
    <row r="34" spans="1:6" ht="63.75" thickBot="1">
      <c r="A34" s="326" t="s">
        <v>2083</v>
      </c>
      <c r="B34" s="317" t="str">
        <f>IF(C34&gt;0,VLOOKUP(C34,Программа!A$2:B$5008,2))</f>
        <v>Развитие экономического потенциала и формирование благоприятного инвестиционного климата, развитие предпринимательства</v>
      </c>
      <c r="C34" s="318">
        <v>100</v>
      </c>
      <c r="D34" s="319">
        <f>SUMIFS(Пр_4!G$10:G$1193,Пр_4!D$10:D$1193,C34)</f>
        <v>70000</v>
      </c>
      <c r="E34" s="319">
        <f>SUMIFS(Пр_4!H$10:H$1193,Пр_4!$D$10:$D$1193,C34)</f>
        <v>0</v>
      </c>
      <c r="F34" s="319">
        <f>SUMIFS(Пр_4!I$10:I$1193,Пр_4!$D$10:$D$1193,C34)</f>
        <v>70000</v>
      </c>
    </row>
    <row r="35" spans="1:6" ht="79.5" thickBot="1">
      <c r="A35" s="328" t="s">
        <v>2513</v>
      </c>
      <c r="B35" s="317" t="str">
        <f>IF(C35&gt;0,VLOOKUP(C35,Программа!A$2:B$5008,2))</f>
        <v>Муниципальная целевая программа «Развитие субъектов малого и среднего предпринимательства Тутаевского муниципального района на 2012-2015 годы».</v>
      </c>
      <c r="C35" s="318">
        <v>101</v>
      </c>
      <c r="D35" s="319">
        <f>SUMIFS(Пр_4!G$10:G$1193,Пр_4!D$10:D$1193,C35)</f>
        <v>70000</v>
      </c>
      <c r="E35" s="319">
        <f>SUMIFS(Пр_4!H$10:H$1193,Пр_4!$D$10:$D$1193,C35)</f>
        <v>0</v>
      </c>
      <c r="F35" s="319">
        <f>SUMIFS(Пр_4!I$10:I$1193,Пр_4!$D$10:$D$1193,C35)</f>
        <v>70000</v>
      </c>
    </row>
    <row r="36" spans="1:6" ht="32.25" thickBot="1">
      <c r="A36" s="326" t="s">
        <v>270</v>
      </c>
      <c r="B36" s="317" t="str">
        <f>IF(C36&gt;0,VLOOKUP(C36,Программа!A$2:B$5008,2))</f>
        <v>Создание единого информационного пространства</v>
      </c>
      <c r="C36" s="318">
        <v>110</v>
      </c>
      <c r="D36" s="319">
        <f>SUMIFS(Пр_4!G$10:G$1193,Пр_4!D$10:D$1193,C36)</f>
        <v>729840</v>
      </c>
      <c r="E36" s="319">
        <f>SUMIFS(Пр_4!H$10:H$1193,Пр_4!$D$10:$D$1193,C36)</f>
        <v>0</v>
      </c>
      <c r="F36" s="319">
        <f>SUMIFS(Пр_4!I$10:I$1193,Пр_4!$D$10:$D$1193,C36)</f>
        <v>729840</v>
      </c>
    </row>
    <row r="37" spans="1:6" ht="63.75" thickBot="1">
      <c r="A37" s="328" t="s">
        <v>2514</v>
      </c>
      <c r="B37" s="317" t="str">
        <f>IF(C37&gt;0,VLOOKUP(C37,Программа!A$2:B$5008,2))</f>
        <v>Муниципальная целевая программа «Информатизация управленческой деятельности Администрации ТМР на 2013-2014 годы».</v>
      </c>
      <c r="C37" s="318">
        <v>111</v>
      </c>
      <c r="D37" s="319">
        <f>SUMIFS(Пр_4!G$10:G$1193,Пр_4!D$10:D$1193,C37)</f>
        <v>729840</v>
      </c>
      <c r="E37" s="319">
        <f>SUMIFS(Пр_4!H$10:H$1193,Пр_4!$D$10:$D$1193,C37)</f>
        <v>0</v>
      </c>
      <c r="F37" s="319">
        <f>SUMIFS(Пр_4!I$10:I$1193,Пр_4!$D$10:$D$1193,C37)</f>
        <v>729840</v>
      </c>
    </row>
    <row r="38" spans="1:6" ht="32.25" thickBot="1">
      <c r="A38" s="326" t="s">
        <v>271</v>
      </c>
      <c r="B38" s="317" t="str">
        <f>IF(C38&gt;0,VLOOKUP(C38,Программа!A$2:B$5008,2))</f>
        <v>Совершенствование муниципального управления</v>
      </c>
      <c r="C38" s="318">
        <v>120</v>
      </c>
      <c r="D38" s="319">
        <f>SUMIFS(Пр_4!G$10:G$1193,Пр_4!D$10:D$1193,C38)</f>
        <v>240000</v>
      </c>
      <c r="E38" s="319">
        <f>SUMIFS(Пр_4!H$10:H$1193,Пр_4!$D$10:$D$1193,C38)</f>
        <v>0</v>
      </c>
      <c r="F38" s="319">
        <f>SUMIFS(Пр_4!I$10:I$1193,Пр_4!$D$10:$D$1193,C38)</f>
        <v>240000</v>
      </c>
    </row>
    <row r="39" spans="1:6" ht="48" thickBot="1">
      <c r="A39" s="328" t="s">
        <v>2515</v>
      </c>
      <c r="B39" s="317" t="str">
        <f>IF(C39&gt;0,VLOOKUP(C39,Программа!A$2:B$5008,2))</f>
        <v>Программа развития муниципальной службы в Тутаевском муниципальном районе на 2013-2015 годы.</v>
      </c>
      <c r="C39" s="318">
        <v>121</v>
      </c>
      <c r="D39" s="319">
        <f>SUMIFS(Пр_4!G$10:G$1193,Пр_4!D$10:D$1193,C39)</f>
        <v>240000</v>
      </c>
      <c r="E39" s="319">
        <f>SUMIFS(Пр_4!H$10:H$1193,Пр_4!$D$10:$D$1193,C39)</f>
        <v>0</v>
      </c>
      <c r="F39" s="319">
        <f>SUMIFS(Пр_4!I$10:I$1193,Пр_4!$D$10:$D$1193,C39)</f>
        <v>240000</v>
      </c>
    </row>
    <row r="40" spans="1:6" ht="16.5" hidden="1" thickBot="1">
      <c r="A40" s="326" t="s">
        <v>2516</v>
      </c>
      <c r="B40" s="317" t="str">
        <f>IF(C40&gt;0,VLOOKUP(C40,Программа!A$2:B$5008,2))</f>
        <v>Улучшение условий охраны труда</v>
      </c>
      <c r="C40" s="318">
        <v>130</v>
      </c>
      <c r="D40" s="319">
        <f>SUMIFS(Пр_4!G$10:G$1193,Пр_4!D$10:D$1193,C40)</f>
        <v>0</v>
      </c>
      <c r="E40" s="319">
        <f>SUMIFS(Пр_4!H$10:H$1193,Пр_4!$D$10:$D$1193,C40)</f>
        <v>0</v>
      </c>
      <c r="F40" s="319">
        <f>SUMIFS(Пр_4!I$10:I$1193,Пр_4!$D$10:$D$1193,C40)</f>
        <v>0</v>
      </c>
    </row>
    <row r="41" spans="1:6" ht="63.75" hidden="1" thickBot="1">
      <c r="A41" s="326" t="s">
        <v>2517</v>
      </c>
      <c r="B41" s="317" t="str">
        <f>IF(C41&gt;0,VLOOKUP(C41,Программа!A$2:B$5008,2))</f>
        <v>Районная целевая программа «Улучшение условий и охраны труда» на 2014-2016 годы по Тутаевскому муниципальному району.</v>
      </c>
      <c r="C41" s="318">
        <v>131</v>
      </c>
      <c r="D41" s="319">
        <f>SUMIFS(Пр_4!G$10:G$1193,Пр_4!D$10:D$1193,C41)</f>
        <v>0</v>
      </c>
      <c r="E41" s="319">
        <f>SUMIFS(Пр_4!H$10:H$1193,Пр_4!$D$10:$D$1193,C41)</f>
        <v>0</v>
      </c>
      <c r="F41" s="319">
        <f>SUMIFS(Пр_4!I$10:I$1193,Пр_4!$D$10:$D$1193,C41)</f>
        <v>0</v>
      </c>
    </row>
    <row r="42" spans="1:6" ht="16.5" thickBot="1">
      <c r="A42" s="326" t="s">
        <v>272</v>
      </c>
      <c r="B42" s="317" t="str">
        <f>IF(C42&gt;0,VLOOKUP(C42,Программа!A$2:B$5008,2))</f>
        <v>Развитие сельского хозяйства</v>
      </c>
      <c r="C42" s="318">
        <v>140</v>
      </c>
      <c r="D42" s="319">
        <f>SUMIFS(Пр_4!G$10:G$1193,Пр_4!D$10:D$1193,C42)</f>
        <v>1448889</v>
      </c>
      <c r="E42" s="319">
        <f>SUMIFS(Пр_4!H$10:H$1193,Пр_4!$D$10:$D$1193,C42)</f>
        <v>0</v>
      </c>
      <c r="F42" s="319">
        <f>SUMIFS(Пр_4!I$10:I$1193,Пр_4!$D$10:$D$1193,C42)</f>
        <v>1448889</v>
      </c>
    </row>
    <row r="43" spans="1:6" ht="63.75" thickBot="1">
      <c r="A43" s="328" t="s">
        <v>2518</v>
      </c>
      <c r="B43" s="317" t="str">
        <f>IF(C43&gt;0,VLOOKUP(C43,Программа!A$2:B$5008,2))</f>
        <v>Муниципальная целевая программа «Развитие потребительского рынка Тутаевского муниципального района на 2012-2014 годы».</v>
      </c>
      <c r="C43" s="318">
        <v>141</v>
      </c>
      <c r="D43" s="319">
        <f>SUMIFS(Пр_4!G$10:G$1193,Пр_4!D$10:D$1193,C43)</f>
        <v>148889</v>
      </c>
      <c r="E43" s="319">
        <f>SUMIFS(Пр_4!H$10:H$1193,Пр_4!$D$10:$D$1193,C43)</f>
        <v>0</v>
      </c>
      <c r="F43" s="319">
        <f>SUMIFS(Пр_4!I$10:I$1193,Пр_4!$D$10:$D$1193,C43)</f>
        <v>148889</v>
      </c>
    </row>
    <row r="44" spans="1:6" ht="79.5" thickBot="1">
      <c r="A44" s="328" t="s">
        <v>2519</v>
      </c>
      <c r="B44" s="317" t="str">
        <f>IF(C44&gt;0,VLOOKUP(C44,Программа!A$2:B$5008,2))</f>
        <v>Муниципальная целевая программа «Развитие агропромышленного комплекса и сельских территорий Тутаевского муниципального района на 2013-2015 годы».</v>
      </c>
      <c r="C44" s="318">
        <v>142</v>
      </c>
      <c r="D44" s="319">
        <f>SUMIFS(Пр_4!G$10:G$1193,Пр_4!D$10:D$1193,C44)</f>
        <v>1300000</v>
      </c>
      <c r="E44" s="319">
        <f>SUMIFS(Пр_4!H$10:H$1193,Пр_4!$D$10:$D$1193,C44)</f>
        <v>0</v>
      </c>
      <c r="F44" s="319">
        <f>SUMIFS(Пр_4!I$10:I$1193,Пр_4!$D$10:$D$1193,C44)</f>
        <v>1300000</v>
      </c>
    </row>
    <row r="45" spans="1:6" ht="32.25" thickBot="1">
      <c r="A45" s="326" t="s">
        <v>2520</v>
      </c>
      <c r="B45" s="317" t="str">
        <f>IF(C45&gt;0,VLOOKUP(C45,Программа!A$2:B$5008,2))</f>
        <v>Развитие дорожного хозяйства и транспорта</v>
      </c>
      <c r="C45" s="318">
        <v>150</v>
      </c>
      <c r="D45" s="319">
        <f>SUMIFS(Пр_4!G$10:G$1193,Пр_4!D$10:D$1193,C45)</f>
        <v>16741005</v>
      </c>
      <c r="E45" s="319">
        <f>SUMIFS(Пр_4!H$10:H$1193,Пр_4!$D$10:$D$1193,C45)</f>
        <v>0</v>
      </c>
      <c r="F45" s="319">
        <f>SUMIFS(Пр_4!I$10:I$1193,Пр_4!$D$10:$D$1193,C45)</f>
        <v>16741005</v>
      </c>
    </row>
    <row r="46" spans="1:6" ht="79.5" thickBot="1">
      <c r="A46" s="328" t="s">
        <v>2521</v>
      </c>
      <c r="B46" s="317" t="str">
        <f>IF(C46&gt;0,VLOOKUP(C46,Программа!A$2:B$5008,2))</f>
        <v>Муниципальная целевая программа «Повышение безопасности дорожного движения на территории Тутаевского муниципального района на 2013-2015 годы».</v>
      </c>
      <c r="C46" s="318">
        <v>151</v>
      </c>
      <c r="D46" s="319">
        <f>SUMIFS(Пр_4!G$10:G$1193,Пр_4!D$10:D$1193,C46)</f>
        <v>400000</v>
      </c>
      <c r="E46" s="319">
        <f>SUMIFS(Пр_4!H$10:H$1193,Пр_4!$D$10:$D$1193,C46)</f>
        <v>-185000</v>
      </c>
      <c r="F46" s="319">
        <f>SUMIFS(Пр_4!I$10:I$1193,Пр_4!$D$10:$D$1193,C46)</f>
        <v>215000</v>
      </c>
    </row>
    <row r="47" spans="1:6" ht="79.5" thickBot="1">
      <c r="A47" s="328" t="s">
        <v>2522</v>
      </c>
      <c r="B47" s="317" t="str">
        <f>IF(C47&gt;0,VLOOKUP(C47,Программа!A$2:B$5008,2))</f>
        <v>Муниципальная целевая программа «Сохранность автомобильных дорог общего пользования Тутаевского муниципального района на 2013-2015 годы».</v>
      </c>
      <c r="C47" s="318">
        <v>152</v>
      </c>
      <c r="D47" s="319">
        <f>SUMIFS(Пр_4!G$10:G$1193,Пр_4!D$10:D$1193,C47)</f>
        <v>16341005</v>
      </c>
      <c r="E47" s="319">
        <f>SUMIFS(Пр_4!H$10:H$1193,Пр_4!$D$10:$D$1193,C47)</f>
        <v>185000</v>
      </c>
      <c r="F47" s="319">
        <f>SUMIFS(Пр_4!I$10:I$1193,Пр_4!$D$10:$D$1193,C47)</f>
        <v>16526005</v>
      </c>
    </row>
    <row r="48" spans="1:6" ht="48" thickBot="1">
      <c r="A48" s="326" t="s">
        <v>273</v>
      </c>
      <c r="B48" s="317" t="str">
        <f>IF(C48&gt;0,VLOOKUP(C48,Программа!A$2:B$5008,2))</f>
        <v>Поддержка некоммерческих организаций и территориального общественного самоуправления</v>
      </c>
      <c r="C48" s="318">
        <v>160</v>
      </c>
      <c r="D48" s="319">
        <f>SUMIFS(Пр_4!G$10:G$1193,Пр_4!D$10:D$1193,C48)</f>
        <v>15000</v>
      </c>
      <c r="E48" s="319">
        <f>SUMIFS(Пр_4!H$10:H$1193,Пр_4!$D$10:$D$1193,C48)</f>
        <v>3000</v>
      </c>
      <c r="F48" s="319">
        <f>SUMIFS(Пр_4!I$10:I$1193,Пр_4!$D$10:$D$1193,C48)</f>
        <v>18000</v>
      </c>
    </row>
    <row r="49" spans="1:6" ht="111" thickBot="1">
      <c r="A49" s="328" t="s">
        <v>2523</v>
      </c>
      <c r="B49" s="317" t="str">
        <f>IF(C49&gt;0,VLOOKUP(C49,Программа!A$2:B$5008,2))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 на 2014-2016 годы.</v>
      </c>
      <c r="C49" s="318">
        <v>161</v>
      </c>
      <c r="D49" s="319">
        <f>SUMIFS(Пр_4!G$10:G$1193,Пр_4!D$10:D$1193,C49)</f>
        <v>15000</v>
      </c>
      <c r="E49" s="319">
        <f>SUMIFS(Пр_4!H$10:H$1193,Пр_4!$D$10:$D$1193,C49)</f>
        <v>3000</v>
      </c>
      <c r="F49" s="319">
        <f>SUMIFS(Пр_4!I$10:I$1193,Пр_4!$D$10:$D$1193,C49)</f>
        <v>18000</v>
      </c>
    </row>
    <row r="50" spans="1:6" ht="16.5" thickBot="1">
      <c r="A50" s="326" t="s">
        <v>1026</v>
      </c>
      <c r="B50" s="317" t="str">
        <f>IF(C50&gt;0,VLOOKUP(C50,Программа!A$2:B$5008,2))</f>
        <v xml:space="preserve">Развитие жилищного строительства </v>
      </c>
      <c r="C50" s="318">
        <v>170</v>
      </c>
      <c r="D50" s="319">
        <f>SUMIFS(Пр_4!G$10:G$1193,Пр_4!D$10:D$1193,C50)</f>
        <v>74142685.590000004</v>
      </c>
      <c r="E50" s="319">
        <f>SUMIFS(Пр_4!H$10:H$1193,Пр_4!$D$10:$D$1193,C50)</f>
        <v>-5466276.2300000004</v>
      </c>
      <c r="F50" s="319">
        <f>SUMIFS(Пр_4!I$10:I$1193,Пр_4!$D$10:$D$1193,C50)</f>
        <v>68676409.359999999</v>
      </c>
    </row>
    <row r="51" spans="1:6" ht="95.25" thickBot="1">
      <c r="A51" s="328" t="s">
        <v>2613</v>
      </c>
      <c r="B51" s="317" t="str">
        <f>IF(C51&gt;0,VLOOKUP(C51,Программа!A$2:B$5008,2))</f>
        <v>МЦП «Развитие жилищного строительства в Тутаевском МР на 2011-2015 годы» Подпрограмма «Переселение граждан из аварийного жилищного фонда  в ТМР» на 2013-2015 годы</v>
      </c>
      <c r="C51" s="318">
        <v>171</v>
      </c>
      <c r="D51" s="319">
        <f>SUMIFS(Пр_4!G$10:G$1193,Пр_4!D$10:D$1193,C51)</f>
        <v>74142685.189999998</v>
      </c>
      <c r="E51" s="319">
        <f>SUMIFS(Пр_4!H$10:H$1193,Пр_4!$D$10:$D$1193,C51)</f>
        <v>-5466276.2300000004</v>
      </c>
      <c r="F51" s="319">
        <f>SUMIFS(Пр_4!I$10:I$1193,Пр_4!$D$10:$D$1193,C51)</f>
        <v>68676408.959999993</v>
      </c>
    </row>
    <row r="52" spans="1:6" ht="32.25" thickBot="1">
      <c r="A52" s="328" t="s">
        <v>2662</v>
      </c>
      <c r="B52" s="317" t="s">
        <v>2665</v>
      </c>
      <c r="C52" s="318">
        <v>180</v>
      </c>
      <c r="D52" s="319">
        <f>SUMIFS(Пр_4!G$10:G$1193,Пр_4!D$10:D$1193,C52)</f>
        <v>697987</v>
      </c>
      <c r="E52" s="319">
        <f>SUMIFS(Пр_4!H$10:H$1193,Пр_4!$D$10:$D$1193,C52)</f>
        <v>0</v>
      </c>
      <c r="F52" s="319">
        <f>SUMIFS(Пр_4!I$10:I$1193,Пр_4!$D$10:$D$1193,C52)</f>
        <v>697987</v>
      </c>
    </row>
    <row r="53" spans="1:6" ht="48" thickBot="1">
      <c r="A53" s="328" t="s">
        <v>2663</v>
      </c>
      <c r="B53" s="317" t="s">
        <v>2664</v>
      </c>
      <c r="C53" s="318">
        <v>181</v>
      </c>
      <c r="D53" s="319">
        <f>SUMIFS(Пр_4!G$10:G$1193,Пр_4!D$10:D$1193,C53)</f>
        <v>697987</v>
      </c>
      <c r="E53" s="319">
        <f>SUMIFS(Пр_4!H$10:H$1193,Пр_4!$D$10:$D$1193,C53)</f>
        <v>0</v>
      </c>
      <c r="F53" s="319">
        <f>SUMIFS(Пр_4!I$10:I$1193,Пр_4!$D$10:$D$1193,C53)</f>
        <v>697987</v>
      </c>
    </row>
    <row r="54" spans="1:6" ht="15" customHeight="1" thickBot="1">
      <c r="A54" s="328"/>
      <c r="B54" s="321" t="s">
        <v>1130</v>
      </c>
      <c r="C54" s="333"/>
      <c r="D54" s="323">
        <f>D10+D14+D17+D20+D22+D24+D26+D30+D32+D34+D36+D38+D40+D42+D45+D48+D50+D52</f>
        <v>1482730105.8999999</v>
      </c>
      <c r="E54" s="323">
        <f>E10+E14+E17+E20+E22+E24+E26+E30+E32+E34+E36+E38+E40+E42+E45+E48+E50+E52</f>
        <v>-7920315.2300000004</v>
      </c>
      <c r="F54" s="323">
        <f t="shared" ref="F54" si="0">F10+F14+F17+F20+F22+F24+F26+F30+F32+F34+F36+F38+F40+F42+F45+F48+F50+F52</f>
        <v>1474809790.6699998</v>
      </c>
    </row>
    <row r="55" spans="1:6" ht="16.5" hidden="1" thickBot="1">
      <c r="A55" s="326" t="s">
        <v>2524</v>
      </c>
      <c r="B55" s="317" t="str">
        <f>IF(C55&gt;0,VLOOKUP(C55,Программа!A$2:B$5008,2))</f>
        <v>Непрограммные расходы бюджета</v>
      </c>
      <c r="C55" s="318">
        <v>409</v>
      </c>
      <c r="D55" s="319">
        <f>SUMIFS(Пр_4!G$10:G$1193,Пр_4!D$10:D$1193,C55)</f>
        <v>177019841.71000001</v>
      </c>
      <c r="E55" s="319">
        <f>SUMIFS(Пр_4!H$10:H$1193,Пр_4!$D$10:$D$1193,C55)</f>
        <v>3777479</v>
      </c>
      <c r="F55" s="319">
        <f>SUMIFS(Пр_4!I$10:I$1193,Пр_4!$D$10:$D$1193,C55)</f>
        <v>180797320.71000001</v>
      </c>
    </row>
    <row r="56" spans="1:6" ht="32.25" hidden="1" thickBot="1">
      <c r="A56" s="326" t="s">
        <v>2525</v>
      </c>
      <c r="B56" s="317" t="str">
        <f>IF(C56&gt;0,VLOOKUP(C56,Программа!A$2:B$5008,2))</f>
        <v>Межбюджетные трансферты  поселениям района</v>
      </c>
      <c r="C56" s="318">
        <v>990</v>
      </c>
      <c r="D56" s="319">
        <f>SUMIFS(Пр_4!G$10:G$1193,Пр_4!D$10:D$1193,C56)</f>
        <v>142021794.93000001</v>
      </c>
      <c r="E56" s="319">
        <f>SUMIFS(Пр_4!H$10:H$1193,Пр_4!$D$10:$D$1193,C56)</f>
        <v>-13196639.629999999</v>
      </c>
      <c r="F56" s="319">
        <f>SUMIFS(Пр_4!I$10:I$1193,Пр_4!$D$10:$D$1193,C56)</f>
        <v>128825155.30000001</v>
      </c>
    </row>
    <row r="57" spans="1:6" ht="16.5" hidden="1" thickBot="1">
      <c r="A57" s="326"/>
      <c r="B57" s="321" t="s">
        <v>2529</v>
      </c>
      <c r="C57" s="322"/>
      <c r="D57" s="323">
        <f>D54+D55+D56</f>
        <v>1801771742.54</v>
      </c>
      <c r="E57" s="323">
        <f>E54+E55+E56</f>
        <v>-17339475.859999999</v>
      </c>
      <c r="F57" s="323">
        <f t="shared" ref="F57" si="1">F54+F55+F56</f>
        <v>1784432266.6799998</v>
      </c>
    </row>
    <row r="58" spans="1:6">
      <c r="C58" s="229"/>
    </row>
    <row r="59" spans="1:6">
      <c r="C59" s="229"/>
    </row>
    <row r="60" spans="1:6">
      <c r="C60" s="229"/>
    </row>
    <row r="61" spans="1:6">
      <c r="C61" s="229"/>
    </row>
    <row r="62" spans="1:6">
      <c r="C62" s="229"/>
    </row>
    <row r="63" spans="1:6">
      <c r="C63" s="229"/>
    </row>
    <row r="64" spans="1:6">
      <c r="C64" s="229"/>
    </row>
    <row r="65" spans="3:3">
      <c r="C65" s="229"/>
    </row>
    <row r="66" spans="3:3">
      <c r="C66" s="229"/>
    </row>
    <row r="67" spans="3:3">
      <c r="C67" s="229"/>
    </row>
    <row r="68" spans="3:3">
      <c r="C68" s="229"/>
    </row>
    <row r="69" spans="3:3">
      <c r="C69" s="229"/>
    </row>
    <row r="70" spans="3:3">
      <c r="C70" s="229"/>
    </row>
    <row r="71" spans="3:3">
      <c r="C71" s="229"/>
    </row>
    <row r="72" spans="3:3">
      <c r="C72" s="229"/>
    </row>
    <row r="73" spans="3:3">
      <c r="C73" s="229"/>
    </row>
    <row r="74" spans="3:3">
      <c r="C74" s="229"/>
    </row>
    <row r="75" spans="3:3">
      <c r="C75" s="229"/>
    </row>
    <row r="76" spans="3:3">
      <c r="C76" s="229"/>
    </row>
    <row r="77" spans="3:3">
      <c r="C77" s="229"/>
    </row>
    <row r="78" spans="3:3">
      <c r="C78" s="229"/>
    </row>
    <row r="79" spans="3:3">
      <c r="C79" s="229"/>
    </row>
    <row r="80" spans="3:3">
      <c r="C80" s="229"/>
    </row>
    <row r="81" spans="3:3">
      <c r="C81" s="229"/>
    </row>
    <row r="82" spans="3:3">
      <c r="C82" s="229"/>
    </row>
    <row r="83" spans="3:3">
      <c r="C83" s="229"/>
    </row>
    <row r="84" spans="3:3">
      <c r="C84" s="229"/>
    </row>
    <row r="85" spans="3:3">
      <c r="C85" s="229"/>
    </row>
    <row r="86" spans="3:3">
      <c r="C86" s="229"/>
    </row>
    <row r="87" spans="3:3">
      <c r="C87" s="229"/>
    </row>
    <row r="88" spans="3:3">
      <c r="C88" s="229"/>
    </row>
    <row r="89" spans="3:3">
      <c r="C89" s="229"/>
    </row>
    <row r="90" spans="3:3">
      <c r="C90" s="229"/>
    </row>
    <row r="91" spans="3:3">
      <c r="C91" s="229"/>
    </row>
    <row r="92" spans="3:3">
      <c r="C92" s="229"/>
    </row>
    <row r="93" spans="3:3">
      <c r="C93" s="229"/>
    </row>
    <row r="94" spans="3:3">
      <c r="C94" s="229"/>
    </row>
    <row r="95" spans="3:3">
      <c r="C95" s="229"/>
    </row>
    <row r="96" spans="3:3">
      <c r="C96" s="229"/>
    </row>
    <row r="97" spans="3:3">
      <c r="C97" s="229"/>
    </row>
    <row r="98" spans="3:3">
      <c r="C98" s="229"/>
    </row>
    <row r="99" spans="3:3">
      <c r="C99" s="229"/>
    </row>
    <row r="100" spans="3:3">
      <c r="C100" s="229"/>
    </row>
    <row r="101" spans="3:3">
      <c r="C101" s="229"/>
    </row>
    <row r="102" spans="3:3">
      <c r="C102" s="229"/>
    </row>
    <row r="103" spans="3:3">
      <c r="C103" s="229"/>
    </row>
    <row r="104" spans="3:3">
      <c r="C104" s="229"/>
    </row>
    <row r="105" spans="3:3">
      <c r="C105" s="229"/>
    </row>
    <row r="106" spans="3:3">
      <c r="C106" s="229"/>
    </row>
    <row r="107" spans="3:3">
      <c r="C107" s="229"/>
    </row>
    <row r="108" spans="3:3">
      <c r="C108" s="229"/>
    </row>
    <row r="109" spans="3:3">
      <c r="C109" s="229"/>
    </row>
    <row r="110" spans="3:3">
      <c r="C110" s="229"/>
    </row>
    <row r="111" spans="3:3">
      <c r="C111" s="229"/>
    </row>
    <row r="112" spans="3:3">
      <c r="C112" s="229"/>
    </row>
    <row r="113" spans="3:3">
      <c r="C113" s="229"/>
    </row>
    <row r="114" spans="3:3">
      <c r="C114" s="229"/>
    </row>
    <row r="115" spans="3:3">
      <c r="C115" s="229"/>
    </row>
    <row r="116" spans="3:3">
      <c r="C116" s="229"/>
    </row>
    <row r="117" spans="3:3">
      <c r="C117" s="229"/>
    </row>
    <row r="118" spans="3:3">
      <c r="C118" s="229"/>
    </row>
    <row r="119" spans="3:3">
      <c r="C119" s="229"/>
    </row>
    <row r="120" spans="3:3">
      <c r="C120" s="229"/>
    </row>
    <row r="121" spans="3:3">
      <c r="C121" s="229"/>
    </row>
    <row r="122" spans="3:3">
      <c r="C122" s="229"/>
    </row>
    <row r="123" spans="3:3">
      <c r="C123" s="229"/>
    </row>
    <row r="124" spans="3:3">
      <c r="C124" s="229"/>
    </row>
    <row r="125" spans="3:3">
      <c r="C125" s="229"/>
    </row>
    <row r="126" spans="3:3">
      <c r="C126" s="229"/>
    </row>
    <row r="127" spans="3:3">
      <c r="C127" s="229"/>
    </row>
    <row r="128" spans="3:3">
      <c r="C128" s="229"/>
    </row>
  </sheetData>
  <mergeCells count="13">
    <mergeCell ref="D7:F7"/>
    <mergeCell ref="D8:D9"/>
    <mergeCell ref="A8:A9"/>
    <mergeCell ref="B8:B9"/>
    <mergeCell ref="C8:C9"/>
    <mergeCell ref="F8:F9"/>
    <mergeCell ref="E8:E9"/>
    <mergeCell ref="A1:F1"/>
    <mergeCell ref="A2:F2"/>
    <mergeCell ref="A3:F3"/>
    <mergeCell ref="A4:F4"/>
    <mergeCell ref="A6:F6"/>
    <mergeCell ref="D5:F5"/>
  </mergeCells>
  <pageMargins left="0.70866141732283472" right="0.70866141732283472" top="0.74803149606299213" bottom="0.74803149606299213" header="0.31496062992125984" footer="0.31496062992125984"/>
  <pageSetup paperSize="9" scale="80"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Лист35">
    <pageSetUpPr fitToPage="1"/>
  </sheetPr>
  <dimension ref="A1:I123"/>
  <sheetViews>
    <sheetView showGridLines="0" view="pageBreakPreview" zoomScale="85" zoomScaleSheetLayoutView="85" workbookViewId="0">
      <selection activeCell="L16" sqref="L16"/>
    </sheetView>
  </sheetViews>
  <sheetFormatPr defaultColWidth="9.140625" defaultRowHeight="12.75"/>
  <cols>
    <col min="1" max="1" width="6.28515625" style="146" customWidth="1"/>
    <col min="2" max="2" width="42.28515625" style="146" customWidth="1"/>
    <col min="3" max="3" width="13.140625" style="146" customWidth="1"/>
    <col min="4" max="4" width="17.42578125" style="146" hidden="1" customWidth="1"/>
    <col min="5" max="5" width="17" style="146" hidden="1" customWidth="1"/>
    <col min="6" max="6" width="14.5703125" style="146" customWidth="1"/>
    <col min="7" max="7" width="15.85546875" style="146" hidden="1" customWidth="1"/>
    <col min="8" max="8" width="18.85546875" style="146" hidden="1" customWidth="1"/>
    <col min="9" max="9" width="17.28515625" style="146" customWidth="1"/>
    <col min="10" max="16384" width="9.140625" style="146"/>
  </cols>
  <sheetData>
    <row r="1" spans="1:9" ht="15.75" customHeight="1">
      <c r="A1" s="462" t="s">
        <v>26</v>
      </c>
      <c r="B1" s="462"/>
      <c r="C1" s="462"/>
      <c r="D1" s="462"/>
      <c r="E1" s="462"/>
      <c r="F1" s="462"/>
      <c r="G1" s="462"/>
      <c r="H1" s="462"/>
      <c r="I1" s="462"/>
    </row>
    <row r="2" spans="1:9" ht="15.75" customHeight="1">
      <c r="A2" s="462" t="s">
        <v>1051</v>
      </c>
      <c r="B2" s="462"/>
      <c r="C2" s="462"/>
      <c r="D2" s="462"/>
      <c r="E2" s="462"/>
      <c r="F2" s="462"/>
      <c r="G2" s="462"/>
      <c r="H2" s="462"/>
      <c r="I2" s="462"/>
    </row>
    <row r="3" spans="1:9" ht="15.75" customHeight="1">
      <c r="A3" s="462" t="s">
        <v>700</v>
      </c>
      <c r="B3" s="462"/>
      <c r="C3" s="462"/>
      <c r="D3" s="462"/>
      <c r="E3" s="462"/>
      <c r="F3" s="462"/>
      <c r="G3" s="462"/>
      <c r="H3" s="462"/>
      <c r="I3" s="462"/>
    </row>
    <row r="4" spans="1:9" ht="15.75" customHeight="1">
      <c r="A4" s="462" t="s">
        <v>2624</v>
      </c>
      <c r="B4" s="462"/>
      <c r="C4" s="462"/>
      <c r="D4" s="462"/>
      <c r="E4" s="462"/>
      <c r="F4" s="462"/>
      <c r="G4" s="462"/>
      <c r="H4" s="462"/>
      <c r="I4" s="462"/>
    </row>
    <row r="5" spans="1:9" ht="15.75">
      <c r="A5" s="288"/>
      <c r="B5" s="285"/>
      <c r="C5" s="289"/>
      <c r="D5" s="289"/>
      <c r="E5" s="463"/>
      <c r="F5" s="463"/>
      <c r="G5" s="463"/>
      <c r="H5" s="463"/>
      <c r="I5" s="463"/>
    </row>
    <row r="6" spans="1:9" ht="30" customHeight="1">
      <c r="A6" s="433" t="s">
        <v>2527</v>
      </c>
      <c r="B6" s="433"/>
      <c r="C6" s="433"/>
      <c r="D6" s="433"/>
      <c r="E6" s="433"/>
      <c r="F6" s="433"/>
      <c r="G6" s="433"/>
      <c r="H6" s="433"/>
      <c r="I6" s="433"/>
    </row>
    <row r="7" spans="1:9" ht="16.5" thickBot="1">
      <c r="A7" s="288"/>
      <c r="B7" s="285"/>
      <c r="C7" s="289"/>
      <c r="D7" s="289"/>
      <c r="E7" s="464"/>
      <c r="F7" s="464"/>
      <c r="G7" s="464"/>
      <c r="H7" s="464"/>
      <c r="I7" s="464"/>
    </row>
    <row r="8" spans="1:9" ht="13.5" thickBot="1">
      <c r="A8" s="460" t="s">
        <v>2044</v>
      </c>
      <c r="B8" s="460" t="s">
        <v>7</v>
      </c>
      <c r="C8" s="460" t="s">
        <v>2303</v>
      </c>
      <c r="D8" s="460" t="s">
        <v>2625</v>
      </c>
      <c r="E8" s="460" t="s">
        <v>1122</v>
      </c>
      <c r="F8" s="460" t="s">
        <v>2483</v>
      </c>
      <c r="G8" s="460" t="s">
        <v>2625</v>
      </c>
      <c r="H8" s="460" t="s">
        <v>1122</v>
      </c>
      <c r="I8" s="460" t="s">
        <v>2484</v>
      </c>
    </row>
    <row r="9" spans="1:9" ht="20.25" customHeight="1" thickBot="1">
      <c r="A9" s="460"/>
      <c r="B9" s="460"/>
      <c r="C9" s="465"/>
      <c r="D9" s="460"/>
      <c r="E9" s="460"/>
      <c r="F9" s="460"/>
      <c r="G9" s="460"/>
      <c r="H9" s="460"/>
      <c r="I9" s="460"/>
    </row>
    <row r="10" spans="1:9" ht="16.5" thickBot="1">
      <c r="A10" s="326">
        <v>1</v>
      </c>
      <c r="B10" s="317" t="str">
        <f>IF(C10&gt;0,VLOOKUP(C10,Программа!A$2:B$5008,2))</f>
        <v>Развитие молодежной политики</v>
      </c>
      <c r="C10" s="318">
        <v>10</v>
      </c>
      <c r="D10" s="319" t="e">
        <f>SUMIFS(#REF!,#REF!,C10)</f>
        <v>#REF!</v>
      </c>
      <c r="E10" s="319" t="e">
        <f>SUMIFS(#REF!,#REF!,C10)</f>
        <v>#REF!</v>
      </c>
      <c r="F10" s="319" t="e">
        <f>SUMIFS(#REF!,#REF!,C10)</f>
        <v>#REF!</v>
      </c>
      <c r="G10" s="319" t="e">
        <f>SUMIFS(#REF!,#REF!,C10)</f>
        <v>#REF!</v>
      </c>
      <c r="H10" s="319" t="e">
        <f>SUMIFS(#REF!,#REF!,C10)</f>
        <v>#REF!</v>
      </c>
      <c r="I10" s="319" t="e">
        <f>SUMIFS(#REF!,#REF!,C10)</f>
        <v>#REF!</v>
      </c>
    </row>
    <row r="11" spans="1:9" ht="32.25" thickBot="1">
      <c r="A11" s="328" t="s">
        <v>2492</v>
      </c>
      <c r="B11" s="317" t="str">
        <f>IF(C11&gt;0,VLOOKUP(C11,Программа!A$2:B$5008,2))</f>
        <v>Ведомственная целевая программа «Молодежь на 2014-2016 годы».</v>
      </c>
      <c r="C11" s="324">
        <v>11</v>
      </c>
      <c r="D11" s="319" t="e">
        <f>SUMIFS(#REF!,#REF!,C11)</f>
        <v>#REF!</v>
      </c>
      <c r="E11" s="319" t="e">
        <f>SUMIFS(#REF!,#REF!,C11)</f>
        <v>#REF!</v>
      </c>
      <c r="F11" s="319" t="e">
        <f>SUMIFS(#REF!,#REF!,C11)</f>
        <v>#REF!</v>
      </c>
      <c r="G11" s="319" t="e">
        <f>SUMIFS(#REF!,#REF!,C11)</f>
        <v>#REF!</v>
      </c>
      <c r="H11" s="319" t="e">
        <f>SUMIFS(#REF!,#REF!,C11)</f>
        <v>#REF!</v>
      </c>
      <c r="I11" s="319" t="e">
        <f>SUMIFS(#REF!,#REF!,C11)</f>
        <v>#REF!</v>
      </c>
    </row>
    <row r="12" spans="1:9" ht="95.25" thickBot="1">
      <c r="A12" s="328" t="s">
        <v>2493</v>
      </c>
      <c r="B12" s="317" t="str">
        <f>IF(C12&gt;0,VLOOKUP(C12,Программа!A$2:B$5008,2))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 на 2014-2016 годы.</v>
      </c>
      <c r="C12" s="324">
        <v>12</v>
      </c>
      <c r="D12" s="319" t="e">
        <f>SUMIFS(#REF!,#REF!,C12)</f>
        <v>#REF!</v>
      </c>
      <c r="E12" s="319" t="e">
        <f>SUMIFS(#REF!,#REF!,C12)</f>
        <v>#REF!</v>
      </c>
      <c r="F12" s="319" t="e">
        <f>SUMIFS(#REF!,#REF!,C12)</f>
        <v>#REF!</v>
      </c>
      <c r="G12" s="319" t="e">
        <f>SUMIFS(#REF!,#REF!,C12)</f>
        <v>#REF!</v>
      </c>
      <c r="H12" s="319" t="e">
        <f>SUMIFS(#REF!,#REF!,C12)</f>
        <v>#REF!</v>
      </c>
      <c r="I12" s="319" t="e">
        <f>SUMIFS(#REF!,#REF!,C12)</f>
        <v>#REF!</v>
      </c>
    </row>
    <row r="13" spans="1:9" ht="79.5" hidden="1" thickBot="1">
      <c r="A13" s="329" t="s">
        <v>2494</v>
      </c>
      <c r="B13" s="317" t="str">
        <f>IF(C13&gt;0,VLOOKUP(C13,Программа!A$2:B$5008,2))</f>
        <v>Муниципальная целевая программа «Комплексные меры противодействия злоупотреблению наркотиками и их незаконному обороту на 2012-2014 годы».</v>
      </c>
      <c r="C13" s="318">
        <v>13</v>
      </c>
      <c r="D13" s="319" t="e">
        <f>SUMIFS(#REF!,#REF!,C13)</f>
        <v>#REF!</v>
      </c>
      <c r="E13" s="319" t="e">
        <f>SUMIFS(#REF!,#REF!,C13)</f>
        <v>#REF!</v>
      </c>
      <c r="F13" s="319" t="e">
        <f>SUMIFS(#REF!,#REF!,C13)</f>
        <v>#REF!</v>
      </c>
      <c r="G13" s="319" t="e">
        <f>SUMIFS(#REF!,#REF!,C13)</f>
        <v>#REF!</v>
      </c>
      <c r="H13" s="319" t="e">
        <f>SUMIFS(#REF!,#REF!,C13)</f>
        <v>#REF!</v>
      </c>
      <c r="I13" s="319" t="e">
        <f>SUMIFS(#REF!,#REF!,C13)</f>
        <v>#REF!</v>
      </c>
    </row>
    <row r="14" spans="1:9" ht="16.5" thickBot="1">
      <c r="A14" s="326" t="s">
        <v>266</v>
      </c>
      <c r="B14" s="317" t="str">
        <f>IF(C14&gt;0,VLOOKUP(C14,Программа!A$2:B$5008,2))</f>
        <v>Развитие образования</v>
      </c>
      <c r="C14" s="318">
        <v>20</v>
      </c>
      <c r="D14" s="319" t="e">
        <f>SUMIFS(#REF!,#REF!,C14)</f>
        <v>#REF!</v>
      </c>
      <c r="E14" s="319" t="e">
        <f>SUMIFS(#REF!,#REF!,C14)</f>
        <v>#REF!</v>
      </c>
      <c r="F14" s="319" t="e">
        <f>SUMIFS(#REF!,#REF!,C14)</f>
        <v>#REF!</v>
      </c>
      <c r="G14" s="319" t="e">
        <f>SUMIFS(#REF!,#REF!,C14)</f>
        <v>#REF!</v>
      </c>
      <c r="H14" s="319" t="e">
        <f>SUMIFS(#REF!,#REF!,C14)</f>
        <v>#REF!</v>
      </c>
      <c r="I14" s="319" t="e">
        <f>SUMIFS(#REF!,#REF!,C14)</f>
        <v>#REF!</v>
      </c>
    </row>
    <row r="15" spans="1:9" ht="79.5" thickBot="1">
      <c r="A15" s="328" t="s">
        <v>2495</v>
      </c>
      <c r="B15" s="317" t="str">
        <f>IF(C15&gt;0,VLOOKUP(C15,Программа!A$2:B$5008,2))</f>
        <v>Ведомственная целевая программа департамента образования Администрации Тутаевского муниципального района на 2014-2016 годы.</v>
      </c>
      <c r="C15" s="318">
        <v>21</v>
      </c>
      <c r="D15" s="319" t="e">
        <f>SUMIFS(#REF!,#REF!,C15)</f>
        <v>#REF!</v>
      </c>
      <c r="E15" s="319" t="e">
        <f>SUMIFS(#REF!,#REF!,C15)</f>
        <v>#REF!</v>
      </c>
      <c r="F15" s="319" t="e">
        <f>SUMIFS(#REF!,#REF!,C15)</f>
        <v>#REF!</v>
      </c>
      <c r="G15" s="319" t="e">
        <f>SUMIFS(#REF!,#REF!,C15)</f>
        <v>#REF!</v>
      </c>
      <c r="H15" s="319" t="e">
        <f>SUMIFS(#REF!,#REF!,C15)</f>
        <v>#REF!</v>
      </c>
      <c r="I15" s="319" t="e">
        <f>SUMIFS(#REF!,#REF!,C15)</f>
        <v>#REF!</v>
      </c>
    </row>
    <row r="16" spans="1:9" ht="79.5" thickBot="1">
      <c r="A16" s="328" t="s">
        <v>2496</v>
      </c>
      <c r="B16" s="317" t="str">
        <f>IF(C16&gt;0,VLOOKUP(C16,Программа!A$2:B$5008,2))</f>
        <v>Муниципальная целевая программа «Здоровое питание обучающихся образовательных учреждений Тутаевского муниципального района» на 2014-2016 годы.</v>
      </c>
      <c r="C16" s="318">
        <v>22</v>
      </c>
      <c r="D16" s="319" t="e">
        <f>SUMIFS(#REF!,#REF!,C16)</f>
        <v>#REF!</v>
      </c>
      <c r="E16" s="319" t="e">
        <f>SUMIFS(#REF!,#REF!,C16)</f>
        <v>#REF!</v>
      </c>
      <c r="F16" s="319" t="e">
        <f>SUMIFS(#REF!,#REF!,C16)</f>
        <v>#REF!</v>
      </c>
      <c r="G16" s="319" t="e">
        <f>SUMIFS(#REF!,#REF!,C16)</f>
        <v>#REF!</v>
      </c>
      <c r="H16" s="319" t="e">
        <f>SUMIFS(#REF!,#REF!,C16)</f>
        <v>#REF!</v>
      </c>
      <c r="I16" s="319" t="e">
        <f>SUMIFS(#REF!,#REF!,C16)</f>
        <v>#REF!</v>
      </c>
    </row>
    <row r="17" spans="1:9" ht="16.5" thickBot="1">
      <c r="A17" s="326" t="s">
        <v>2497</v>
      </c>
      <c r="B17" s="317" t="str">
        <f>IF(C17&gt;0,VLOOKUP(C17,Программа!A$2:B$5008,2))</f>
        <v>Развитие культуры и туризма</v>
      </c>
      <c r="C17" s="318">
        <v>30</v>
      </c>
      <c r="D17" s="319" t="e">
        <f>SUMIFS(#REF!,#REF!,C17)</f>
        <v>#REF!</v>
      </c>
      <c r="E17" s="319" t="e">
        <f>SUMIFS(#REF!,#REF!,C17)</f>
        <v>#REF!</v>
      </c>
      <c r="F17" s="319" t="e">
        <f>SUMIFS(#REF!,#REF!,C17)</f>
        <v>#REF!</v>
      </c>
      <c r="G17" s="319" t="e">
        <f>SUMIFS(#REF!,#REF!,C17)</f>
        <v>#REF!</v>
      </c>
      <c r="H17" s="319" t="e">
        <f>SUMIFS(#REF!,#REF!,C17)</f>
        <v>#REF!</v>
      </c>
      <c r="I17" s="319" t="e">
        <f>SUMIFS(#REF!,#REF!,C17)</f>
        <v>#REF!</v>
      </c>
    </row>
    <row r="18" spans="1:9" ht="63.75" thickBot="1">
      <c r="A18" s="328" t="s">
        <v>2498</v>
      </c>
      <c r="B18" s="317" t="str">
        <f>IF(C18&gt;0,VLOOKUP(C18,Программа!A$2:B$5008,2))</f>
        <v>Ведомственная целевая программа «Сохранение и развитие культуры Тутаевского муниципального района» на 2014-2016 годы.</v>
      </c>
      <c r="C18" s="318">
        <v>31</v>
      </c>
      <c r="D18" s="319" t="e">
        <f>SUMIFS(#REF!,#REF!,C18)</f>
        <v>#REF!</v>
      </c>
      <c r="E18" s="319" t="e">
        <f>SUMIFS(#REF!,#REF!,C18)</f>
        <v>#REF!</v>
      </c>
      <c r="F18" s="319" t="e">
        <f>SUMIFS(#REF!,#REF!,C18)</f>
        <v>#REF!</v>
      </c>
      <c r="G18" s="319" t="e">
        <f>SUMIFS(#REF!,#REF!,C18)</f>
        <v>#REF!</v>
      </c>
      <c r="H18" s="319" t="e">
        <f>SUMIFS(#REF!,#REF!,C18)</f>
        <v>#REF!</v>
      </c>
      <c r="I18" s="319" t="e">
        <f>SUMIFS(#REF!,#REF!,C18)</f>
        <v>#REF!</v>
      </c>
    </row>
    <row r="19" spans="1:9" ht="79.5" thickBot="1">
      <c r="A19" s="328" t="s">
        <v>2499</v>
      </c>
      <c r="B19" s="317" t="str">
        <f>IF(C19&gt;0,VLOOKUP(C19,Программа!A$2:B$5008,2))</f>
        <v>Муниципальная целевая программа «Развитие въездного и внутреннего туризма на территории Тутаевского муниципального района  на 2011-2015 годы».</v>
      </c>
      <c r="C19" s="318">
        <v>32</v>
      </c>
      <c r="D19" s="319" t="e">
        <f>SUMIFS(#REF!,#REF!,C19)</f>
        <v>#REF!</v>
      </c>
      <c r="E19" s="319" t="e">
        <f>SUMIFS(#REF!,#REF!,C19)</f>
        <v>#REF!</v>
      </c>
      <c r="F19" s="319" t="e">
        <f>SUMIFS(#REF!,#REF!,C19)</f>
        <v>#REF!</v>
      </c>
      <c r="G19" s="319" t="e">
        <f>SUMIFS(#REF!,#REF!,C19)</f>
        <v>#REF!</v>
      </c>
      <c r="H19" s="319" t="e">
        <f>SUMIFS(#REF!,#REF!,C19)</f>
        <v>#REF!</v>
      </c>
      <c r="I19" s="319" t="e">
        <f>SUMIFS(#REF!,#REF!,C19)</f>
        <v>#REF!</v>
      </c>
    </row>
    <row r="20" spans="1:9" ht="16.5" thickBot="1">
      <c r="A20" s="326" t="s">
        <v>2500</v>
      </c>
      <c r="B20" s="317" t="str">
        <f>IF(C20&gt;0,VLOOKUP(C20,Программа!A$2:B$5008,2))</f>
        <v>Развитие физической культуры и спорта</v>
      </c>
      <c r="C20" s="318">
        <v>40</v>
      </c>
      <c r="D20" s="319" t="e">
        <f>SUMIFS(#REF!,#REF!,C20)</f>
        <v>#REF!</v>
      </c>
      <c r="E20" s="319" t="e">
        <f>SUMIFS(#REF!,#REF!,C20)</f>
        <v>#REF!</v>
      </c>
      <c r="F20" s="319" t="e">
        <f>SUMIFS(#REF!,#REF!,C20)</f>
        <v>#REF!</v>
      </c>
      <c r="G20" s="319" t="e">
        <f>SUMIFS(#REF!,#REF!,C20)</f>
        <v>#REF!</v>
      </c>
      <c r="H20" s="319" t="e">
        <f>SUMIFS(#REF!,#REF!,C20)</f>
        <v>#REF!</v>
      </c>
      <c r="I20" s="319" t="e">
        <f>SUMIFS(#REF!,#REF!,C20)</f>
        <v>#REF!</v>
      </c>
    </row>
    <row r="21" spans="1:9" ht="63.75" thickBot="1">
      <c r="A21" s="328" t="s">
        <v>2501</v>
      </c>
      <c r="B21" s="317" t="str">
        <f>IF(C21&gt;0,VLOOKUP(C21,Программа!A$2:B$5008,2))</f>
        <v>Муниципальная целевая программа «Развитие физической культуры и спорта в Тутаевском муниципальном районе на 2013-2015 годы».</v>
      </c>
      <c r="C21" s="318">
        <v>41</v>
      </c>
      <c r="D21" s="319" t="e">
        <f>SUMIFS(#REF!,#REF!,C21)</f>
        <v>#REF!</v>
      </c>
      <c r="E21" s="319" t="e">
        <f>SUMIFS(#REF!,#REF!,C21)</f>
        <v>#REF!</v>
      </c>
      <c r="F21" s="319" t="e">
        <f>SUMIFS(#REF!,#REF!,C21)</f>
        <v>#REF!</v>
      </c>
      <c r="G21" s="319" t="e">
        <f>SUMIFS(#REF!,#REF!,C21)</f>
        <v>#REF!</v>
      </c>
      <c r="H21" s="319" t="e">
        <f>SUMIFS(#REF!,#REF!,C21)</f>
        <v>#REF!</v>
      </c>
      <c r="I21" s="319" t="e">
        <f>SUMIFS(#REF!,#REF!,C21)</f>
        <v>#REF!</v>
      </c>
    </row>
    <row r="22" spans="1:9" ht="16.5" thickBot="1">
      <c r="A22" s="326" t="s">
        <v>2502</v>
      </c>
      <c r="B22" s="317" t="str">
        <f>IF(C22&gt;0,VLOOKUP(C22,Программа!A$2:B$5008,2))</f>
        <v>Социальная поддержка граждан</v>
      </c>
      <c r="C22" s="318">
        <v>50</v>
      </c>
      <c r="D22" s="319" t="e">
        <f>SUMIFS(#REF!,#REF!,C22)</f>
        <v>#REF!</v>
      </c>
      <c r="E22" s="319" t="e">
        <f>SUMIFS(#REF!,#REF!,C22)</f>
        <v>#REF!</v>
      </c>
      <c r="F22" s="319" t="e">
        <f>SUMIFS(#REF!,#REF!,C22)</f>
        <v>#REF!</v>
      </c>
      <c r="G22" s="319" t="e">
        <f>SUMIFS(#REF!,#REF!,C22)</f>
        <v>#REF!</v>
      </c>
      <c r="H22" s="319" t="e">
        <f>SUMIFS(#REF!,#REF!,C22)</f>
        <v>#REF!</v>
      </c>
      <c r="I22" s="319" t="e">
        <f>SUMIFS(#REF!,#REF!,C22)</f>
        <v>#REF!</v>
      </c>
    </row>
    <row r="23" spans="1:9" ht="63.75" thickBot="1">
      <c r="A23" s="328" t="s">
        <v>2503</v>
      </c>
      <c r="B23" s="317" t="str">
        <f>IF(C23&gt;0,VLOOKUP(C23,Программа!A$2:B$5008,2))</f>
        <v>Ведомственная целевая программа «Социальная поддержка населения Тутаевского муниципального района» на 2014-2016 годы.</v>
      </c>
      <c r="C23" s="318">
        <v>51</v>
      </c>
      <c r="D23" s="319" t="e">
        <f>SUMIFS(#REF!,#REF!,C23)</f>
        <v>#REF!</v>
      </c>
      <c r="E23" s="319" t="e">
        <f>SUMIFS(#REF!,#REF!,C23)</f>
        <v>#REF!</v>
      </c>
      <c r="F23" s="319" t="e">
        <f>SUMIFS(#REF!,#REF!,C23)</f>
        <v>#REF!</v>
      </c>
      <c r="G23" s="319" t="e">
        <f>SUMIFS(#REF!,#REF!,C23)</f>
        <v>#REF!</v>
      </c>
      <c r="H23" s="319" t="e">
        <f>SUMIFS(#REF!,#REF!,C23)</f>
        <v>#REF!</v>
      </c>
      <c r="I23" s="319" t="e">
        <f>SUMIFS(#REF!,#REF!,C23)</f>
        <v>#REF!</v>
      </c>
    </row>
    <row r="24" spans="1:9" ht="16.5" thickBot="1">
      <c r="A24" s="326" t="s">
        <v>2504</v>
      </c>
      <c r="B24" s="317" t="str">
        <f>IF(C24&gt;0,VLOOKUP(C24,Программа!A$2:B$5008,2))</f>
        <v>Доступная среда</v>
      </c>
      <c r="C24" s="318">
        <v>60</v>
      </c>
      <c r="D24" s="319" t="e">
        <f>SUMIFS(#REF!,#REF!,C24)</f>
        <v>#REF!</v>
      </c>
      <c r="E24" s="319" t="e">
        <f>SUMIFS(#REF!,#REF!,C24)</f>
        <v>#REF!</v>
      </c>
      <c r="F24" s="319" t="e">
        <f>SUMIFS(#REF!,#REF!,C24)</f>
        <v>#REF!</v>
      </c>
      <c r="G24" s="319" t="e">
        <f>SUMIFS(#REF!,#REF!,C24)</f>
        <v>#REF!</v>
      </c>
      <c r="H24" s="319" t="e">
        <f>SUMIFS(#REF!,#REF!,C24)</f>
        <v>#REF!</v>
      </c>
      <c r="I24" s="319" t="e">
        <f>SUMIFS(#REF!,#REF!,C24)</f>
        <v>#REF!</v>
      </c>
    </row>
    <row r="25" spans="1:9" ht="32.25" thickBot="1">
      <c r="A25" s="328" t="s">
        <v>2505</v>
      </c>
      <c r="B25" s="317" t="str">
        <f>IF(C25&gt;0,VLOOKUP(C25,Программа!A$2:B$5008,2))</f>
        <v>Муниципальная целевая программа «Доступная среда» на 2012-2015 годы.</v>
      </c>
      <c r="C25" s="318">
        <v>61</v>
      </c>
      <c r="D25" s="319" t="e">
        <f>SUMIFS(#REF!,#REF!,C25)</f>
        <v>#REF!</v>
      </c>
      <c r="E25" s="319" t="e">
        <f>SUMIFS(#REF!,#REF!,C25)</f>
        <v>#REF!</v>
      </c>
      <c r="F25" s="319" t="e">
        <f>SUMIFS(#REF!,#REF!,C25)</f>
        <v>#REF!</v>
      </c>
      <c r="G25" s="319" t="e">
        <f>SUMIFS(#REF!,#REF!,C25)</f>
        <v>#REF!</v>
      </c>
      <c r="H25" s="319" t="e">
        <f>SUMIFS(#REF!,#REF!,C25)</f>
        <v>#REF!</v>
      </c>
      <c r="I25" s="319" t="e">
        <f>SUMIFS(#REF!,#REF!,C25)</f>
        <v>#REF!</v>
      </c>
    </row>
    <row r="26" spans="1:9" ht="32.25" thickBot="1">
      <c r="A26" s="326" t="s">
        <v>2506</v>
      </c>
      <c r="B26" s="317" t="str">
        <f>IF(C26&gt;0,VLOOKUP(C26,Программа!A$2:B$5008,2))</f>
        <v>Развитие коммунальной и инженерной инфраструктуры</v>
      </c>
      <c r="C26" s="318">
        <v>70</v>
      </c>
      <c r="D26" s="319" t="e">
        <f>SUMIFS(#REF!,#REF!,C26)</f>
        <v>#REF!</v>
      </c>
      <c r="E26" s="319" t="e">
        <f>SUMIFS(#REF!,#REF!,C26)</f>
        <v>#REF!</v>
      </c>
      <c r="F26" s="319" t="e">
        <f>SUMIFS(#REF!,#REF!,C26)</f>
        <v>#REF!</v>
      </c>
      <c r="G26" s="319" t="e">
        <f>SUMIFS(#REF!,#REF!,C26)</f>
        <v>#REF!</v>
      </c>
      <c r="H26" s="319" t="e">
        <f>SUMIFS(#REF!,#REF!,C26)</f>
        <v>#REF!</v>
      </c>
      <c r="I26" s="319" t="e">
        <f>SUMIFS(#REF!,#REF!,C26)</f>
        <v>#REF!</v>
      </c>
    </row>
    <row r="27" spans="1:9" ht="79.5" thickBot="1">
      <c r="A27" s="328" t="s">
        <v>2507</v>
      </c>
      <c r="B27" s="317" t="str">
        <f>IF(C27&gt;0,VLOOKUP(C27,Программа!A$2:B$5008,2))</f>
        <v>Программа комплексного развития систем коммунальной инфраструктуры Тутаевского муниципального района на 2011-2015 годы с перспективой до 2030 года.</v>
      </c>
      <c r="C27" s="318">
        <v>71</v>
      </c>
      <c r="D27" s="319" t="e">
        <f>SUMIFS(#REF!,#REF!,C27)</f>
        <v>#REF!</v>
      </c>
      <c r="E27" s="319" t="e">
        <f>SUMIFS(#REF!,#REF!,C27)</f>
        <v>#REF!</v>
      </c>
      <c r="F27" s="319" t="e">
        <f>SUMIFS(#REF!,#REF!,C27)</f>
        <v>#REF!</v>
      </c>
      <c r="G27" s="319" t="e">
        <f>SUMIFS(#REF!,#REF!,C27)</f>
        <v>#REF!</v>
      </c>
      <c r="H27" s="319" t="e">
        <f>SUMIFS(#REF!,#REF!,C27)</f>
        <v>#REF!</v>
      </c>
      <c r="I27" s="319" t="e">
        <f>SUMIFS(#REF!,#REF!,C27)</f>
        <v>#REF!</v>
      </c>
    </row>
    <row r="28" spans="1:9" ht="95.25" thickBot="1">
      <c r="A28" s="328" t="s">
        <v>2508</v>
      </c>
      <c r="B28" s="317" t="str">
        <f>IF(C28&gt;0,VLOOKUP(C28,Программа!A$2:B$5008,2))</f>
        <v>Муниципальная целевая программа «Развитие водоснабжения, водоотведения и очистки сточных вод» на территории Тутаевского муниципального района на период 2012-2017 годов.</v>
      </c>
      <c r="C28" s="318">
        <v>72</v>
      </c>
      <c r="D28" s="319" t="e">
        <f>SUMIFS(#REF!,#REF!,C28)</f>
        <v>#REF!</v>
      </c>
      <c r="E28" s="319" t="e">
        <f>SUMIFS(#REF!,#REF!,C28)</f>
        <v>#REF!</v>
      </c>
      <c r="F28" s="319" t="e">
        <f>SUMIFS(#REF!,#REF!,C28)</f>
        <v>#REF!</v>
      </c>
      <c r="G28" s="319" t="e">
        <f>SUMIFS(#REF!,#REF!,C28)</f>
        <v>#REF!</v>
      </c>
      <c r="H28" s="319" t="e">
        <f>SUMIFS(#REF!,#REF!,C28)</f>
        <v>#REF!</v>
      </c>
      <c r="I28" s="319" t="e">
        <f>SUMIFS(#REF!,#REF!,C28)</f>
        <v>#REF!</v>
      </c>
    </row>
    <row r="29" spans="1:9" ht="32.25" thickBot="1">
      <c r="A29" s="326" t="s">
        <v>2509</v>
      </c>
      <c r="B29" s="317" t="str">
        <f>IF(C29&gt;0,VLOOKUP(C29,Программа!A$2:B$5008,2))</f>
        <v>Энергоэффективность и развитие энергетики</v>
      </c>
      <c r="C29" s="318">
        <v>80</v>
      </c>
      <c r="D29" s="319" t="e">
        <f>SUMIFS(#REF!,#REF!,C29)</f>
        <v>#REF!</v>
      </c>
      <c r="E29" s="319" t="e">
        <f>SUMIFS(#REF!,#REF!,C29)</f>
        <v>#REF!</v>
      </c>
      <c r="F29" s="319" t="e">
        <f>SUMIFS(#REF!,#REF!,C29)</f>
        <v>#REF!</v>
      </c>
      <c r="G29" s="319" t="e">
        <f>SUMIFS(#REF!,#REF!,C29)</f>
        <v>#REF!</v>
      </c>
      <c r="H29" s="319" t="e">
        <f>SUMIFS(#REF!,#REF!,C29)</f>
        <v>#REF!</v>
      </c>
      <c r="I29" s="319" t="e">
        <f>SUMIFS(#REF!,#REF!,C29)</f>
        <v>#REF!</v>
      </c>
    </row>
    <row r="30" spans="1:9" ht="63.75" thickBot="1">
      <c r="A30" s="328" t="s">
        <v>2510</v>
      </c>
      <c r="B30" s="317" t="str">
        <f>IF(C30&gt;0,VLOOKUP(C30,Программа!A$2:B$5008,2))</f>
        <v>Муниципальная целевая программа «Об энергосбережении и повышении энергетической эффективности ТМР на 2014-2016 годы.</v>
      </c>
      <c r="C30" s="318">
        <v>81</v>
      </c>
      <c r="D30" s="319" t="e">
        <f>SUMIFS(#REF!,#REF!,C30)</f>
        <v>#REF!</v>
      </c>
      <c r="E30" s="319" t="e">
        <f>SUMIFS(#REF!,#REF!,C30)</f>
        <v>#REF!</v>
      </c>
      <c r="F30" s="319" t="e">
        <f>SUMIFS(#REF!,#REF!,C30)</f>
        <v>#REF!</v>
      </c>
      <c r="G30" s="319" t="e">
        <f>SUMIFS(#REF!,#REF!,C30)</f>
        <v>#REF!</v>
      </c>
      <c r="H30" s="319" t="e">
        <f>SUMIFS(#REF!,#REF!,C30)</f>
        <v>#REF!</v>
      </c>
      <c r="I30" s="319" t="e">
        <f>SUMIFS(#REF!,#REF!,C30)</f>
        <v>#REF!</v>
      </c>
    </row>
    <row r="31" spans="1:9" ht="32.25" thickBot="1">
      <c r="A31" s="326" t="s">
        <v>2511</v>
      </c>
      <c r="B31" s="317" t="str">
        <f>IF(C31&gt;0,VLOOKUP(C31,Программа!A$2:B$5008,2))</f>
        <v>Развитие системы муниципального заказа</v>
      </c>
      <c r="C31" s="318">
        <v>90</v>
      </c>
      <c r="D31" s="319" t="e">
        <f>SUMIFS(#REF!,#REF!,C31)</f>
        <v>#REF!</v>
      </c>
      <c r="E31" s="319" t="e">
        <f>SUMIFS(#REF!,#REF!,C31)</f>
        <v>#REF!</v>
      </c>
      <c r="F31" s="319" t="e">
        <f>SUMIFS(#REF!,#REF!,C31)</f>
        <v>#REF!</v>
      </c>
      <c r="G31" s="319" t="e">
        <f>SUMIFS(#REF!,#REF!,C31)</f>
        <v>#REF!</v>
      </c>
      <c r="H31" s="319" t="e">
        <f>SUMIFS(#REF!,#REF!,C31)</f>
        <v>#REF!</v>
      </c>
      <c r="I31" s="319" t="e">
        <f>SUMIFS(#REF!,#REF!,C31)</f>
        <v>#REF!</v>
      </c>
    </row>
    <row r="32" spans="1:9" ht="63.75" thickBot="1">
      <c r="A32" s="328" t="s">
        <v>2512</v>
      </c>
      <c r="B32" s="317" t="str">
        <f>IF(C32&gt;0,VLOOKUP(C32,Программа!A$2:B$5008,2))</f>
        <v>Муниципальная целевая программа «Развитие системы муниципального заказа в Тутаевском муниципальном районе в 2014-2016 годах».</v>
      </c>
      <c r="C32" s="318">
        <v>91</v>
      </c>
      <c r="D32" s="319" t="e">
        <f>SUMIFS(#REF!,#REF!,C32)</f>
        <v>#REF!</v>
      </c>
      <c r="E32" s="319" t="e">
        <f>SUMIFS(#REF!,#REF!,C32)</f>
        <v>#REF!</v>
      </c>
      <c r="F32" s="319" t="e">
        <f>SUMIFS(#REF!,#REF!,C32)</f>
        <v>#REF!</v>
      </c>
      <c r="G32" s="319" t="e">
        <f>SUMIFS(#REF!,#REF!,C32)</f>
        <v>#REF!</v>
      </c>
      <c r="H32" s="319" t="e">
        <f>SUMIFS(#REF!,#REF!,C32)</f>
        <v>#REF!</v>
      </c>
      <c r="I32" s="319" t="e">
        <f>SUMIFS(#REF!,#REF!,C32)</f>
        <v>#REF!</v>
      </c>
    </row>
    <row r="33" spans="1:9" ht="63.75" thickBot="1">
      <c r="A33" s="326" t="s">
        <v>2083</v>
      </c>
      <c r="B33" s="317" t="str">
        <f>IF(C33&gt;0,VLOOKUP(C33,Программа!A$2:B$5008,2))</f>
        <v>Развитие экономического потенциала и формирование благоприятного инвестиционного климата, развитие предпринимательства</v>
      </c>
      <c r="C33" s="318">
        <v>100</v>
      </c>
      <c r="D33" s="319" t="e">
        <f>SUMIFS(#REF!,#REF!,C33)</f>
        <v>#REF!</v>
      </c>
      <c r="E33" s="319" t="e">
        <f>SUMIFS(#REF!,#REF!,C33)</f>
        <v>#REF!</v>
      </c>
      <c r="F33" s="319" t="e">
        <f>SUMIFS(#REF!,#REF!,C33)</f>
        <v>#REF!</v>
      </c>
      <c r="G33" s="319" t="e">
        <f>SUMIFS(#REF!,#REF!,C33)</f>
        <v>#REF!</v>
      </c>
      <c r="H33" s="319" t="e">
        <f>SUMIFS(#REF!,#REF!,C33)</f>
        <v>#REF!</v>
      </c>
      <c r="I33" s="319" t="e">
        <f>SUMIFS(#REF!,#REF!,C33)</f>
        <v>#REF!</v>
      </c>
    </row>
    <row r="34" spans="1:9" ht="79.5" thickBot="1">
      <c r="A34" s="328" t="s">
        <v>2513</v>
      </c>
      <c r="B34" s="317" t="str">
        <f>IF(C34&gt;0,VLOOKUP(C34,Программа!A$2:B$5008,2))</f>
        <v>Муниципальная целевая программа «Развитие субъектов малого и среднего предпринимательства Тутаевского муниципального района на 2012-2015 годы».</v>
      </c>
      <c r="C34" s="318">
        <v>101</v>
      </c>
      <c r="D34" s="319" t="e">
        <f>SUMIFS(#REF!,#REF!,C34)</f>
        <v>#REF!</v>
      </c>
      <c r="E34" s="319" t="e">
        <f>SUMIFS(#REF!,#REF!,C34)</f>
        <v>#REF!</v>
      </c>
      <c r="F34" s="319" t="e">
        <f>SUMIFS(#REF!,#REF!,C34)</f>
        <v>#REF!</v>
      </c>
      <c r="G34" s="319" t="e">
        <f>SUMIFS(#REF!,#REF!,C34)</f>
        <v>#REF!</v>
      </c>
      <c r="H34" s="319" t="e">
        <f>SUMIFS(#REF!,#REF!,C34)</f>
        <v>#REF!</v>
      </c>
      <c r="I34" s="319" t="e">
        <f>SUMIFS(#REF!,#REF!,C34)</f>
        <v>#REF!</v>
      </c>
    </row>
    <row r="35" spans="1:9" ht="32.25" hidden="1" thickBot="1">
      <c r="A35" s="326" t="s">
        <v>270</v>
      </c>
      <c r="B35" s="317" t="str">
        <f>IF(C35&gt;0,VLOOKUP(C35,Программа!A$2:B$5008,2))</f>
        <v>Создание единого информационного пространства</v>
      </c>
      <c r="C35" s="318">
        <v>110</v>
      </c>
      <c r="D35" s="319" t="e">
        <f>SUMIFS(#REF!,#REF!,C35)</f>
        <v>#REF!</v>
      </c>
      <c r="E35" s="319" t="e">
        <f>SUMIFS(#REF!,#REF!,C35)</f>
        <v>#REF!</v>
      </c>
      <c r="F35" s="319" t="e">
        <f>SUMIFS(#REF!,#REF!,C35)</f>
        <v>#REF!</v>
      </c>
      <c r="G35" s="319" t="e">
        <f>SUMIFS(#REF!,#REF!,C35)</f>
        <v>#REF!</v>
      </c>
      <c r="H35" s="319" t="e">
        <f>SUMIFS(#REF!,#REF!,C35)</f>
        <v>#REF!</v>
      </c>
      <c r="I35" s="319" t="e">
        <f>SUMIFS(#REF!,#REF!,C35)</f>
        <v>#REF!</v>
      </c>
    </row>
    <row r="36" spans="1:9" ht="63.75" hidden="1" thickBot="1">
      <c r="A36" s="328" t="s">
        <v>2514</v>
      </c>
      <c r="B36" s="317" t="str">
        <f>IF(C36&gt;0,VLOOKUP(C36,Программа!A$2:B$5008,2))</f>
        <v>Муниципальная целевая программа «Информатизация управленческой деятельности Администрации ТМР на 2013-2014 годы».</v>
      </c>
      <c r="C36" s="318">
        <v>111</v>
      </c>
      <c r="D36" s="319" t="e">
        <f>SUMIFS(#REF!,#REF!,C36)</f>
        <v>#REF!</v>
      </c>
      <c r="E36" s="319" t="e">
        <f>SUMIFS(#REF!,#REF!,C36)</f>
        <v>#REF!</v>
      </c>
      <c r="F36" s="319" t="e">
        <f>SUMIFS(#REF!,#REF!,C36)</f>
        <v>#REF!</v>
      </c>
      <c r="G36" s="319" t="e">
        <f>SUMIFS(#REF!,#REF!,C36)</f>
        <v>#REF!</v>
      </c>
      <c r="H36" s="319" t="e">
        <f>SUMIFS(#REF!,#REF!,C36)</f>
        <v>#REF!</v>
      </c>
      <c r="I36" s="319" t="e">
        <f>SUMIFS(#REF!,#REF!,C36)</f>
        <v>#REF!</v>
      </c>
    </row>
    <row r="37" spans="1:9" ht="32.25" thickBot="1">
      <c r="A37" s="326" t="s">
        <v>271</v>
      </c>
      <c r="B37" s="317" t="str">
        <f>IF(C37&gt;0,VLOOKUP(C37,Программа!A$2:B$5008,2))</f>
        <v>Совершенствование муниципального управления</v>
      </c>
      <c r="C37" s="318">
        <v>120</v>
      </c>
      <c r="D37" s="319" t="e">
        <f>SUMIFS(#REF!,#REF!,C37)</f>
        <v>#REF!</v>
      </c>
      <c r="E37" s="319" t="e">
        <f>SUMIFS(#REF!,#REF!,C37)</f>
        <v>#REF!</v>
      </c>
      <c r="F37" s="319" t="e">
        <f>SUMIFS(#REF!,#REF!,C37)</f>
        <v>#REF!</v>
      </c>
      <c r="G37" s="319" t="e">
        <f>SUMIFS(#REF!,#REF!,C37)</f>
        <v>#REF!</v>
      </c>
      <c r="H37" s="319" t="e">
        <f>SUMIFS(#REF!,#REF!,C37)</f>
        <v>#REF!</v>
      </c>
      <c r="I37" s="319" t="e">
        <f>SUMIFS(#REF!,#REF!,C37)</f>
        <v>#REF!</v>
      </c>
    </row>
    <row r="38" spans="1:9" ht="48" thickBot="1">
      <c r="A38" s="326" t="s">
        <v>2515</v>
      </c>
      <c r="B38" s="317" t="str">
        <f>IF(C38&gt;0,VLOOKUP(C38,Программа!A$2:B$5008,2))</f>
        <v>Программа развития муниципальной службы в Тутаевском муниципальном районе на 2013-2015 годы.</v>
      </c>
      <c r="C38" s="318">
        <v>121</v>
      </c>
      <c r="D38" s="319" t="e">
        <f>SUMIFS(#REF!,#REF!,C38)</f>
        <v>#REF!</v>
      </c>
      <c r="E38" s="319" t="e">
        <f>SUMIFS(#REF!,#REF!,C38)</f>
        <v>#REF!</v>
      </c>
      <c r="F38" s="319" t="e">
        <f>SUMIFS(#REF!,#REF!,C38)</f>
        <v>#REF!</v>
      </c>
      <c r="G38" s="319" t="e">
        <f>SUMIFS(#REF!,#REF!,C38)</f>
        <v>#REF!</v>
      </c>
      <c r="H38" s="319" t="e">
        <f>SUMIFS(#REF!,#REF!,C38)</f>
        <v>#REF!</v>
      </c>
      <c r="I38" s="319" t="e">
        <f>SUMIFS(#REF!,#REF!,C38)</f>
        <v>#REF!</v>
      </c>
    </row>
    <row r="39" spans="1:9" ht="16.5" thickBot="1">
      <c r="A39" s="326" t="s">
        <v>2516</v>
      </c>
      <c r="B39" s="317" t="str">
        <f>IF(C39&gt;0,VLOOKUP(C39,Программа!A$2:B$5008,2))</f>
        <v>Улучшение условий охраны труда</v>
      </c>
      <c r="C39" s="318">
        <v>130</v>
      </c>
      <c r="D39" s="319" t="e">
        <f>SUMIFS(#REF!,#REF!,C39)</f>
        <v>#REF!</v>
      </c>
      <c r="E39" s="319" t="e">
        <f>SUMIFS(#REF!,#REF!,C39)</f>
        <v>#REF!</v>
      </c>
      <c r="F39" s="319" t="e">
        <f>SUMIFS(#REF!,#REF!,C39)</f>
        <v>#REF!</v>
      </c>
      <c r="G39" s="319" t="e">
        <f>SUMIFS(#REF!,#REF!,C39)</f>
        <v>#REF!</v>
      </c>
      <c r="H39" s="319" t="e">
        <f>SUMIFS(#REF!,#REF!,C39)</f>
        <v>#REF!</v>
      </c>
      <c r="I39" s="319" t="e">
        <f>SUMIFS(#REF!,#REF!,C39)</f>
        <v>#REF!</v>
      </c>
    </row>
    <row r="40" spans="1:9" ht="63.75" thickBot="1">
      <c r="A40" s="328" t="s">
        <v>2517</v>
      </c>
      <c r="B40" s="317" t="str">
        <f>IF(C40&gt;0,VLOOKUP(C40,Программа!A$2:B$5008,2))</f>
        <v>Районная целевая программа «Улучшение условий и охраны труда» на 2014-2016 годы по Тутаевскому муниципальному району.</v>
      </c>
      <c r="C40" s="318">
        <v>131</v>
      </c>
      <c r="D40" s="319" t="e">
        <f>SUMIFS(#REF!,#REF!,C40)</f>
        <v>#REF!</v>
      </c>
      <c r="E40" s="319" t="e">
        <f>SUMIFS(#REF!,#REF!,C40)</f>
        <v>#REF!</v>
      </c>
      <c r="F40" s="319" t="e">
        <f>SUMIFS(#REF!,#REF!,C40)</f>
        <v>#REF!</v>
      </c>
      <c r="G40" s="319" t="e">
        <f>SUMIFS(#REF!,#REF!,C40)</f>
        <v>#REF!</v>
      </c>
      <c r="H40" s="319" t="e">
        <f>SUMIFS(#REF!,#REF!,C40)</f>
        <v>#REF!</v>
      </c>
      <c r="I40" s="319" t="e">
        <f>SUMIFS(#REF!,#REF!,C40)</f>
        <v>#REF!</v>
      </c>
    </row>
    <row r="41" spans="1:9" ht="16.5" thickBot="1">
      <c r="A41" s="326" t="s">
        <v>272</v>
      </c>
      <c r="B41" s="317" t="str">
        <f>IF(C41&gt;0,VLOOKUP(C41,Программа!A$2:B$5008,2))</f>
        <v>Развитие сельского хозяйства</v>
      </c>
      <c r="C41" s="318">
        <v>140</v>
      </c>
      <c r="D41" s="319" t="e">
        <f>SUMIFS(#REF!,#REF!,C41)</f>
        <v>#REF!</v>
      </c>
      <c r="E41" s="319" t="e">
        <f>SUMIFS(#REF!,#REF!,C41)</f>
        <v>#REF!</v>
      </c>
      <c r="F41" s="319" t="e">
        <f>SUMIFS(#REF!,#REF!,C41)</f>
        <v>#REF!</v>
      </c>
      <c r="G41" s="319" t="e">
        <f>SUMIFS(#REF!,#REF!,C41)</f>
        <v>#REF!</v>
      </c>
      <c r="H41" s="319" t="e">
        <f>SUMIFS(#REF!,#REF!,C41)</f>
        <v>#REF!</v>
      </c>
      <c r="I41" s="319" t="e">
        <f>SUMIFS(#REF!,#REF!,C41)</f>
        <v>#REF!</v>
      </c>
    </row>
    <row r="42" spans="1:9" ht="63.75" hidden="1" thickBot="1">
      <c r="A42" s="328" t="s">
        <v>2518</v>
      </c>
      <c r="B42" s="317" t="str">
        <f>IF(C42&gt;0,VLOOKUP(C42,Программа!A$2:B$5008,2))</f>
        <v>Муниципальная целевая программа «Развитие потребительского рынка Тутаевского муниципального района на 2012-2014 годы».</v>
      </c>
      <c r="C42" s="318">
        <v>141</v>
      </c>
      <c r="D42" s="319" t="e">
        <f>SUMIFS(#REF!,#REF!,C42)</f>
        <v>#REF!</v>
      </c>
      <c r="E42" s="319" t="e">
        <f>SUMIFS(#REF!,#REF!,C42)</f>
        <v>#REF!</v>
      </c>
      <c r="F42" s="319" t="e">
        <f>SUMIFS(#REF!,#REF!,C42)</f>
        <v>#REF!</v>
      </c>
      <c r="G42" s="319" t="e">
        <f>SUMIFS(#REF!,#REF!,C42)</f>
        <v>#REF!</v>
      </c>
      <c r="H42" s="319" t="e">
        <f>SUMIFS(#REF!,#REF!,C42)</f>
        <v>#REF!</v>
      </c>
      <c r="I42" s="319" t="e">
        <f>SUMIFS(#REF!,#REF!,C42)</f>
        <v>#REF!</v>
      </c>
    </row>
    <row r="43" spans="1:9" ht="79.5" thickBot="1">
      <c r="A43" s="328" t="s">
        <v>2519</v>
      </c>
      <c r="B43" s="317" t="str">
        <f>IF(C43&gt;0,VLOOKUP(C43,Программа!A$2:B$5008,2))</f>
        <v>Муниципальная целевая программа «Развитие агропромышленного комплекса и сельских территорий Тутаевского муниципального района на 2013-2015 годы».</v>
      </c>
      <c r="C43" s="318">
        <v>142</v>
      </c>
      <c r="D43" s="319" t="e">
        <f>SUMIFS(#REF!,#REF!,C43)</f>
        <v>#REF!</v>
      </c>
      <c r="E43" s="319" t="e">
        <f>SUMIFS(#REF!,#REF!,C43)</f>
        <v>#REF!</v>
      </c>
      <c r="F43" s="319" t="e">
        <f>SUMIFS(#REF!,#REF!,C43)</f>
        <v>#REF!</v>
      </c>
      <c r="G43" s="319" t="e">
        <f>SUMIFS(#REF!,#REF!,C43)</f>
        <v>#REF!</v>
      </c>
      <c r="H43" s="319" t="e">
        <f>SUMIFS(#REF!,#REF!,C43)</f>
        <v>#REF!</v>
      </c>
      <c r="I43" s="319" t="e">
        <f>SUMIFS(#REF!,#REF!,C43)</f>
        <v>#REF!</v>
      </c>
    </row>
    <row r="44" spans="1:9" ht="32.25" thickBot="1">
      <c r="A44" s="326" t="s">
        <v>2520</v>
      </c>
      <c r="B44" s="317" t="str">
        <f>IF(C44&gt;0,VLOOKUP(C44,Программа!A$2:B$5008,2))</f>
        <v>Развитие дорожного хозяйства и транспорта</v>
      </c>
      <c r="C44" s="318">
        <v>150</v>
      </c>
      <c r="D44" s="319" t="e">
        <f>SUMIFS(#REF!,#REF!,C44)</f>
        <v>#REF!</v>
      </c>
      <c r="E44" s="319" t="e">
        <f>SUMIFS(#REF!,#REF!,C44)</f>
        <v>#REF!</v>
      </c>
      <c r="F44" s="319" t="e">
        <f>SUMIFS(#REF!,#REF!,C44)</f>
        <v>#REF!</v>
      </c>
      <c r="G44" s="319" t="e">
        <f>SUMIFS(#REF!,#REF!,C44)</f>
        <v>#REF!</v>
      </c>
      <c r="H44" s="319" t="e">
        <f>SUMIFS(#REF!,#REF!,C44)</f>
        <v>#REF!</v>
      </c>
      <c r="I44" s="319" t="e">
        <f>SUMIFS(#REF!,#REF!,C44)</f>
        <v>#REF!</v>
      </c>
    </row>
    <row r="45" spans="1:9" ht="79.5" thickBot="1">
      <c r="A45" s="328" t="s">
        <v>2521</v>
      </c>
      <c r="B45" s="317" t="str">
        <f>IF(C45&gt;0,VLOOKUP(C45,Программа!A$2:B$5008,2))</f>
        <v>Муниципальная целевая программа «Повышение безопасности дорожного движения на территории Тутаевского муниципального района на 2013-2015 годы».</v>
      </c>
      <c r="C45" s="318">
        <v>151</v>
      </c>
      <c r="D45" s="319" t="e">
        <f>SUMIFS(#REF!,#REF!,C45)</f>
        <v>#REF!</v>
      </c>
      <c r="E45" s="319" t="e">
        <f>SUMIFS(#REF!,#REF!,C45)</f>
        <v>#REF!</v>
      </c>
      <c r="F45" s="319" t="e">
        <f>SUMIFS(#REF!,#REF!,C45)</f>
        <v>#REF!</v>
      </c>
      <c r="G45" s="319" t="e">
        <f>SUMIFS(#REF!,#REF!,C45)</f>
        <v>#REF!</v>
      </c>
      <c r="H45" s="319" t="e">
        <f>SUMIFS(#REF!,#REF!,C45)</f>
        <v>#REF!</v>
      </c>
      <c r="I45" s="319" t="e">
        <f>SUMIFS(#REF!,#REF!,C45)</f>
        <v>#REF!</v>
      </c>
    </row>
    <row r="46" spans="1:9" ht="79.5" thickBot="1">
      <c r="A46" s="328" t="s">
        <v>2522</v>
      </c>
      <c r="B46" s="317" t="str">
        <f>IF(C46&gt;0,VLOOKUP(C46,Программа!A$2:B$5008,2))</f>
        <v>Муниципальная целевая программа «Сохранность автомобильных дорог общего пользования Тутаевского муниципального района на 2013-2015 годы».</v>
      </c>
      <c r="C46" s="318">
        <v>152</v>
      </c>
      <c r="D46" s="319" t="e">
        <f>SUMIFS(#REF!,#REF!,C46)</f>
        <v>#REF!</v>
      </c>
      <c r="E46" s="319" t="e">
        <f>SUMIFS(#REF!,#REF!,C46)</f>
        <v>#REF!</v>
      </c>
      <c r="F46" s="319" t="e">
        <f>SUMIFS(#REF!,#REF!,C46)</f>
        <v>#REF!</v>
      </c>
      <c r="G46" s="319" t="e">
        <f>SUMIFS(#REF!,#REF!,C46)</f>
        <v>#REF!</v>
      </c>
      <c r="H46" s="319" t="e">
        <f>SUMIFS(#REF!,#REF!,C46)</f>
        <v>#REF!</v>
      </c>
      <c r="I46" s="319" t="e">
        <f>SUMIFS(#REF!,#REF!,C46)</f>
        <v>#REF!</v>
      </c>
    </row>
    <row r="47" spans="1:9" ht="48" thickBot="1">
      <c r="A47" s="326" t="s">
        <v>273</v>
      </c>
      <c r="B47" s="317" t="str">
        <f>IF(C47&gt;0,VLOOKUP(C47,Программа!A$2:B$5008,2))</f>
        <v>Поддержка некоммерческих организаций и территориального общественного самоуправления</v>
      </c>
      <c r="C47" s="318">
        <v>160</v>
      </c>
      <c r="D47" s="319" t="e">
        <f>SUMIFS(#REF!,#REF!,C47)</f>
        <v>#REF!</v>
      </c>
      <c r="E47" s="319" t="e">
        <f>SUMIFS(#REF!,#REF!,C47)</f>
        <v>#REF!</v>
      </c>
      <c r="F47" s="319" t="e">
        <f>SUMIFS(#REF!,#REF!,C47)</f>
        <v>#REF!</v>
      </c>
      <c r="G47" s="319" t="e">
        <f>SUMIFS(#REF!,#REF!,C47)</f>
        <v>#REF!</v>
      </c>
      <c r="H47" s="319" t="e">
        <f>SUMIFS(#REF!,#REF!,C47)</f>
        <v>#REF!</v>
      </c>
      <c r="I47" s="319" t="e">
        <f>SUMIFS(#REF!,#REF!,C47)</f>
        <v>#REF!</v>
      </c>
    </row>
    <row r="48" spans="1:9" ht="111" thickBot="1">
      <c r="A48" s="328" t="s">
        <v>2523</v>
      </c>
      <c r="B48" s="317" t="str">
        <f>IF(C48&gt;0,VLOOKUP(C48,Программа!A$2:B$5008,2))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 на 2014-2016 годы.</v>
      </c>
      <c r="C48" s="318">
        <v>161</v>
      </c>
      <c r="D48" s="319" t="e">
        <f>SUMIFS(#REF!,#REF!,C48)</f>
        <v>#REF!</v>
      </c>
      <c r="E48" s="319" t="e">
        <f>SUMIFS(#REF!,#REF!,C48)</f>
        <v>#REF!</v>
      </c>
      <c r="F48" s="319" t="e">
        <f>SUMIFS(#REF!,#REF!,C48)</f>
        <v>#REF!</v>
      </c>
      <c r="G48" s="319" t="e">
        <f>SUMIFS(#REF!,#REF!,C48)</f>
        <v>#REF!</v>
      </c>
      <c r="H48" s="319" t="e">
        <f>SUMIFS(#REF!,#REF!,C48)</f>
        <v>#REF!</v>
      </c>
      <c r="I48" s="319" t="e">
        <f>SUMIFS(#REF!,#REF!,C48)</f>
        <v>#REF!</v>
      </c>
    </row>
    <row r="49" spans="1:9" ht="16.5" thickBot="1">
      <c r="A49" s="328"/>
      <c r="B49" s="321" t="s">
        <v>1130</v>
      </c>
      <c r="C49" s="333"/>
      <c r="D49" s="323" t="e">
        <f>D10+D14+D17+D20+D22+D24+D26+D29+D31+D33+D35+D37+D39+D41+D44+D47</f>
        <v>#REF!</v>
      </c>
      <c r="E49" s="323" t="e">
        <f t="shared" ref="E49:I49" si="0">E10+E14+E17+E20+E22+E24+E26+E29+E31+E33+E35+E37+E39+E41+E44+E47</f>
        <v>#REF!</v>
      </c>
      <c r="F49" s="323" t="e">
        <f t="shared" si="0"/>
        <v>#REF!</v>
      </c>
      <c r="G49" s="323" t="e">
        <f t="shared" si="0"/>
        <v>#REF!</v>
      </c>
      <c r="H49" s="323" t="e">
        <f t="shared" si="0"/>
        <v>#REF!</v>
      </c>
      <c r="I49" s="323" t="e">
        <f t="shared" si="0"/>
        <v>#REF!</v>
      </c>
    </row>
    <row r="50" spans="1:9" ht="31.5" customHeight="1" thickBot="1">
      <c r="A50" s="326" t="s">
        <v>2524</v>
      </c>
      <c r="B50" s="317" t="str">
        <f>IF(C50&gt;0,VLOOKUP(C50,Программа!A$2:B$5008,2))</f>
        <v>Непрограммные расходы бюджета</v>
      </c>
      <c r="C50" s="318">
        <v>409</v>
      </c>
      <c r="D50" s="319" t="e">
        <f>SUMIFS(#REF!,#REF!,C50)</f>
        <v>#REF!</v>
      </c>
      <c r="E50" s="319" t="e">
        <f>SUMIFS(#REF!,#REF!,C50)</f>
        <v>#REF!</v>
      </c>
      <c r="F50" s="319" t="e">
        <f>SUMIFS(#REF!,#REF!,C50)</f>
        <v>#REF!</v>
      </c>
      <c r="G50" s="319" t="e">
        <f>SUMIFS(#REF!,#REF!,C50)</f>
        <v>#REF!</v>
      </c>
      <c r="H50" s="319" t="e">
        <f>SUMIFS(#REF!,#REF!,C50)</f>
        <v>#REF!</v>
      </c>
      <c r="I50" s="319" t="e">
        <f>SUMIFS(#REF!,#REF!,C50)</f>
        <v>#REF!</v>
      </c>
    </row>
    <row r="51" spans="1:9" ht="32.25" thickBot="1">
      <c r="A51" s="326" t="s">
        <v>2525</v>
      </c>
      <c r="B51" s="317" t="str">
        <f>IF(C51&gt;0,VLOOKUP(C51,Программа!A$2:B$5008,2))</f>
        <v>Межбюджетные трансферты  поселениям района</v>
      </c>
      <c r="C51" s="318">
        <v>990</v>
      </c>
      <c r="D51" s="319" t="e">
        <f>SUMIFS(#REF!,#REF!,C51)</f>
        <v>#REF!</v>
      </c>
      <c r="E51" s="319" t="e">
        <f>SUMIFS(#REF!,#REF!,C51)</f>
        <v>#REF!</v>
      </c>
      <c r="F51" s="319" t="e">
        <f>SUMIFS(#REF!,#REF!,C51)</f>
        <v>#REF!</v>
      </c>
      <c r="G51" s="319" t="e">
        <f>SUMIFS(#REF!,#REF!,C51)</f>
        <v>#REF!</v>
      </c>
      <c r="H51" s="319" t="e">
        <f>SUMIFS(#REF!,#REF!,C51)</f>
        <v>#REF!</v>
      </c>
      <c r="I51" s="319" t="e">
        <f>SUMIFS(#REF!,#REF!,C51)</f>
        <v>#REF!</v>
      </c>
    </row>
    <row r="52" spans="1:9" ht="16.5" thickBot="1">
      <c r="A52" s="298"/>
      <c r="B52" s="321" t="s">
        <v>2529</v>
      </c>
      <c r="C52" s="322"/>
      <c r="D52" s="323" t="e">
        <f t="shared" ref="D52:I52" si="1">D51+D50+D47+D44+D41+D39+D37+D35+D33+D31+D29+D26+D24+D22+D20+D17+D14+D10</f>
        <v>#REF!</v>
      </c>
      <c r="E52" s="323" t="e">
        <f t="shared" si="1"/>
        <v>#REF!</v>
      </c>
      <c r="F52" s="323" t="e">
        <f t="shared" si="1"/>
        <v>#REF!</v>
      </c>
      <c r="G52" s="323" t="e">
        <f t="shared" si="1"/>
        <v>#REF!</v>
      </c>
      <c r="H52" s="323" t="e">
        <f t="shared" si="1"/>
        <v>#REF!</v>
      </c>
      <c r="I52" s="323" t="e">
        <f t="shared" si="1"/>
        <v>#REF!</v>
      </c>
    </row>
    <row r="53" spans="1:9">
      <c r="C53" s="229"/>
      <c r="D53" s="229"/>
    </row>
    <row r="54" spans="1:9">
      <c r="C54" s="229"/>
      <c r="D54" s="229"/>
    </row>
    <row r="55" spans="1:9">
      <c r="C55" s="229"/>
      <c r="D55" s="229"/>
    </row>
    <row r="56" spans="1:9">
      <c r="C56" s="229"/>
      <c r="D56" s="229"/>
    </row>
    <row r="57" spans="1:9">
      <c r="C57" s="229"/>
      <c r="D57" s="229"/>
    </row>
    <row r="58" spans="1:9">
      <c r="C58" s="229"/>
      <c r="D58" s="229"/>
    </row>
    <row r="59" spans="1:9">
      <c r="C59" s="229"/>
      <c r="D59" s="229"/>
    </row>
    <row r="60" spans="1:9">
      <c r="C60" s="229"/>
      <c r="D60" s="229"/>
    </row>
    <row r="61" spans="1:9">
      <c r="C61" s="229"/>
      <c r="D61" s="229"/>
    </row>
    <row r="62" spans="1:9">
      <c r="C62" s="229"/>
      <c r="D62" s="229"/>
    </row>
    <row r="63" spans="1:9">
      <c r="C63" s="229"/>
      <c r="D63" s="229"/>
    </row>
    <row r="64" spans="1:9">
      <c r="C64" s="229"/>
      <c r="D64" s="229"/>
    </row>
    <row r="65" spans="3:4">
      <c r="C65" s="229"/>
      <c r="D65" s="229"/>
    </row>
    <row r="66" spans="3:4">
      <c r="C66" s="229"/>
      <c r="D66" s="229"/>
    </row>
    <row r="67" spans="3:4">
      <c r="C67" s="229"/>
      <c r="D67" s="229"/>
    </row>
    <row r="68" spans="3:4">
      <c r="C68" s="229"/>
      <c r="D68" s="229"/>
    </row>
    <row r="69" spans="3:4">
      <c r="C69" s="229"/>
      <c r="D69" s="229"/>
    </row>
    <row r="70" spans="3:4">
      <c r="C70" s="229"/>
      <c r="D70" s="229"/>
    </row>
    <row r="71" spans="3:4">
      <c r="C71" s="229"/>
      <c r="D71" s="229"/>
    </row>
    <row r="72" spans="3:4">
      <c r="C72" s="229"/>
      <c r="D72" s="229"/>
    </row>
    <row r="73" spans="3:4">
      <c r="C73" s="229"/>
      <c r="D73" s="229"/>
    </row>
    <row r="74" spans="3:4">
      <c r="C74" s="229"/>
      <c r="D74" s="229"/>
    </row>
    <row r="75" spans="3:4">
      <c r="C75" s="229"/>
      <c r="D75" s="229"/>
    </row>
    <row r="76" spans="3:4">
      <c r="C76" s="229"/>
      <c r="D76" s="229"/>
    </row>
    <row r="77" spans="3:4">
      <c r="C77" s="229"/>
      <c r="D77" s="229"/>
    </row>
    <row r="78" spans="3:4">
      <c r="C78" s="229"/>
      <c r="D78" s="229"/>
    </row>
    <row r="79" spans="3:4">
      <c r="C79" s="229"/>
      <c r="D79" s="229"/>
    </row>
    <row r="80" spans="3:4">
      <c r="C80" s="229"/>
      <c r="D80" s="229"/>
    </row>
    <row r="81" spans="3:4">
      <c r="C81" s="229"/>
      <c r="D81" s="229"/>
    </row>
    <row r="82" spans="3:4">
      <c r="C82" s="229"/>
      <c r="D82" s="229"/>
    </row>
    <row r="83" spans="3:4">
      <c r="C83" s="229"/>
      <c r="D83" s="229"/>
    </row>
    <row r="84" spans="3:4">
      <c r="C84" s="229"/>
      <c r="D84" s="229"/>
    </row>
    <row r="85" spans="3:4">
      <c r="C85" s="229"/>
      <c r="D85" s="229"/>
    </row>
    <row r="86" spans="3:4">
      <c r="C86" s="229"/>
      <c r="D86" s="229"/>
    </row>
    <row r="87" spans="3:4">
      <c r="C87" s="229"/>
      <c r="D87" s="229"/>
    </row>
    <row r="88" spans="3:4">
      <c r="C88" s="229"/>
      <c r="D88" s="229"/>
    </row>
    <row r="89" spans="3:4">
      <c r="C89" s="229"/>
      <c r="D89" s="229"/>
    </row>
    <row r="90" spans="3:4">
      <c r="C90" s="229"/>
      <c r="D90" s="229"/>
    </row>
    <row r="91" spans="3:4">
      <c r="C91" s="229"/>
      <c r="D91" s="229"/>
    </row>
    <row r="92" spans="3:4">
      <c r="C92" s="229"/>
      <c r="D92" s="229"/>
    </row>
    <row r="93" spans="3:4">
      <c r="C93" s="229"/>
      <c r="D93" s="229"/>
    </row>
    <row r="94" spans="3:4">
      <c r="C94" s="229"/>
      <c r="D94" s="229"/>
    </row>
    <row r="95" spans="3:4">
      <c r="C95" s="229"/>
      <c r="D95" s="229"/>
    </row>
    <row r="96" spans="3:4">
      <c r="C96" s="229"/>
      <c r="D96" s="229"/>
    </row>
    <row r="97" spans="3:4">
      <c r="C97" s="229"/>
      <c r="D97" s="229"/>
    </row>
    <row r="98" spans="3:4">
      <c r="C98" s="229"/>
      <c r="D98" s="229"/>
    </row>
    <row r="99" spans="3:4">
      <c r="C99" s="229"/>
      <c r="D99" s="229"/>
    </row>
    <row r="100" spans="3:4">
      <c r="C100" s="229"/>
      <c r="D100" s="229"/>
    </row>
    <row r="101" spans="3:4">
      <c r="C101" s="229"/>
      <c r="D101" s="229"/>
    </row>
    <row r="102" spans="3:4">
      <c r="C102" s="229"/>
      <c r="D102" s="229"/>
    </row>
    <row r="103" spans="3:4">
      <c r="C103" s="229"/>
      <c r="D103" s="229"/>
    </row>
    <row r="104" spans="3:4">
      <c r="C104" s="229"/>
      <c r="D104" s="229"/>
    </row>
    <row r="105" spans="3:4">
      <c r="C105" s="229"/>
      <c r="D105" s="229"/>
    </row>
    <row r="106" spans="3:4">
      <c r="C106" s="229"/>
      <c r="D106" s="229"/>
    </row>
    <row r="107" spans="3:4">
      <c r="C107" s="229"/>
      <c r="D107" s="229"/>
    </row>
    <row r="108" spans="3:4">
      <c r="C108" s="229"/>
      <c r="D108" s="229"/>
    </row>
    <row r="109" spans="3:4">
      <c r="C109" s="229"/>
      <c r="D109" s="229"/>
    </row>
    <row r="110" spans="3:4">
      <c r="C110" s="229"/>
      <c r="D110" s="229"/>
    </row>
    <row r="111" spans="3:4">
      <c r="C111" s="229"/>
      <c r="D111" s="229"/>
    </row>
    <row r="112" spans="3:4">
      <c r="C112" s="229"/>
      <c r="D112" s="229"/>
    </row>
    <row r="113" spans="3:4">
      <c r="C113" s="229"/>
      <c r="D113" s="229"/>
    </row>
    <row r="114" spans="3:4">
      <c r="C114" s="229"/>
      <c r="D114" s="229"/>
    </row>
    <row r="115" spans="3:4">
      <c r="C115" s="229"/>
      <c r="D115" s="229"/>
    </row>
    <row r="116" spans="3:4">
      <c r="C116" s="229"/>
      <c r="D116" s="229"/>
    </row>
    <row r="117" spans="3:4">
      <c r="C117" s="229"/>
      <c r="D117" s="229"/>
    </row>
    <row r="118" spans="3:4">
      <c r="C118" s="229"/>
      <c r="D118" s="229"/>
    </row>
    <row r="119" spans="3:4">
      <c r="C119" s="229"/>
      <c r="D119" s="229"/>
    </row>
    <row r="120" spans="3:4">
      <c r="C120" s="229"/>
      <c r="D120" s="229"/>
    </row>
    <row r="121" spans="3:4">
      <c r="C121" s="229"/>
      <c r="D121" s="229"/>
    </row>
    <row r="122" spans="3:4">
      <c r="C122" s="229"/>
      <c r="D122" s="229"/>
    </row>
    <row r="123" spans="3:4">
      <c r="C123" s="229"/>
      <c r="D123" s="229"/>
    </row>
  </sheetData>
  <mergeCells count="16">
    <mergeCell ref="E7:I7"/>
    <mergeCell ref="A8:A9"/>
    <mergeCell ref="B8:B9"/>
    <mergeCell ref="C8:C9"/>
    <mergeCell ref="I8:I9"/>
    <mergeCell ref="F8:F9"/>
    <mergeCell ref="D8:D9"/>
    <mergeCell ref="E8:E9"/>
    <mergeCell ref="G8:G9"/>
    <mergeCell ref="H8:H9"/>
    <mergeCell ref="A6:I6"/>
    <mergeCell ref="A1:I1"/>
    <mergeCell ref="A2:I2"/>
    <mergeCell ref="A3:I3"/>
    <mergeCell ref="A4:I4"/>
    <mergeCell ref="E5:I5"/>
  </mergeCells>
  <pageMargins left="0.70866141732283472" right="0.70866141732283472" top="0.74803149606299213" bottom="0.74803149606299213" header="0.31496062992125984" footer="0.31496062992125984"/>
  <pageSetup paperSize="9" scale="95" fitToHeight="0"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codeName="Лист14"/>
  <dimension ref="A1:G419"/>
  <sheetViews>
    <sheetView showGridLines="0" view="pageBreakPreview" zoomScale="115" zoomScaleSheetLayoutView="115" workbookViewId="0">
      <selection activeCell="A4" sqref="A4:D4"/>
    </sheetView>
  </sheetViews>
  <sheetFormatPr defaultColWidth="9.140625" defaultRowHeight="15.75"/>
  <cols>
    <col min="1" max="1" width="50.42578125" style="242" customWidth="1"/>
    <col min="2" max="2" width="18" style="242" customWidth="1"/>
    <col min="3" max="3" width="14.85546875" style="242" customWidth="1"/>
    <col min="4" max="4" width="0.28515625" style="242" customWidth="1"/>
    <col min="5" max="7" width="9.140625" style="242"/>
    <col min="8" max="8" width="43.42578125" style="242" customWidth="1"/>
    <col min="9" max="16384" width="9.140625" style="242"/>
  </cols>
  <sheetData>
    <row r="1" spans="1:4">
      <c r="A1" s="469" t="s">
        <v>27</v>
      </c>
      <c r="B1" s="469"/>
      <c r="C1" s="469"/>
      <c r="D1" s="469"/>
    </row>
    <row r="2" spans="1:4">
      <c r="A2" s="469" t="s">
        <v>1051</v>
      </c>
      <c r="B2" s="469"/>
      <c r="C2" s="469"/>
      <c r="D2" s="469"/>
    </row>
    <row r="3" spans="1:4">
      <c r="A3" s="469" t="s">
        <v>700</v>
      </c>
      <c r="B3" s="469"/>
      <c r="C3" s="469"/>
      <c r="D3" s="469"/>
    </row>
    <row r="4" spans="1:4">
      <c r="A4" s="469" t="s">
        <v>2623</v>
      </c>
      <c r="B4" s="469"/>
      <c r="C4" s="469"/>
      <c r="D4" s="469"/>
    </row>
    <row r="5" spans="1:4" ht="15.75" customHeight="1">
      <c r="A5" s="239"/>
      <c r="B5" s="239"/>
      <c r="C5" s="239"/>
    </row>
    <row r="7" spans="1:4" ht="41.25" customHeight="1">
      <c r="A7" s="466" t="s">
        <v>2299</v>
      </c>
      <c r="B7" s="466"/>
      <c r="C7" s="466"/>
      <c r="D7" s="466"/>
    </row>
    <row r="8" spans="1:4" ht="14.25" customHeight="1">
      <c r="A8" s="243"/>
      <c r="B8" s="243"/>
      <c r="C8" s="243"/>
      <c r="D8" s="243"/>
    </row>
    <row r="9" spans="1:4" ht="34.5" customHeight="1">
      <c r="A9" s="467" t="s">
        <v>1627</v>
      </c>
      <c r="B9" s="467"/>
      <c r="C9" s="467"/>
      <c r="D9" s="468"/>
    </row>
    <row r="10" spans="1:4" ht="98.25" customHeight="1">
      <c r="A10" s="238" t="s">
        <v>1628</v>
      </c>
      <c r="B10" s="238" t="s">
        <v>2110</v>
      </c>
      <c r="C10" s="238" t="s">
        <v>2111</v>
      </c>
      <c r="D10" s="138"/>
    </row>
    <row r="11" spans="1:4" ht="26.25" customHeight="1">
      <c r="A11" s="244" t="s">
        <v>1377</v>
      </c>
      <c r="B11" s="245">
        <f>1670000+C11</f>
        <v>1830000</v>
      </c>
      <c r="C11" s="241">
        <v>160000</v>
      </c>
      <c r="D11" s="246"/>
    </row>
    <row r="12" spans="1:4" ht="30.75" customHeight="1">
      <c r="A12" s="244" t="s">
        <v>634</v>
      </c>
      <c r="B12" s="245">
        <f>1810000+C12</f>
        <v>2184000</v>
      </c>
      <c r="C12" s="241">
        <v>374000</v>
      </c>
      <c r="D12" s="246"/>
    </row>
    <row r="13" spans="1:4" ht="27" customHeight="1">
      <c r="A13" s="247" t="s">
        <v>1130</v>
      </c>
      <c r="B13" s="248">
        <f>SUM(B11:B12)</f>
        <v>4014000</v>
      </c>
      <c r="C13" s="248">
        <f>SUM(C11:C12)</f>
        <v>534000</v>
      </c>
      <c r="D13" s="249"/>
    </row>
    <row r="224" ht="54.75" customHeight="1"/>
    <row r="225" ht="27" customHeight="1"/>
    <row r="226" ht="85.5" customHeight="1"/>
    <row r="227" ht="27" customHeight="1"/>
    <row r="228" ht="38.25" customHeight="1"/>
    <row r="234" ht="54" customHeight="1"/>
    <row r="235" ht="37.5" customHeight="1"/>
    <row r="236" ht="69.75" customHeight="1"/>
    <row r="274" spans="1:6">
      <c r="A274" s="250"/>
      <c r="B274" s="250"/>
      <c r="C274" s="250"/>
      <c r="D274" s="250"/>
      <c r="E274" s="250"/>
      <c r="F274" s="250"/>
    </row>
    <row r="275" spans="1:6">
      <c r="A275" s="250"/>
      <c r="B275" s="250"/>
      <c r="C275" s="250"/>
      <c r="D275" s="250"/>
      <c r="E275" s="250"/>
      <c r="F275" s="250"/>
    </row>
    <row r="276" spans="1:6">
      <c r="A276" s="250"/>
      <c r="B276" s="250"/>
      <c r="C276" s="250"/>
      <c r="D276" s="250"/>
      <c r="E276" s="250"/>
      <c r="F276" s="250"/>
    </row>
    <row r="277" spans="1:6">
      <c r="A277" s="250"/>
      <c r="B277" s="250"/>
      <c r="C277" s="250"/>
      <c r="D277" s="250"/>
      <c r="E277" s="250"/>
      <c r="F277" s="250"/>
    </row>
    <row r="419" spans="4:7">
      <c r="D419" s="251"/>
      <c r="E419" s="251"/>
      <c r="F419" s="251"/>
      <c r="G419" s="251"/>
    </row>
  </sheetData>
  <mergeCells count="6">
    <mergeCell ref="A7:D7"/>
    <mergeCell ref="A9:D9"/>
    <mergeCell ref="A1:D1"/>
    <mergeCell ref="A2:D2"/>
    <mergeCell ref="A3:D3"/>
    <mergeCell ref="A4:D4"/>
  </mergeCells>
  <phoneticPr fontId="33"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39</vt:i4>
      </vt:variant>
      <vt:variant>
        <vt:lpstr>Именованные диапазоны</vt:lpstr>
      </vt:variant>
      <vt:variant>
        <vt:i4>17</vt:i4>
      </vt:variant>
    </vt:vector>
  </HeadingPairs>
  <TitlesOfParts>
    <vt:vector size="56" baseType="lpstr">
      <vt:lpstr>Пр1</vt:lpstr>
      <vt:lpstr>Пр_2</vt:lpstr>
      <vt:lpstr>Пр_3</vt:lpstr>
      <vt:lpstr>Пр_9</vt:lpstr>
      <vt:lpstr>Пр_10</vt:lpstr>
      <vt:lpstr>Пр_4</vt:lpstr>
      <vt:lpstr>Пр_5</vt:lpstr>
      <vt:lpstr>Пр12_</vt:lpstr>
      <vt:lpstr>Пр_15</vt:lpstr>
      <vt:lpstr>Пр_16</vt:lpstr>
      <vt:lpstr>Пр3</vt:lpstr>
      <vt:lpstr>Пр13</vt:lpstr>
      <vt:lpstr>Пр_6</vt:lpstr>
      <vt:lpstr>Пр_18</vt:lpstr>
      <vt:lpstr>Пр_19</vt:lpstr>
      <vt:lpstr>Пр20</vt:lpstr>
      <vt:lpstr>Пр_20</vt:lpstr>
      <vt:lpstr>Пр_21</vt:lpstr>
      <vt:lpstr>Пр_22</vt:lpstr>
      <vt:lpstr>Пр_23</vt:lpstr>
      <vt:lpstr>Пр 10.</vt:lpstr>
      <vt:lpstr>КВСР</vt:lpstr>
      <vt:lpstr>КФСР</vt:lpstr>
      <vt:lpstr>КЦСР</vt:lpstr>
      <vt:lpstr>КВР</vt:lpstr>
      <vt:lpstr>20</vt:lpstr>
      <vt:lpstr>21</vt:lpstr>
      <vt:lpstr>22</vt:lpstr>
      <vt:lpstr>Лист1</vt:lpstr>
      <vt:lpstr>Лист2</vt:lpstr>
      <vt:lpstr>Программа</vt:lpstr>
      <vt:lpstr>Пр13-</vt:lpstr>
      <vt:lpstr>Пр14-</vt:lpstr>
      <vt:lpstr>Направление</vt:lpstr>
      <vt:lpstr>Лист3</vt:lpstr>
      <vt:lpstr>Лист4</vt:lpstr>
      <vt:lpstr>Лист5</vt:lpstr>
      <vt:lpstr>LOG</vt:lpstr>
      <vt:lpstr>Пр_7</vt:lpstr>
      <vt:lpstr>КВР!Область_печати</vt:lpstr>
      <vt:lpstr>КВСР!Область_печати</vt:lpstr>
      <vt:lpstr>КФСР!Область_печати</vt:lpstr>
      <vt:lpstr>КЦСР!Область_печати</vt:lpstr>
      <vt:lpstr>Пр_15!Область_печати</vt:lpstr>
      <vt:lpstr>Пр_16!Область_печати</vt:lpstr>
      <vt:lpstr>Пр_18!Область_печати</vt:lpstr>
      <vt:lpstr>Пр_2!Область_печати</vt:lpstr>
      <vt:lpstr>Пр_20!Область_печати</vt:lpstr>
      <vt:lpstr>Пр_23!Область_печати</vt:lpstr>
      <vt:lpstr>Пр_3!Область_печати</vt:lpstr>
      <vt:lpstr>Пр_4!Область_печати</vt:lpstr>
      <vt:lpstr>Пр_5!Область_печати</vt:lpstr>
      <vt:lpstr>Пр_6!Область_печати</vt:lpstr>
      <vt:lpstr>Пр_9!Область_печати</vt:lpstr>
      <vt:lpstr>Пр1!Область_печати</vt:lpstr>
      <vt:lpstr>Пр12_!Область_печати</vt:lpstr>
    </vt:vector>
  </TitlesOfParts>
  <Manager>Минин А.А.</Manager>
  <Company>Департамент финансов администрации Тутаевского муниципального района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Бюджет 2014 года</dc:title>
  <dc:subject>Бюджет 2014 года</dc:subject>
  <dc:creator>Савичев И.А.</dc:creator>
  <cp:lastModifiedBy>Елаева</cp:lastModifiedBy>
  <cp:lastPrinted>2014-10-24T12:45:32Z</cp:lastPrinted>
  <dcterms:created xsi:type="dcterms:W3CDTF">2004-11-16T05:58:34Z</dcterms:created>
  <dcterms:modified xsi:type="dcterms:W3CDTF">2014-10-31T13:36:18Z</dcterms:modified>
</cp:coreProperties>
</file>