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53.xml" ContentType="application/vnd.openxmlformats-officedocument.spreadsheetml.worksheet+xml"/>
  <Override PartName="/xl/worksheets/sheet62.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sheets/sheet5.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49.xml" ContentType="application/vnd.openxmlformats-officedocument.spreadsheetml.worksheet+xml"/>
  <Override PartName="/xl/worksheets/sheet59.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Override PartName="/xl/worksheets/sheet63.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1.xml" ContentType="application/vnd.openxmlformats-officedocument.spreadsheetml.worksheet+xml"/>
  <Override PartName="/xl/tables/table1.xml" ContentType="application/vnd.openxmlformats-officedocument.spreadsheetml.table+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0" yWindow="5100" windowWidth="9720" windowHeight="3516" tabRatio="818" activeTab="13"/>
  </bookViews>
  <sheets>
    <sheet name="Пр.1" sheetId="1" r:id="rId1"/>
    <sheet name="Пр.2" sheetId="26" r:id="rId2"/>
    <sheet name="Пр.3" sheetId="2" r:id="rId3"/>
    <sheet name="Пр. 4" sheetId="27" r:id="rId4"/>
    <sheet name="Пр. 5" sheetId="6" r:id="rId5"/>
    <sheet name="Пр.6" sheetId="28" r:id="rId6"/>
    <sheet name="Пр.7" sheetId="25" r:id="rId7"/>
    <sheet name="Пр_9" sheetId="19" state="hidden" r:id="rId8"/>
    <sheet name="Пр_10" sheetId="18" state="hidden" r:id="rId9"/>
    <sheet name="Пр8" sheetId="29" r:id="rId10"/>
    <sheet name="Пр9" sheetId="57" state="hidden" r:id="rId11"/>
    <sheet name="Пр10" sheetId="65" state="hidden" r:id="rId12"/>
    <sheet name="Пр11" sheetId="58" state="hidden" r:id="rId13"/>
    <sheet name="Пр. 9" sheetId="5" r:id="rId14"/>
    <sheet name="Пр.10" sheetId="30" r:id="rId15"/>
    <sheet name="Пр. 11" sheetId="44" r:id="rId16"/>
    <sheet name="Пр12_" sheetId="48" state="hidden" r:id="rId17"/>
    <sheet name="Пр_15" sheetId="21" state="hidden" r:id="rId18"/>
    <sheet name="Пр_16" sheetId="31" state="hidden" r:id="rId19"/>
    <sheet name="Пр3" sheetId="17" state="hidden" r:id="rId20"/>
    <sheet name="Пр.12" sheetId="55" r:id="rId21"/>
    <sheet name="Пр13" sheetId="54" state="hidden" r:id="rId22"/>
    <sheet name="Пр_18" sheetId="32" state="hidden" r:id="rId23"/>
    <sheet name="Пр_19" sheetId="24" state="hidden" r:id="rId24"/>
    <sheet name="Пр20" sheetId="33" state="hidden" r:id="rId25"/>
    <sheet name="Пр_20" sheetId="37" state="hidden" r:id="rId26"/>
    <sheet name="Пр_21" sheetId="38" state="hidden" r:id="rId27"/>
    <sheet name="Пр_22" sheetId="39" state="hidden" r:id="rId28"/>
    <sheet name="Пр_23" sheetId="40" state="hidden" r:id="rId29"/>
    <sheet name="Пр 10." sheetId="14" state="hidden" r:id="rId30"/>
    <sheet name="КВСР" sheetId="8" state="hidden" r:id="rId31"/>
    <sheet name="КВР" sheetId="10" state="hidden" r:id="rId32"/>
    <sheet name="20" sheetId="34" state="hidden" r:id="rId33"/>
    <sheet name="21" sheetId="35" state="hidden" r:id="rId34"/>
    <sheet name="22" sheetId="36" state="hidden" r:id="rId35"/>
    <sheet name="Лист1" sheetId="41" state="hidden" r:id="rId36"/>
    <sheet name="Лист2" sheetId="42" state="hidden" r:id="rId37"/>
    <sheet name="Пр13-" sheetId="51" state="hidden" r:id="rId38"/>
    <sheet name="Пр14-" sheetId="52" state="hidden" r:id="rId39"/>
    <sheet name="Лист3" sheetId="49" state="hidden" r:id="rId40"/>
    <sheet name="Лист4" sheetId="50" state="hidden" r:id="rId41"/>
    <sheet name="Лист5" sheetId="53" state="hidden" r:id="rId42"/>
    <sheet name="LOG" sheetId="56" state="hidden" r:id="rId43"/>
    <sheet name="Пр16" sheetId="59" state="hidden" r:id="rId44"/>
    <sheet name="Пр17" sheetId="60" state="hidden" r:id="rId45"/>
    <sheet name="Пр.18" sheetId="13" state="hidden" r:id="rId46"/>
    <sheet name="Пр19" sheetId="61" state="hidden" r:id="rId47"/>
    <sheet name="Пр.21" sheetId="63" state="hidden" r:id="rId48"/>
    <sheet name="КФСР" sheetId="7" state="hidden" r:id="rId49"/>
    <sheet name="КЦСР" sheetId="9" state="hidden" r:id="rId50"/>
    <sheet name="Лист6" sheetId="64" state="hidden" r:id="rId51"/>
    <sheet name="Лист7" sheetId="66" state="hidden" r:id="rId52"/>
    <sheet name="Лист8" sheetId="67" state="hidden" r:id="rId53"/>
    <sheet name="Пр.13" sheetId="68" state="hidden" r:id="rId54"/>
    <sheet name="Пр.14" sheetId="71" state="hidden" r:id="rId55"/>
    <sheet name="Пр.15" sheetId="62" state="hidden" r:id="rId56"/>
    <sheet name="Пр.16" sheetId="69" state="hidden" r:id="rId57"/>
    <sheet name="Пр.17" sheetId="70" state="hidden" r:id="rId58"/>
    <sheet name="Программа" sheetId="46" state="hidden" r:id="rId59"/>
    <sheet name="Лист9" sheetId="72" state="hidden" r:id="rId60"/>
    <sheet name="Пр 13" sheetId="73" r:id="rId61"/>
    <sheet name="Пр 14" sheetId="74" r:id="rId62"/>
    <sheet name="Направление" sheetId="45" state="hidden" r:id="rId63"/>
    <sheet name="Лист10" sheetId="75" state="hidden" r:id="rId64"/>
    <sheet name="Лист11" sheetId="76" state="hidden" r:id="rId65"/>
  </sheets>
  <definedNames>
    <definedName name="_GoBack" localSheetId="6">Пр.7!$A$48</definedName>
    <definedName name="_xlnm._FilterDatabase" localSheetId="30" hidden="1">КВСР!$A$2:$B$1166</definedName>
    <definedName name="_xlnm._FilterDatabase" localSheetId="48" hidden="1">КФСР!$A$1400:$B$1478</definedName>
    <definedName name="_xlnm._FilterDatabase" localSheetId="49" hidden="1">КЦСР!$A$2036:$B$3271</definedName>
    <definedName name="_xlnm._FilterDatabase" localSheetId="15" hidden="1">'Пр. 11'!$C$1:$D$202</definedName>
    <definedName name="_xlnm._FilterDatabase" localSheetId="13" hidden="1">'Пр. 9'!$A$8:$I$1055</definedName>
    <definedName name="_xlnm._FilterDatabase" localSheetId="0" hidden="1">Пр.1!$A$9:$L$169</definedName>
    <definedName name="_xlnm._FilterDatabase" localSheetId="14" hidden="1">Пр.10!$A$8:$L$442</definedName>
    <definedName name="_xlnm._FilterDatabase" localSheetId="1" hidden="1">Пр.2!$A$9:$O$114</definedName>
    <definedName name="Z_66DBF0AC_E9A0_482F_9E41_1928B6CA83DC_.wvu.Cols" localSheetId="4" hidden="1">'Пр. 5'!#REF!</definedName>
    <definedName name="Z_66DBF0AC_E9A0_482F_9E41_1928B6CA83DC_.wvu.Cols" localSheetId="2" hidden="1">Пр.3!#REF!</definedName>
    <definedName name="Z_66DBF0AC_E9A0_482F_9E41_1928B6CA83DC_.wvu.FilterData" localSheetId="13" hidden="1">'Пр. 9'!$A$9:$F$1006</definedName>
    <definedName name="Z_66DBF0AC_E9A0_482F_9E41_1928B6CA83DC_.wvu.Rows" localSheetId="4" hidden="1">'Пр. 5'!#REF!,'Пр. 5'!#REF!</definedName>
    <definedName name="Z_91923F83_3A6B_4204_9891_178562AB34F1_.wvu.Cols" localSheetId="4" hidden="1">'Пр. 5'!#REF!</definedName>
    <definedName name="Z_91923F83_3A6B_4204_9891_178562AB34F1_.wvu.Cols" localSheetId="2" hidden="1">Пр.3!#REF!</definedName>
    <definedName name="Z_91923F83_3A6B_4204_9891_178562AB34F1_.wvu.FilterData" localSheetId="13" hidden="1">'Пр. 9'!$A$9:$F$1006</definedName>
    <definedName name="Z_91923F83_3A6B_4204_9891_178562AB34F1_.wvu.PrintArea" localSheetId="13" hidden="1">'Пр. 9'!$A$1:$F$1006</definedName>
    <definedName name="Z_91923F83_3A6B_4204_9891_178562AB34F1_.wvu.PrintArea" localSheetId="0" hidden="1">Пр.1!$A$1:$I$169</definedName>
    <definedName name="Z_91923F83_3A6B_4204_9891_178562AB34F1_.wvu.PrintArea" localSheetId="2" hidden="1">Пр.3!$A$1:$B$120</definedName>
    <definedName name="Z_91923F83_3A6B_4204_9891_178562AB34F1_.wvu.Rows" localSheetId="4" hidden="1">'Пр. 5'!#REF!,'Пр. 5'!#REF!</definedName>
    <definedName name="Z_91923F83_3A6B_4204_9891_178562AB34F1_.wvu.Rows" localSheetId="2" hidden="1">Пр.3!$23:$23</definedName>
    <definedName name="Z_A5E41FC9_89B1_40D2_B587_57BC4C5E4715_.wvu.Cols" localSheetId="4" hidden="1">'Пр. 5'!#REF!</definedName>
    <definedName name="Z_A5E41FC9_89B1_40D2_B587_57BC4C5E4715_.wvu.Cols" localSheetId="2" hidden="1">Пр.3!#REF!</definedName>
    <definedName name="Z_A5E41FC9_89B1_40D2_B587_57BC4C5E4715_.wvu.FilterData" localSheetId="13" hidden="1">'Пр. 9'!$A$9:$F$1006</definedName>
    <definedName name="Z_A5E41FC9_89B1_40D2_B587_57BC4C5E4715_.wvu.PrintArea" localSheetId="13" hidden="1">'Пр. 9'!$A$1:$F$1006</definedName>
    <definedName name="Z_A5E41FC9_89B1_40D2_B587_57BC4C5E4715_.wvu.PrintArea" localSheetId="0" hidden="1">Пр.1!$A$1:$I$169</definedName>
    <definedName name="Z_A5E41FC9_89B1_40D2_B587_57BC4C5E4715_.wvu.PrintArea" localSheetId="2" hidden="1">Пр.3!$A$1:$B$120</definedName>
    <definedName name="Z_A5E41FC9_89B1_40D2_B587_57BC4C5E4715_.wvu.Rows" localSheetId="4" hidden="1">'Пр. 5'!#REF!,'Пр. 5'!#REF!</definedName>
    <definedName name="Z_A5E41FC9_89B1_40D2_B587_57BC4C5E4715_.wvu.Rows" localSheetId="2" hidden="1">Пр.3!$23:$23</definedName>
    <definedName name="Z_B3311466_F005_49F1_A579_3E6CECE305A8_.wvu.Cols" localSheetId="4" hidden="1">'Пр. 5'!#REF!</definedName>
    <definedName name="Z_B3311466_F005_49F1_A579_3E6CECE305A8_.wvu.Cols" localSheetId="2" hidden="1">Пр.3!#REF!</definedName>
    <definedName name="Z_B3311466_F005_49F1_A579_3E6CECE305A8_.wvu.FilterData" localSheetId="13" hidden="1">'Пр. 9'!$A$9:$F$1006</definedName>
    <definedName name="Z_B3311466_F005_49F1_A579_3E6CECE305A8_.wvu.PrintArea" localSheetId="13" hidden="1">'Пр. 9'!$A$1:$F$1006</definedName>
    <definedName name="Z_B3311466_F005_49F1_A579_3E6CECE305A8_.wvu.PrintArea" localSheetId="0" hidden="1">Пр.1!$A$1:$I$169</definedName>
    <definedName name="Z_B3311466_F005_49F1_A579_3E6CECE305A8_.wvu.PrintArea" localSheetId="2" hidden="1">Пр.3!$A$1:$B$120</definedName>
    <definedName name="Z_B3311466_F005_49F1_A579_3E6CECE305A8_.wvu.Rows" localSheetId="4" hidden="1">'Пр. 5'!#REF!,'Пр. 5'!#REF!</definedName>
    <definedName name="Z_B3311466_F005_49F1_A579_3E6CECE305A8_.wvu.Rows" localSheetId="2" hidden="1">Пр.3!$23:$23</definedName>
    <definedName name="Z_E51CBA0A_8A1C_44BF_813B_86B1F7C678D3_.wvu.FilterData" localSheetId="13" hidden="1">'Пр. 9'!$A$9:$F$1006</definedName>
    <definedName name="Z_E5662E33_D4B0_43EA_9B06_C8DA9DFDBEF6_.wvu.Cols" localSheetId="4" hidden="1">'Пр. 5'!#REF!</definedName>
    <definedName name="Z_E5662E33_D4B0_43EA_9B06_C8DA9DFDBEF6_.wvu.Cols" localSheetId="2" hidden="1">Пр.3!#REF!</definedName>
    <definedName name="Z_E5662E33_D4B0_43EA_9B06_C8DA9DFDBEF6_.wvu.FilterData" localSheetId="13" hidden="1">'Пр. 9'!$A$9:$F$1006</definedName>
    <definedName name="Z_E5662E33_D4B0_43EA_9B06_C8DA9DFDBEF6_.wvu.PrintArea" localSheetId="4" hidden="1">'Пр. 5'!$A$1:$B$23</definedName>
    <definedName name="Z_E5662E33_D4B0_43EA_9B06_C8DA9DFDBEF6_.wvu.PrintArea" localSheetId="13" hidden="1">'Пр. 9'!$A$1:$F$1006</definedName>
    <definedName name="Z_E5662E33_D4B0_43EA_9B06_C8DA9DFDBEF6_.wvu.PrintArea" localSheetId="0" hidden="1">Пр.1!$A$1:$I$169</definedName>
    <definedName name="Z_E5662E33_D4B0_43EA_9B06_C8DA9DFDBEF6_.wvu.PrintArea" localSheetId="2" hidden="1">Пр.3!$A$1:$B$120</definedName>
    <definedName name="Z_E5662E33_D4B0_43EA_9B06_C8DA9DFDBEF6_.wvu.Rows" localSheetId="4" hidden="1">'Пр. 5'!#REF!,'Пр. 5'!#REF!</definedName>
    <definedName name="Z_E5662E33_D4B0_43EA_9B06_C8DA9DFDBEF6_.wvu.Rows" localSheetId="2" hidden="1">Пр.3!$23:$23</definedName>
    <definedName name="Z_F3607253_7816_4CF7_9CFD_2ADFFAD916F8_.wvu.Cols" localSheetId="4" hidden="1">'Пр. 5'!#REF!</definedName>
    <definedName name="Z_F3607253_7816_4CF7_9CFD_2ADFFAD916F8_.wvu.Cols" localSheetId="2" hidden="1">Пр.3!#REF!</definedName>
    <definedName name="Z_F3607253_7816_4CF7_9CFD_2ADFFAD916F8_.wvu.FilterData" localSheetId="13" hidden="1">'Пр. 9'!$A$9:$F$1006</definedName>
    <definedName name="Z_F3607253_7816_4CF7_9CFD_2ADFFAD916F8_.wvu.PrintArea" localSheetId="13" hidden="1">'Пр. 9'!$A$1:$F$1006</definedName>
    <definedName name="Z_F3607253_7816_4CF7_9CFD_2ADFFAD916F8_.wvu.PrintArea" localSheetId="0" hidden="1">Пр.1!$A$1:$I$169</definedName>
    <definedName name="Z_F3607253_7816_4CF7_9CFD_2ADFFAD916F8_.wvu.PrintArea" localSheetId="2" hidden="1">Пр.3!$A$1:$B$120</definedName>
    <definedName name="Z_F3607253_7816_4CF7_9CFD_2ADFFAD916F8_.wvu.Rows" localSheetId="4" hidden="1">'Пр. 5'!#REF!,'Пр. 5'!#REF!</definedName>
    <definedName name="Z_F3607253_7816_4CF7_9CFD_2ADFFAD916F8_.wvu.Rows" localSheetId="2" hidden="1">Пр.3!$23:$23</definedName>
    <definedName name="_xlnm.Print_Area" localSheetId="31">КВР!$A$1820:$B$1930</definedName>
    <definedName name="_xlnm.Print_Area" localSheetId="30">КВСР!$A$1000:$B$1167</definedName>
    <definedName name="_xlnm.Print_Area" localSheetId="48">КФСР!$A$1:$B$1501</definedName>
    <definedName name="_xlnm.Print_Area" localSheetId="49">КЦСР!$A$2036:$B$3485</definedName>
    <definedName name="_xlnm.Print_Area" localSheetId="15">'Пр. 11'!$B$1:$F$131</definedName>
    <definedName name="_xlnm.Print_Area" localSheetId="3">'Пр. 4'!$A$1:$H$123</definedName>
    <definedName name="_xlnm.Print_Area" localSheetId="4">'Пр. 5'!$A$1:$E$26</definedName>
    <definedName name="_xlnm.Print_Area" localSheetId="13">'Пр. 9'!$A$1:$I$1055</definedName>
    <definedName name="_xlnm.Print_Area" localSheetId="0">Пр.1!$A$1:$L$169</definedName>
    <definedName name="_xlnm.Print_Area" localSheetId="14">Пр.10!$A$1:$L$442</definedName>
    <definedName name="_xlnm.Print_Area" localSheetId="20">Пр.12!$A$1:$I$128</definedName>
    <definedName name="_xlnm.Print_Area" localSheetId="53">Пр.13!$A$1:$G$79</definedName>
    <definedName name="_xlnm.Print_Area" localSheetId="54">Пр.14!$A$1:$G$27</definedName>
    <definedName name="_xlnm.Print_Area" localSheetId="56">Пр.16!$A$1:$D$23</definedName>
    <definedName name="_xlnm.Print_Area" localSheetId="45">Пр.18!$A$1:$E$20</definedName>
    <definedName name="_xlnm.Print_Area" localSheetId="1">Пр.2!$A$1:$O$113</definedName>
    <definedName name="_xlnm.Print_Area" localSheetId="2">Пр.3!$A$1:$E$122</definedName>
    <definedName name="_xlnm.Print_Area" localSheetId="5">Пр.6!$A$1:$H$24</definedName>
    <definedName name="_xlnm.Print_Area" localSheetId="6">Пр.7!$A$1:$E$45</definedName>
    <definedName name="_xlnm.Print_Area" localSheetId="17">Пр_15!$A$1:$D$14</definedName>
    <definedName name="_xlnm.Print_Area" localSheetId="18">Пр_16!$A$1:$E$15</definedName>
    <definedName name="_xlnm.Print_Area" localSheetId="22">Пр_18!$A$1:$D$31</definedName>
    <definedName name="_xlnm.Print_Area" localSheetId="25">Пр_20!$A$1:$E$24</definedName>
    <definedName name="_xlnm.Print_Area" localSheetId="28">Пр_23!$A$1:$D$17</definedName>
    <definedName name="_xlnm.Print_Area" localSheetId="7">Пр_9!$A$1:$C$171</definedName>
    <definedName name="_xlnm.Print_Area" localSheetId="16">Пр12_!$A$1:$I$52</definedName>
    <definedName name="_xlnm.Print_Area" localSheetId="9">Пр8!$A$1:$E$47</definedName>
    <definedName name="_xlnm.Print_Area" localSheetId="10">Пр9!$A$1:$C$170</definedName>
  </definedNames>
  <calcPr calcId="125725"/>
  <customWorkbookViews>
    <customWorkbookView name="Шипина - Личное представление" guid="{91923F83-3A6B-4204-9891-178562AB34F1}" mergeInterval="0" personalView="1" maximized="1" windowWidth="796" windowHeight="435" tabRatio="740" activeSheetId="1"/>
    <customWorkbookView name="Елаева - Личное представление" guid="{66DBF0AC-E9A0-482F-9E41-1928B6CA83DC}" mergeInterval="0" personalView="1" maximized="1" windowWidth="1020" windowHeight="603" tabRatio="740" activeSheetId="1"/>
    <customWorkbookView name="Суворова - Личное представление" guid="{A5E41FC9-89B1-40D2-B587-57BC4C5E4715}" mergeInterval="0" personalView="1" maximized="1" windowWidth="796" windowHeight="435" tabRatio="740" activeSheetId="5"/>
    <customWorkbookView name="User - Личное представление" guid="{F3607253-7816-4CF7-9CFD-2ADFFAD916F8}" mergeInterval="0" personalView="1" maximized="1" windowWidth="1020" windowHeight="603" tabRatio="740" activeSheetId="2"/>
    <customWorkbookView name="Новикова - Личное представление" guid="{B3311466-F005-49F1-A579-3E6CECE305A8}" mergeInterval="0" personalView="1" maximized="1" windowWidth="1020" windowHeight="577" tabRatio="740" activeSheetId="2"/>
    <customWorkbookView name="SEC - Личное представление" guid="{E5662E33-D4B0-43EA-9B06-C8DA9DFDBEF6}" mergeInterval="0" personalView="1" maximized="1" windowWidth="1276" windowHeight="608" tabRatio="740" activeSheetId="6"/>
  </customWorkbookViews>
</workbook>
</file>

<file path=xl/calcChain.xml><?xml version="1.0" encoding="utf-8"?>
<calcChain xmlns="http://schemas.openxmlformats.org/spreadsheetml/2006/main">
  <c r="C20" i="6"/>
  <c r="C26" s="1"/>
  <c r="G17" i="28"/>
  <c r="C15"/>
  <c r="C10"/>
  <c r="C18"/>
  <c r="C24" s="1"/>
  <c r="D14"/>
  <c r="D12" i="6"/>
  <c r="H276" i="5" l="1"/>
  <c r="H25"/>
  <c r="L63" i="30"/>
  <c r="L65"/>
  <c r="I63"/>
  <c r="I65"/>
  <c r="H64"/>
  <c r="J64"/>
  <c r="K64"/>
  <c r="H62"/>
  <c r="J62"/>
  <c r="K62"/>
  <c r="G64"/>
  <c r="G62"/>
  <c r="I62" s="1"/>
  <c r="A61"/>
  <c r="A63"/>
  <c r="A64"/>
  <c r="A65"/>
  <c r="G61" l="1"/>
  <c r="L64"/>
  <c r="H61"/>
  <c r="L62"/>
  <c r="J61"/>
  <c r="I64"/>
  <c r="I61"/>
  <c r="K61"/>
  <c r="I697" i="5"/>
  <c r="H696"/>
  <c r="G696"/>
  <c r="A696"/>
  <c r="A697"/>
  <c r="H694"/>
  <c r="I694" s="1"/>
  <c r="A692"/>
  <c r="A693"/>
  <c r="A694"/>
  <c r="A695"/>
  <c r="H692"/>
  <c r="I692" s="1"/>
  <c r="I693"/>
  <c r="I695"/>
  <c r="I682"/>
  <c r="I684"/>
  <c r="H683"/>
  <c r="G683"/>
  <c r="H681"/>
  <c r="G681"/>
  <c r="A681"/>
  <c r="A682"/>
  <c r="A683"/>
  <c r="A684"/>
  <c r="A685"/>
  <c r="H657"/>
  <c r="H655"/>
  <c r="A655"/>
  <c r="A656"/>
  <c r="A657"/>
  <c r="A658"/>
  <c r="I658"/>
  <c r="I657" s="1"/>
  <c r="I656"/>
  <c r="I655" s="1"/>
  <c r="H381"/>
  <c r="H383"/>
  <c r="I383" s="1"/>
  <c r="I381"/>
  <c r="I382"/>
  <c r="I384"/>
  <c r="A381"/>
  <c r="A382"/>
  <c r="H379"/>
  <c r="G379"/>
  <c r="I380"/>
  <c r="I379" s="1"/>
  <c r="I681" l="1"/>
  <c r="I683"/>
  <c r="I696"/>
  <c r="L61" i="30"/>
  <c r="L53" s="1"/>
  <c r="J53"/>
  <c r="A379" i="5"/>
  <c r="A380"/>
  <c r="A383"/>
  <c r="A384"/>
  <c r="H284"/>
  <c r="H258"/>
  <c r="I258" s="1"/>
  <c r="A258"/>
  <c r="H257"/>
  <c r="H255" s="1"/>
  <c r="I256"/>
  <c r="A256"/>
  <c r="A70"/>
  <c r="A71"/>
  <c r="H70"/>
  <c r="G70"/>
  <c r="I71"/>
  <c r="I70" s="1"/>
  <c r="L55" i="26"/>
  <c r="L54"/>
  <c r="E21" i="74"/>
  <c r="D21"/>
  <c r="L57" i="1"/>
  <c r="H835" i="5"/>
  <c r="K50" i="1"/>
  <c r="L50" s="1"/>
  <c r="K117"/>
  <c r="L76"/>
  <c r="L164"/>
  <c r="L163"/>
  <c r="L162"/>
  <c r="L161"/>
  <c r="L68"/>
  <c r="L166"/>
  <c r="L62"/>
  <c r="L64"/>
  <c r="L53"/>
  <c r="H519" i="5"/>
  <c r="I520"/>
  <c r="I519" s="1"/>
  <c r="A519"/>
  <c r="A520"/>
  <c r="H137"/>
  <c r="I138"/>
  <c r="I137" s="1"/>
  <c r="A137"/>
  <c r="A138"/>
  <c r="F84" i="73"/>
  <c r="E84"/>
  <c r="D84"/>
  <c r="C84"/>
  <c r="G83"/>
  <c r="G84" s="1"/>
  <c r="E34" i="74"/>
  <c r="D34"/>
  <c r="E40"/>
  <c r="D40"/>
  <c r="C40"/>
  <c r="C34"/>
  <c r="E28"/>
  <c r="D28"/>
  <c r="C28"/>
  <c r="C21"/>
  <c r="D12"/>
  <c r="C12"/>
  <c r="G11" i="73"/>
  <c r="G12"/>
  <c r="G10"/>
  <c r="G13" s="1"/>
  <c r="G18"/>
  <c r="G19"/>
  <c r="G20"/>
  <c r="G17"/>
  <c r="G21" s="1"/>
  <c r="F79"/>
  <c r="D79"/>
  <c r="C79"/>
  <c r="G78"/>
  <c r="G79" s="1"/>
  <c r="F74"/>
  <c r="D74"/>
  <c r="C74"/>
  <c r="G72"/>
  <c r="G74" s="1"/>
  <c r="F68"/>
  <c r="D68"/>
  <c r="C68"/>
  <c r="G66"/>
  <c r="G68" s="1"/>
  <c r="F62"/>
  <c r="D62"/>
  <c r="C62"/>
  <c r="G61"/>
  <c r="G62" s="1"/>
  <c r="F57"/>
  <c r="D57"/>
  <c r="C57"/>
  <c r="G56"/>
  <c r="G55"/>
  <c r="G54"/>
  <c r="G53"/>
  <c r="G52"/>
  <c r="F48"/>
  <c r="D48"/>
  <c r="C48"/>
  <c r="G47"/>
  <c r="G48" s="1"/>
  <c r="F43"/>
  <c r="D43"/>
  <c r="C43"/>
  <c r="G42"/>
  <c r="G41"/>
  <c r="F37"/>
  <c r="D37"/>
  <c r="C37"/>
  <c r="G36"/>
  <c r="G35"/>
  <c r="F31"/>
  <c r="D31"/>
  <c r="C31"/>
  <c r="G30"/>
  <c r="G31" s="1"/>
  <c r="F26"/>
  <c r="D26"/>
  <c r="C26"/>
  <c r="G25"/>
  <c r="G26" s="1"/>
  <c r="F21"/>
  <c r="E86"/>
  <c r="D21"/>
  <c r="C21"/>
  <c r="F13"/>
  <c r="D13"/>
  <c r="C13"/>
  <c r="G43" l="1"/>
  <c r="F86"/>
  <c r="G37"/>
  <c r="D42" i="74"/>
  <c r="E42"/>
  <c r="G57" i="73"/>
  <c r="G86" l="1"/>
  <c r="A921" i="5"/>
  <c r="A922"/>
  <c r="I922"/>
  <c r="I921" s="1"/>
  <c r="H921"/>
  <c r="H912"/>
  <c r="I913"/>
  <c r="I912" s="1"/>
  <c r="A912"/>
  <c r="A913"/>
  <c r="H914"/>
  <c r="I915"/>
  <c r="I914" s="1"/>
  <c r="A914"/>
  <c r="A915"/>
  <c r="G968"/>
  <c r="A959"/>
  <c r="H957"/>
  <c r="I957" s="1"/>
  <c r="I959"/>
  <c r="H910"/>
  <c r="I911"/>
  <c r="I910" s="1"/>
  <c r="A910"/>
  <c r="A911"/>
  <c r="A943"/>
  <c r="A944"/>
  <c r="H943"/>
  <c r="I944"/>
  <c r="I943" s="1"/>
  <c r="H938"/>
  <c r="I939"/>
  <c r="I938" s="1"/>
  <c r="A938"/>
  <c r="A939"/>
  <c r="A897"/>
  <c r="A898"/>
  <c r="H897"/>
  <c r="I898"/>
  <c r="I897" s="1"/>
  <c r="H85"/>
  <c r="I86"/>
  <c r="I87"/>
  <c r="I88"/>
  <c r="A88"/>
  <c r="H275" l="1"/>
  <c r="A719"/>
  <c r="A720"/>
  <c r="A721"/>
  <c r="H720"/>
  <c r="H719" s="1"/>
  <c r="I721"/>
  <c r="I720" s="1"/>
  <c r="I719" s="1"/>
  <c r="H999"/>
  <c r="H998" s="1"/>
  <c r="H997" s="1"/>
  <c r="I1000"/>
  <c r="I999" s="1"/>
  <c r="I998" s="1"/>
  <c r="I997" s="1"/>
  <c r="A997"/>
  <c r="A998"/>
  <c r="A999"/>
  <c r="A1000"/>
  <c r="I328"/>
  <c r="G13" i="71"/>
  <c r="G12"/>
  <c r="G18"/>
  <c r="G17"/>
  <c r="G23"/>
  <c r="G24"/>
  <c r="G22"/>
  <c r="F25"/>
  <c r="F27" s="1"/>
  <c r="C15" i="70"/>
  <c r="H13" i="5"/>
  <c r="H12" s="1"/>
  <c r="H11" s="1"/>
  <c r="H19"/>
  <c r="H18" s="1"/>
  <c r="H17" s="1"/>
  <c r="H16" s="1"/>
  <c r="H23"/>
  <c r="H27"/>
  <c r="H29"/>
  <c r="H34"/>
  <c r="H33" s="1"/>
  <c r="H32" s="1"/>
  <c r="H38"/>
  <c r="H37" s="1"/>
  <c r="H36" s="1"/>
  <c r="H44"/>
  <c r="H43" s="1"/>
  <c r="H42" s="1"/>
  <c r="H50"/>
  <c r="H48" s="1"/>
  <c r="H55"/>
  <c r="H54" s="1"/>
  <c r="H53" s="1"/>
  <c r="H59"/>
  <c r="H58" s="1"/>
  <c r="H62"/>
  <c r="H61" s="1"/>
  <c r="H66"/>
  <c r="H68"/>
  <c r="H74"/>
  <c r="H73" s="1"/>
  <c r="H72" s="1"/>
  <c r="H77"/>
  <c r="H79"/>
  <c r="H83"/>
  <c r="H90"/>
  <c r="H93"/>
  <c r="H96"/>
  <c r="H101"/>
  <c r="H103"/>
  <c r="H109"/>
  <c r="H111"/>
  <c r="H114"/>
  <c r="H113" s="1"/>
  <c r="H117"/>
  <c r="H116" s="1"/>
  <c r="H120"/>
  <c r="H119" s="1"/>
  <c r="H126"/>
  <c r="H125" s="1"/>
  <c r="H129"/>
  <c r="H128" s="1"/>
  <c r="H133"/>
  <c r="H135"/>
  <c r="H139"/>
  <c r="H143"/>
  <c r="H142" s="1"/>
  <c r="H144"/>
  <c r="H150"/>
  <c r="H152"/>
  <c r="H154"/>
  <c r="H156"/>
  <c r="H160"/>
  <c r="H162"/>
  <c r="H164"/>
  <c r="H167"/>
  <c r="H169"/>
  <c r="H171"/>
  <c r="H175"/>
  <c r="H174" s="1"/>
  <c r="H173" s="1"/>
  <c r="H181"/>
  <c r="H183"/>
  <c r="H185"/>
  <c r="H187"/>
  <c r="H191"/>
  <c r="H193"/>
  <c r="H195"/>
  <c r="H197"/>
  <c r="H200"/>
  <c r="H199" s="1"/>
  <c r="H203"/>
  <c r="H205"/>
  <c r="H207"/>
  <c r="H211"/>
  <c r="H210" s="1"/>
  <c r="H209" s="1"/>
  <c r="H217"/>
  <c r="H216" s="1"/>
  <c r="H220"/>
  <c r="H219" s="1"/>
  <c r="H223"/>
  <c r="H227"/>
  <c r="H229"/>
  <c r="H231"/>
  <c r="H233"/>
  <c r="H236"/>
  <c r="H238"/>
  <c r="H242"/>
  <c r="H244"/>
  <c r="H248"/>
  <c r="H247" s="1"/>
  <c r="H246" s="1"/>
  <c r="H259"/>
  <c r="H261"/>
  <c r="H266"/>
  <c r="H265" s="1"/>
  <c r="H264" s="1"/>
  <c r="H263" s="1"/>
  <c r="H269"/>
  <c r="H268" s="1"/>
  <c r="H277"/>
  <c r="H279"/>
  <c r="H281"/>
  <c r="H283"/>
  <c r="H287"/>
  <c r="H286" s="1"/>
  <c r="H292"/>
  <c r="H289" s="1"/>
  <c r="H295"/>
  <c r="H294" s="1"/>
  <c r="H301"/>
  <c r="H303"/>
  <c r="H305"/>
  <c r="H307"/>
  <c r="H310"/>
  <c r="H316"/>
  <c r="H315" s="1"/>
  <c r="H314" s="1"/>
  <c r="H320"/>
  <c r="H322"/>
  <c r="H327"/>
  <c r="H326" s="1"/>
  <c r="H329"/>
  <c r="H330"/>
  <c r="H336"/>
  <c r="H338"/>
  <c r="H341"/>
  <c r="H344"/>
  <c r="H346"/>
  <c r="H349"/>
  <c r="H353"/>
  <c r="H355"/>
  <c r="H360"/>
  <c r="H363"/>
  <c r="H369"/>
  <c r="H368" s="1"/>
  <c r="H373"/>
  <c r="H372" s="1"/>
  <c r="H371" s="1"/>
  <c r="H377"/>
  <c r="H387"/>
  <c r="H386" s="1"/>
  <c r="H385" s="1"/>
  <c r="H390"/>
  <c r="H389" s="1"/>
  <c r="H396"/>
  <c r="H398"/>
  <c r="H400"/>
  <c r="H402"/>
  <c r="H405"/>
  <c r="H408"/>
  <c r="H413"/>
  <c r="H419"/>
  <c r="H422"/>
  <c r="H428"/>
  <c r="H427" s="1"/>
  <c r="H433"/>
  <c r="H432" s="1"/>
  <c r="H431" s="1"/>
  <c r="H440"/>
  <c r="H439" s="1"/>
  <c r="H445"/>
  <c r="H447"/>
  <c r="H453"/>
  <c r="H452" s="1"/>
  <c r="H451" s="1"/>
  <c r="H450" s="1"/>
  <c r="H459"/>
  <c r="H458" s="1"/>
  <c r="H457" s="1"/>
  <c r="H466"/>
  <c r="H465" s="1"/>
  <c r="H470"/>
  <c r="H469" s="1"/>
  <c r="H468" s="1"/>
  <c r="H476"/>
  <c r="H479"/>
  <c r="H482"/>
  <c r="H484"/>
  <c r="H487"/>
  <c r="H489"/>
  <c r="H491"/>
  <c r="H494"/>
  <c r="H497"/>
  <c r="H500"/>
  <c r="H503"/>
  <c r="H506"/>
  <c r="H510"/>
  <c r="H513"/>
  <c r="H517"/>
  <c r="H516" s="1"/>
  <c r="I516" s="1"/>
  <c r="H525"/>
  <c r="H527"/>
  <c r="H529"/>
  <c r="H531"/>
  <c r="H533"/>
  <c r="H537"/>
  <c r="H539"/>
  <c r="H545"/>
  <c r="H544" s="1"/>
  <c r="H543" s="1"/>
  <c r="H542" s="1"/>
  <c r="H550"/>
  <c r="H554"/>
  <c r="H556"/>
  <c r="H562"/>
  <c r="H561" s="1"/>
  <c r="H560" s="1"/>
  <c r="H569"/>
  <c r="H573"/>
  <c r="H579"/>
  <c r="H578" s="1"/>
  <c r="H582"/>
  <c r="H581" s="1"/>
  <c r="H585"/>
  <c r="H587"/>
  <c r="H591"/>
  <c r="H590" s="1"/>
  <c r="H589" s="1"/>
  <c r="H596"/>
  <c r="H595" s="1"/>
  <c r="H601"/>
  <c r="H603"/>
  <c r="H609"/>
  <c r="H608" s="1"/>
  <c r="H607" s="1"/>
  <c r="H606" s="1"/>
  <c r="H615"/>
  <c r="H614" s="1"/>
  <c r="H613" s="1"/>
  <c r="H612" s="1"/>
  <c r="H611" s="1"/>
  <c r="H621"/>
  <c r="H620" s="1"/>
  <c r="H625"/>
  <c r="H624" s="1"/>
  <c r="H631"/>
  <c r="H633"/>
  <c r="H635"/>
  <c r="H641"/>
  <c r="H643"/>
  <c r="H645"/>
  <c r="H647"/>
  <c r="H649"/>
  <c r="H653"/>
  <c r="H661"/>
  <c r="H660" s="1"/>
  <c r="H659" s="1"/>
  <c r="H665"/>
  <c r="H664" s="1"/>
  <c r="H663" s="1"/>
  <c r="H671"/>
  <c r="H673"/>
  <c r="H675"/>
  <c r="H677"/>
  <c r="H679"/>
  <c r="H685"/>
  <c r="H687"/>
  <c r="H690"/>
  <c r="H689" s="1"/>
  <c r="H701"/>
  <c r="H700" s="1"/>
  <c r="H699" s="1"/>
  <c r="H698" s="1"/>
  <c r="H705"/>
  <c r="H704" s="1"/>
  <c r="H703" s="1"/>
  <c r="H710"/>
  <c r="H709" s="1"/>
  <c r="H708" s="1"/>
  <c r="H707" s="1"/>
  <c r="H716"/>
  <c r="H715" s="1"/>
  <c r="H714" s="1"/>
  <c r="H723"/>
  <c r="H727"/>
  <c r="H731"/>
  <c r="H737"/>
  <c r="H736" s="1"/>
  <c r="H735" s="1"/>
  <c r="H734" s="1"/>
  <c r="H742"/>
  <c r="H741" s="1"/>
  <c r="H740" s="1"/>
  <c r="H739" s="1"/>
  <c r="H746"/>
  <c r="H745" s="1"/>
  <c r="H744" s="1"/>
  <c r="H750"/>
  <c r="H752"/>
  <c r="H757"/>
  <c r="H759"/>
  <c r="H762"/>
  <c r="H761" s="1"/>
  <c r="H766"/>
  <c r="H765" s="1"/>
  <c r="H764" s="1"/>
  <c r="H772"/>
  <c r="H771" s="1"/>
  <c r="H770" s="1"/>
  <c r="H769" s="1"/>
  <c r="H776"/>
  <c r="H778"/>
  <c r="H780"/>
  <c r="H784"/>
  <c r="H783" s="1"/>
  <c r="H782" s="1"/>
  <c r="H789"/>
  <c r="H788" s="1"/>
  <c r="H792"/>
  <c r="H791" s="1"/>
  <c r="H795"/>
  <c r="H797"/>
  <c r="H800"/>
  <c r="H799" s="1"/>
  <c r="H806"/>
  <c r="H808"/>
  <c r="H810"/>
  <c r="H814"/>
  <c r="H816"/>
  <c r="H818"/>
  <c r="H821"/>
  <c r="H823"/>
  <c r="H825"/>
  <c r="H827"/>
  <c r="H829"/>
  <c r="H831"/>
  <c r="H833"/>
  <c r="H838"/>
  <c r="H840"/>
  <c r="H842"/>
  <c r="H848"/>
  <c r="H847" s="1"/>
  <c r="H846" s="1"/>
  <c r="H852"/>
  <c r="H851" s="1"/>
  <c r="H855"/>
  <c r="H854" s="1"/>
  <c r="H858"/>
  <c r="H857" s="1"/>
  <c r="H861"/>
  <c r="H860" s="1"/>
  <c r="H869"/>
  <c r="H873"/>
  <c r="H876"/>
  <c r="H879"/>
  <c r="H881"/>
  <c r="H883"/>
  <c r="H886"/>
  <c r="H888"/>
  <c r="H892"/>
  <c r="H895"/>
  <c r="H900"/>
  <c r="H899" s="1"/>
  <c r="H904"/>
  <c r="H906"/>
  <c r="H908"/>
  <c r="H917"/>
  <c r="H919"/>
  <c r="H923"/>
  <c r="H926"/>
  <c r="H925" s="1"/>
  <c r="H931"/>
  <c r="H930" s="1"/>
  <c r="H929" s="1"/>
  <c r="H934"/>
  <c r="H936"/>
  <c r="H941"/>
  <c r="H940" s="1"/>
  <c r="I940" s="1"/>
  <c r="H949"/>
  <c r="H948" s="1"/>
  <c r="H947" s="1"/>
  <c r="H953"/>
  <c r="H955"/>
  <c r="H960"/>
  <c r="H962"/>
  <c r="H964"/>
  <c r="H967"/>
  <c r="H966" s="1"/>
  <c r="H971"/>
  <c r="H974"/>
  <c r="H976"/>
  <c r="H979"/>
  <c r="H985"/>
  <c r="H984" s="1"/>
  <c r="H983" s="1"/>
  <c r="H988"/>
  <c r="H991"/>
  <c r="H995"/>
  <c r="H1005"/>
  <c r="H1004" s="1"/>
  <c r="H1011"/>
  <c r="H1013"/>
  <c r="H1018"/>
  <c r="H1017" s="1"/>
  <c r="H1016" s="1"/>
  <c r="H1015" s="1"/>
  <c r="H1022"/>
  <c r="H1021" s="1"/>
  <c r="H1020" s="1"/>
  <c r="H1027"/>
  <c r="H1026" s="1"/>
  <c r="H1030"/>
  <c r="H1029" s="1"/>
  <c r="H1036"/>
  <c r="H1038"/>
  <c r="H1040"/>
  <c r="H1046"/>
  <c r="H1050"/>
  <c r="H1052"/>
  <c r="D16" i="28"/>
  <c r="H670" i="5" l="1"/>
  <c r="H652"/>
  <c r="H651" s="1"/>
  <c r="H376"/>
  <c r="H375" s="1"/>
  <c r="H65"/>
  <c r="H132"/>
  <c r="H916"/>
  <c r="H903"/>
  <c r="I903" s="1"/>
  <c r="H891"/>
  <c r="H890" s="1"/>
  <c r="H933"/>
  <c r="I933" s="1"/>
  <c r="H749"/>
  <c r="H748" s="1"/>
  <c r="H536"/>
  <c r="H166"/>
  <c r="H141"/>
  <c r="H100"/>
  <c r="H99" s="1"/>
  <c r="H577"/>
  <c r="H319"/>
  <c r="H318" s="1"/>
  <c r="H313" s="1"/>
  <c r="H108"/>
  <c r="H107" s="1"/>
  <c r="H106" s="1"/>
  <c r="H105" s="1"/>
  <c r="H872"/>
  <c r="H254"/>
  <c r="H252" s="1"/>
  <c r="H251" s="1"/>
  <c r="H22"/>
  <c r="H15" s="1"/>
  <c r="H348"/>
  <c r="H1045"/>
  <c r="H1044" s="1"/>
  <c r="H1043" s="1"/>
  <c r="H775"/>
  <c r="H774" s="1"/>
  <c r="H768" s="1"/>
  <c r="H57"/>
  <c r="H340"/>
  <c r="H222"/>
  <c r="H1025"/>
  <c r="H794"/>
  <c r="H787" s="1"/>
  <c r="H786" s="1"/>
  <c r="H549"/>
  <c r="H548" s="1"/>
  <c r="H524"/>
  <c r="H444"/>
  <c r="H438" s="1"/>
  <c r="H437" s="1"/>
  <c r="H300"/>
  <c r="H299" s="1"/>
  <c r="H159"/>
  <c r="H158" s="1"/>
  <c r="H124"/>
  <c r="H866"/>
  <c r="H865" s="1"/>
  <c r="H584"/>
  <c r="H576" s="1"/>
  <c r="H241"/>
  <c r="H240" s="1"/>
  <c r="H202"/>
  <c r="H1035"/>
  <c r="H1034" s="1"/>
  <c r="H64"/>
  <c r="H805"/>
  <c r="H804" s="1"/>
  <c r="H722"/>
  <c r="H568"/>
  <c r="H567" s="1"/>
  <c r="H509"/>
  <c r="H335"/>
  <c r="H291"/>
  <c r="H290" s="1"/>
  <c r="H274"/>
  <c r="H273" s="1"/>
  <c r="H131"/>
  <c r="H630"/>
  <c r="H628" s="1"/>
  <c r="H627" s="1"/>
  <c r="H600"/>
  <c r="H599" s="1"/>
  <c r="H640"/>
  <c r="H639" s="1"/>
  <c r="H215"/>
  <c r="H49"/>
  <c r="H47"/>
  <c r="H970"/>
  <c r="H669"/>
  <c r="H668" s="1"/>
  <c r="H667" s="1"/>
  <c r="H180"/>
  <c r="H179" s="1"/>
  <c r="H149"/>
  <c r="H76"/>
  <c r="H952"/>
  <c r="H837"/>
  <c r="H418"/>
  <c r="H417" s="1"/>
  <c r="H416" s="1"/>
  <c r="H415" s="1"/>
  <c r="H190"/>
  <c r="H189" s="1"/>
  <c r="H395"/>
  <c r="H393" s="1"/>
  <c r="H392" s="1"/>
  <c r="H1010"/>
  <c r="H1009" s="1"/>
  <c r="H1008" s="1"/>
  <c r="H1007" s="1"/>
  <c r="H756"/>
  <c r="H755" s="1"/>
  <c r="H878"/>
  <c r="H813"/>
  <c r="H812" s="1"/>
  <c r="H475"/>
  <c r="H987"/>
  <c r="H982" s="1"/>
  <c r="H464"/>
  <c r="H463"/>
  <c r="H462" s="1"/>
  <c r="H426"/>
  <c r="H425"/>
  <c r="H594"/>
  <c r="H593"/>
  <c r="H1003"/>
  <c r="H1002"/>
  <c r="H1001"/>
  <c r="H850"/>
  <c r="H845" s="1"/>
  <c r="H844" s="1"/>
  <c r="H619"/>
  <c r="H367"/>
  <c r="H566"/>
  <c r="H565" s="1"/>
  <c r="H1024"/>
  <c r="H623"/>
  <c r="H285"/>
  <c r="H456"/>
  <c r="H455" s="1"/>
  <c r="A150"/>
  <c r="H148" l="1"/>
  <c r="E72" i="44" s="1"/>
  <c r="E73"/>
  <c r="H638" i="5"/>
  <c r="H637" s="1"/>
  <c r="H253"/>
  <c r="H523"/>
  <c r="H522" s="1"/>
  <c r="H521" s="1"/>
  <c r="H598"/>
  <c r="H564" s="1"/>
  <c r="H474"/>
  <c r="H473" s="1"/>
  <c r="H472" s="1"/>
  <c r="H951"/>
  <c r="H946" s="1"/>
  <c r="H945" s="1"/>
  <c r="H394"/>
  <c r="H123"/>
  <c r="H122" s="1"/>
  <c r="H871"/>
  <c r="H718"/>
  <c r="H713" s="1"/>
  <c r="H712" s="1"/>
  <c r="H325"/>
  <c r="H324" s="1"/>
  <c r="H312" s="1"/>
  <c r="H803"/>
  <c r="H802" s="1"/>
  <c r="H902"/>
  <c r="H1033"/>
  <c r="H547"/>
  <c r="H541" s="1"/>
  <c r="H1032"/>
  <c r="H147"/>
  <c r="H146" s="1"/>
  <c r="H214"/>
  <c r="H213" s="1"/>
  <c r="H272"/>
  <c r="H271" s="1"/>
  <c r="H629"/>
  <c r="H46"/>
  <c r="H298"/>
  <c r="H297" s="1"/>
  <c r="H178"/>
  <c r="H177" s="1"/>
  <c r="H424"/>
  <c r="H618"/>
  <c r="H617" s="1"/>
  <c r="A936"/>
  <c r="A937"/>
  <c r="I937"/>
  <c r="I936" s="1"/>
  <c r="H449" l="1"/>
  <c r="H864"/>
  <c r="H863" s="1"/>
  <c r="H754" s="1"/>
  <c r="H605"/>
  <c r="H250"/>
  <c r="H10"/>
  <c r="A764"/>
  <c r="A765"/>
  <c r="A766"/>
  <c r="A767"/>
  <c r="I767"/>
  <c r="I766" s="1"/>
  <c r="I765" s="1"/>
  <c r="I764" s="1"/>
  <c r="I688"/>
  <c r="I687" s="1"/>
  <c r="A687"/>
  <c r="A688"/>
  <c r="D21" i="69"/>
  <c r="D22"/>
  <c r="D20"/>
  <c r="C23"/>
  <c r="H1055" i="5" l="1"/>
  <c r="I1055" s="1"/>
  <c r="D23" i="69"/>
  <c r="I588" i="5"/>
  <c r="I587" s="1"/>
  <c r="A587"/>
  <c r="A588"/>
  <c r="I563" l="1"/>
  <c r="I562" s="1"/>
  <c r="I561" s="1"/>
  <c r="I560" s="1"/>
  <c r="A560"/>
  <c r="A561"/>
  <c r="A562"/>
  <c r="A563"/>
  <c r="I454"/>
  <c r="I453" s="1"/>
  <c r="I378"/>
  <c r="I377" s="1"/>
  <c r="A375"/>
  <c r="A376"/>
  <c r="A377"/>
  <c r="A378"/>
  <c r="I327"/>
  <c r="I326" s="1"/>
  <c r="A326"/>
  <c r="A327"/>
  <c r="A328"/>
  <c r="I924"/>
  <c r="I923" s="1"/>
  <c r="A923"/>
  <c r="A924"/>
  <c r="I909"/>
  <c r="I908" s="1"/>
  <c r="A908"/>
  <c r="A909"/>
  <c r="I376" l="1"/>
  <c r="I375" s="1"/>
  <c r="A303"/>
  <c r="A304"/>
  <c r="A960" l="1"/>
  <c r="A216"/>
  <c r="A217"/>
  <c r="A218"/>
  <c r="A215"/>
  <c r="A238"/>
  <c r="A237"/>
  <c r="I239"/>
  <c r="I238" s="1"/>
  <c r="A239"/>
  <c r="A83" l="1"/>
  <c r="A84"/>
  <c r="I51"/>
  <c r="A51"/>
  <c r="A20"/>
  <c r="I20"/>
  <c r="E25" i="71"/>
  <c r="D25"/>
  <c r="C25"/>
  <c r="E27" l="1"/>
  <c r="G25"/>
  <c r="G27" s="1"/>
  <c r="I84" i="5"/>
  <c r="I83" s="1"/>
  <c r="I777"/>
  <c r="A777"/>
  <c r="H349" i="30"/>
  <c r="I350"/>
  <c r="I349" s="1"/>
  <c r="A349"/>
  <c r="A350"/>
  <c r="F79" i="68"/>
  <c r="D79"/>
  <c r="C79"/>
  <c r="G78"/>
  <c r="G79" s="1"/>
  <c r="A775" i="5"/>
  <c r="A776"/>
  <c r="A778"/>
  <c r="A779"/>
  <c r="A780"/>
  <c r="A782"/>
  <c r="A783"/>
  <c r="A784"/>
  <c r="A785"/>
  <c r="A781"/>
  <c r="A107" l="1"/>
  <c r="A108"/>
  <c r="A109"/>
  <c r="A110"/>
  <c r="A111"/>
  <c r="A112"/>
  <c r="A113"/>
  <c r="A114"/>
  <c r="A115"/>
  <c r="A116"/>
  <c r="A117"/>
  <c r="A118"/>
  <c r="A119"/>
  <c r="A120"/>
  <c r="A121"/>
  <c r="A122"/>
  <c r="A123"/>
  <c r="A124"/>
  <c r="A125"/>
  <c r="A126"/>
  <c r="A127"/>
  <c r="A128"/>
  <c r="A129"/>
  <c r="A130"/>
  <c r="A131"/>
  <c r="A132"/>
  <c r="A133"/>
  <c r="A134"/>
  <c r="A135"/>
  <c r="A136"/>
  <c r="A139"/>
  <c r="A140"/>
  <c r="A141"/>
  <c r="A142"/>
  <c r="A143"/>
  <c r="A144"/>
  <c r="A145"/>
  <c r="A146"/>
  <c r="A147"/>
  <c r="A148"/>
  <c r="A149"/>
  <c r="A151"/>
  <c r="A152"/>
  <c r="A153"/>
  <c r="A154"/>
  <c r="A155"/>
  <c r="A156"/>
  <c r="A157"/>
  <c r="A158"/>
  <c r="A159"/>
  <c r="A160"/>
  <c r="A161"/>
  <c r="A162"/>
  <c r="A163"/>
  <c r="A164"/>
  <c r="A165"/>
  <c r="A166"/>
  <c r="A167"/>
  <c r="A168"/>
  <c r="A169"/>
  <c r="A170"/>
  <c r="A171"/>
  <c r="A172"/>
  <c r="A173"/>
  <c r="A174"/>
  <c r="A175"/>
  <c r="A176"/>
  <c r="A177"/>
  <c r="A178"/>
  <c r="A179"/>
  <c r="A180"/>
  <c r="A181"/>
  <c r="A182"/>
  <c r="A183"/>
  <c r="A184"/>
  <c r="A185"/>
  <c r="A186"/>
  <c r="A187"/>
  <c r="A188"/>
  <c r="A189"/>
  <c r="A190"/>
  <c r="A191"/>
  <c r="A192"/>
  <c r="A193"/>
  <c r="A194"/>
  <c r="A195"/>
  <c r="A196"/>
  <c r="A197"/>
  <c r="A198"/>
  <c r="A199"/>
  <c r="A200"/>
  <c r="A201"/>
  <c r="A202"/>
  <c r="A203"/>
  <c r="A204"/>
  <c r="A205"/>
  <c r="A206"/>
  <c r="A207"/>
  <c r="A208"/>
  <c r="A209"/>
  <c r="A210"/>
  <c r="A211"/>
  <c r="A212"/>
  <c r="A213"/>
  <c r="A214"/>
  <c r="A219"/>
  <c r="A220"/>
  <c r="A221"/>
  <c r="A222"/>
  <c r="A223"/>
  <c r="A224"/>
  <c r="A225"/>
  <c r="A226"/>
  <c r="A227"/>
  <c r="A228"/>
  <c r="A229"/>
  <c r="A230"/>
  <c r="A231"/>
  <c r="A232"/>
  <c r="A233"/>
  <c r="A234"/>
  <c r="A235"/>
  <c r="A236"/>
  <c r="A240"/>
  <c r="A241"/>
  <c r="A242"/>
  <c r="A243"/>
  <c r="A244"/>
  <c r="A245"/>
  <c r="A246"/>
  <c r="A247"/>
  <c r="A248"/>
  <c r="A249"/>
  <c r="A250"/>
  <c r="A251"/>
  <c r="A252"/>
  <c r="A253"/>
  <c r="A254"/>
  <c r="A255"/>
  <c r="A257"/>
  <c r="A259"/>
  <c r="A260"/>
  <c r="A261"/>
  <c r="A262"/>
  <c r="A263"/>
  <c r="A264"/>
  <c r="A265"/>
  <c r="A266"/>
  <c r="A267"/>
  <c r="A268"/>
  <c r="A269"/>
  <c r="A270"/>
  <c r="A271"/>
  <c r="A272"/>
  <c r="A273"/>
  <c r="A274"/>
  <c r="A275"/>
  <c r="A276"/>
  <c r="A277"/>
  <c r="A278"/>
  <c r="A279"/>
  <c r="A280"/>
  <c r="A281"/>
  <c r="A282"/>
  <c r="A283"/>
  <c r="A284"/>
  <c r="A285"/>
  <c r="A286"/>
  <c r="A287"/>
  <c r="A288"/>
  <c r="A289"/>
  <c r="A290"/>
  <c r="A291"/>
  <c r="A292"/>
  <c r="A293"/>
  <c r="A294"/>
  <c r="A295"/>
  <c r="A296"/>
  <c r="A297"/>
  <c r="A298"/>
  <c r="A299"/>
  <c r="A300"/>
  <c r="A301"/>
  <c r="A302"/>
  <c r="A305"/>
  <c r="A306"/>
  <c r="A307"/>
  <c r="A308"/>
  <c r="A309"/>
  <c r="A310"/>
  <c r="A311"/>
  <c r="A312"/>
  <c r="A313"/>
  <c r="A314"/>
  <c r="A315"/>
  <c r="A316"/>
  <c r="A317"/>
  <c r="A318"/>
  <c r="A319"/>
  <c r="A320"/>
  <c r="A321"/>
  <c r="A322"/>
  <c r="A323"/>
  <c r="A324"/>
  <c r="A325"/>
  <c r="A329"/>
  <c r="A330"/>
  <c r="A331"/>
  <c r="A332"/>
  <c r="A333"/>
  <c r="A334"/>
  <c r="A335"/>
  <c r="A336"/>
  <c r="A337"/>
  <c r="A338"/>
  <c r="A339"/>
  <c r="A340"/>
  <c r="A341"/>
  <c r="A342"/>
  <c r="A343"/>
  <c r="A344"/>
  <c r="A345"/>
  <c r="A346"/>
  <c r="A347"/>
  <c r="A348"/>
  <c r="A349"/>
  <c r="A350"/>
  <c r="A351"/>
  <c r="A352"/>
  <c r="A353"/>
  <c r="A354"/>
  <c r="A355"/>
  <c r="A356"/>
  <c r="A357"/>
  <c r="A358"/>
  <c r="A359"/>
  <c r="A360"/>
  <c r="A361"/>
  <c r="A362"/>
  <c r="A363"/>
  <c r="A364"/>
  <c r="A365"/>
  <c r="A366"/>
  <c r="A367"/>
  <c r="A368"/>
  <c r="A369"/>
  <c r="A370"/>
  <c r="A371"/>
  <c r="A372"/>
  <c r="A373"/>
  <c r="A374"/>
  <c r="A385"/>
  <c r="A386"/>
  <c r="A387"/>
  <c r="A388"/>
  <c r="A389"/>
  <c r="A390"/>
  <c r="A391"/>
  <c r="A392"/>
  <c r="A393"/>
  <c r="A394"/>
  <c r="A395"/>
  <c r="A396"/>
  <c r="A397"/>
  <c r="A398"/>
  <c r="A399"/>
  <c r="A400"/>
  <c r="A401"/>
  <c r="A402"/>
  <c r="A403"/>
  <c r="A404"/>
  <c r="A405"/>
  <c r="A406"/>
  <c r="A407"/>
  <c r="A408"/>
  <c r="A409"/>
  <c r="A410"/>
  <c r="A411"/>
  <c r="A412"/>
  <c r="A413"/>
  <c r="A414"/>
  <c r="A415"/>
  <c r="A416"/>
  <c r="A417"/>
  <c r="A418"/>
  <c r="A419"/>
  <c r="A420"/>
  <c r="A421"/>
  <c r="A422"/>
  <c r="A423"/>
  <c r="A424"/>
  <c r="A425"/>
  <c r="A426"/>
  <c r="A427"/>
  <c r="A428"/>
  <c r="A429"/>
  <c r="A430"/>
  <c r="A431"/>
  <c r="A432"/>
  <c r="A433"/>
  <c r="A434"/>
  <c r="A435"/>
  <c r="A436"/>
  <c r="A437"/>
  <c r="A438"/>
  <c r="A439"/>
  <c r="A440"/>
  <c r="A441"/>
  <c r="A442"/>
  <c r="A443"/>
  <c r="A444"/>
  <c r="A445"/>
  <c r="A446"/>
  <c r="A447"/>
  <c r="A448"/>
  <c r="A449"/>
  <c r="A450"/>
  <c r="A451"/>
  <c r="A452"/>
  <c r="A453"/>
  <c r="A454"/>
  <c r="A455"/>
  <c r="A456"/>
  <c r="A457"/>
  <c r="A458"/>
  <c r="A459"/>
  <c r="A460"/>
  <c r="A461"/>
  <c r="A462"/>
  <c r="A463"/>
  <c r="A464"/>
  <c r="A465"/>
  <c r="A466"/>
  <c r="A467"/>
  <c r="A468"/>
  <c r="A469"/>
  <c r="A470"/>
  <c r="A471"/>
  <c r="A472"/>
  <c r="A473"/>
  <c r="A474"/>
  <c r="A475"/>
  <c r="A476"/>
  <c r="A477"/>
  <c r="A478"/>
  <c r="A479"/>
  <c r="A480"/>
  <c r="A481"/>
  <c r="A482"/>
  <c r="A483"/>
  <c r="A484"/>
  <c r="A485"/>
  <c r="A486"/>
  <c r="A487"/>
  <c r="A488"/>
  <c r="A489"/>
  <c r="A490"/>
  <c r="A491"/>
  <c r="A492"/>
  <c r="A493"/>
  <c r="A494"/>
  <c r="A495"/>
  <c r="A496"/>
  <c r="A497"/>
  <c r="A498"/>
  <c r="A499"/>
  <c r="A500"/>
  <c r="A501"/>
  <c r="A502"/>
  <c r="A503"/>
  <c r="A504"/>
  <c r="A505"/>
  <c r="A506"/>
  <c r="A507"/>
  <c r="A508"/>
  <c r="A509"/>
  <c r="A510"/>
  <c r="A511"/>
  <c r="A512"/>
  <c r="A513"/>
  <c r="A514"/>
  <c r="A515"/>
  <c r="A516"/>
  <c r="A517"/>
  <c r="A518"/>
  <c r="A521"/>
  <c r="A522"/>
  <c r="A523"/>
  <c r="A524"/>
  <c r="A525"/>
  <c r="A526"/>
  <c r="A527"/>
  <c r="A528"/>
  <c r="A529"/>
  <c r="A530"/>
  <c r="A531"/>
  <c r="A532"/>
  <c r="A533"/>
  <c r="A534"/>
  <c r="A535"/>
  <c r="A536"/>
  <c r="A537"/>
  <c r="A538"/>
  <c r="A539"/>
  <c r="A540"/>
  <c r="A541"/>
  <c r="A542"/>
  <c r="A543"/>
  <c r="A544"/>
  <c r="A545"/>
  <c r="A546"/>
  <c r="A547"/>
  <c r="A548"/>
  <c r="A549"/>
  <c r="A550"/>
  <c r="A551"/>
  <c r="A552"/>
  <c r="A553"/>
  <c r="A554"/>
  <c r="A555"/>
  <c r="A556"/>
  <c r="A557"/>
  <c r="A558"/>
  <c r="A559"/>
  <c r="A564"/>
  <c r="A565"/>
  <c r="A566"/>
  <c r="A567"/>
  <c r="A568"/>
  <c r="A569"/>
  <c r="A570"/>
  <c r="A571"/>
  <c r="A572"/>
  <c r="A573"/>
  <c r="A574"/>
  <c r="A575"/>
  <c r="A576"/>
  <c r="A577"/>
  <c r="A578"/>
  <c r="A579"/>
  <c r="A580"/>
  <c r="A581"/>
  <c r="A582"/>
  <c r="A583"/>
  <c r="A584"/>
  <c r="A585"/>
  <c r="A586"/>
  <c r="A589"/>
  <c r="A590"/>
  <c r="A591"/>
  <c r="A592"/>
  <c r="A593"/>
  <c r="A594"/>
  <c r="A595"/>
  <c r="A596"/>
  <c r="A597"/>
  <c r="A598"/>
  <c r="A599"/>
  <c r="A600"/>
  <c r="A601"/>
  <c r="A602"/>
  <c r="A603"/>
  <c r="A604"/>
  <c r="A605"/>
  <c r="A606"/>
  <c r="A607"/>
  <c r="A608"/>
  <c r="A609"/>
  <c r="A610"/>
  <c r="A611"/>
  <c r="A612"/>
  <c r="A613"/>
  <c r="A614"/>
  <c r="A615"/>
  <c r="A616"/>
  <c r="A617"/>
  <c r="A618"/>
  <c r="A619"/>
  <c r="A620"/>
  <c r="A621"/>
  <c r="A622"/>
  <c r="A623"/>
  <c r="A624"/>
  <c r="A625"/>
  <c r="A626"/>
  <c r="A627"/>
  <c r="A628"/>
  <c r="A629"/>
  <c r="A630"/>
  <c r="A631"/>
  <c r="A632"/>
  <c r="A633"/>
  <c r="A634"/>
  <c r="A635"/>
  <c r="A636"/>
  <c r="A637"/>
  <c r="A638"/>
  <c r="A639"/>
  <c r="A640"/>
  <c r="A641"/>
  <c r="A642"/>
  <c r="A643"/>
  <c r="A644"/>
  <c r="A645"/>
  <c r="A646"/>
  <c r="A647"/>
  <c r="A648"/>
  <c r="A649"/>
  <c r="A650"/>
  <c r="A651"/>
  <c r="A652"/>
  <c r="A653"/>
  <c r="A654"/>
  <c r="A659"/>
  <c r="A660"/>
  <c r="A661"/>
  <c r="A662"/>
  <c r="A663"/>
  <c r="A664"/>
  <c r="A665"/>
  <c r="A666"/>
  <c r="A667"/>
  <c r="A668"/>
  <c r="A669"/>
  <c r="A670"/>
  <c r="A671"/>
  <c r="A672"/>
  <c r="A673"/>
  <c r="A674"/>
  <c r="A675"/>
  <c r="A676"/>
  <c r="A677"/>
  <c r="A678"/>
  <c r="A679"/>
  <c r="A680"/>
  <c r="A686"/>
  <c r="A689"/>
  <c r="A690"/>
  <c r="A691"/>
  <c r="A698"/>
  <c r="A699"/>
  <c r="A700"/>
  <c r="A701"/>
  <c r="A702"/>
  <c r="A703"/>
  <c r="A704"/>
  <c r="A705"/>
  <c r="A706"/>
  <c r="A707"/>
  <c r="A708"/>
  <c r="A709"/>
  <c r="A710"/>
  <c r="A711"/>
  <c r="A712"/>
  <c r="A713"/>
  <c r="A714"/>
  <c r="A715"/>
  <c r="A716"/>
  <c r="A717"/>
  <c r="A718"/>
  <c r="A722"/>
  <c r="A723"/>
  <c r="A724"/>
  <c r="A725"/>
  <c r="A726"/>
  <c r="A727"/>
  <c r="A728"/>
  <c r="A729"/>
  <c r="A730"/>
  <c r="A731"/>
  <c r="A732"/>
  <c r="A733"/>
  <c r="A734"/>
  <c r="A735"/>
  <c r="A736"/>
  <c r="A737"/>
  <c r="A738"/>
  <c r="A739"/>
  <c r="A740"/>
  <c r="A741"/>
  <c r="A742"/>
  <c r="A743"/>
  <c r="A744"/>
  <c r="A745"/>
  <c r="A746"/>
  <c r="A747"/>
  <c r="A748"/>
  <c r="A749"/>
  <c r="A750"/>
  <c r="A751"/>
  <c r="A752"/>
  <c r="A753"/>
  <c r="A754"/>
  <c r="A755"/>
  <c r="A756"/>
  <c r="A757"/>
  <c r="A758"/>
  <c r="A759"/>
  <c r="A760"/>
  <c r="A761"/>
  <c r="A762"/>
  <c r="A763"/>
  <c r="A768"/>
  <c r="A769"/>
  <c r="A770"/>
  <c r="A771"/>
  <c r="A772"/>
  <c r="A773"/>
  <c r="A774"/>
  <c r="A786"/>
  <c r="A787"/>
  <c r="A788"/>
  <c r="A789"/>
  <c r="A790"/>
  <c r="A791"/>
  <c r="A792"/>
  <c r="A793"/>
  <c r="A794"/>
  <c r="A795"/>
  <c r="A796"/>
  <c r="A797"/>
  <c r="A798"/>
  <c r="A799"/>
  <c r="A800"/>
  <c r="A801"/>
  <c r="A802"/>
  <c r="A803"/>
  <c r="A804"/>
  <c r="A805"/>
  <c r="A806"/>
  <c r="A807"/>
  <c r="A808"/>
  <c r="A809"/>
  <c r="A810"/>
  <c r="A811"/>
  <c r="A812"/>
  <c r="A813"/>
  <c r="A814"/>
  <c r="A815"/>
  <c r="A816"/>
  <c r="A817"/>
  <c r="A818"/>
  <c r="A819"/>
  <c r="A820"/>
  <c r="A821"/>
  <c r="A822"/>
  <c r="A823"/>
  <c r="A824"/>
  <c r="A825"/>
  <c r="A826"/>
  <c r="A827"/>
  <c r="A828"/>
  <c r="A829"/>
  <c r="A830"/>
  <c r="A831"/>
  <c r="A832"/>
  <c r="A833"/>
  <c r="A834"/>
  <c r="A835"/>
  <c r="A836"/>
  <c r="A837"/>
  <c r="A838"/>
  <c r="A839"/>
  <c r="A840"/>
  <c r="A841"/>
  <c r="A842"/>
  <c r="A843"/>
  <c r="A844"/>
  <c r="A845"/>
  <c r="A846"/>
  <c r="A847"/>
  <c r="A848"/>
  <c r="A849"/>
  <c r="A850"/>
  <c r="A851"/>
  <c r="A852"/>
  <c r="A853"/>
  <c r="A854"/>
  <c r="A855"/>
  <c r="A856"/>
  <c r="A857"/>
  <c r="A858"/>
  <c r="A859"/>
  <c r="A860"/>
  <c r="A861"/>
  <c r="A862"/>
  <c r="A863"/>
  <c r="A864"/>
  <c r="A865"/>
  <c r="A866"/>
  <c r="A867"/>
  <c r="A868"/>
  <c r="A869"/>
  <c r="A870"/>
  <c r="A871"/>
  <c r="A872"/>
  <c r="A873"/>
  <c r="A874"/>
  <c r="A875"/>
  <c r="A876"/>
  <c r="A877"/>
  <c r="A878"/>
  <c r="A879"/>
  <c r="A880"/>
  <c r="A881"/>
  <c r="A882"/>
  <c r="A883"/>
  <c r="A884"/>
  <c r="A885"/>
  <c r="A886"/>
  <c r="A887"/>
  <c r="A888"/>
  <c r="A889"/>
  <c r="A890"/>
  <c r="A891"/>
  <c r="A892"/>
  <c r="A893"/>
  <c r="A894"/>
  <c r="A895"/>
  <c r="A896"/>
  <c r="A899"/>
  <c r="A900"/>
  <c r="A901"/>
  <c r="A902"/>
  <c r="A903"/>
  <c r="A904"/>
  <c r="A905"/>
  <c r="A906"/>
  <c r="A907"/>
  <c r="A916"/>
  <c r="A917"/>
  <c r="A918"/>
  <c r="A919"/>
  <c r="A920"/>
  <c r="A925"/>
  <c r="A926"/>
  <c r="A927"/>
  <c r="A928"/>
  <c r="A929"/>
  <c r="A930"/>
  <c r="A931"/>
  <c r="A932"/>
  <c r="A933"/>
  <c r="A934"/>
  <c r="A935"/>
  <c r="A940"/>
  <c r="A941"/>
  <c r="A942"/>
  <c r="A945"/>
  <c r="A946"/>
  <c r="A947"/>
  <c r="A948"/>
  <c r="A949"/>
  <c r="A950"/>
  <c r="A951"/>
  <c r="A952"/>
  <c r="A953"/>
  <c r="A954"/>
  <c r="A955"/>
  <c r="A956"/>
  <c r="A957"/>
  <c r="A958"/>
  <c r="A961"/>
  <c r="A962"/>
  <c r="A963"/>
  <c r="A964"/>
  <c r="A965"/>
  <c r="A966"/>
  <c r="A967"/>
  <c r="A968"/>
  <c r="A969"/>
  <c r="A970"/>
  <c r="A971"/>
  <c r="A972"/>
  <c r="A973"/>
  <c r="A974"/>
  <c r="A975"/>
  <c r="A976"/>
  <c r="A977"/>
  <c r="A978"/>
  <c r="A979"/>
  <c r="A980"/>
  <c r="A981"/>
  <c r="A982"/>
  <c r="A983"/>
  <c r="A984"/>
  <c r="A985"/>
  <c r="A986"/>
  <c r="A987"/>
  <c r="A988"/>
  <c r="A989"/>
  <c r="A990"/>
  <c r="A991"/>
  <c r="A992"/>
  <c r="A993"/>
  <c r="A994"/>
  <c r="A995"/>
  <c r="A996"/>
  <c r="A1001"/>
  <c r="A1002"/>
  <c r="A1003"/>
  <c r="A1004"/>
  <c r="A1005"/>
  <c r="A1006"/>
  <c r="A1007"/>
  <c r="A1008"/>
  <c r="A1009"/>
  <c r="A1010"/>
  <c r="A1011"/>
  <c r="A1012"/>
  <c r="A1013"/>
  <c r="A1014"/>
  <c r="A1015"/>
  <c r="A1016"/>
  <c r="A1017"/>
  <c r="A1018"/>
  <c r="A1019"/>
  <c r="A1020"/>
  <c r="A1021"/>
  <c r="A1022"/>
  <c r="A1023"/>
  <c r="A1024"/>
  <c r="A1025"/>
  <c r="A1026"/>
  <c r="A1027"/>
  <c r="A1028"/>
  <c r="A1029"/>
  <c r="A1030"/>
  <c r="A1031"/>
  <c r="A1032"/>
  <c r="A1033"/>
  <c r="A1034"/>
  <c r="A1035"/>
  <c r="A1036"/>
  <c r="A1037"/>
  <c r="A1038"/>
  <c r="A1039"/>
  <c r="A1040"/>
  <c r="A1041"/>
  <c r="A1042"/>
  <c r="A1043"/>
  <c r="A1044"/>
  <c r="A1045"/>
  <c r="A1046"/>
  <c r="A1047"/>
  <c r="A1048"/>
  <c r="A1049"/>
  <c r="A1050"/>
  <c r="A1051"/>
  <c r="A1052"/>
  <c r="A1053"/>
  <c r="A1054"/>
  <c r="F68" i="68"/>
  <c r="D68"/>
  <c r="C68"/>
  <c r="G66"/>
  <c r="G68" s="1"/>
  <c r="L69" i="30"/>
  <c r="I69"/>
  <c r="K68"/>
  <c r="L68" s="1"/>
  <c r="H68"/>
  <c r="H67" s="1"/>
  <c r="A66"/>
  <c r="A67"/>
  <c r="A68"/>
  <c r="A69"/>
  <c r="I310"/>
  <c r="H309"/>
  <c r="I309" s="1"/>
  <c r="A309"/>
  <c r="A310"/>
  <c r="I779" i="5"/>
  <c r="I780"/>
  <c r="I781"/>
  <c r="I206"/>
  <c r="I204"/>
  <c r="I203"/>
  <c r="I194"/>
  <c r="I193"/>
  <c r="I196"/>
  <c r="I195"/>
  <c r="I198"/>
  <c r="I197"/>
  <c r="I208"/>
  <c r="I207"/>
  <c r="I182"/>
  <c r="I181"/>
  <c r="I188"/>
  <c r="I187"/>
  <c r="I136"/>
  <c r="I135"/>
  <c r="D18" i="71"/>
  <c r="C18"/>
  <c r="I841" i="5"/>
  <c r="I840"/>
  <c r="I824"/>
  <c r="I823"/>
  <c r="I834"/>
  <c r="I833"/>
  <c r="K86" i="26"/>
  <c r="L112"/>
  <c r="N50"/>
  <c r="K50"/>
  <c r="O51"/>
  <c r="L51"/>
  <c r="L53"/>
  <c r="F21" i="68"/>
  <c r="I877" i="5"/>
  <c r="I876" s="1"/>
  <c r="D13" i="71"/>
  <c r="C13"/>
  <c r="K57" i="30"/>
  <c r="K59"/>
  <c r="L60"/>
  <c r="L59" s="1"/>
  <c r="K383"/>
  <c r="L384"/>
  <c r="L383" s="1"/>
  <c r="A394"/>
  <c r="A395"/>
  <c r="A396"/>
  <c r="K395"/>
  <c r="K394" s="1"/>
  <c r="L396"/>
  <c r="L395" s="1"/>
  <c r="L394" s="1"/>
  <c r="I396"/>
  <c r="I395" s="1"/>
  <c r="I394" s="1"/>
  <c r="H395"/>
  <c r="H394" s="1"/>
  <c r="H383"/>
  <c r="I384"/>
  <c r="I383" s="1"/>
  <c r="A383"/>
  <c r="A384"/>
  <c r="A59"/>
  <c r="A60"/>
  <c r="H59"/>
  <c r="I60"/>
  <c r="I59" s="1"/>
  <c r="D27" i="71" l="1"/>
  <c r="K56" i="30"/>
  <c r="K55" s="1"/>
  <c r="K54" s="1"/>
  <c r="K53" s="1"/>
  <c r="K67"/>
  <c r="K66" s="1"/>
  <c r="L66" s="1"/>
  <c r="I68"/>
  <c r="H66"/>
  <c r="I67"/>
  <c r="I974" i="5"/>
  <c r="I975"/>
  <c r="I976"/>
  <c r="I977"/>
  <c r="I978"/>
  <c r="I980"/>
  <c r="I981"/>
  <c r="I979"/>
  <c r="I961"/>
  <c r="I960" s="1"/>
  <c r="I963"/>
  <c r="I962" s="1"/>
  <c r="I965"/>
  <c r="I964" s="1"/>
  <c r="F74" i="68"/>
  <c r="D74"/>
  <c r="C74"/>
  <c r="G72"/>
  <c r="G74" s="1"/>
  <c r="L67" i="30" l="1"/>
  <c r="I66"/>
  <c r="F62" i="68"/>
  <c r="D62"/>
  <c r="C62"/>
  <c r="G61"/>
  <c r="G62" s="1"/>
  <c r="F57"/>
  <c r="G56"/>
  <c r="D57"/>
  <c r="C57"/>
  <c r="G55"/>
  <c r="G54"/>
  <c r="G53"/>
  <c r="G52"/>
  <c r="I763" i="5"/>
  <c r="I762" s="1"/>
  <c r="I761" s="1"/>
  <c r="G57" i="68" l="1"/>
  <c r="I901" i="5"/>
  <c r="I900" s="1"/>
  <c r="I899" s="1"/>
  <c r="I882"/>
  <c r="I881" s="1"/>
  <c r="I885"/>
  <c r="I172"/>
  <c r="I171" s="1"/>
  <c r="L159" i="1" l="1"/>
  <c r="L158"/>
  <c r="L75"/>
  <c r="L56"/>
  <c r="L72"/>
  <c r="L65"/>
  <c r="L59"/>
  <c r="L55"/>
  <c r="C13" i="68"/>
  <c r="D13"/>
  <c r="C21"/>
  <c r="D21"/>
  <c r="C26"/>
  <c r="D26"/>
  <c r="C31"/>
  <c r="D31"/>
  <c r="C37"/>
  <c r="D37"/>
  <c r="C43"/>
  <c r="D43"/>
  <c r="C48"/>
  <c r="D48"/>
  <c r="K12" i="1"/>
  <c r="K14"/>
  <c r="K16"/>
  <c r="K20"/>
  <c r="K25"/>
  <c r="K27"/>
  <c r="K30"/>
  <c r="K33"/>
  <c r="K36"/>
  <c r="K45"/>
  <c r="K77"/>
  <c r="D38" i="44"/>
  <c r="B38"/>
  <c r="I711" i="5"/>
  <c r="I710" s="1"/>
  <c r="I709" s="1"/>
  <c r="I708" s="1"/>
  <c r="I707" s="1"/>
  <c r="K24" i="1" l="1"/>
  <c r="K23" s="1"/>
  <c r="K44"/>
  <c r="K43" s="1"/>
  <c r="K11" l="1"/>
  <c r="L298" i="30"/>
  <c r="L297" s="1"/>
  <c r="H297"/>
  <c r="K297"/>
  <c r="I298"/>
  <c r="I297" s="1"/>
  <c r="A297"/>
  <c r="A298"/>
  <c r="L79"/>
  <c r="L78" s="1"/>
  <c r="H78"/>
  <c r="H75" s="1"/>
  <c r="K78"/>
  <c r="K75" s="1"/>
  <c r="I79"/>
  <c r="I78" s="1"/>
  <c r="A78"/>
  <c r="A79"/>
  <c r="H29"/>
  <c r="H28" s="1"/>
  <c r="H27" s="1"/>
  <c r="K29"/>
  <c r="K28" s="1"/>
  <c r="K27" s="1"/>
  <c r="L30"/>
  <c r="L29" s="1"/>
  <c r="L28" s="1"/>
  <c r="L27" s="1"/>
  <c r="I30"/>
  <c r="I29" s="1"/>
  <c r="I28" s="1"/>
  <c r="I27" s="1"/>
  <c r="A29"/>
  <c r="A30"/>
  <c r="A27"/>
  <c r="A28"/>
  <c r="G30" i="68"/>
  <c r="G31" s="1"/>
  <c r="F31"/>
  <c r="A247" i="30"/>
  <c r="I1047" i="5"/>
  <c r="B15" i="25"/>
  <c r="I452" i="5"/>
  <c r="I451" s="1"/>
  <c r="I450" s="1"/>
  <c r="I753"/>
  <c r="I752" s="1"/>
  <c r="I678"/>
  <c r="I677" s="1"/>
  <c r="K169" i="1" l="1"/>
  <c r="L11"/>
  <c r="F13" i="68"/>
  <c r="D88" i="44" l="1"/>
  <c r="B88"/>
  <c r="E88"/>
  <c r="I121" i="5"/>
  <c r="I120" s="1"/>
  <c r="I119" s="1"/>
  <c r="F88" i="44" s="1"/>
  <c r="I143" i="5"/>
  <c r="I142" s="1"/>
  <c r="I760"/>
  <c r="I759" s="1"/>
  <c r="I1019"/>
  <c r="I1018" s="1"/>
  <c r="I1017" s="1"/>
  <c r="I1016" s="1"/>
  <c r="I1015" s="1"/>
  <c r="I1042"/>
  <c r="I1041"/>
  <c r="I58" i="30"/>
  <c r="I57" s="1"/>
  <c r="I256"/>
  <c r="I255" s="1"/>
  <c r="I254" s="1"/>
  <c r="I253" s="1"/>
  <c r="I252" s="1"/>
  <c r="I251" s="1"/>
  <c r="I56" l="1"/>
  <c r="I55" s="1"/>
  <c r="I54" s="1"/>
  <c r="I53" s="1"/>
  <c r="I1040" i="5"/>
  <c r="F48" i="68"/>
  <c r="G47"/>
  <c r="G48" s="1"/>
  <c r="F43"/>
  <c r="G42"/>
  <c r="F37"/>
  <c r="G36"/>
  <c r="G41"/>
  <c r="G35"/>
  <c r="G12"/>
  <c r="G11"/>
  <c r="L308" i="30"/>
  <c r="L307" s="1"/>
  <c r="L306" s="1"/>
  <c r="L305" s="1"/>
  <c r="K307"/>
  <c r="K306" s="1"/>
  <c r="K305" s="1"/>
  <c r="K304" s="1"/>
  <c r="H307"/>
  <c r="I308"/>
  <c r="A304"/>
  <c r="A305"/>
  <c r="A306"/>
  <c r="A307"/>
  <c r="A308"/>
  <c r="L35" i="1"/>
  <c r="B126" i="44"/>
  <c r="B107"/>
  <c r="N86" i="26"/>
  <c r="O92"/>
  <c r="I307" i="30" l="1"/>
  <c r="H306"/>
  <c r="I306" s="1"/>
  <c r="I205" i="5"/>
  <c r="I202"/>
  <c r="G37" i="68"/>
  <c r="G43"/>
  <c r="L304" i="30"/>
  <c r="L110" i="26"/>
  <c r="L111"/>
  <c r="L109"/>
  <c r="L103"/>
  <c r="L104"/>
  <c r="L105"/>
  <c r="L101"/>
  <c r="L102"/>
  <c r="L106"/>
  <c r="L107"/>
  <c r="L108"/>
  <c r="L100"/>
  <c r="L99"/>
  <c r="L98"/>
  <c r="L97"/>
  <c r="L96"/>
  <c r="L95"/>
  <c r="L88"/>
  <c r="L89"/>
  <c r="L90"/>
  <c r="L91"/>
  <c r="L92"/>
  <c r="L93"/>
  <c r="L94"/>
  <c r="D108" i="55"/>
  <c r="G108"/>
  <c r="B108"/>
  <c r="D106" i="44"/>
  <c r="B106"/>
  <c r="G103" i="55"/>
  <c r="D103"/>
  <c r="B103"/>
  <c r="I250" i="30"/>
  <c r="L250"/>
  <c r="K249"/>
  <c r="L249" s="1"/>
  <c r="H249"/>
  <c r="I249" s="1"/>
  <c r="A246"/>
  <c r="A248"/>
  <c r="A249"/>
  <c r="A250"/>
  <c r="L46"/>
  <c r="K45"/>
  <c r="L45" s="1"/>
  <c r="I46"/>
  <c r="H45"/>
  <c r="I45" s="1"/>
  <c r="A45"/>
  <c r="A46"/>
  <c r="L44"/>
  <c r="I44"/>
  <c r="K43"/>
  <c r="H43"/>
  <c r="A41"/>
  <c r="A42"/>
  <c r="A43"/>
  <c r="A44"/>
  <c r="F13" i="55"/>
  <c r="G13"/>
  <c r="F14"/>
  <c r="G14"/>
  <c r="E22"/>
  <c r="F22"/>
  <c r="G22"/>
  <c r="H22"/>
  <c r="I22"/>
  <c r="E23"/>
  <c r="F23"/>
  <c r="G23"/>
  <c r="H23"/>
  <c r="I23"/>
  <c r="E29"/>
  <c r="F29"/>
  <c r="G29"/>
  <c r="H29"/>
  <c r="I29"/>
  <c r="E32"/>
  <c r="F32"/>
  <c r="G32"/>
  <c r="H32"/>
  <c r="I32"/>
  <c r="E33"/>
  <c r="F33"/>
  <c r="G33"/>
  <c r="H33"/>
  <c r="I33"/>
  <c r="E34"/>
  <c r="F34"/>
  <c r="G34"/>
  <c r="H34"/>
  <c r="I34"/>
  <c r="E35"/>
  <c r="F35"/>
  <c r="G35"/>
  <c r="H35"/>
  <c r="I35"/>
  <c r="E36"/>
  <c r="F36"/>
  <c r="G36"/>
  <c r="H36"/>
  <c r="I36"/>
  <c r="E42"/>
  <c r="F42"/>
  <c r="G42"/>
  <c r="H42"/>
  <c r="I42"/>
  <c r="E43"/>
  <c r="F43"/>
  <c r="G43"/>
  <c r="H43"/>
  <c r="I43"/>
  <c r="E44"/>
  <c r="F44"/>
  <c r="G44"/>
  <c r="H44"/>
  <c r="I44"/>
  <c r="E45"/>
  <c r="F45"/>
  <c r="G45"/>
  <c r="H45"/>
  <c r="I45"/>
  <c r="E49"/>
  <c r="F49"/>
  <c r="G49"/>
  <c r="H49"/>
  <c r="I49"/>
  <c r="E55"/>
  <c r="F55"/>
  <c r="G55"/>
  <c r="H55"/>
  <c r="I55"/>
  <c r="E56"/>
  <c r="F56"/>
  <c r="G56"/>
  <c r="H56"/>
  <c r="I56"/>
  <c r="E57"/>
  <c r="F57"/>
  <c r="G57"/>
  <c r="H57"/>
  <c r="I57"/>
  <c r="E58"/>
  <c r="F58"/>
  <c r="G58"/>
  <c r="H58"/>
  <c r="I58"/>
  <c r="E59"/>
  <c r="F59"/>
  <c r="G59"/>
  <c r="H59"/>
  <c r="I59"/>
  <c r="G60"/>
  <c r="H60"/>
  <c r="I60"/>
  <c r="E61"/>
  <c r="F61"/>
  <c r="G61"/>
  <c r="H61"/>
  <c r="I61"/>
  <c r="F67"/>
  <c r="G67"/>
  <c r="H67"/>
  <c r="I67"/>
  <c r="F68"/>
  <c r="G68"/>
  <c r="H68"/>
  <c r="I68"/>
  <c r="F69"/>
  <c r="G69"/>
  <c r="H69"/>
  <c r="I69"/>
  <c r="E70"/>
  <c r="F70"/>
  <c r="G70"/>
  <c r="H70"/>
  <c r="I70"/>
  <c r="E71"/>
  <c r="F71"/>
  <c r="G71"/>
  <c r="H71"/>
  <c r="I71"/>
  <c r="F72"/>
  <c r="G72"/>
  <c r="H72"/>
  <c r="I72"/>
  <c r="F73"/>
  <c r="G73"/>
  <c r="H73"/>
  <c r="I73"/>
  <c r="E74"/>
  <c r="F74"/>
  <c r="G74"/>
  <c r="H74"/>
  <c r="I74"/>
  <c r="E75"/>
  <c r="F75"/>
  <c r="G75"/>
  <c r="H75"/>
  <c r="I75"/>
  <c r="E77"/>
  <c r="F77"/>
  <c r="G77"/>
  <c r="H77"/>
  <c r="I77"/>
  <c r="E78"/>
  <c r="F78"/>
  <c r="G78"/>
  <c r="H78"/>
  <c r="I78"/>
  <c r="E79"/>
  <c r="F79"/>
  <c r="G79"/>
  <c r="H79"/>
  <c r="I79"/>
  <c r="E80"/>
  <c r="F80"/>
  <c r="G80"/>
  <c r="H80"/>
  <c r="I80"/>
  <c r="E81"/>
  <c r="F81"/>
  <c r="G81"/>
  <c r="H81"/>
  <c r="I81"/>
  <c r="E84"/>
  <c r="F84"/>
  <c r="G84"/>
  <c r="H84"/>
  <c r="I84"/>
  <c r="E85"/>
  <c r="F85"/>
  <c r="G85"/>
  <c r="H85"/>
  <c r="I85"/>
  <c r="E91"/>
  <c r="F91"/>
  <c r="G91"/>
  <c r="H91"/>
  <c r="I91"/>
  <c r="E92"/>
  <c r="F92"/>
  <c r="G92"/>
  <c r="H92"/>
  <c r="I92"/>
  <c r="E93"/>
  <c r="F93"/>
  <c r="G93"/>
  <c r="H93"/>
  <c r="I93"/>
  <c r="E94"/>
  <c r="F94"/>
  <c r="G94"/>
  <c r="H94"/>
  <c r="I94"/>
  <c r="E95"/>
  <c r="F95"/>
  <c r="G95"/>
  <c r="H95"/>
  <c r="I95"/>
  <c r="E96"/>
  <c r="F96"/>
  <c r="G96"/>
  <c r="H96"/>
  <c r="I96"/>
  <c r="E97"/>
  <c r="F97"/>
  <c r="G97"/>
  <c r="H97"/>
  <c r="I97"/>
  <c r="E98"/>
  <c r="F98"/>
  <c r="G98"/>
  <c r="H98"/>
  <c r="I98"/>
  <c r="E99"/>
  <c r="F99"/>
  <c r="G99"/>
  <c r="H99"/>
  <c r="I99"/>
  <c r="E100"/>
  <c r="F100"/>
  <c r="G100"/>
  <c r="H100"/>
  <c r="I100"/>
  <c r="G101"/>
  <c r="E102"/>
  <c r="F102"/>
  <c r="G102"/>
  <c r="H102"/>
  <c r="I102"/>
  <c r="G107"/>
  <c r="G112"/>
  <c r="G113"/>
  <c r="G114"/>
  <c r="G115"/>
  <c r="E118"/>
  <c r="F118"/>
  <c r="G118"/>
  <c r="H118"/>
  <c r="I118"/>
  <c r="E121"/>
  <c r="F121"/>
  <c r="G121"/>
  <c r="H121"/>
  <c r="I121"/>
  <c r="D13"/>
  <c r="D14"/>
  <c r="D22"/>
  <c r="D23"/>
  <c r="D29"/>
  <c r="D32"/>
  <c r="D33"/>
  <c r="D34"/>
  <c r="D35"/>
  <c r="D36"/>
  <c r="D42"/>
  <c r="D43"/>
  <c r="D44"/>
  <c r="D45"/>
  <c r="D47"/>
  <c r="D48"/>
  <c r="D49"/>
  <c r="D50"/>
  <c r="D51"/>
  <c r="D52"/>
  <c r="D55"/>
  <c r="D56"/>
  <c r="D57"/>
  <c r="D58"/>
  <c r="D59"/>
  <c r="D60"/>
  <c r="D61"/>
  <c r="D67"/>
  <c r="D68"/>
  <c r="D69"/>
  <c r="D70"/>
  <c r="D71"/>
  <c r="D72"/>
  <c r="D73"/>
  <c r="D74"/>
  <c r="D75"/>
  <c r="D77"/>
  <c r="D78"/>
  <c r="D79"/>
  <c r="D80"/>
  <c r="D81"/>
  <c r="D84"/>
  <c r="D85"/>
  <c r="D91"/>
  <c r="D92"/>
  <c r="D93"/>
  <c r="D94"/>
  <c r="D95"/>
  <c r="D96"/>
  <c r="D97"/>
  <c r="D98"/>
  <c r="D99"/>
  <c r="D100"/>
  <c r="D101"/>
  <c r="D102"/>
  <c r="D107"/>
  <c r="D109"/>
  <c r="D110"/>
  <c r="D111"/>
  <c r="D112"/>
  <c r="D113"/>
  <c r="D114"/>
  <c r="D115"/>
  <c r="D116"/>
  <c r="D117"/>
  <c r="D118"/>
  <c r="D119"/>
  <c r="D120"/>
  <c r="D121"/>
  <c r="D122"/>
  <c r="D123"/>
  <c r="D124"/>
  <c r="L83" i="30"/>
  <c r="I83"/>
  <c r="K82"/>
  <c r="L82" s="1"/>
  <c r="H82"/>
  <c r="I82" s="1"/>
  <c r="A80"/>
  <c r="A81"/>
  <c r="A82"/>
  <c r="A83"/>
  <c r="A347"/>
  <c r="A348"/>
  <c r="L348"/>
  <c r="I348"/>
  <c r="K347"/>
  <c r="L347" s="1"/>
  <c r="H347"/>
  <c r="I347" s="1"/>
  <c r="L338"/>
  <c r="I338"/>
  <c r="K337"/>
  <c r="L337" s="1"/>
  <c r="H337"/>
  <c r="I337" s="1"/>
  <c r="A337"/>
  <c r="A338"/>
  <c r="L336"/>
  <c r="I336"/>
  <c r="K335"/>
  <c r="H335"/>
  <c r="I335" s="1"/>
  <c r="A335"/>
  <c r="A336"/>
  <c r="L344"/>
  <c r="K343"/>
  <c r="L343" s="1"/>
  <c r="I344"/>
  <c r="H343"/>
  <c r="I343" s="1"/>
  <c r="A343"/>
  <c r="A344"/>
  <c r="A427"/>
  <c r="A428"/>
  <c r="A429"/>
  <c r="L429"/>
  <c r="I429"/>
  <c r="K428"/>
  <c r="L428" s="1"/>
  <c r="H428"/>
  <c r="I428" s="1"/>
  <c r="I426"/>
  <c r="L426"/>
  <c r="K425"/>
  <c r="L425" s="1"/>
  <c r="H425"/>
  <c r="H424" s="1"/>
  <c r="A422"/>
  <c r="A423"/>
  <c r="A424"/>
  <c r="A425"/>
  <c r="A426"/>
  <c r="I328"/>
  <c r="L328"/>
  <c r="K327"/>
  <c r="K326" s="1"/>
  <c r="L326" s="1"/>
  <c r="I108" i="55" s="1"/>
  <c r="H327" i="30"/>
  <c r="I327" s="1"/>
  <c r="A326"/>
  <c r="A327"/>
  <c r="A328"/>
  <c r="A323"/>
  <c r="A324"/>
  <c r="A325"/>
  <c r="L325"/>
  <c r="I325"/>
  <c r="K324"/>
  <c r="L324" s="1"/>
  <c r="H324"/>
  <c r="H323" s="1"/>
  <c r="E107" i="55" s="1"/>
  <c r="D15" i="44"/>
  <c r="B15"/>
  <c r="D111"/>
  <c r="I586" i="5"/>
  <c r="I585" s="1"/>
  <c r="I584" s="1"/>
  <c r="I555"/>
  <c r="I554" s="1"/>
  <c r="I553"/>
  <c r="I518"/>
  <c r="I517" s="1"/>
  <c r="I471"/>
  <c r="I470" s="1"/>
  <c r="I469" s="1"/>
  <c r="I468" s="1"/>
  <c r="I448"/>
  <c r="I447" s="1"/>
  <c r="I421"/>
  <c r="I420"/>
  <c r="I423"/>
  <c r="I422" s="1"/>
  <c r="I232"/>
  <c r="I231" s="1"/>
  <c r="I75"/>
  <c r="I74" s="1"/>
  <c r="I73" s="1"/>
  <c r="I72" s="1"/>
  <c r="A75"/>
  <c r="A72"/>
  <c r="A73"/>
  <c r="A74"/>
  <c r="I41"/>
  <c r="A41"/>
  <c r="I212"/>
  <c r="I211" s="1"/>
  <c r="I210" s="1"/>
  <c r="I209" s="1"/>
  <c r="I69"/>
  <c r="I68" s="1"/>
  <c r="A68"/>
  <c r="A69"/>
  <c r="A82"/>
  <c r="I82"/>
  <c r="I60"/>
  <c r="I59" s="1"/>
  <c r="I58" s="1"/>
  <c r="A58"/>
  <c r="A59"/>
  <c r="A60"/>
  <c r="I21"/>
  <c r="A18"/>
  <c r="A19"/>
  <c r="A16"/>
  <c r="A17"/>
  <c r="A21"/>
  <c r="I28"/>
  <c r="I27" s="1"/>
  <c r="A27"/>
  <c r="A28"/>
  <c r="I19" l="1"/>
  <c r="I18" s="1"/>
  <c r="I17" s="1"/>
  <c r="I16" s="1"/>
  <c r="H305" i="30"/>
  <c r="H42"/>
  <c r="I42" s="1"/>
  <c r="D104" i="2"/>
  <c r="H108" i="55"/>
  <c r="K42" i="30"/>
  <c r="K41" s="1"/>
  <c r="L41" s="1"/>
  <c r="K323"/>
  <c r="H107" i="55" s="1"/>
  <c r="K427" i="30"/>
  <c r="L427" s="1"/>
  <c r="K81"/>
  <c r="K80" s="1"/>
  <c r="L80" s="1"/>
  <c r="L43"/>
  <c r="I43"/>
  <c r="H248"/>
  <c r="H247" s="1"/>
  <c r="E101" i="55" s="1"/>
  <c r="K248" i="30"/>
  <c r="K247" s="1"/>
  <c r="H101" i="55" s="1"/>
  <c r="K332" i="30"/>
  <c r="H64" i="55" s="1"/>
  <c r="L335" i="30"/>
  <c r="H427"/>
  <c r="I427" s="1"/>
  <c r="L327"/>
  <c r="H332"/>
  <c r="E64" i="55" s="1"/>
  <c r="H81" i="30"/>
  <c r="K424"/>
  <c r="I424"/>
  <c r="I425"/>
  <c r="H326"/>
  <c r="E108" i="55" s="1"/>
  <c r="I323" i="30"/>
  <c r="F107" i="55" s="1"/>
  <c r="I324" i="30"/>
  <c r="I419" i="5"/>
  <c r="I418" s="1"/>
  <c r="I417" s="1"/>
  <c r="I416" s="1"/>
  <c r="I415" s="1"/>
  <c r="A397" i="30"/>
  <c r="A398"/>
  <c r="A399"/>
  <c r="A400"/>
  <c r="A401"/>
  <c r="A402"/>
  <c r="A403"/>
  <c r="A404"/>
  <c r="A405"/>
  <c r="A406"/>
  <c r="A407"/>
  <c r="A408"/>
  <c r="A409"/>
  <c r="A410"/>
  <c r="A411"/>
  <c r="A412"/>
  <c r="A413"/>
  <c r="G117" i="55"/>
  <c r="K401" i="30"/>
  <c r="K400" s="1"/>
  <c r="K399" s="1"/>
  <c r="H117" i="55" s="1"/>
  <c r="H401" i="30"/>
  <c r="H400" s="1"/>
  <c r="H399" s="1"/>
  <c r="E117" i="55" s="1"/>
  <c r="G122"/>
  <c r="K412" i="30"/>
  <c r="K411" s="1"/>
  <c r="H122" i="55" s="1"/>
  <c r="K409" i="30"/>
  <c r="K407"/>
  <c r="L407"/>
  <c r="K405"/>
  <c r="H405"/>
  <c r="H407"/>
  <c r="H409"/>
  <c r="H412"/>
  <c r="H411" s="1"/>
  <c r="E122" i="55" s="1"/>
  <c r="L413" i="30"/>
  <c r="L412" s="1"/>
  <c r="L411" s="1"/>
  <c r="I122" i="55" s="1"/>
  <c r="I413" i="30"/>
  <c r="I412" s="1"/>
  <c r="I411" s="1"/>
  <c r="F122" i="55" s="1"/>
  <c r="L410" i="30"/>
  <c r="L409" s="1"/>
  <c r="I410"/>
  <c r="I409" s="1"/>
  <c r="I408"/>
  <c r="I407" s="1"/>
  <c r="L406"/>
  <c r="L405" s="1"/>
  <c r="I406"/>
  <c r="I405" s="1"/>
  <c r="L402"/>
  <c r="L401" s="1"/>
  <c r="L400" s="1"/>
  <c r="L399" s="1"/>
  <c r="I117" i="55" s="1"/>
  <c r="I402" i="30"/>
  <c r="I401" s="1"/>
  <c r="I400" s="1"/>
  <c r="I399" s="1"/>
  <c r="F117" i="55" s="1"/>
  <c r="A390" i="30"/>
  <c r="A391"/>
  <c r="A392"/>
  <c r="A393"/>
  <c r="G124" i="55"/>
  <c r="K392" i="30"/>
  <c r="K391" s="1"/>
  <c r="H124" i="55" s="1"/>
  <c r="H392" i="30"/>
  <c r="H391" s="1"/>
  <c r="E124" i="55" s="1"/>
  <c r="L393" i="30"/>
  <c r="L392" s="1"/>
  <c r="L391" s="1"/>
  <c r="I124" i="55" s="1"/>
  <c r="I393" i="30"/>
  <c r="I392" s="1"/>
  <c r="I391" s="1"/>
  <c r="F124" i="55" s="1"/>
  <c r="H387" i="30"/>
  <c r="I389"/>
  <c r="A389"/>
  <c r="A372"/>
  <c r="A373"/>
  <c r="A374"/>
  <c r="A375"/>
  <c r="A376"/>
  <c r="A377"/>
  <c r="A378"/>
  <c r="A379"/>
  <c r="A380"/>
  <c r="A381"/>
  <c r="A382"/>
  <c r="G48" i="55"/>
  <c r="K374" i="30"/>
  <c r="K373" s="1"/>
  <c r="H48" i="55" s="1"/>
  <c r="H374" i="30"/>
  <c r="H373" s="1"/>
  <c r="E48" i="55" s="1"/>
  <c r="L379" i="30"/>
  <c r="L378" s="1"/>
  <c r="L377" s="1"/>
  <c r="I51" i="55" s="1"/>
  <c r="G51"/>
  <c r="K378" i="30"/>
  <c r="K377" s="1"/>
  <c r="H51" i="55" s="1"/>
  <c r="H378" i="30"/>
  <c r="H377" s="1"/>
  <c r="E51" i="55" s="1"/>
  <c r="L382" i="30"/>
  <c r="L381" s="1"/>
  <c r="L380" s="1"/>
  <c r="I52" i="55" s="1"/>
  <c r="G52"/>
  <c r="K381" i="30"/>
  <c r="K380" s="1"/>
  <c r="H52" i="55" s="1"/>
  <c r="H381" i="30"/>
  <c r="I382"/>
  <c r="I381" s="1"/>
  <c r="I379"/>
  <c r="I378" s="1"/>
  <c r="I377" s="1"/>
  <c r="F51" i="55" s="1"/>
  <c r="L375" i="30"/>
  <c r="L374" s="1"/>
  <c r="L373" s="1"/>
  <c r="I48" i="55" s="1"/>
  <c r="I375" i="30"/>
  <c r="I374" s="1"/>
  <c r="I373" s="1"/>
  <c r="F48" i="55" s="1"/>
  <c r="A354" i="30"/>
  <c r="A355"/>
  <c r="A356"/>
  <c r="A357"/>
  <c r="A358"/>
  <c r="A359"/>
  <c r="A360"/>
  <c r="A361"/>
  <c r="A362"/>
  <c r="A363"/>
  <c r="A364"/>
  <c r="A365"/>
  <c r="A366"/>
  <c r="A367"/>
  <c r="A368"/>
  <c r="A369"/>
  <c r="G111" i="55"/>
  <c r="K358" i="30"/>
  <c r="K357" s="1"/>
  <c r="H111" i="55" s="1"/>
  <c r="H358" i="30"/>
  <c r="H357" s="1"/>
  <c r="E111" i="55" s="1"/>
  <c r="L359" i="30"/>
  <c r="L358" s="1"/>
  <c r="L357" s="1"/>
  <c r="I111" i="55" s="1"/>
  <c r="L363" i="30"/>
  <c r="L362" s="1"/>
  <c r="L361" s="1"/>
  <c r="I113" i="55" s="1"/>
  <c r="L366" i="30"/>
  <c r="L365" s="1"/>
  <c r="L364" s="1"/>
  <c r="I114" i="55" s="1"/>
  <c r="L369" i="30"/>
  <c r="L368" s="1"/>
  <c r="L367" s="1"/>
  <c r="I115" i="55" s="1"/>
  <c r="I359" i="30"/>
  <c r="I358" s="1"/>
  <c r="I357" s="1"/>
  <c r="F111" i="55" s="1"/>
  <c r="I363" i="30"/>
  <c r="I362" s="1"/>
  <c r="I361" s="1"/>
  <c r="F113" i="55" s="1"/>
  <c r="I366" i="30"/>
  <c r="I365" s="1"/>
  <c r="I364" s="1"/>
  <c r="F114" i="55" s="1"/>
  <c r="K368" i="30"/>
  <c r="K367" s="1"/>
  <c r="H115" i="55" s="1"/>
  <c r="K365" i="30"/>
  <c r="K364" s="1"/>
  <c r="H114" i="55" s="1"/>
  <c r="K362" i="30"/>
  <c r="K361" s="1"/>
  <c r="H113" i="55" s="1"/>
  <c r="H368" i="30"/>
  <c r="I369" s="1"/>
  <c r="I368" s="1"/>
  <c r="I367" s="1"/>
  <c r="F115" i="55" s="1"/>
  <c r="H365" i="30"/>
  <c r="H364" s="1"/>
  <c r="E114" i="55" s="1"/>
  <c r="H362" i="30"/>
  <c r="H361" s="1"/>
  <c r="E113" i="55" s="1"/>
  <c r="L255" i="30"/>
  <c r="L254" s="1"/>
  <c r="I14" i="55" s="1"/>
  <c r="K255" i="30"/>
  <c r="K254" s="1"/>
  <c r="H14" i="55" s="1"/>
  <c r="A251" i="30"/>
  <c r="A252"/>
  <c r="A253"/>
  <c r="A254"/>
  <c r="A255"/>
  <c r="A256"/>
  <c r="H255"/>
  <c r="H254" s="1"/>
  <c r="E14" i="55" s="1"/>
  <c r="A53" i="30"/>
  <c r="A54"/>
  <c r="A55"/>
  <c r="A56"/>
  <c r="A57"/>
  <c r="A58"/>
  <c r="H57"/>
  <c r="E52" i="55" l="1"/>
  <c r="H380" i="30"/>
  <c r="H304"/>
  <c r="I304" s="1"/>
  <c r="I305"/>
  <c r="F60" i="55" s="1"/>
  <c r="E60"/>
  <c r="I380" i="30"/>
  <c r="F52" i="55" s="1"/>
  <c r="H56" i="30"/>
  <c r="E73" i="55" s="1"/>
  <c r="H41" i="30"/>
  <c r="I41" s="1"/>
  <c r="E40" i="27" s="1"/>
  <c r="I248" i="30"/>
  <c r="L42"/>
  <c r="L323"/>
  <c r="I107" i="55" s="1"/>
  <c r="K423" i="30"/>
  <c r="K422" s="1"/>
  <c r="H423"/>
  <c r="H422" s="1"/>
  <c r="I422" s="1"/>
  <c r="L81"/>
  <c r="K246"/>
  <c r="L246" s="1"/>
  <c r="H103" i="55"/>
  <c r="L248" i="30"/>
  <c r="H246"/>
  <c r="E103" i="55"/>
  <c r="H80" i="30"/>
  <c r="I80" s="1"/>
  <c r="I81"/>
  <c r="L424"/>
  <c r="I326"/>
  <c r="F108" i="55" s="1"/>
  <c r="H356" i="30"/>
  <c r="E110" i="55" s="1"/>
  <c r="L372" i="30"/>
  <c r="I47" i="55" s="1"/>
  <c r="H372" i="30"/>
  <c r="E47" i="55" s="1"/>
  <c r="K390" i="30"/>
  <c r="H123" i="55" s="1"/>
  <c r="I356" i="30"/>
  <c r="F110" i="55" s="1"/>
  <c r="L356" i="30"/>
  <c r="I110" i="55" s="1"/>
  <c r="I372" i="30"/>
  <c r="F47" i="55" s="1"/>
  <c r="H390" i="30"/>
  <c r="E123" i="55" s="1"/>
  <c r="H253" i="30"/>
  <c r="E13" i="55" s="1"/>
  <c r="L253" i="30"/>
  <c r="I13" i="55" s="1"/>
  <c r="G110"/>
  <c r="G47"/>
  <c r="L390" i="30"/>
  <c r="I123" i="55" s="1"/>
  <c r="K253" i="30"/>
  <c r="H13" i="55" s="1"/>
  <c r="K356" i="30"/>
  <c r="H110" i="55" s="1"/>
  <c r="K372" i="30"/>
  <c r="H47" i="55" s="1"/>
  <c r="I390" i="30"/>
  <c r="F123" i="55" s="1"/>
  <c r="G123"/>
  <c r="L404" i="30"/>
  <c r="I120" i="55" s="1"/>
  <c r="I404" i="30"/>
  <c r="F120" i="55" s="1"/>
  <c r="H404" i="30"/>
  <c r="E120" i="55" s="1"/>
  <c r="K404" i="30"/>
  <c r="H120" i="55" s="1"/>
  <c r="K360" i="30"/>
  <c r="H112" i="55" s="1"/>
  <c r="L360" i="30"/>
  <c r="I112" i="55" s="1"/>
  <c r="H367" i="30"/>
  <c r="E115" i="55" s="1"/>
  <c r="H376" i="30"/>
  <c r="E50" i="55" s="1"/>
  <c r="K376" i="30"/>
  <c r="H50" i="55" s="1"/>
  <c r="L376" i="30"/>
  <c r="I50" i="55" s="1"/>
  <c r="G50"/>
  <c r="I360" i="30"/>
  <c r="F112" i="55" s="1"/>
  <c r="D15" i="70"/>
  <c r="E15"/>
  <c r="C15" i="69"/>
  <c r="D12"/>
  <c r="D15" s="1"/>
  <c r="I376" i="30" l="1"/>
  <c r="F50" i="55" s="1"/>
  <c r="H55" i="30"/>
  <c r="E72" i="55" s="1"/>
  <c r="I103"/>
  <c r="L247" i="30"/>
  <c r="I101" i="55" s="1"/>
  <c r="F103"/>
  <c r="I247" i="30"/>
  <c r="F101" i="55" s="1"/>
  <c r="I423" i="30"/>
  <c r="I246"/>
  <c r="E45" i="27" s="1"/>
  <c r="G119" i="55"/>
  <c r="G120"/>
  <c r="L422" i="30"/>
  <c r="L423"/>
  <c r="L403"/>
  <c r="I119" i="55" s="1"/>
  <c r="G109"/>
  <c r="H252" i="30"/>
  <c r="H251" s="1"/>
  <c r="I403"/>
  <c r="F119" i="55" s="1"/>
  <c r="I355" i="30"/>
  <c r="H403"/>
  <c r="E119" i="55" s="1"/>
  <c r="K252" i="30"/>
  <c r="K251" s="1"/>
  <c r="L252"/>
  <c r="L251" s="1"/>
  <c r="H360"/>
  <c r="E112" i="55" s="1"/>
  <c r="K403" i="30"/>
  <c r="H119" i="55" s="1"/>
  <c r="G116"/>
  <c r="K355" i="30"/>
  <c r="H109" i="55" s="1"/>
  <c r="L355" i="30"/>
  <c r="I109" i="55" s="1"/>
  <c r="F26" i="68"/>
  <c r="F81" s="1"/>
  <c r="G25"/>
  <c r="G26" s="1"/>
  <c r="G20"/>
  <c r="G19"/>
  <c r="G18"/>
  <c r="G17"/>
  <c r="G10"/>
  <c r="H54" i="30" l="1"/>
  <c r="F109" i="55"/>
  <c r="I354" i="30"/>
  <c r="G21" i="68"/>
  <c r="L354" i="30"/>
  <c r="K398"/>
  <c r="H116" i="55" s="1"/>
  <c r="L398" i="30"/>
  <c r="I116" i="55" s="1"/>
  <c r="H355" i="30"/>
  <c r="E109" i="55" s="1"/>
  <c r="H398" i="30"/>
  <c r="E116" i="55" s="1"/>
  <c r="I398" i="30"/>
  <c r="F116" i="55" s="1"/>
  <c r="K354" i="30"/>
  <c r="I918" i="5"/>
  <c r="I917" s="1"/>
  <c r="I904"/>
  <c r="I905"/>
  <c r="I894"/>
  <c r="I935"/>
  <c r="I934" s="1"/>
  <c r="I950"/>
  <c r="I949" s="1"/>
  <c r="I948" s="1"/>
  <c r="I947" s="1"/>
  <c r="I954"/>
  <c r="I953" s="1"/>
  <c r="I956"/>
  <c r="I955" s="1"/>
  <c r="I958"/>
  <c r="I968"/>
  <c r="I969"/>
  <c r="I973"/>
  <c r="I972"/>
  <c r="I942"/>
  <c r="I941" s="1"/>
  <c r="I932"/>
  <c r="I931" s="1"/>
  <c r="I930" s="1"/>
  <c r="I929" s="1"/>
  <c r="I896"/>
  <c r="I895" s="1"/>
  <c r="I884"/>
  <c r="I883" s="1"/>
  <c r="I887"/>
  <c r="I886" s="1"/>
  <c r="I889"/>
  <c r="I888" s="1"/>
  <c r="I870"/>
  <c r="I869" s="1"/>
  <c r="I862"/>
  <c r="I861" s="1"/>
  <c r="I860" s="1"/>
  <c r="I859"/>
  <c r="I858" s="1"/>
  <c r="I857" s="1"/>
  <c r="I856"/>
  <c r="I855" s="1"/>
  <c r="I854" s="1"/>
  <c r="I853"/>
  <c r="I852" s="1"/>
  <c r="I851" s="1"/>
  <c r="I849"/>
  <c r="I848" s="1"/>
  <c r="I847" s="1"/>
  <c r="I846" s="1"/>
  <c r="I185"/>
  <c r="I186"/>
  <c r="I626"/>
  <c r="I625" s="1"/>
  <c r="I622"/>
  <c r="I621" s="1"/>
  <c r="I153"/>
  <c r="I152" s="1"/>
  <c r="I151"/>
  <c r="I150" s="1"/>
  <c r="I163"/>
  <c r="I162" s="1"/>
  <c r="I161"/>
  <c r="I160" s="1"/>
  <c r="I155"/>
  <c r="I154" s="1"/>
  <c r="I157"/>
  <c r="I156" s="1"/>
  <c r="E67" i="55" l="1"/>
  <c r="H53" i="30"/>
  <c r="G13" i="68"/>
  <c r="G81" s="1"/>
  <c r="K397" i="30"/>
  <c r="H354"/>
  <c r="I397"/>
  <c r="L397"/>
  <c r="I623" i="5"/>
  <c r="I624"/>
  <c r="H397" i="30"/>
  <c r="I872" i="5"/>
  <c r="I619"/>
  <c r="I620"/>
  <c r="F15" i="44" s="1"/>
  <c r="E15"/>
  <c r="I532" i="5"/>
  <c r="I531" s="1"/>
  <c r="I874"/>
  <c r="I967"/>
  <c r="I966" s="1"/>
  <c r="I850"/>
  <c r="I845" s="1"/>
  <c r="I844"/>
  <c r="I165"/>
  <c r="I164" s="1"/>
  <c r="I168"/>
  <c r="I167" s="1"/>
  <c r="I170"/>
  <c r="I169" s="1"/>
  <c r="I166" l="1"/>
  <c r="I148"/>
  <c r="I618"/>
  <c r="I952"/>
  <c r="I617"/>
  <c r="I971"/>
  <c r="I970" s="1"/>
  <c r="I159"/>
  <c r="L154" i="1"/>
  <c r="L152"/>
  <c r="L149"/>
  <c r="L122"/>
  <c r="L121"/>
  <c r="L155"/>
  <c r="L153"/>
  <c r="L148"/>
  <c r="L136"/>
  <c r="L137"/>
  <c r="L156"/>
  <c r="L151"/>
  <c r="L150"/>
  <c r="L147"/>
  <c r="L142"/>
  <c r="L130"/>
  <c r="L129"/>
  <c r="L112"/>
  <c r="L110"/>
  <c r="L69"/>
  <c r="L58"/>
  <c r="L74"/>
  <c r="L61"/>
  <c r="L60"/>
  <c r="I149" i="5" l="1"/>
  <c r="I951"/>
  <c r="I946" s="1"/>
  <c r="I945" s="1"/>
  <c r="E62" i="2" s="1"/>
  <c r="I530" i="5"/>
  <c r="I529" s="1"/>
  <c r="I801"/>
  <c r="D16" i="62"/>
  <c r="D15"/>
  <c r="D14"/>
  <c r="D13"/>
  <c r="I1031" i="5"/>
  <c r="I1029"/>
  <c r="I1028"/>
  <c r="I810"/>
  <c r="I811"/>
  <c r="I809"/>
  <c r="I808"/>
  <c r="I835"/>
  <c r="I836"/>
  <c r="I832"/>
  <c r="I831"/>
  <c r="I828"/>
  <c r="I827"/>
  <c r="I825"/>
  <c r="I826"/>
  <c r="I822"/>
  <c r="I821"/>
  <c r="I818"/>
  <c r="I820"/>
  <c r="I819"/>
  <c r="I816"/>
  <c r="I817"/>
  <c r="I798"/>
  <c r="I797"/>
  <c r="I245"/>
  <c r="I145"/>
  <c r="I609"/>
  <c r="I610"/>
  <c r="I192"/>
  <c r="I184"/>
  <c r="I104"/>
  <c r="I103"/>
  <c r="A103"/>
  <c r="A104"/>
  <c r="I102"/>
  <c r="I101"/>
  <c r="A99"/>
  <c r="A100"/>
  <c r="A101"/>
  <c r="A102"/>
  <c r="I512"/>
  <c r="I89"/>
  <c r="A89"/>
  <c r="D11" i="6"/>
  <c r="D13"/>
  <c r="D16"/>
  <c r="D21" s="1"/>
  <c r="D18"/>
  <c r="D24"/>
  <c r="D23" s="1"/>
  <c r="I144" i="5" l="1"/>
  <c r="I141"/>
  <c r="I799"/>
  <c r="F111" i="44" s="1"/>
  <c r="E111"/>
  <c r="I244" i="5"/>
  <c r="I1024"/>
  <c r="I158"/>
  <c r="D10" i="6"/>
  <c r="D15"/>
  <c r="I1030" i="5"/>
  <c r="I191"/>
  <c r="I180"/>
  <c r="I189"/>
  <c r="I190"/>
  <c r="I183"/>
  <c r="I800"/>
  <c r="I1026"/>
  <c r="I1025" s="1"/>
  <c r="I1027"/>
  <c r="I928"/>
  <c r="I926"/>
  <c r="A39"/>
  <c r="I39"/>
  <c r="I1023"/>
  <c r="I1022" s="1"/>
  <c r="I1021" s="1"/>
  <c r="I1020" s="1"/>
  <c r="I1037"/>
  <c r="I1036" s="1"/>
  <c r="D45" i="2" l="1"/>
  <c r="E106" i="44"/>
  <c r="I147" i="5"/>
  <c r="I178"/>
  <c r="I608"/>
  <c r="F106" i="44" s="1"/>
  <c r="I100" i="5"/>
  <c r="D40" i="2"/>
  <c r="I179" i="5"/>
  <c r="I146" l="1"/>
  <c r="F69" i="44"/>
  <c r="I607" i="5"/>
  <c r="I606"/>
  <c r="I99"/>
  <c r="I40"/>
  <c r="A36"/>
  <c r="A37"/>
  <c r="A38"/>
  <c r="A40"/>
  <c r="I430"/>
  <c r="I38" l="1"/>
  <c r="I37" s="1"/>
  <c r="I36" s="1"/>
  <c r="I446"/>
  <c r="I445" s="1"/>
  <c r="I444" s="1"/>
  <c r="I412"/>
  <c r="I403"/>
  <c r="I387"/>
  <c r="I134"/>
  <c r="C21" i="27"/>
  <c r="D21"/>
  <c r="E21"/>
  <c r="F21"/>
  <c r="D16"/>
  <c r="E16"/>
  <c r="F16"/>
  <c r="D19"/>
  <c r="E19"/>
  <c r="F19"/>
  <c r="D18"/>
  <c r="E18"/>
  <c r="F18"/>
  <c r="D17"/>
  <c r="E17"/>
  <c r="F17"/>
  <c r="D14"/>
  <c r="E14"/>
  <c r="F14"/>
  <c r="D12"/>
  <c r="E12"/>
  <c r="F12"/>
  <c r="G12"/>
  <c r="H12"/>
  <c r="C12"/>
  <c r="E23" l="1"/>
  <c r="E24"/>
  <c r="E25"/>
  <c r="E26"/>
  <c r="E27"/>
  <c r="E28"/>
  <c r="E29"/>
  <c r="E30"/>
  <c r="E31"/>
  <c r="E32"/>
  <c r="E34"/>
  <c r="E35"/>
  <c r="E36"/>
  <c r="E37"/>
  <c r="E38"/>
  <c r="E39"/>
  <c r="E41"/>
  <c r="E42"/>
  <c r="E43"/>
  <c r="E44"/>
  <c r="I880" i="5"/>
  <c r="I879" s="1"/>
  <c r="I878" s="1"/>
  <c r="E33" i="27" l="1"/>
  <c r="C17" i="62"/>
  <c r="H12" i="61"/>
  <c r="H13"/>
  <c r="H14"/>
  <c r="H15"/>
  <c r="H11"/>
  <c r="E12"/>
  <c r="E13"/>
  <c r="E14"/>
  <c r="E15"/>
  <c r="E11"/>
  <c r="G16"/>
  <c r="D16"/>
  <c r="E15" i="13"/>
  <c r="E16"/>
  <c r="E17"/>
  <c r="E19"/>
  <c r="E14"/>
  <c r="E10"/>
  <c r="D18"/>
  <c r="D11"/>
  <c r="E54" i="44"/>
  <c r="E57"/>
  <c r="E69"/>
  <c r="E70"/>
  <c r="E71"/>
  <c r="E74"/>
  <c r="E75"/>
  <c r="E76"/>
  <c r="E77"/>
  <c r="E103"/>
  <c r="E112"/>
  <c r="E113"/>
  <c r="E114"/>
  <c r="E115"/>
  <c r="E116"/>
  <c r="E117"/>
  <c r="E118"/>
  <c r="E119"/>
  <c r="E120"/>
  <c r="E121"/>
  <c r="E122"/>
  <c r="E123"/>
  <c r="E124"/>
  <c r="E125"/>
  <c r="E126"/>
  <c r="E127"/>
  <c r="F54"/>
  <c r="F57"/>
  <c r="F70"/>
  <c r="F71"/>
  <c r="F72"/>
  <c r="F73"/>
  <c r="F74"/>
  <c r="F75"/>
  <c r="F76"/>
  <c r="F77"/>
  <c r="F103"/>
  <c r="F112"/>
  <c r="F113"/>
  <c r="F114"/>
  <c r="F115"/>
  <c r="F116"/>
  <c r="F117"/>
  <c r="F118"/>
  <c r="F119"/>
  <c r="F120"/>
  <c r="F121"/>
  <c r="F122"/>
  <c r="F123"/>
  <c r="F124"/>
  <c r="F125"/>
  <c r="F126"/>
  <c r="F127"/>
  <c r="D119" i="27"/>
  <c r="E119"/>
  <c r="F119"/>
  <c r="G119"/>
  <c r="H119"/>
  <c r="D120"/>
  <c r="E120"/>
  <c r="F120"/>
  <c r="G120"/>
  <c r="H120"/>
  <c r="D10"/>
  <c r="E10"/>
  <c r="F10"/>
  <c r="D24"/>
  <c r="F24"/>
  <c r="G24"/>
  <c r="H24"/>
  <c r="D25"/>
  <c r="F25"/>
  <c r="G25"/>
  <c r="H25"/>
  <c r="D26"/>
  <c r="F26"/>
  <c r="G26"/>
  <c r="H26"/>
  <c r="D27"/>
  <c r="F27"/>
  <c r="G27"/>
  <c r="H27"/>
  <c r="D28"/>
  <c r="F28"/>
  <c r="G28"/>
  <c r="H28"/>
  <c r="D29"/>
  <c r="F29"/>
  <c r="G29"/>
  <c r="H29"/>
  <c r="D30"/>
  <c r="F30"/>
  <c r="G30"/>
  <c r="H30"/>
  <c r="D31"/>
  <c r="F31"/>
  <c r="G31"/>
  <c r="H31"/>
  <c r="D32"/>
  <c r="F32"/>
  <c r="G32"/>
  <c r="H32"/>
  <c r="D34"/>
  <c r="F34"/>
  <c r="G34"/>
  <c r="H34"/>
  <c r="D35"/>
  <c r="F35"/>
  <c r="G35"/>
  <c r="H35"/>
  <c r="D36"/>
  <c r="F36"/>
  <c r="G36"/>
  <c r="H36"/>
  <c r="D37"/>
  <c r="F37"/>
  <c r="G37"/>
  <c r="H37"/>
  <c r="D38"/>
  <c r="F38"/>
  <c r="G38"/>
  <c r="H38"/>
  <c r="D39"/>
  <c r="F39"/>
  <c r="G39"/>
  <c r="H39"/>
  <c r="D40"/>
  <c r="F40"/>
  <c r="G40"/>
  <c r="H40"/>
  <c r="D41"/>
  <c r="F41"/>
  <c r="G41"/>
  <c r="H41"/>
  <c r="D42"/>
  <c r="F42"/>
  <c r="G42"/>
  <c r="H42"/>
  <c r="D43"/>
  <c r="F43"/>
  <c r="G43"/>
  <c r="H43"/>
  <c r="D44"/>
  <c r="F44"/>
  <c r="G44"/>
  <c r="H44"/>
  <c r="D45"/>
  <c r="F45"/>
  <c r="G45"/>
  <c r="H45"/>
  <c r="D47"/>
  <c r="E47"/>
  <c r="F47"/>
  <c r="G47"/>
  <c r="H47"/>
  <c r="D48"/>
  <c r="E48"/>
  <c r="F48"/>
  <c r="G48"/>
  <c r="H48"/>
  <c r="D49"/>
  <c r="E49"/>
  <c r="F49"/>
  <c r="G49"/>
  <c r="H49"/>
  <c r="D50"/>
  <c r="E50"/>
  <c r="F50"/>
  <c r="G50"/>
  <c r="H50"/>
  <c r="D52"/>
  <c r="E52"/>
  <c r="F52"/>
  <c r="G52"/>
  <c r="H52"/>
  <c r="D53"/>
  <c r="E53"/>
  <c r="F53"/>
  <c r="G53"/>
  <c r="H53"/>
  <c r="D56"/>
  <c r="E56"/>
  <c r="F56"/>
  <c r="G56"/>
  <c r="H56"/>
  <c r="D57"/>
  <c r="E57"/>
  <c r="F57"/>
  <c r="G57"/>
  <c r="H57"/>
  <c r="D58"/>
  <c r="E58"/>
  <c r="F58"/>
  <c r="G58"/>
  <c r="H58"/>
  <c r="D60"/>
  <c r="F60"/>
  <c r="G60"/>
  <c r="D62"/>
  <c r="E62"/>
  <c r="F62"/>
  <c r="G62"/>
  <c r="H62"/>
  <c r="D63"/>
  <c r="E63"/>
  <c r="F63"/>
  <c r="G63"/>
  <c r="H63"/>
  <c r="D66"/>
  <c r="E66"/>
  <c r="F66"/>
  <c r="G66"/>
  <c r="H66"/>
  <c r="D67"/>
  <c r="E67"/>
  <c r="F67"/>
  <c r="G67"/>
  <c r="H67"/>
  <c r="D68"/>
  <c r="E68"/>
  <c r="F68"/>
  <c r="G68"/>
  <c r="H68"/>
  <c r="D69"/>
  <c r="E69"/>
  <c r="F69"/>
  <c r="G69"/>
  <c r="H69"/>
  <c r="D70"/>
  <c r="E70"/>
  <c r="F70"/>
  <c r="G70"/>
  <c r="H70"/>
  <c r="D74"/>
  <c r="E74"/>
  <c r="F74"/>
  <c r="G74"/>
  <c r="H74"/>
  <c r="D75"/>
  <c r="E75"/>
  <c r="F75"/>
  <c r="G75"/>
  <c r="H75"/>
  <c r="D76"/>
  <c r="E76"/>
  <c r="F76"/>
  <c r="G76"/>
  <c r="H76"/>
  <c r="D77"/>
  <c r="E77"/>
  <c r="F77"/>
  <c r="G77"/>
  <c r="H77"/>
  <c r="D79"/>
  <c r="E79"/>
  <c r="F79"/>
  <c r="G79"/>
  <c r="H79"/>
  <c r="D83"/>
  <c r="E83"/>
  <c r="F83"/>
  <c r="G83"/>
  <c r="H83"/>
  <c r="D84"/>
  <c r="E84"/>
  <c r="F84"/>
  <c r="G84"/>
  <c r="H84"/>
  <c r="D87"/>
  <c r="E87"/>
  <c r="F87"/>
  <c r="G87"/>
  <c r="H87"/>
  <c r="D88"/>
  <c r="E88"/>
  <c r="F88"/>
  <c r="G88"/>
  <c r="H88"/>
  <c r="D89"/>
  <c r="E89"/>
  <c r="F89"/>
  <c r="G89"/>
  <c r="H89"/>
  <c r="D90"/>
  <c r="E90"/>
  <c r="F90"/>
  <c r="G90"/>
  <c r="H90"/>
  <c r="D91"/>
  <c r="E91"/>
  <c r="F91"/>
  <c r="G91"/>
  <c r="H91"/>
  <c r="D92"/>
  <c r="E92"/>
  <c r="F92"/>
  <c r="G92"/>
  <c r="H92"/>
  <c r="D93"/>
  <c r="E93"/>
  <c r="F93"/>
  <c r="G93"/>
  <c r="H93"/>
  <c r="D94"/>
  <c r="E94"/>
  <c r="F94"/>
  <c r="G94"/>
  <c r="H94"/>
  <c r="D95"/>
  <c r="E95"/>
  <c r="F95"/>
  <c r="G95"/>
  <c r="H95"/>
  <c r="D101"/>
  <c r="E101"/>
  <c r="F101"/>
  <c r="G101"/>
  <c r="H101"/>
  <c r="D104"/>
  <c r="E104"/>
  <c r="F104"/>
  <c r="G104"/>
  <c r="H104"/>
  <c r="D105"/>
  <c r="E105"/>
  <c r="F105"/>
  <c r="G105"/>
  <c r="H105"/>
  <c r="D106"/>
  <c r="E106"/>
  <c r="F106"/>
  <c r="G106"/>
  <c r="H106"/>
  <c r="D107"/>
  <c r="E107"/>
  <c r="F107"/>
  <c r="G107"/>
  <c r="H107"/>
  <c r="D108"/>
  <c r="E108"/>
  <c r="F108"/>
  <c r="G108"/>
  <c r="H108"/>
  <c r="D110"/>
  <c r="E110"/>
  <c r="F110"/>
  <c r="G110"/>
  <c r="H110"/>
  <c r="D112"/>
  <c r="E112"/>
  <c r="F112"/>
  <c r="G112"/>
  <c r="H112"/>
  <c r="D113"/>
  <c r="E113"/>
  <c r="F113"/>
  <c r="G113"/>
  <c r="H113"/>
  <c r="D116"/>
  <c r="E116"/>
  <c r="F116"/>
  <c r="G116"/>
  <c r="H116"/>
  <c r="L14" i="30"/>
  <c r="L18"/>
  <c r="L20"/>
  <c r="L21"/>
  <c r="L25"/>
  <c r="L33"/>
  <c r="L34"/>
  <c r="L36"/>
  <c r="L37"/>
  <c r="L39"/>
  <c r="L40"/>
  <c r="L52"/>
  <c r="L74"/>
  <c r="L76"/>
  <c r="L77"/>
  <c r="L90"/>
  <c r="L92"/>
  <c r="L94"/>
  <c r="L102"/>
  <c r="L104"/>
  <c r="L106"/>
  <c r="L108"/>
  <c r="L114"/>
  <c r="L116"/>
  <c r="L117"/>
  <c r="L119"/>
  <c r="L125"/>
  <c r="L130"/>
  <c r="L131"/>
  <c r="L134"/>
  <c r="L136"/>
  <c r="L138"/>
  <c r="L139"/>
  <c r="L141"/>
  <c r="L142"/>
  <c r="L143"/>
  <c r="L149"/>
  <c r="L151"/>
  <c r="L153"/>
  <c r="L154"/>
  <c r="L156"/>
  <c r="L157"/>
  <c r="L158"/>
  <c r="L160"/>
  <c r="L167"/>
  <c r="L168"/>
  <c r="L174"/>
  <c r="L180"/>
  <c r="L181"/>
  <c r="L183"/>
  <c r="L184"/>
  <c r="L186"/>
  <c r="L187"/>
  <c r="L189"/>
  <c r="L190"/>
  <c r="L192"/>
  <c r="L193"/>
  <c r="L195"/>
  <c r="L196"/>
  <c r="L199"/>
  <c r="L200"/>
  <c r="L206"/>
  <c r="L208"/>
  <c r="L209"/>
  <c r="L212"/>
  <c r="L218"/>
  <c r="L220"/>
  <c r="L221"/>
  <c r="L222"/>
  <c r="L229"/>
  <c r="L231"/>
  <c r="L232"/>
  <c r="L237"/>
  <c r="L242"/>
  <c r="L244"/>
  <c r="L262"/>
  <c r="L270"/>
  <c r="L272"/>
  <c r="L278"/>
  <c r="L281"/>
  <c r="L287"/>
  <c r="L289"/>
  <c r="L291"/>
  <c r="L292"/>
  <c r="L296"/>
  <c r="L303"/>
  <c r="L314"/>
  <c r="L319"/>
  <c r="L322"/>
  <c r="L334"/>
  <c r="L342"/>
  <c r="L346"/>
  <c r="L353"/>
  <c r="H60" i="27" s="1"/>
  <c r="L388" i="30"/>
  <c r="L417"/>
  <c r="L419"/>
  <c r="L420"/>
  <c r="L421"/>
  <c r="L434"/>
  <c r="L436"/>
  <c r="L438"/>
  <c r="L439"/>
  <c r="L441"/>
  <c r="I14"/>
  <c r="I18"/>
  <c r="I20"/>
  <c r="I21"/>
  <c r="I25"/>
  <c r="I33"/>
  <c r="I34"/>
  <c r="I36"/>
  <c r="I37"/>
  <c r="I39"/>
  <c r="I40"/>
  <c r="I52"/>
  <c r="I74"/>
  <c r="I76"/>
  <c r="I77"/>
  <c r="I90"/>
  <c r="I92"/>
  <c r="I94"/>
  <c r="I102"/>
  <c r="I104"/>
  <c r="I106"/>
  <c r="I108"/>
  <c r="I114"/>
  <c r="I116"/>
  <c r="I117"/>
  <c r="I119"/>
  <c r="I125"/>
  <c r="I130"/>
  <c r="I131"/>
  <c r="I134"/>
  <c r="I136"/>
  <c r="I138"/>
  <c r="I139"/>
  <c r="I141"/>
  <c r="I142"/>
  <c r="I143"/>
  <c r="I149"/>
  <c r="I151"/>
  <c r="I153"/>
  <c r="I154"/>
  <c r="I156"/>
  <c r="I157"/>
  <c r="I158"/>
  <c r="I160"/>
  <c r="I167"/>
  <c r="I168"/>
  <c r="I174"/>
  <c r="I180"/>
  <c r="I181"/>
  <c r="I183"/>
  <c r="I184"/>
  <c r="I186"/>
  <c r="I187"/>
  <c r="I189"/>
  <c r="I190"/>
  <c r="I192"/>
  <c r="I193"/>
  <c r="I195"/>
  <c r="I196"/>
  <c r="I199"/>
  <c r="I200"/>
  <c r="I206"/>
  <c r="I208"/>
  <c r="I209"/>
  <c r="I212"/>
  <c r="I218"/>
  <c r="I220"/>
  <c r="I221"/>
  <c r="I222"/>
  <c r="I229"/>
  <c r="I231"/>
  <c r="I232"/>
  <c r="I237"/>
  <c r="I242"/>
  <c r="I244"/>
  <c r="I262"/>
  <c r="I270"/>
  <c r="I272"/>
  <c r="I278"/>
  <c r="I281"/>
  <c r="I287"/>
  <c r="I289"/>
  <c r="I291"/>
  <c r="I292"/>
  <c r="I296"/>
  <c r="I303"/>
  <c r="I314"/>
  <c r="I319"/>
  <c r="I322"/>
  <c r="I334"/>
  <c r="I342"/>
  <c r="I346"/>
  <c r="I353"/>
  <c r="E60" i="27" s="1"/>
  <c r="I388" i="30"/>
  <c r="I417"/>
  <c r="I419"/>
  <c r="I420"/>
  <c r="I421"/>
  <c r="I434"/>
  <c r="I438"/>
  <c r="I439"/>
  <c r="I441"/>
  <c r="K13"/>
  <c r="K12" s="1"/>
  <c r="K11" s="1"/>
  <c r="K17"/>
  <c r="K19"/>
  <c r="K24"/>
  <c r="K23" s="1"/>
  <c r="K22" s="1"/>
  <c r="G20" i="27" s="1"/>
  <c r="K32" i="30"/>
  <c r="K35"/>
  <c r="K38"/>
  <c r="K51"/>
  <c r="K50" s="1"/>
  <c r="H83" i="55" s="1"/>
  <c r="K73" i="30"/>
  <c r="K89"/>
  <c r="K91"/>
  <c r="K93"/>
  <c r="K99"/>
  <c r="K101"/>
  <c r="K103"/>
  <c r="K105"/>
  <c r="K107"/>
  <c r="K113"/>
  <c r="K115"/>
  <c r="K118"/>
  <c r="K124"/>
  <c r="K123" s="1"/>
  <c r="H16" i="55" s="1"/>
  <c r="K129" i="30"/>
  <c r="K128" s="1"/>
  <c r="H27" i="55" s="1"/>
  <c r="K133" i="30"/>
  <c r="K135"/>
  <c r="K137"/>
  <c r="K140"/>
  <c r="K148"/>
  <c r="K150"/>
  <c r="K152"/>
  <c r="K155"/>
  <c r="K159"/>
  <c r="K166"/>
  <c r="K165" s="1"/>
  <c r="K173"/>
  <c r="K172" s="1"/>
  <c r="H40" i="55" s="1"/>
  <c r="K179" i="30"/>
  <c r="K182"/>
  <c r="K185"/>
  <c r="K188"/>
  <c r="K191"/>
  <c r="K194"/>
  <c r="K198"/>
  <c r="K197" s="1"/>
  <c r="K205"/>
  <c r="K207"/>
  <c r="K211"/>
  <c r="K210" s="1"/>
  <c r="K217"/>
  <c r="K219"/>
  <c r="K228"/>
  <c r="K230"/>
  <c r="K236"/>
  <c r="K235" s="1"/>
  <c r="H88" i="55" s="1"/>
  <c r="K241" i="30"/>
  <c r="K243"/>
  <c r="K261"/>
  <c r="K260" s="1"/>
  <c r="H18" i="55" s="1"/>
  <c r="K267" i="30"/>
  <c r="K269"/>
  <c r="K271"/>
  <c r="K277"/>
  <c r="K276" s="1"/>
  <c r="H19" i="55" s="1"/>
  <c r="K280" i="30"/>
  <c r="K279" s="1"/>
  <c r="H20" i="55" s="1"/>
  <c r="K286" i="30"/>
  <c r="K288"/>
  <c r="K290"/>
  <c r="K295"/>
  <c r="K302"/>
  <c r="K301" s="1"/>
  <c r="K300" s="1"/>
  <c r="K313"/>
  <c r="K312" s="1"/>
  <c r="K311" s="1"/>
  <c r="K318"/>
  <c r="K317" s="1"/>
  <c r="K321"/>
  <c r="K320" s="1"/>
  <c r="H106" i="55" s="1"/>
  <c r="K333" i="30"/>
  <c r="K341"/>
  <c r="K345"/>
  <c r="K352"/>
  <c r="K351" s="1"/>
  <c r="H127" i="55" s="1"/>
  <c r="K387" i="30"/>
  <c r="K386" s="1"/>
  <c r="H54" i="55" s="1"/>
  <c r="K416" i="30"/>
  <c r="K418"/>
  <c r="K433"/>
  <c r="K435"/>
  <c r="K437"/>
  <c r="H13"/>
  <c r="H12" s="1"/>
  <c r="H11" s="1"/>
  <c r="H17"/>
  <c r="H19"/>
  <c r="H24"/>
  <c r="H23" s="1"/>
  <c r="H22" s="1"/>
  <c r="D20" i="27" s="1"/>
  <c r="H32" i="30"/>
  <c r="H35"/>
  <c r="H38"/>
  <c r="H51"/>
  <c r="H50" s="1"/>
  <c r="E83" i="55" s="1"/>
  <c r="H73" i="30"/>
  <c r="H89"/>
  <c r="H91"/>
  <c r="H93"/>
  <c r="H99"/>
  <c r="H101"/>
  <c r="H103"/>
  <c r="H105"/>
  <c r="H107"/>
  <c r="H113"/>
  <c r="H115"/>
  <c r="H118"/>
  <c r="H124"/>
  <c r="H123" s="1"/>
  <c r="E16" i="55" s="1"/>
  <c r="H129" i="30"/>
  <c r="H128" s="1"/>
  <c r="E27" i="55" s="1"/>
  <c r="H133" i="30"/>
  <c r="H135"/>
  <c r="H137"/>
  <c r="H140"/>
  <c r="H148"/>
  <c r="H150"/>
  <c r="H152"/>
  <c r="H155"/>
  <c r="H159"/>
  <c r="H166"/>
  <c r="H165" s="1"/>
  <c r="H173"/>
  <c r="H172" s="1"/>
  <c r="E40" i="55" s="1"/>
  <c r="H179" i="30"/>
  <c r="H182"/>
  <c r="H185"/>
  <c r="H188"/>
  <c r="H191"/>
  <c r="H194"/>
  <c r="H198"/>
  <c r="H197" s="1"/>
  <c r="H205"/>
  <c r="H207"/>
  <c r="H211"/>
  <c r="H210" s="1"/>
  <c r="H217"/>
  <c r="H219"/>
  <c r="H228"/>
  <c r="H230"/>
  <c r="H236"/>
  <c r="H235" s="1"/>
  <c r="E88" i="55" s="1"/>
  <c r="H241" i="30"/>
  <c r="H243"/>
  <c r="H261"/>
  <c r="H260" s="1"/>
  <c r="E18" i="55" s="1"/>
  <c r="H267" i="30"/>
  <c r="H269"/>
  <c r="H271"/>
  <c r="H277"/>
  <c r="H276" s="1"/>
  <c r="E19" i="55" s="1"/>
  <c r="H280" i="30"/>
  <c r="H279" s="1"/>
  <c r="E20" i="55" s="1"/>
  <c r="H286" i="30"/>
  <c r="H288"/>
  <c r="H290"/>
  <c r="H295"/>
  <c r="H302"/>
  <c r="H301" s="1"/>
  <c r="H300" s="1"/>
  <c r="H313"/>
  <c r="H312" s="1"/>
  <c r="H311" s="1"/>
  <c r="H318"/>
  <c r="H317" s="1"/>
  <c r="H321"/>
  <c r="H320" s="1"/>
  <c r="E106" i="55" s="1"/>
  <c r="H333" i="30"/>
  <c r="H341"/>
  <c r="H345"/>
  <c r="H352"/>
  <c r="H351" s="1"/>
  <c r="E127" i="55" s="1"/>
  <c r="H386" i="30"/>
  <c r="E54" i="55" s="1"/>
  <c r="H416" i="30"/>
  <c r="H418"/>
  <c r="H433"/>
  <c r="H435"/>
  <c r="H437"/>
  <c r="I14" i="5"/>
  <c r="I35"/>
  <c r="I45"/>
  <c r="I52"/>
  <c r="I56"/>
  <c r="I63"/>
  <c r="I67"/>
  <c r="I78"/>
  <c r="I95"/>
  <c r="I110"/>
  <c r="I112"/>
  <c r="I115"/>
  <c r="I118"/>
  <c r="I127"/>
  <c r="I130"/>
  <c r="I140"/>
  <c r="I176"/>
  <c r="I201"/>
  <c r="I218"/>
  <c r="I221"/>
  <c r="I226"/>
  <c r="I228"/>
  <c r="I230"/>
  <c r="I237"/>
  <c r="I243"/>
  <c r="I249"/>
  <c r="I260"/>
  <c r="I262"/>
  <c r="I267"/>
  <c r="I270"/>
  <c r="I280"/>
  <c r="I282"/>
  <c r="I284"/>
  <c r="I288"/>
  <c r="I302"/>
  <c r="I304"/>
  <c r="I306"/>
  <c r="I308"/>
  <c r="I309"/>
  <c r="I311"/>
  <c r="I317"/>
  <c r="I321"/>
  <c r="I323"/>
  <c r="I333"/>
  <c r="I337"/>
  <c r="I339"/>
  <c r="I342"/>
  <c r="I343"/>
  <c r="I346"/>
  <c r="I347"/>
  <c r="I354"/>
  <c r="I358"/>
  <c r="I362"/>
  <c r="I366"/>
  <c r="I370"/>
  <c r="I391"/>
  <c r="I397"/>
  <c r="I399"/>
  <c r="I401"/>
  <c r="I404"/>
  <c r="I414"/>
  <c r="I429"/>
  <c r="I434"/>
  <c r="I435"/>
  <c r="I436"/>
  <c r="I441"/>
  <c r="I443"/>
  <c r="I460"/>
  <c r="I461"/>
  <c r="I467"/>
  <c r="I477"/>
  <c r="I478"/>
  <c r="I480"/>
  <c r="I481"/>
  <c r="I483"/>
  <c r="I485"/>
  <c r="I486"/>
  <c r="I490"/>
  <c r="I492"/>
  <c r="I493"/>
  <c r="I495"/>
  <c r="I496"/>
  <c r="I498"/>
  <c r="I499"/>
  <c r="I501"/>
  <c r="I502"/>
  <c r="I504"/>
  <c r="I505"/>
  <c r="I507"/>
  <c r="I508"/>
  <c r="I511"/>
  <c r="I514"/>
  <c r="I515"/>
  <c r="I526"/>
  <c r="I525" s="1"/>
  <c r="I528"/>
  <c r="I534"/>
  <c r="I535"/>
  <c r="I538"/>
  <c r="I540"/>
  <c r="I546"/>
  <c r="I552"/>
  <c r="I592"/>
  <c r="I597"/>
  <c r="I602"/>
  <c r="I604"/>
  <c r="I616"/>
  <c r="I632"/>
  <c r="I636"/>
  <c r="I642"/>
  <c r="I646"/>
  <c r="I648"/>
  <c r="I650"/>
  <c r="I654"/>
  <c r="I662"/>
  <c r="I666"/>
  <c r="I672"/>
  <c r="I676"/>
  <c r="I680"/>
  <c r="I686"/>
  <c r="I691"/>
  <c r="I702"/>
  <c r="I706"/>
  <c r="I717"/>
  <c r="I733"/>
  <c r="I738"/>
  <c r="I743"/>
  <c r="I747"/>
  <c r="I751"/>
  <c r="I758"/>
  <c r="I773"/>
  <c r="I778"/>
  <c r="I785"/>
  <c r="I790"/>
  <c r="I793"/>
  <c r="I796"/>
  <c r="I807"/>
  <c r="I815"/>
  <c r="I830"/>
  <c r="I839"/>
  <c r="I843"/>
  <c r="I868"/>
  <c r="I875"/>
  <c r="I893"/>
  <c r="I907"/>
  <c r="I920"/>
  <c r="I927"/>
  <c r="I986"/>
  <c r="I994"/>
  <c r="I996"/>
  <c r="I1006"/>
  <c r="I1012"/>
  <c r="I1014"/>
  <c r="I1049"/>
  <c r="I1051"/>
  <c r="I1053"/>
  <c r="I1054"/>
  <c r="E61" i="44"/>
  <c r="I916" i="5"/>
  <c r="E109" i="44"/>
  <c r="E21"/>
  <c r="E46"/>
  <c r="E91"/>
  <c r="D26" i="2"/>
  <c r="E28" i="44"/>
  <c r="D60" i="2"/>
  <c r="I177" i="5"/>
  <c r="D70" i="2"/>
  <c r="E81" i="44"/>
  <c r="E80"/>
  <c r="E87"/>
  <c r="E86"/>
  <c r="E96"/>
  <c r="E94"/>
  <c r="D20" i="2"/>
  <c r="D14"/>
  <c r="H12" i="28"/>
  <c r="H14"/>
  <c r="H17"/>
  <c r="H23"/>
  <c r="E12"/>
  <c r="E14"/>
  <c r="E17"/>
  <c r="E23"/>
  <c r="G11"/>
  <c r="G13"/>
  <c r="G16"/>
  <c r="G15" s="1"/>
  <c r="G22"/>
  <c r="G21" s="1"/>
  <c r="D11"/>
  <c r="D13"/>
  <c r="D22"/>
  <c r="D21" s="1"/>
  <c r="E14" i="6"/>
  <c r="E17"/>
  <c r="E25"/>
  <c r="E120" i="2"/>
  <c r="E119"/>
  <c r="E116"/>
  <c r="E113"/>
  <c r="E112"/>
  <c r="E110"/>
  <c r="E108"/>
  <c r="E107"/>
  <c r="E106"/>
  <c r="E104"/>
  <c r="E101"/>
  <c r="E95"/>
  <c r="E94"/>
  <c r="E93"/>
  <c r="E92"/>
  <c r="E91"/>
  <c r="E90"/>
  <c r="E89"/>
  <c r="E88"/>
  <c r="E87"/>
  <c r="E84"/>
  <c r="E83"/>
  <c r="E79"/>
  <c r="E77"/>
  <c r="E76"/>
  <c r="E75"/>
  <c r="E74"/>
  <c r="E69"/>
  <c r="E68"/>
  <c r="E67"/>
  <c r="E66"/>
  <c r="E63"/>
  <c r="E57"/>
  <c r="E56"/>
  <c r="E53"/>
  <c r="E52"/>
  <c r="E50"/>
  <c r="E49"/>
  <c r="E47"/>
  <c r="E45"/>
  <c r="E44"/>
  <c r="E43"/>
  <c r="E42"/>
  <c r="E41"/>
  <c r="E40"/>
  <c r="E39"/>
  <c r="E38"/>
  <c r="E37"/>
  <c r="E36"/>
  <c r="E35"/>
  <c r="E34"/>
  <c r="E32"/>
  <c r="E31"/>
  <c r="E30"/>
  <c r="E29"/>
  <c r="E28"/>
  <c r="E27"/>
  <c r="E25"/>
  <c r="E24"/>
  <c r="E21"/>
  <c r="E19"/>
  <c r="E18"/>
  <c r="E17"/>
  <c r="E16"/>
  <c r="E12"/>
  <c r="D120"/>
  <c r="D119"/>
  <c r="D116"/>
  <c r="D113"/>
  <c r="D112"/>
  <c r="D101"/>
  <c r="D84"/>
  <c r="D83"/>
  <c r="D79"/>
  <c r="D77"/>
  <c r="D76"/>
  <c r="D75"/>
  <c r="D74"/>
  <c r="D63"/>
  <c r="D62"/>
  <c r="D56"/>
  <c r="D53"/>
  <c r="D52"/>
  <c r="D50"/>
  <c r="D49"/>
  <c r="D21"/>
  <c r="D17"/>
  <c r="D16"/>
  <c r="D12"/>
  <c r="D110"/>
  <c r="D108"/>
  <c r="D107"/>
  <c r="D106"/>
  <c r="D95"/>
  <c r="D94"/>
  <c r="D93"/>
  <c r="D92"/>
  <c r="D91"/>
  <c r="D90"/>
  <c r="D89"/>
  <c r="D88"/>
  <c r="D87"/>
  <c r="D69"/>
  <c r="D68"/>
  <c r="D67"/>
  <c r="D66"/>
  <c r="D57"/>
  <c r="D47"/>
  <c r="D44"/>
  <c r="D43"/>
  <c r="D42"/>
  <c r="D41"/>
  <c r="D39"/>
  <c r="D38"/>
  <c r="D37"/>
  <c r="D36"/>
  <c r="D35"/>
  <c r="D34"/>
  <c r="D32"/>
  <c r="D31"/>
  <c r="D30"/>
  <c r="D29"/>
  <c r="D28"/>
  <c r="D27"/>
  <c r="D25"/>
  <c r="D24"/>
  <c r="D19"/>
  <c r="D18"/>
  <c r="D10"/>
  <c r="E10"/>
  <c r="L13" i="26"/>
  <c r="K37"/>
  <c r="K35" s="1"/>
  <c r="O13"/>
  <c r="O15"/>
  <c r="O17"/>
  <c r="O18"/>
  <c r="O19"/>
  <c r="O21"/>
  <c r="O22"/>
  <c r="O23"/>
  <c r="O26"/>
  <c r="O28"/>
  <c r="O29"/>
  <c r="O31"/>
  <c r="O32"/>
  <c r="O34"/>
  <c r="O36"/>
  <c r="O38"/>
  <c r="O39"/>
  <c r="O40"/>
  <c r="O41"/>
  <c r="O42"/>
  <c r="O46"/>
  <c r="O47"/>
  <c r="O48"/>
  <c r="O49"/>
  <c r="O52"/>
  <c r="O56"/>
  <c r="O57"/>
  <c r="O58"/>
  <c r="O59"/>
  <c r="O61"/>
  <c r="O62"/>
  <c r="O63"/>
  <c r="O64"/>
  <c r="O65"/>
  <c r="O66"/>
  <c r="O67"/>
  <c r="O68"/>
  <c r="O69"/>
  <c r="O70"/>
  <c r="O71"/>
  <c r="O72"/>
  <c r="O73"/>
  <c r="O74"/>
  <c r="O75"/>
  <c r="O76"/>
  <c r="O77"/>
  <c r="O78"/>
  <c r="O79"/>
  <c r="O80"/>
  <c r="O81"/>
  <c r="O82"/>
  <c r="O83"/>
  <c r="O84"/>
  <c r="O85"/>
  <c r="O87"/>
  <c r="L15"/>
  <c r="L17"/>
  <c r="L18"/>
  <c r="L19"/>
  <c r="L21"/>
  <c r="L22"/>
  <c r="L23"/>
  <c r="L26"/>
  <c r="L28"/>
  <c r="L29"/>
  <c r="L31"/>
  <c r="L32"/>
  <c r="L34"/>
  <c r="L36"/>
  <c r="L38"/>
  <c r="L39"/>
  <c r="L40"/>
  <c r="L41"/>
  <c r="L42"/>
  <c r="L46"/>
  <c r="L47"/>
  <c r="L48"/>
  <c r="L49"/>
  <c r="L52"/>
  <c r="L56"/>
  <c r="L57"/>
  <c r="L58"/>
  <c r="L59"/>
  <c r="L61"/>
  <c r="L62"/>
  <c r="L63"/>
  <c r="L64"/>
  <c r="L65"/>
  <c r="L66"/>
  <c r="L67"/>
  <c r="L68"/>
  <c r="L69"/>
  <c r="L70"/>
  <c r="L71"/>
  <c r="L72"/>
  <c r="L73"/>
  <c r="L74"/>
  <c r="L75"/>
  <c r="L76"/>
  <c r="L77"/>
  <c r="L78"/>
  <c r="L79"/>
  <c r="L80"/>
  <c r="L81"/>
  <c r="L82"/>
  <c r="L83"/>
  <c r="L84"/>
  <c r="L85"/>
  <c r="L87"/>
  <c r="N12"/>
  <c r="N14"/>
  <c r="N16"/>
  <c r="N20"/>
  <c r="N25"/>
  <c r="N27"/>
  <c r="N30"/>
  <c r="N33"/>
  <c r="N37"/>
  <c r="N35" s="1"/>
  <c r="N45"/>
  <c r="N60"/>
  <c r="K12"/>
  <c r="K14"/>
  <c r="K16"/>
  <c r="K20"/>
  <c r="K25"/>
  <c r="K27"/>
  <c r="K30"/>
  <c r="K33"/>
  <c r="K45"/>
  <c r="K60"/>
  <c r="L13" i="1"/>
  <c r="L15"/>
  <c r="L17"/>
  <c r="L18"/>
  <c r="L19"/>
  <c r="L21"/>
  <c r="L22"/>
  <c r="L26"/>
  <c r="L28"/>
  <c r="L29"/>
  <c r="L31"/>
  <c r="L32"/>
  <c r="L34"/>
  <c r="L37"/>
  <c r="L39"/>
  <c r="L40"/>
  <c r="L41"/>
  <c r="L42"/>
  <c r="L46"/>
  <c r="L47"/>
  <c r="L48"/>
  <c r="L49"/>
  <c r="L51"/>
  <c r="L52"/>
  <c r="L54"/>
  <c r="L63"/>
  <c r="L66"/>
  <c r="L67"/>
  <c r="L70"/>
  <c r="L71"/>
  <c r="L73"/>
  <c r="L78"/>
  <c r="L79"/>
  <c r="L80"/>
  <c r="L81"/>
  <c r="L82"/>
  <c r="L83"/>
  <c r="L84"/>
  <c r="L95"/>
  <c r="L96"/>
  <c r="L85"/>
  <c r="L86"/>
  <c r="L87"/>
  <c r="L88"/>
  <c r="L106"/>
  <c r="L107"/>
  <c r="L108"/>
  <c r="L109"/>
  <c r="L98"/>
  <c r="L100"/>
  <c r="L101"/>
  <c r="L102"/>
  <c r="L93"/>
  <c r="L91"/>
  <c r="L94"/>
  <c r="L92"/>
  <c r="L99"/>
  <c r="L90"/>
  <c r="L97"/>
  <c r="L89"/>
  <c r="L105"/>
  <c r="L104"/>
  <c r="L111"/>
  <c r="L103"/>
  <c r="L113"/>
  <c r="L114"/>
  <c r="L115"/>
  <c r="L116"/>
  <c r="L118"/>
  <c r="L119"/>
  <c r="L120"/>
  <c r="L123"/>
  <c r="L124"/>
  <c r="L125"/>
  <c r="L126"/>
  <c r="L127"/>
  <c r="L128"/>
  <c r="L131"/>
  <c r="L132"/>
  <c r="L133"/>
  <c r="L134"/>
  <c r="L135"/>
  <c r="L138"/>
  <c r="L139"/>
  <c r="L140"/>
  <c r="L141"/>
  <c r="L143"/>
  <c r="L144"/>
  <c r="L145"/>
  <c r="L146"/>
  <c r="L157"/>
  <c r="L160"/>
  <c r="L165"/>
  <c r="L167"/>
  <c r="L168"/>
  <c r="A437" i="30"/>
  <c r="A438"/>
  <c r="A439"/>
  <c r="A418"/>
  <c r="A419"/>
  <c r="A420"/>
  <c r="A421"/>
  <c r="A290"/>
  <c r="A291"/>
  <c r="A292"/>
  <c r="A230"/>
  <c r="A231"/>
  <c r="A232"/>
  <c r="I230"/>
  <c r="A137"/>
  <c r="A138"/>
  <c r="A139"/>
  <c r="A75"/>
  <c r="A76"/>
  <c r="A77"/>
  <c r="I19"/>
  <c r="A19"/>
  <c r="A20"/>
  <c r="A21"/>
  <c r="A22"/>
  <c r="L100"/>
  <c r="I100"/>
  <c r="I436"/>
  <c r="L268"/>
  <c r="A284"/>
  <c r="A285"/>
  <c r="A286"/>
  <c r="A279"/>
  <c r="A280"/>
  <c r="A281"/>
  <c r="A282"/>
  <c r="G20" i="55"/>
  <c r="D20"/>
  <c r="A275" i="30"/>
  <c r="A276"/>
  <c r="I268"/>
  <c r="A265"/>
  <c r="A266"/>
  <c r="A259"/>
  <c r="A260"/>
  <c r="A226"/>
  <c r="A227"/>
  <c r="A228"/>
  <c r="A215"/>
  <c r="A216"/>
  <c r="A217"/>
  <c r="A210"/>
  <c r="A211"/>
  <c r="A205"/>
  <c r="A206"/>
  <c r="A203"/>
  <c r="A204"/>
  <c r="A197"/>
  <c r="A198"/>
  <c r="A199"/>
  <c r="A200"/>
  <c r="A201"/>
  <c r="A186"/>
  <c r="A187"/>
  <c r="A188"/>
  <c r="A189"/>
  <c r="A190"/>
  <c r="A191"/>
  <c r="A192"/>
  <c r="A193"/>
  <c r="A194"/>
  <c r="A195"/>
  <c r="A171"/>
  <c r="A172"/>
  <c r="A164"/>
  <c r="A165"/>
  <c r="A166"/>
  <c r="A167"/>
  <c r="L159"/>
  <c r="L140"/>
  <c r="A143"/>
  <c r="A144"/>
  <c r="A148"/>
  <c r="A146"/>
  <c r="A147"/>
  <c r="G16" i="55"/>
  <c r="A121" i="30"/>
  <c r="A122"/>
  <c r="A123"/>
  <c r="A124"/>
  <c r="A125"/>
  <c r="I75" l="1"/>
  <c r="H340"/>
  <c r="E38" i="44"/>
  <c r="G33" i="27"/>
  <c r="H33"/>
  <c r="F33"/>
  <c r="H294" i="30"/>
  <c r="H293" s="1"/>
  <c r="D111" i="27" s="1"/>
  <c r="D109" s="1"/>
  <c r="K294" i="30"/>
  <c r="K293" s="1"/>
  <c r="G111" i="27" s="1"/>
  <c r="G109" s="1"/>
  <c r="L75" i="30"/>
  <c r="D111" i="2"/>
  <c r="D109" s="1"/>
  <c r="I755" i="5"/>
  <c r="E105" i="55"/>
  <c r="H316" i="30"/>
  <c r="H315" s="1"/>
  <c r="H105" i="55"/>
  <c r="K316" i="30"/>
  <c r="E41" i="55"/>
  <c r="G11" i="27"/>
  <c r="H41" i="55"/>
  <c r="K340" i="30"/>
  <c r="H66" i="55" s="1"/>
  <c r="D16"/>
  <c r="I197" i="30"/>
  <c r="E66" i="55"/>
  <c r="I290" i="30"/>
  <c r="L279"/>
  <c r="I20" i="55" s="1"/>
  <c r="H385" i="30"/>
  <c r="E53" i="55" s="1"/>
  <c r="K385" i="30"/>
  <c r="H53" i="55" s="1"/>
  <c r="H49" i="30"/>
  <c r="E82" i="55" s="1"/>
  <c r="K259" i="30"/>
  <c r="K49"/>
  <c r="H82" i="55" s="1"/>
  <c r="L19" i="30"/>
  <c r="H234"/>
  <c r="E108" i="44"/>
  <c r="D98" i="2"/>
  <c r="H331" i="30"/>
  <c r="E63" i="55" s="1"/>
  <c r="H122" i="30"/>
  <c r="E15" i="55" s="1"/>
  <c r="K331" i="30"/>
  <c r="H63" i="55" s="1"/>
  <c r="K122" i="30"/>
  <c r="H15" i="55" s="1"/>
  <c r="I140" i="30"/>
  <c r="D13" i="2"/>
  <c r="E60" i="44"/>
  <c r="H371" i="30"/>
  <c r="L433"/>
  <c r="L230"/>
  <c r="D11" i="27"/>
  <c r="I279" i="30"/>
  <c r="F20" i="55" s="1"/>
  <c r="I135" i="30"/>
  <c r="L166"/>
  <c r="I433"/>
  <c r="I166"/>
  <c r="L205"/>
  <c r="L137"/>
  <c r="L418"/>
  <c r="E110" i="44"/>
  <c r="O14" i="26"/>
  <c r="E82" i="44"/>
  <c r="I133" i="5"/>
  <c r="E104" i="44"/>
  <c r="E99"/>
  <c r="E37"/>
  <c r="N24" i="26"/>
  <c r="N11" s="1"/>
  <c r="O25"/>
  <c r="O86"/>
  <c r="E33" i="44"/>
  <c r="I205" i="30"/>
  <c r="O50" i="26"/>
  <c r="O30"/>
  <c r="O16"/>
  <c r="O12"/>
  <c r="G15" i="55"/>
  <c r="E66" i="44"/>
  <c r="E42"/>
  <c r="O60" i="26"/>
  <c r="O33"/>
  <c r="O20"/>
  <c r="E13" i="28"/>
  <c r="E100" i="44"/>
  <c r="E83"/>
  <c r="E63"/>
  <c r="E51"/>
  <c r="E47"/>
  <c r="O35" i="26"/>
  <c r="H240" i="30"/>
  <c r="E87" i="55" s="1"/>
  <c r="E105" i="44"/>
  <c r="E97"/>
  <c r="E44"/>
  <c r="E23"/>
  <c r="E14"/>
  <c r="O45" i="26"/>
  <c r="E45" i="44"/>
  <c r="E36"/>
  <c r="E24"/>
  <c r="E103" i="27"/>
  <c r="L437" i="30"/>
  <c r="I437"/>
  <c r="H103" i="27"/>
  <c r="F65"/>
  <c r="H86"/>
  <c r="E86"/>
  <c r="G65"/>
  <c r="H23"/>
  <c r="L135" i="30"/>
  <c r="I159"/>
  <c r="L290"/>
  <c r="F86" i="27"/>
  <c r="H65"/>
  <c r="G86"/>
  <c r="I137" i="30"/>
  <c r="I418"/>
  <c r="K112"/>
  <c r="H30" i="55" s="1"/>
  <c r="G103" i="27"/>
  <c r="D103"/>
  <c r="F103"/>
  <c r="E65"/>
  <c r="D65"/>
  <c r="D86"/>
  <c r="D33"/>
  <c r="G23"/>
  <c r="D23"/>
  <c r="F23"/>
  <c r="H415" i="30"/>
  <c r="H414" s="1"/>
  <c r="D64" i="27" s="1"/>
  <c r="H72" i="30"/>
  <c r="H71" s="1"/>
  <c r="H70" s="1"/>
  <c r="K240"/>
  <c r="H87" i="55" s="1"/>
  <c r="K204" i="30"/>
  <c r="K203" s="1"/>
  <c r="K202" s="1"/>
  <c r="K201" s="1"/>
  <c r="K88"/>
  <c r="H266"/>
  <c r="E12" i="55" s="1"/>
  <c r="H204" i="30"/>
  <c r="H203" s="1"/>
  <c r="H202" s="1"/>
  <c r="H201" s="1"/>
  <c r="H216"/>
  <c r="H215" s="1"/>
  <c r="K216"/>
  <c r="K215" s="1"/>
  <c r="K415"/>
  <c r="K414" s="1"/>
  <c r="G64" i="27" s="1"/>
  <c r="K266" i="30"/>
  <c r="H12" i="55" s="1"/>
  <c r="K72" i="30"/>
  <c r="K71" s="1"/>
  <c r="K70" s="1"/>
  <c r="L197"/>
  <c r="H147"/>
  <c r="E28" i="55" s="1"/>
  <c r="H227" i="30"/>
  <c r="E90" i="55" s="1"/>
  <c r="H31" i="30"/>
  <c r="H26" s="1"/>
  <c r="H16"/>
  <c r="H15" s="1"/>
  <c r="D13" i="27" s="1"/>
  <c r="K171" i="30"/>
  <c r="K170"/>
  <c r="K169" s="1"/>
  <c r="G98" i="27" s="1"/>
  <c r="H112" i="30"/>
  <c r="E30" i="55" s="1"/>
  <c r="H88" i="30"/>
  <c r="K432"/>
  <c r="K431" s="1"/>
  <c r="K430" s="1"/>
  <c r="I198"/>
  <c r="L124"/>
  <c r="H432"/>
  <c r="H431" s="1"/>
  <c r="H430" s="1"/>
  <c r="H132"/>
  <c r="E31" i="55" s="1"/>
  <c r="L280" i="30"/>
  <c r="H285"/>
  <c r="E21" i="55" s="1"/>
  <c r="K285" i="30"/>
  <c r="H21" i="55" s="1"/>
  <c r="K147" i="30"/>
  <c r="H28" i="55" s="1"/>
  <c r="K98" i="30"/>
  <c r="K97" s="1"/>
  <c r="L198"/>
  <c r="H98"/>
  <c r="H97" s="1"/>
  <c r="E104" i="55"/>
  <c r="K227" i="30"/>
  <c r="H90" i="55" s="1"/>
  <c r="K178" i="30"/>
  <c r="K177" s="1"/>
  <c r="K176" s="1"/>
  <c r="K175" s="1"/>
  <c r="G99" i="27" s="1"/>
  <c r="K132" i="30"/>
  <c r="H31" i="55" s="1"/>
  <c r="K16" i="30"/>
  <c r="K15" s="1"/>
  <c r="G13" i="27" s="1"/>
  <c r="I123" i="30"/>
  <c r="F16" i="55" s="1"/>
  <c r="H178" i="30"/>
  <c r="H177" s="1"/>
  <c r="H176" s="1"/>
  <c r="H175" s="1"/>
  <c r="D99" i="27" s="1"/>
  <c r="I124" i="30"/>
  <c r="I280"/>
  <c r="L123"/>
  <c r="I16" i="55" s="1"/>
  <c r="K31" i="30"/>
  <c r="K26" s="1"/>
  <c r="K275"/>
  <c r="K274" s="1"/>
  <c r="K273" s="1"/>
  <c r="G82" i="27" s="1"/>
  <c r="K164" i="30"/>
  <c r="K163"/>
  <c r="K234"/>
  <c r="K233"/>
  <c r="G115" i="27" s="1"/>
  <c r="G114" s="1"/>
  <c r="K258" i="30"/>
  <c r="K257" s="1"/>
  <c r="H259"/>
  <c r="H258"/>
  <c r="H257" s="1"/>
  <c r="H171"/>
  <c r="H170"/>
  <c r="H169" s="1"/>
  <c r="D98" i="27" s="1"/>
  <c r="H164" i="30"/>
  <c r="H163"/>
  <c r="H275"/>
  <c r="H274" s="1"/>
  <c r="H273" s="1"/>
  <c r="D82" i="27" s="1"/>
  <c r="H233" i="30"/>
  <c r="D115" i="27" s="1"/>
  <c r="D114" s="1"/>
  <c r="E33" i="2"/>
  <c r="E34" i="44"/>
  <c r="D23" i="2"/>
  <c r="I107" i="5"/>
  <c r="E30" i="44"/>
  <c r="E130"/>
  <c r="E53"/>
  <c r="D115" i="2"/>
  <c r="D114" s="1"/>
  <c r="E32" i="44"/>
  <c r="D11" i="2"/>
  <c r="E13" i="44"/>
  <c r="E52"/>
  <c r="E95"/>
  <c r="D33" i="2"/>
  <c r="D65"/>
  <c r="D86"/>
  <c r="G10" i="28"/>
  <c r="D15"/>
  <c r="D10"/>
  <c r="E86" i="2"/>
  <c r="O27" i="26"/>
  <c r="O37"/>
  <c r="N44"/>
  <c r="N43" s="1"/>
  <c r="K44"/>
  <c r="K24"/>
  <c r="A128" i="30"/>
  <c r="A129"/>
  <c r="A130"/>
  <c r="A131"/>
  <c r="A127"/>
  <c r="L118"/>
  <c r="I118"/>
  <c r="L115"/>
  <c r="I115"/>
  <c r="A116"/>
  <c r="L113"/>
  <c r="I113"/>
  <c r="A111"/>
  <c r="A112"/>
  <c r="A97"/>
  <c r="A98"/>
  <c r="A99"/>
  <c r="A87"/>
  <c r="I570" i="5"/>
  <c r="E46" i="55" l="1"/>
  <c r="H370" i="30"/>
  <c r="E62" i="44"/>
  <c r="D48" i="2"/>
  <c r="I890" i="5"/>
  <c r="O24" i="26"/>
  <c r="I122" i="30"/>
  <c r="F15" i="55" s="1"/>
  <c r="H104"/>
  <c r="K315" i="30"/>
  <c r="G54" i="27" s="1"/>
  <c r="E107" i="44"/>
  <c r="E26" i="55"/>
  <c r="H39"/>
  <c r="H38"/>
  <c r="E38"/>
  <c r="E39"/>
  <c r="D15"/>
  <c r="H26"/>
  <c r="E65" i="44"/>
  <c r="D64" i="2"/>
  <c r="K225" i="30"/>
  <c r="E59" i="44"/>
  <c r="I902" i="5"/>
  <c r="K121" i="30"/>
  <c r="H121"/>
  <c r="K48"/>
  <c r="H76" i="55" s="1"/>
  <c r="H48" i="30"/>
  <c r="E76" i="55" s="1"/>
  <c r="L122" i="30"/>
  <c r="I15" i="55" s="1"/>
  <c r="E56" i="44"/>
  <c r="E50"/>
  <c r="K284" i="30"/>
  <c r="H17" i="55" s="1"/>
  <c r="H146" i="30"/>
  <c r="H265"/>
  <c r="E11" i="55" s="1"/>
  <c r="E49" i="44"/>
  <c r="K371" i="30"/>
  <c r="H46" i="55" s="1"/>
  <c r="H224" i="30"/>
  <c r="D15" i="27" s="1"/>
  <c r="K264" i="30"/>
  <c r="K263" s="1"/>
  <c r="H284"/>
  <c r="E17" i="55" s="1"/>
  <c r="O11" i="26"/>
  <c r="E102" i="44"/>
  <c r="E101"/>
  <c r="H111" i="30"/>
  <c r="H226"/>
  <c r="E89" i="55" s="1"/>
  <c r="K111" i="30"/>
  <c r="D22" i="27"/>
  <c r="K226" i="30"/>
  <c r="H89" i="55" s="1"/>
  <c r="H96" i="30"/>
  <c r="H95" s="1"/>
  <c r="D73" i="27" s="1"/>
  <c r="G22"/>
  <c r="E41" i="44"/>
  <c r="E43"/>
  <c r="E98"/>
  <c r="H214" i="30"/>
  <c r="H213" s="1"/>
  <c r="D102" i="27" s="1"/>
  <c r="H110" i="30"/>
  <c r="H109" s="1"/>
  <c r="E35" i="44"/>
  <c r="E19"/>
  <c r="E17"/>
  <c r="D118" i="2"/>
  <c r="D117" s="1"/>
  <c r="E90" i="44"/>
  <c r="H162" i="30"/>
  <c r="D97" i="27" s="1"/>
  <c r="K224" i="30"/>
  <c r="G15" i="27" s="1"/>
  <c r="K87" i="30"/>
  <c r="D105" i="2"/>
  <c r="D103" s="1"/>
  <c r="K110" i="30"/>
  <c r="K109" s="1"/>
  <c r="G78" i="27" s="1"/>
  <c r="E85" i="44"/>
  <c r="E68"/>
  <c r="H283" i="30"/>
  <c r="H282" s="1"/>
  <c r="D85" i="27" s="1"/>
  <c r="D81" s="1"/>
  <c r="H87" i="30"/>
  <c r="H339"/>
  <c r="E65" i="55" s="1"/>
  <c r="E79" i="44"/>
  <c r="E31"/>
  <c r="K162" i="30"/>
  <c r="G97" i="27" s="1"/>
  <c r="K283" i="30"/>
  <c r="K282" s="1"/>
  <c r="G85" i="27" s="1"/>
  <c r="G81" s="1"/>
  <c r="H145" i="30"/>
  <c r="H144" s="1"/>
  <c r="D100" i="27" s="1"/>
  <c r="H264" i="30"/>
  <c r="H263" s="1"/>
  <c r="H245" s="1"/>
  <c r="K239"/>
  <c r="K238" s="1"/>
  <c r="G118" i="27" s="1"/>
  <c r="G117" s="1"/>
  <c r="H239" i="30"/>
  <c r="H238" s="1"/>
  <c r="D118" i="27" s="1"/>
  <c r="D117" s="1"/>
  <c r="K214" i="30"/>
  <c r="K213" s="1"/>
  <c r="G102" i="27" s="1"/>
  <c r="E126" i="55"/>
  <c r="E12" i="44"/>
  <c r="E27"/>
  <c r="D85" i="2"/>
  <c r="E22" i="44"/>
  <c r="E92"/>
  <c r="E93"/>
  <c r="E20"/>
  <c r="E29"/>
  <c r="K127" i="30"/>
  <c r="K126" s="1"/>
  <c r="K146"/>
  <c r="H127"/>
  <c r="H126" s="1"/>
  <c r="K339"/>
  <c r="H65" i="55" s="1"/>
  <c r="H225" i="30"/>
  <c r="K265"/>
  <c r="H11" i="55" s="1"/>
  <c r="O43" i="26"/>
  <c r="E89" i="44"/>
  <c r="H126" i="55"/>
  <c r="E129" i="44"/>
  <c r="K145" i="30"/>
  <c r="K144" s="1"/>
  <c r="G100" i="27" s="1"/>
  <c r="K96" i="30"/>
  <c r="K95" s="1"/>
  <c r="G73" i="27" s="1"/>
  <c r="G27" i="55"/>
  <c r="L129" i="30"/>
  <c r="D27" i="55"/>
  <c r="I129" i="30"/>
  <c r="D99" i="2"/>
  <c r="D97"/>
  <c r="D15"/>
  <c r="O44" i="26"/>
  <c r="N113"/>
  <c r="K43"/>
  <c r="K11"/>
  <c r="E12" i="6"/>
  <c r="E19"/>
  <c r="B19" i="25" s="1"/>
  <c r="D43" s="1"/>
  <c r="D102" i="2" l="1"/>
  <c r="E58" i="44"/>
  <c r="E55"/>
  <c r="D54" i="2"/>
  <c r="D82"/>
  <c r="D81" s="1"/>
  <c r="K113" i="26"/>
  <c r="D19" i="28" s="1"/>
  <c r="K120" i="30"/>
  <c r="G80" i="27" s="1"/>
  <c r="H19" i="28"/>
  <c r="K245" i="30"/>
  <c r="E86" i="55"/>
  <c r="H120" i="30"/>
  <c r="D80" i="27" s="1"/>
  <c r="E10" i="55"/>
  <c r="H37"/>
  <c r="H25"/>
  <c r="H86"/>
  <c r="E25"/>
  <c r="H10"/>
  <c r="E37"/>
  <c r="H161" i="30"/>
  <c r="D78" i="27"/>
  <c r="H47" i="30"/>
  <c r="H10" s="1"/>
  <c r="I121"/>
  <c r="K47"/>
  <c r="K10" s="1"/>
  <c r="K370"/>
  <c r="G61" i="27" s="1"/>
  <c r="G59" s="1"/>
  <c r="D54"/>
  <c r="D61"/>
  <c r="D59" s="1"/>
  <c r="D96"/>
  <c r="D58" i="2"/>
  <c r="D100"/>
  <c r="H223" i="30"/>
  <c r="O113" i="26"/>
  <c r="D9" i="27"/>
  <c r="G96"/>
  <c r="E26" i="44"/>
  <c r="K161" i="30"/>
  <c r="K223"/>
  <c r="E18" i="44"/>
  <c r="E39"/>
  <c r="L128" i="30"/>
  <c r="I27" i="55" s="1"/>
  <c r="K330" i="30"/>
  <c r="H62" i="55" s="1"/>
  <c r="E25" i="44"/>
  <c r="E48"/>
  <c r="H330" i="30"/>
  <c r="E62" i="55" s="1"/>
  <c r="E40" i="44"/>
  <c r="I128" i="30"/>
  <c r="F27" i="55" s="1"/>
  <c r="D78" i="2"/>
  <c r="E11" i="44"/>
  <c r="L121" i="30"/>
  <c r="H86"/>
  <c r="E24" i="55" s="1"/>
  <c r="E67" i="44"/>
  <c r="E84"/>
  <c r="K86" i="30"/>
  <c r="H24" i="55" s="1"/>
  <c r="E10" i="44"/>
  <c r="E16"/>
  <c r="D22" i="2"/>
  <c r="D9" s="1"/>
  <c r="D73"/>
  <c r="I332" i="5"/>
  <c r="I331"/>
  <c r="I334"/>
  <c r="I359"/>
  <c r="I357"/>
  <c r="I356"/>
  <c r="D96" i="2" l="1"/>
  <c r="D61"/>
  <c r="D59" s="1"/>
  <c r="G51" i="27"/>
  <c r="D51"/>
  <c r="D72" i="2"/>
  <c r="I716" i="5"/>
  <c r="H329" i="30"/>
  <c r="H299" s="1"/>
  <c r="E64" i="44"/>
  <c r="I701" i="5"/>
  <c r="K85" i="30"/>
  <c r="I742" i="5"/>
  <c r="E78" i="44"/>
  <c r="H85" i="30"/>
  <c r="K329"/>
  <c r="K299" s="1"/>
  <c r="I329" i="5"/>
  <c r="F28" i="44" s="1"/>
  <c r="I330" i="5"/>
  <c r="I644"/>
  <c r="I647"/>
  <c r="I730"/>
  <c r="I729"/>
  <c r="I728"/>
  <c r="I732"/>
  <c r="I726"/>
  <c r="I725"/>
  <c r="I724"/>
  <c r="I674"/>
  <c r="I634"/>
  <c r="I296"/>
  <c r="I374"/>
  <c r="I993"/>
  <c r="I990"/>
  <c r="I989"/>
  <c r="I992"/>
  <c r="I1039"/>
  <c r="I1013"/>
  <c r="I558"/>
  <c r="I557"/>
  <c r="I559"/>
  <c r="I551"/>
  <c r="I550" s="1"/>
  <c r="I539"/>
  <c r="I537"/>
  <c r="I513"/>
  <c r="E128" i="44" l="1"/>
  <c r="E131" s="1"/>
  <c r="I689" i="5"/>
  <c r="F21" i="44" s="1"/>
  <c r="I690" i="5"/>
  <c r="I545"/>
  <c r="G55" i="27"/>
  <c r="G46" s="1"/>
  <c r="D51" i="2"/>
  <c r="I741" i="5"/>
  <c r="I700"/>
  <c r="I714"/>
  <c r="I715"/>
  <c r="D72" i="27"/>
  <c r="D71" s="1"/>
  <c r="H84" i="30"/>
  <c r="G72" i="27"/>
  <c r="G71" s="1"/>
  <c r="K84" i="30"/>
  <c r="I661" i="5"/>
  <c r="D80" i="2"/>
  <c r="D71" s="1"/>
  <c r="D55"/>
  <c r="D55" i="27"/>
  <c r="D46" s="1"/>
  <c r="I727" i="5"/>
  <c r="I536"/>
  <c r="I345"/>
  <c r="I409"/>
  <c r="I411"/>
  <c r="I407"/>
  <c r="I406"/>
  <c r="I365"/>
  <c r="I364"/>
  <c r="I322"/>
  <c r="I310"/>
  <c r="I283"/>
  <c r="A178" i="30"/>
  <c r="A332"/>
  <c r="A340"/>
  <c r="G64" i="55"/>
  <c r="D64"/>
  <c r="A315" i="30"/>
  <c r="A316"/>
  <c r="A317"/>
  <c r="A318"/>
  <c r="A319"/>
  <c r="A320"/>
  <c r="A321"/>
  <c r="A322"/>
  <c r="L194"/>
  <c r="I194"/>
  <c r="L191"/>
  <c r="I191"/>
  <c r="L188"/>
  <c r="I188"/>
  <c r="L185"/>
  <c r="I185"/>
  <c r="A47"/>
  <c r="A48"/>
  <c r="A49"/>
  <c r="A50"/>
  <c r="A51"/>
  <c r="A52"/>
  <c r="E18" i="13"/>
  <c r="D121" i="27" l="1"/>
  <c r="D20" i="28" s="1"/>
  <c r="D46" i="2"/>
  <c r="K440" i="30"/>
  <c r="K442" s="1"/>
  <c r="I509" i="5"/>
  <c r="F43" i="44" s="1"/>
  <c r="I510" i="5"/>
  <c r="I698"/>
  <c r="I699"/>
  <c r="I544"/>
  <c r="I410"/>
  <c r="I408"/>
  <c r="H10" i="27"/>
  <c r="H440" i="30"/>
  <c r="I739" i="5"/>
  <c r="I740"/>
  <c r="I659"/>
  <c r="I660"/>
  <c r="G105" i="55"/>
  <c r="L318" i="30"/>
  <c r="G106" i="55"/>
  <c r="L321" i="30"/>
  <c r="D106" i="55"/>
  <c r="I321" i="30"/>
  <c r="G83" i="55"/>
  <c r="L51" i="30"/>
  <c r="D83" i="55"/>
  <c r="I51" i="30"/>
  <c r="G63" i="55"/>
  <c r="L332" i="30"/>
  <c r="I64" i="55" s="1"/>
  <c r="D63"/>
  <c r="I332" i="30"/>
  <c r="F64" i="55" s="1"/>
  <c r="D105"/>
  <c r="I318" i="30"/>
  <c r="I363" i="5"/>
  <c r="I503"/>
  <c r="I500"/>
  <c r="I111"/>
  <c r="I109"/>
  <c r="I85"/>
  <c r="A85"/>
  <c r="A86"/>
  <c r="A87"/>
  <c r="B113" i="55"/>
  <c r="B127"/>
  <c r="B126"/>
  <c r="B124"/>
  <c r="B123"/>
  <c r="B122"/>
  <c r="B121"/>
  <c r="B120"/>
  <c r="B119"/>
  <c r="B118"/>
  <c r="B117"/>
  <c r="B116"/>
  <c r="B115"/>
  <c r="B114"/>
  <c r="B112"/>
  <c r="B111"/>
  <c r="B110"/>
  <c r="B109"/>
  <c r="B107"/>
  <c r="B106"/>
  <c r="B105"/>
  <c r="B104"/>
  <c r="B102"/>
  <c r="B101"/>
  <c r="B100"/>
  <c r="B99"/>
  <c r="B98"/>
  <c r="B97"/>
  <c r="B96"/>
  <c r="B95"/>
  <c r="B94"/>
  <c r="B93"/>
  <c r="B92"/>
  <c r="B91"/>
  <c r="B90"/>
  <c r="B89"/>
  <c r="B88"/>
  <c r="B87"/>
  <c r="B86"/>
  <c r="B85"/>
  <c r="B84"/>
  <c r="B83"/>
  <c r="B82"/>
  <c r="B81"/>
  <c r="B80"/>
  <c r="B79"/>
  <c r="B78"/>
  <c r="B77"/>
  <c r="B76"/>
  <c r="B75"/>
  <c r="B74"/>
  <c r="B73"/>
  <c r="B72"/>
  <c r="B71"/>
  <c r="B70"/>
  <c r="B69"/>
  <c r="B68"/>
  <c r="B67"/>
  <c r="B66"/>
  <c r="B65"/>
  <c r="B64"/>
  <c r="B63"/>
  <c r="B62"/>
  <c r="B61"/>
  <c r="B60"/>
  <c r="B59"/>
  <c r="B58"/>
  <c r="B57"/>
  <c r="B56"/>
  <c r="B55"/>
  <c r="B54"/>
  <c r="B53"/>
  <c r="B52"/>
  <c r="B51"/>
  <c r="B50"/>
  <c r="B49"/>
  <c r="B48"/>
  <c r="B47"/>
  <c r="B46"/>
  <c r="B45"/>
  <c r="B44"/>
  <c r="B43"/>
  <c r="B42"/>
  <c r="B41"/>
  <c r="B40"/>
  <c r="B39"/>
  <c r="B38"/>
  <c r="B37"/>
  <c r="B36"/>
  <c r="B35"/>
  <c r="B34"/>
  <c r="B33"/>
  <c r="B32"/>
  <c r="B31"/>
  <c r="B30"/>
  <c r="B29"/>
  <c r="B28"/>
  <c r="B27"/>
  <c r="B26"/>
  <c r="B25"/>
  <c r="B24"/>
  <c r="B23"/>
  <c r="B22"/>
  <c r="B21"/>
  <c r="B20"/>
  <c r="B19"/>
  <c r="B18"/>
  <c r="B17"/>
  <c r="B16"/>
  <c r="B15"/>
  <c r="B14"/>
  <c r="B13"/>
  <c r="B12"/>
  <c r="B11"/>
  <c r="B10"/>
  <c r="A386" i="30"/>
  <c r="I995" i="5"/>
  <c r="D123" i="27" l="1"/>
  <c r="D121" i="2"/>
  <c r="I125" i="5"/>
  <c r="F80" i="44" s="1"/>
  <c r="I126" i="5"/>
  <c r="I317" i="30"/>
  <c r="F105" i="55" s="1"/>
  <c r="L331" i="30"/>
  <c r="I63" i="55" s="1"/>
  <c r="L320" i="30"/>
  <c r="I106" i="55" s="1"/>
  <c r="I985" i="5"/>
  <c r="I116"/>
  <c r="F87" i="44" s="1"/>
  <c r="I117" i="5"/>
  <c r="I175"/>
  <c r="I128"/>
  <c r="F81" i="44" s="1"/>
  <c r="I129" i="5"/>
  <c r="I784"/>
  <c r="I791"/>
  <c r="F109" i="44" s="1"/>
  <c r="I792" i="5"/>
  <c r="I331" i="30"/>
  <c r="F63" i="55" s="1"/>
  <c r="I320" i="30"/>
  <c r="F106" i="55" s="1"/>
  <c r="L317" i="30"/>
  <c r="I105" i="55" s="1"/>
  <c r="I542" i="5"/>
  <c r="I543"/>
  <c r="I113"/>
  <c r="F86" i="44" s="1"/>
  <c r="I114" i="5"/>
  <c r="I794"/>
  <c r="F110" i="44" s="1"/>
  <c r="I795" i="5"/>
  <c r="H442" i="30"/>
  <c r="H16" i="27" s="1"/>
  <c r="G104" i="55"/>
  <c r="D82"/>
  <c r="I50" i="30"/>
  <c r="F83" i="55" s="1"/>
  <c r="D104"/>
  <c r="G82"/>
  <c r="L50" i="30"/>
  <c r="I83" i="55" s="1"/>
  <c r="D22" i="6" l="1"/>
  <c r="D20" s="1"/>
  <c r="D26" s="1"/>
  <c r="D122" i="2"/>
  <c r="I124" i="5"/>
  <c r="F79" i="44" s="1"/>
  <c r="H14" i="27"/>
  <c r="H17"/>
  <c r="H18"/>
  <c r="H19"/>
  <c r="H21"/>
  <c r="I248" i="5"/>
  <c r="I108"/>
  <c r="F85" i="44" s="1"/>
  <c r="F54" i="27"/>
  <c r="I782" i="5"/>
  <c r="I783"/>
  <c r="I173"/>
  <c r="E70" i="2" s="1"/>
  <c r="E65" s="1"/>
  <c r="I174" i="5"/>
  <c r="I983"/>
  <c r="I984"/>
  <c r="L316" i="30"/>
  <c r="I104" i="55" s="1"/>
  <c r="D76"/>
  <c r="I49" i="30"/>
  <c r="F82" i="55" s="1"/>
  <c r="I315" i="30"/>
  <c r="E54" i="27" s="1"/>
  <c r="I316" i="30"/>
  <c r="F104" i="55" s="1"/>
  <c r="G76"/>
  <c r="L49" i="30"/>
  <c r="I82" i="55" s="1"/>
  <c r="C14" i="60"/>
  <c r="E14"/>
  <c r="I278" i="5"/>
  <c r="I442"/>
  <c r="I398"/>
  <c r="I344"/>
  <c r="I341"/>
  <c r="I338"/>
  <c r="I336"/>
  <c r="I352"/>
  <c r="I351"/>
  <c r="I350"/>
  <c r="I106" l="1"/>
  <c r="F84" i="44"/>
  <c r="I373" i="5"/>
  <c r="I433"/>
  <c r="I200"/>
  <c r="I360"/>
  <c r="I361"/>
  <c r="I385"/>
  <c r="I386"/>
  <c r="I246"/>
  <c r="E60" i="2" s="1"/>
  <c r="I247" i="5"/>
  <c r="L315" i="30"/>
  <c r="H54" i="27" s="1"/>
  <c r="L48" i="30"/>
  <c r="I76" i="55" s="1"/>
  <c r="I47" i="30"/>
  <c r="I48"/>
  <c r="F76" i="55" s="1"/>
  <c r="I340" i="5"/>
  <c r="I335"/>
  <c r="F30" i="44" s="1"/>
  <c r="I349" i="5"/>
  <c r="I319" l="1"/>
  <c r="I320"/>
  <c r="I316"/>
  <c r="I431"/>
  <c r="I432"/>
  <c r="I199"/>
  <c r="I371"/>
  <c r="I372"/>
  <c r="F38" i="44" s="1"/>
  <c r="L47" i="30"/>
  <c r="I293" i="5"/>
  <c r="I1048"/>
  <c r="I1052"/>
  <c r="I276"/>
  <c r="I257"/>
  <c r="I255" s="1"/>
  <c r="F17" i="44" l="1"/>
  <c r="I314" i="5"/>
  <c r="I315"/>
  <c r="I313"/>
  <c r="I318"/>
  <c r="F16" i="44" s="1"/>
  <c r="L27" i="26"/>
  <c r="L27" i="1"/>
  <c r="I266" i="5" l="1"/>
  <c r="I571"/>
  <c r="I572"/>
  <c r="I575"/>
  <c r="I574"/>
  <c r="I225"/>
  <c r="I224"/>
  <c r="I235"/>
  <c r="I234"/>
  <c r="I583" l="1"/>
  <c r="I580"/>
  <c r="I265"/>
  <c r="I216"/>
  <c r="I217"/>
  <c r="I219"/>
  <c r="I220"/>
  <c r="I215"/>
  <c r="I98"/>
  <c r="I97"/>
  <c r="I94"/>
  <c r="I92"/>
  <c r="I91"/>
  <c r="A32"/>
  <c r="A33"/>
  <c r="A34"/>
  <c r="A35"/>
  <c r="I77"/>
  <c r="A77"/>
  <c r="A78"/>
  <c r="A79"/>
  <c r="I81"/>
  <c r="I80"/>
  <c r="A80"/>
  <c r="A81"/>
  <c r="A90"/>
  <c r="A49"/>
  <c r="A57"/>
  <c r="A61"/>
  <c r="A62"/>
  <c r="A63"/>
  <c r="A64"/>
  <c r="D118" i="44"/>
  <c r="D119"/>
  <c r="D120"/>
  <c r="D121"/>
  <c r="D122"/>
  <c r="D123"/>
  <c r="D124"/>
  <c r="D125"/>
  <c r="D126"/>
  <c r="D127"/>
  <c r="B118"/>
  <c r="B119"/>
  <c r="B120"/>
  <c r="B121"/>
  <c r="B122"/>
  <c r="B123"/>
  <c r="B124"/>
  <c r="B125"/>
  <c r="B127"/>
  <c r="I62" i="5" l="1"/>
  <c r="I263"/>
  <c r="I264"/>
  <c r="I581"/>
  <c r="I582"/>
  <c r="I34"/>
  <c r="I579"/>
  <c r="I79"/>
  <c r="B34" i="44"/>
  <c r="B35"/>
  <c r="B36"/>
  <c r="B37"/>
  <c r="B39"/>
  <c r="B40"/>
  <c r="B41"/>
  <c r="B42"/>
  <c r="B43"/>
  <c r="B44"/>
  <c r="B45"/>
  <c r="B46"/>
  <c r="B47"/>
  <c r="B48"/>
  <c r="B49"/>
  <c r="B50"/>
  <c r="B51"/>
  <c r="B52"/>
  <c r="B53"/>
  <c r="B54"/>
  <c r="B55"/>
  <c r="B56"/>
  <c r="B57"/>
  <c r="B58"/>
  <c r="B59"/>
  <c r="B60"/>
  <c r="B61"/>
  <c r="B62"/>
  <c r="B63"/>
  <c r="B64"/>
  <c r="B65"/>
  <c r="B66"/>
  <c r="B67"/>
  <c r="B68"/>
  <c r="B69"/>
  <c r="B70"/>
  <c r="B71"/>
  <c r="B72"/>
  <c r="B73"/>
  <c r="B74"/>
  <c r="B75"/>
  <c r="B76"/>
  <c r="B77"/>
  <c r="B78"/>
  <c r="B79"/>
  <c r="B80"/>
  <c r="B81"/>
  <c r="B82"/>
  <c r="B83"/>
  <c r="B84"/>
  <c r="B85"/>
  <c r="B86"/>
  <c r="B87"/>
  <c r="B89"/>
  <c r="B90"/>
  <c r="B91"/>
  <c r="B92"/>
  <c r="B93"/>
  <c r="B94"/>
  <c r="B95"/>
  <c r="B96"/>
  <c r="B97"/>
  <c r="B98"/>
  <c r="B99"/>
  <c r="B100"/>
  <c r="B101"/>
  <c r="B102"/>
  <c r="B103"/>
  <c r="D54"/>
  <c r="D57"/>
  <c r="D69"/>
  <c r="D70"/>
  <c r="D71"/>
  <c r="D72"/>
  <c r="D73"/>
  <c r="D74"/>
  <c r="D75"/>
  <c r="D76"/>
  <c r="D77"/>
  <c r="D79"/>
  <c r="D80"/>
  <c r="D81"/>
  <c r="D84"/>
  <c r="D86"/>
  <c r="D87"/>
  <c r="D99"/>
  <c r="D100"/>
  <c r="D103"/>
  <c r="D109"/>
  <c r="D110"/>
  <c r="D112"/>
  <c r="D113"/>
  <c r="D114"/>
  <c r="D115"/>
  <c r="D116"/>
  <c r="D117"/>
  <c r="I61" i="5" l="1"/>
  <c r="I578"/>
  <c r="F99" i="44" s="1"/>
  <c r="I33" i="5"/>
  <c r="I31"/>
  <c r="I30"/>
  <c r="I24"/>
  <c r="I26"/>
  <c r="I25"/>
  <c r="L33" i="1"/>
  <c r="D13" i="60"/>
  <c r="D14" s="1"/>
  <c r="B13"/>
  <c r="B14" s="1"/>
  <c r="B13" i="59"/>
  <c r="B14"/>
  <c r="B12"/>
  <c r="L60" i="26"/>
  <c r="F100" i="44" l="1"/>
  <c r="I57" i="5"/>
  <c r="I577"/>
  <c r="I576" s="1"/>
  <c r="C14" i="2"/>
  <c r="I32" i="5"/>
  <c r="E14" i="2" s="1"/>
  <c r="D98" i="44"/>
  <c r="I23" i="5"/>
  <c r="L33" i="26"/>
  <c r="L37"/>
  <c r="L25"/>
  <c r="L38" i="1"/>
  <c r="F98" i="44" l="1"/>
  <c r="L77" i="1"/>
  <c r="H13" i="28" l="1"/>
  <c r="H22" l="1"/>
  <c r="E22"/>
  <c r="E24" i="6"/>
  <c r="E16" i="28" l="1"/>
  <c r="E18" i="6"/>
  <c r="B43" i="29" l="1"/>
  <c r="C101" i="27"/>
  <c r="C58"/>
  <c r="C25"/>
  <c r="C19"/>
  <c r="C18"/>
  <c r="C17"/>
  <c r="C16"/>
  <c r="C10"/>
  <c r="L217" i="30"/>
  <c r="I217"/>
  <c r="A142"/>
  <c r="I367" i="5" l="1"/>
  <c r="I369"/>
  <c r="I368"/>
  <c r="A387" i="30"/>
  <c r="A388"/>
  <c r="A208"/>
  <c r="A196"/>
  <c r="L182"/>
  <c r="I182"/>
  <c r="A183"/>
  <c r="A179"/>
  <c r="A180"/>
  <c r="A181"/>
  <c r="L179"/>
  <c r="A234"/>
  <c r="A225"/>
  <c r="A115"/>
  <c r="A117"/>
  <c r="A113"/>
  <c r="A114"/>
  <c r="I704" i="5" l="1"/>
  <c r="I705"/>
  <c r="D47" i="44"/>
  <c r="I665" i="5"/>
  <c r="G54" i="55"/>
  <c r="L387" i="30"/>
  <c r="D54" i="55"/>
  <c r="I387" i="30"/>
  <c r="I179"/>
  <c r="L204"/>
  <c r="L207"/>
  <c r="I204"/>
  <c r="I207"/>
  <c r="B10" i="44"/>
  <c r="I737" i="5" l="1"/>
  <c r="I703"/>
  <c r="I386" i="30"/>
  <c r="F54" i="55" s="1"/>
  <c r="I663" i="5"/>
  <c r="I664"/>
  <c r="F47" i="44" s="1"/>
  <c r="L386" i="30"/>
  <c r="I54" i="55" s="1"/>
  <c r="D53"/>
  <c r="I177" i="30"/>
  <c r="I178"/>
  <c r="L177"/>
  <c r="L178"/>
  <c r="G53" i="55"/>
  <c r="I731" i="5"/>
  <c r="I675"/>
  <c r="I685"/>
  <c r="F46" i="44" l="1"/>
  <c r="I736" i="5"/>
  <c r="F34" i="44" s="1"/>
  <c r="D46"/>
  <c r="I385" i="30"/>
  <c r="F53" i="55" s="1"/>
  <c r="L385" i="30"/>
  <c r="I53" i="55" s="1"/>
  <c r="D46"/>
  <c r="G46"/>
  <c r="C12" i="2"/>
  <c r="I1010" i="5" l="1"/>
  <c r="I1011"/>
  <c r="L371" i="30"/>
  <c r="I46" i="55" s="1"/>
  <c r="I734" i="5"/>
  <c r="I735"/>
  <c r="F33" i="44" s="1"/>
  <c r="I371" i="30"/>
  <c r="F46" i="55" s="1"/>
  <c r="I370" i="30"/>
  <c r="E61" i="27" s="1"/>
  <c r="F61"/>
  <c r="C56" i="2"/>
  <c r="I292" i="5"/>
  <c r="I413"/>
  <c r="I396"/>
  <c r="I615" l="1"/>
  <c r="I1009"/>
  <c r="L370" i="30"/>
  <c r="H61" i="27" s="1"/>
  <c r="I289" i="5"/>
  <c r="I291"/>
  <c r="F45" i="44" s="1"/>
  <c r="A240" i="30"/>
  <c r="I814" i="5"/>
  <c r="I838"/>
  <c r="C15" i="59"/>
  <c r="B15"/>
  <c r="I613" i="5" l="1"/>
  <c r="F23" i="44" s="1"/>
  <c r="I614" i="5"/>
  <c r="F24" i="44" s="1"/>
  <c r="I1007" i="5"/>
  <c r="I1008"/>
  <c r="I789"/>
  <c r="D45" i="44"/>
  <c r="D44" l="1"/>
  <c r="I290" i="5"/>
  <c r="F44" i="44" s="1"/>
  <c r="I788" i="5"/>
  <c r="D108" i="44"/>
  <c r="I236" i="5"/>
  <c r="I873"/>
  <c r="A65"/>
  <c r="A66"/>
  <c r="A67"/>
  <c r="A105"/>
  <c r="I29"/>
  <c r="A31"/>
  <c r="I476"/>
  <c r="B29" i="44"/>
  <c r="B114"/>
  <c r="B115"/>
  <c r="B108"/>
  <c r="B109"/>
  <c r="B110"/>
  <c r="B27"/>
  <c r="B28"/>
  <c r="B19"/>
  <c r="B20"/>
  <c r="B13"/>
  <c r="B14"/>
  <c r="F108" l="1"/>
  <c r="I787" i="5"/>
  <c r="F102" i="44"/>
  <c r="I66" i="5"/>
  <c r="I65" s="1"/>
  <c r="F107" i="44"/>
  <c r="D107"/>
  <c r="I867" i="5"/>
  <c r="I871"/>
  <c r="D102" i="44"/>
  <c r="I233" i="5"/>
  <c r="I573"/>
  <c r="D101" i="44" l="1"/>
  <c r="I64" i="5"/>
  <c r="F101" i="44" s="1"/>
  <c r="I865" i="5"/>
  <c r="I866"/>
  <c r="F50" i="44" s="1"/>
  <c r="D17" i="62"/>
  <c r="F16" i="61"/>
  <c r="H16" s="1"/>
  <c r="C16"/>
  <c r="E16" s="1"/>
  <c r="L86" i="26" l="1"/>
  <c r="L25" i="1" l="1"/>
  <c r="L20"/>
  <c r="L14"/>
  <c r="L24" l="1"/>
  <c r="E15" i="6" l="1"/>
  <c r="E16"/>
  <c r="L117" i="1"/>
  <c r="L45" l="1"/>
  <c r="B19" i="54" l="1"/>
  <c r="C13"/>
  <c r="B12"/>
  <c r="B11"/>
  <c r="F59" i="44" l="1"/>
  <c r="I906" i="5"/>
  <c r="I891"/>
  <c r="F56" i="44" s="1"/>
  <c r="I892" i="5"/>
  <c r="F55" i="44"/>
  <c r="D59"/>
  <c r="B13" i="54"/>
  <c r="I746" i="5"/>
  <c r="D56" i="44" l="1"/>
  <c r="D55"/>
  <c r="D50"/>
  <c r="D28"/>
  <c r="I1038" i="5"/>
  <c r="I1035" s="1"/>
  <c r="F17" i="52"/>
  <c r="G17" s="1"/>
  <c r="G16"/>
  <c r="G15"/>
  <c r="G14"/>
  <c r="G13"/>
  <c r="C17"/>
  <c r="D17" s="1"/>
  <c r="D16"/>
  <c r="D15"/>
  <c r="D14"/>
  <c r="D13"/>
  <c r="D105" i="44" l="1"/>
  <c r="I745" i="5"/>
  <c r="F105" i="44" s="1"/>
  <c r="C17" i="51"/>
  <c r="D16"/>
  <c r="D15"/>
  <c r="D14"/>
  <c r="D13"/>
  <c r="C79" i="27"/>
  <c r="C74"/>
  <c r="C75"/>
  <c r="C76"/>
  <c r="E13" i="48"/>
  <c r="E35"/>
  <c r="E36"/>
  <c r="E39"/>
  <c r="E40"/>
  <c r="E42"/>
  <c r="A207" i="30"/>
  <c r="A209"/>
  <c r="A185"/>
  <c r="L32"/>
  <c r="I32"/>
  <c r="A32"/>
  <c r="A33"/>
  <c r="A34"/>
  <c r="I775" i="5" l="1"/>
  <c r="F63" i="44" s="1"/>
  <c r="I776" i="5"/>
  <c r="D104" i="44"/>
  <c r="I744" i="5"/>
  <c r="F104" i="44" s="1"/>
  <c r="I1033" i="5"/>
  <c r="I1034"/>
  <c r="I774"/>
  <c r="F62" i="44" s="1"/>
  <c r="D63"/>
  <c r="I1032" i="5"/>
  <c r="D17" i="51"/>
  <c r="D62" i="44" l="1"/>
  <c r="I641" i="5"/>
  <c r="I671"/>
  <c r="I631"/>
  <c r="E11" i="6" l="1"/>
  <c r="I533" i="5"/>
  <c r="I506"/>
  <c r="I494"/>
  <c r="I482"/>
  <c r="I479"/>
  <c r="I459"/>
  <c r="I440" l="1"/>
  <c r="D36" i="44"/>
  <c r="I439" i="5" l="1"/>
  <c r="I90"/>
  <c r="A92"/>
  <c r="A91"/>
  <c r="A29"/>
  <c r="A30"/>
  <c r="A24"/>
  <c r="A26"/>
  <c r="F36" i="44" l="1"/>
  <c r="I438" i="5"/>
  <c r="G51" i="48"/>
  <c r="G50"/>
  <c r="F60" i="44" l="1"/>
  <c r="I919" i="5"/>
  <c r="D60" i="44"/>
  <c r="I497" i="5"/>
  <c r="I484"/>
  <c r="D61" i="44" l="1"/>
  <c r="I991" i="5"/>
  <c r="I491"/>
  <c r="I925" l="1"/>
  <c r="F61" i="44" s="1"/>
  <c r="L44" i="1"/>
  <c r="F58" i="44" l="1"/>
  <c r="D58"/>
  <c r="D16" i="24"/>
  <c r="D15"/>
  <c r="D14"/>
  <c r="D13"/>
  <c r="I863" i="5" l="1"/>
  <c r="E61" i="2" s="1"/>
  <c r="I864" i="5"/>
  <c r="I42" i="48"/>
  <c r="I40"/>
  <c r="I39"/>
  <c r="I36"/>
  <c r="I35"/>
  <c r="I28"/>
  <c r="I13"/>
  <c r="H42"/>
  <c r="H40"/>
  <c r="H39"/>
  <c r="H36"/>
  <c r="H35"/>
  <c r="H13"/>
  <c r="G42"/>
  <c r="G40"/>
  <c r="G39"/>
  <c r="G36"/>
  <c r="G35"/>
  <c r="G28"/>
  <c r="G13"/>
  <c r="F42"/>
  <c r="F40"/>
  <c r="F39"/>
  <c r="F36"/>
  <c r="F35"/>
  <c r="F28"/>
  <c r="F13"/>
  <c r="D42"/>
  <c r="D40"/>
  <c r="D39"/>
  <c r="D36"/>
  <c r="D35"/>
  <c r="D28"/>
  <c r="D13"/>
  <c r="C120" i="27"/>
  <c r="C119"/>
  <c r="C116"/>
  <c r="C113"/>
  <c r="C112"/>
  <c r="C110"/>
  <c r="C108"/>
  <c r="C107"/>
  <c r="C106"/>
  <c r="C104"/>
  <c r="C95"/>
  <c r="C94"/>
  <c r="C93"/>
  <c r="C92"/>
  <c r="C91"/>
  <c r="C90"/>
  <c r="C89"/>
  <c r="C88"/>
  <c r="C87"/>
  <c r="C84"/>
  <c r="C83"/>
  <c r="C77"/>
  <c r="C70"/>
  <c r="C69"/>
  <c r="C68"/>
  <c r="C67"/>
  <c r="C66"/>
  <c r="C63"/>
  <c r="C62"/>
  <c r="C60"/>
  <c r="C57"/>
  <c r="C56"/>
  <c r="C53"/>
  <c r="C50"/>
  <c r="C49"/>
  <c r="C47"/>
  <c r="C45"/>
  <c r="C44"/>
  <c r="C43"/>
  <c r="C42"/>
  <c r="C41"/>
  <c r="C40"/>
  <c r="C39"/>
  <c r="C38"/>
  <c r="C37"/>
  <c r="C36"/>
  <c r="C34"/>
  <c r="C32"/>
  <c r="C31"/>
  <c r="C30"/>
  <c r="C29"/>
  <c r="C28"/>
  <c r="C27"/>
  <c r="C24"/>
  <c r="L352" i="30"/>
  <c r="L345"/>
  <c r="L341"/>
  <c r="L333"/>
  <c r="L313"/>
  <c r="L302"/>
  <c r="L288"/>
  <c r="L286"/>
  <c r="L271"/>
  <c r="L269"/>
  <c r="L267"/>
  <c r="L261"/>
  <c r="L243"/>
  <c r="L241"/>
  <c r="L236"/>
  <c r="L219"/>
  <c r="L173"/>
  <c r="L155"/>
  <c r="L152"/>
  <c r="L150"/>
  <c r="L148"/>
  <c r="L133"/>
  <c r="G30" i="55"/>
  <c r="L107" i="30"/>
  <c r="L105"/>
  <c r="L103"/>
  <c r="L101"/>
  <c r="L99"/>
  <c r="L93"/>
  <c r="L91"/>
  <c r="L89"/>
  <c r="L38"/>
  <c r="L35"/>
  <c r="L24"/>
  <c r="L13"/>
  <c r="G45" i="48"/>
  <c r="G47"/>
  <c r="I416" i="30"/>
  <c r="I345"/>
  <c r="I341"/>
  <c r="I288"/>
  <c r="I286"/>
  <c r="I271"/>
  <c r="I269"/>
  <c r="I267"/>
  <c r="I243"/>
  <c r="I241"/>
  <c r="I219"/>
  <c r="I155"/>
  <c r="I152"/>
  <c r="I150"/>
  <c r="I148"/>
  <c r="I133"/>
  <c r="I107"/>
  <c r="I105"/>
  <c r="I103"/>
  <c r="I101"/>
  <c r="I99"/>
  <c r="I93"/>
  <c r="I91"/>
  <c r="I89"/>
  <c r="C35" i="27"/>
  <c r="I38" i="30"/>
  <c r="I35"/>
  <c r="C14" i="27"/>
  <c r="I17" i="30"/>
  <c r="D45" i="48"/>
  <c r="D37"/>
  <c r="C120" i="2"/>
  <c r="C119"/>
  <c r="C116"/>
  <c r="C113"/>
  <c r="C112"/>
  <c r="C110"/>
  <c r="C108"/>
  <c r="C107"/>
  <c r="C106"/>
  <c r="C104"/>
  <c r="C101"/>
  <c r="C95"/>
  <c r="C94"/>
  <c r="C93"/>
  <c r="C92"/>
  <c r="C91"/>
  <c r="C90"/>
  <c r="C89"/>
  <c r="C88"/>
  <c r="C87"/>
  <c r="C84"/>
  <c r="C83"/>
  <c r="C79"/>
  <c r="C77"/>
  <c r="C76"/>
  <c r="C75"/>
  <c r="C74"/>
  <c r="C69"/>
  <c r="C68"/>
  <c r="C67"/>
  <c r="C66"/>
  <c r="C63"/>
  <c r="C62"/>
  <c r="C60"/>
  <c r="C57"/>
  <c r="C53"/>
  <c r="C52"/>
  <c r="C50"/>
  <c r="C49"/>
  <c r="C47"/>
  <c r="C45"/>
  <c r="C44"/>
  <c r="C43"/>
  <c r="C42"/>
  <c r="C41"/>
  <c r="C39"/>
  <c r="C38"/>
  <c r="C37"/>
  <c r="C36"/>
  <c r="C34"/>
  <c r="C32"/>
  <c r="C31"/>
  <c r="C30"/>
  <c r="C29"/>
  <c r="C28"/>
  <c r="C27"/>
  <c r="C25"/>
  <c r="C24"/>
  <c r="C21"/>
  <c r="C19"/>
  <c r="C18"/>
  <c r="C17"/>
  <c r="C16"/>
  <c r="C10"/>
  <c r="I1050" i="5"/>
  <c r="I1046"/>
  <c r="I806"/>
  <c r="I772"/>
  <c r="I750"/>
  <c r="I723"/>
  <c r="I679"/>
  <c r="I673"/>
  <c r="I649"/>
  <c r="I645"/>
  <c r="I643"/>
  <c r="I635"/>
  <c r="I633"/>
  <c r="I603"/>
  <c r="I601"/>
  <c r="I596"/>
  <c r="I591"/>
  <c r="I556"/>
  <c r="I489"/>
  <c r="I487"/>
  <c r="I466"/>
  <c r="I428"/>
  <c r="I405"/>
  <c r="I402"/>
  <c r="I400"/>
  <c r="I355"/>
  <c r="I353"/>
  <c r="I307"/>
  <c r="I305"/>
  <c r="I303"/>
  <c r="I301"/>
  <c r="I295"/>
  <c r="I287"/>
  <c r="I281"/>
  <c r="I279"/>
  <c r="I277"/>
  <c r="I275"/>
  <c r="I269"/>
  <c r="I261"/>
  <c r="I259"/>
  <c r="I229"/>
  <c r="I227"/>
  <c r="I223"/>
  <c r="I96"/>
  <c r="I93"/>
  <c r="I50"/>
  <c r="I44"/>
  <c r="I22"/>
  <c r="I13"/>
  <c r="B21" i="25"/>
  <c r="E23" i="6"/>
  <c r="L50" i="26"/>
  <c r="L45"/>
  <c r="L35"/>
  <c r="L30"/>
  <c r="L24"/>
  <c r="L20"/>
  <c r="L16"/>
  <c r="L14"/>
  <c r="L12"/>
  <c r="L30" i="1"/>
  <c r="L23"/>
  <c r="L16"/>
  <c r="L12"/>
  <c r="I670" i="5" l="1"/>
  <c r="I669" s="1"/>
  <c r="B33" i="25"/>
  <c r="I222" i="5"/>
  <c r="L295" i="30"/>
  <c r="L294" s="1"/>
  <c r="E13" i="6"/>
  <c r="I389" i="5"/>
  <c r="I390"/>
  <c r="I988"/>
  <c r="I132"/>
  <c r="F83" i="44" s="1"/>
  <c r="I139" i="5"/>
  <c r="I241"/>
  <c r="I242"/>
  <c r="I757"/>
  <c r="I756" s="1"/>
  <c r="I842"/>
  <c r="I837" s="1"/>
  <c r="I653"/>
  <c r="I829"/>
  <c r="I813" s="1"/>
  <c r="F68" i="44" s="1"/>
  <c r="I457" i="5"/>
  <c r="I458"/>
  <c r="I527"/>
  <c r="I524" s="1"/>
  <c r="I1005"/>
  <c r="E11" i="13"/>
  <c r="E20" s="1"/>
  <c r="I55" i="5"/>
  <c r="I568"/>
  <c r="F93" i="44" s="1"/>
  <c r="I569" i="5"/>
  <c r="I165" i="30"/>
  <c r="D127" i="55"/>
  <c r="I352" i="30"/>
  <c r="D90" i="55"/>
  <c r="I228" i="30"/>
  <c r="L432"/>
  <c r="L435"/>
  <c r="I13"/>
  <c r="L415"/>
  <c r="L416"/>
  <c r="D19" i="55"/>
  <c r="I277" i="30"/>
  <c r="D88" i="55"/>
  <c r="I236" i="30"/>
  <c r="I72"/>
  <c r="I73"/>
  <c r="D41" i="55"/>
  <c r="I211" i="30"/>
  <c r="I333"/>
  <c r="I173"/>
  <c r="I312"/>
  <c r="I313"/>
  <c r="G90" i="55"/>
  <c r="L228" i="30"/>
  <c r="G19" i="55"/>
  <c r="L277" i="30"/>
  <c r="D18" i="55"/>
  <c r="I261" i="30"/>
  <c r="I302"/>
  <c r="I295"/>
  <c r="I294" s="1"/>
  <c r="I432"/>
  <c r="I435"/>
  <c r="L72"/>
  <c r="L73"/>
  <c r="G41" i="55"/>
  <c r="L211" i="30"/>
  <c r="L16"/>
  <c r="L17"/>
  <c r="L111"/>
  <c r="L112"/>
  <c r="I30" i="55" s="1"/>
  <c r="I24" i="30"/>
  <c r="G21" i="55"/>
  <c r="D21"/>
  <c r="G31"/>
  <c r="D31"/>
  <c r="I170" i="30"/>
  <c r="I97"/>
  <c r="I1002" i="5"/>
  <c r="D53" i="44"/>
  <c r="D66" i="55"/>
  <c r="G66"/>
  <c r="I805" i="5"/>
  <c r="F66" i="44" s="1"/>
  <c r="D68"/>
  <c r="I771" i="5"/>
  <c r="F51" i="44" s="1"/>
  <c r="D83"/>
  <c r="I76" i="5"/>
  <c r="I1045"/>
  <c r="D93" i="44"/>
  <c r="I48" i="5"/>
  <c r="F94" i="44" s="1"/>
  <c r="D34"/>
  <c r="D12" i="55"/>
  <c r="G12"/>
  <c r="D26"/>
  <c r="D30"/>
  <c r="D87"/>
  <c r="I254" i="5"/>
  <c r="G87" i="55"/>
  <c r="E45" i="48"/>
  <c r="I437" i="5"/>
  <c r="I294"/>
  <c r="I595"/>
  <c r="F91" i="44" s="1"/>
  <c r="I590" i="5"/>
  <c r="F130" i="44" s="1"/>
  <c r="I43" i="5"/>
  <c r="I268"/>
  <c r="I465"/>
  <c r="F42" i="44" s="1"/>
  <c r="I786" i="5"/>
  <c r="E54" i="2" s="1"/>
  <c r="L23" i="30"/>
  <c r="G40" i="55"/>
  <c r="L312" i="30"/>
  <c r="L301"/>
  <c r="G18" i="55"/>
  <c r="G127"/>
  <c r="G88"/>
  <c r="E19" i="48"/>
  <c r="E48"/>
  <c r="E38"/>
  <c r="E34"/>
  <c r="E43"/>
  <c r="E30"/>
  <c r="E32"/>
  <c r="E27"/>
  <c r="E21"/>
  <c r="D33" i="44"/>
  <c r="D24"/>
  <c r="C86" i="2"/>
  <c r="D38" i="48"/>
  <c r="G41"/>
  <c r="G43"/>
  <c r="G19"/>
  <c r="G29"/>
  <c r="D43"/>
  <c r="D34"/>
  <c r="G31"/>
  <c r="G32"/>
  <c r="G26"/>
  <c r="G27"/>
  <c r="H30"/>
  <c r="D20"/>
  <c r="D21"/>
  <c r="D19"/>
  <c r="D30"/>
  <c r="D27"/>
  <c r="G37"/>
  <c r="G38"/>
  <c r="G34"/>
  <c r="G20"/>
  <c r="G21"/>
  <c r="H32"/>
  <c r="H43"/>
  <c r="G30"/>
  <c r="G48"/>
  <c r="H19"/>
  <c r="H21"/>
  <c r="C86" i="27"/>
  <c r="C65"/>
  <c r="C33"/>
  <c r="G11" i="48"/>
  <c r="G46"/>
  <c r="G28" i="55"/>
  <c r="D28"/>
  <c r="I216" i="30"/>
  <c r="C105" i="27"/>
  <c r="C103" s="1"/>
  <c r="D32" i="48"/>
  <c r="G16"/>
  <c r="D11"/>
  <c r="D46"/>
  <c r="D44"/>
  <c r="E12"/>
  <c r="D48"/>
  <c r="D23"/>
  <c r="I749" i="5"/>
  <c r="D85" i="44"/>
  <c r="E10" i="6"/>
  <c r="L43" i="1"/>
  <c r="I224" i="30" l="1"/>
  <c r="L11" i="26"/>
  <c r="D39" i="55"/>
  <c r="F39"/>
  <c r="G39"/>
  <c r="G26"/>
  <c r="I171" i="30"/>
  <c r="D40" i="55"/>
  <c r="L203" i="30"/>
  <c r="I169"/>
  <c r="E98" i="27" s="1"/>
  <c r="I234" i="30"/>
  <c r="I112"/>
  <c r="F30" i="55" s="1"/>
  <c r="I11" i="30"/>
  <c r="C11" i="27"/>
  <c r="I565" i="5"/>
  <c r="I566"/>
  <c r="I147" i="30"/>
  <c r="F28" i="55" s="1"/>
  <c r="I11" i="5"/>
  <c r="I12"/>
  <c r="D90" i="44"/>
  <c r="I600" i="5"/>
  <c r="F90" i="44" s="1"/>
  <c r="I225" i="30"/>
  <c r="I88"/>
  <c r="D35" i="44"/>
  <c r="I285" i="5"/>
  <c r="F35" i="44" s="1"/>
  <c r="D67"/>
  <c r="I812" i="5"/>
  <c r="F67" i="44" s="1"/>
  <c r="I474" i="5"/>
  <c r="I475"/>
  <c r="I640"/>
  <c r="F12" i="44" s="1"/>
  <c r="L285" i="30"/>
  <c r="I21" i="55" s="1"/>
  <c r="L210" i="30"/>
  <c r="I41" i="55" s="1"/>
  <c r="L235" i="30"/>
  <c r="I88" i="55" s="1"/>
  <c r="L12" i="30"/>
  <c r="G126" i="55"/>
  <c r="L172" i="30"/>
  <c r="I40" i="55" s="1"/>
  <c r="I425" i="5"/>
  <c r="I427"/>
  <c r="L43" i="26"/>
  <c r="L44"/>
  <c r="I394" i="5"/>
  <c r="I395"/>
  <c r="F29" i="44" s="1"/>
  <c r="L88" i="30"/>
  <c r="I722" i="5"/>
  <c r="F22" i="44" s="1"/>
  <c r="C13" i="2"/>
  <c r="I15" i="5"/>
  <c r="I273"/>
  <c r="I274"/>
  <c r="F27" i="44" s="1"/>
  <c r="F20"/>
  <c r="D19"/>
  <c r="I630" i="5"/>
  <c r="F19" i="44" s="1"/>
  <c r="I12" i="30"/>
  <c r="D126" i="55"/>
  <c r="I227" i="30"/>
  <c r="F90" i="55" s="1"/>
  <c r="D97" i="44"/>
  <c r="I54" i="5"/>
  <c r="F97" i="44" s="1"/>
  <c r="I1004" i="5"/>
  <c r="F53" i="44" s="1"/>
  <c r="I651" i="5"/>
  <c r="I652"/>
  <c r="L260" i="30"/>
  <c r="I18" i="55" s="1"/>
  <c r="I455" i="5"/>
  <c r="I456"/>
  <c r="I214"/>
  <c r="I299"/>
  <c r="I300"/>
  <c r="F31" i="44" s="1"/>
  <c r="I164" i="30"/>
  <c r="I285"/>
  <c r="F21" i="55" s="1"/>
  <c r="I260" i="30"/>
  <c r="F18" i="55" s="1"/>
  <c r="L227" i="30"/>
  <c r="I90" i="55" s="1"/>
  <c r="I172" i="30"/>
  <c r="F40" i="55" s="1"/>
  <c r="I258" i="30"/>
  <c r="L147"/>
  <c r="I28" i="55" s="1"/>
  <c r="L36" i="1"/>
  <c r="L165" i="30"/>
  <c r="D92" i="44"/>
  <c r="I567" i="5"/>
  <c r="F92" i="44" s="1"/>
  <c r="D37"/>
  <c r="I286" i="5"/>
  <c r="F37" i="44" s="1"/>
  <c r="I131" i="5"/>
  <c r="F82" i="44" s="1"/>
  <c r="I348" i="5"/>
  <c r="F32" i="44" s="1"/>
  <c r="I548" i="5"/>
  <c r="I549"/>
  <c r="I210" i="30"/>
  <c r="F41" i="55" s="1"/>
  <c r="I982" i="5"/>
  <c r="E64" i="2" s="1"/>
  <c r="E59" s="1"/>
  <c r="I987" i="5"/>
  <c r="I430" i="30"/>
  <c r="I203"/>
  <c r="C52" i="27"/>
  <c r="I311" i="30"/>
  <c r="E51" i="27" s="1"/>
  <c r="I351" i="30"/>
  <c r="F127" i="55" s="1"/>
  <c r="L127" i="30"/>
  <c r="L132"/>
  <c r="I31" i="55" s="1"/>
  <c r="L31" i="30"/>
  <c r="L26" s="1"/>
  <c r="L240"/>
  <c r="I87" i="55" s="1"/>
  <c r="I163" i="30"/>
  <c r="L276"/>
  <c r="I19" i="55" s="1"/>
  <c r="I276" i="30"/>
  <c r="F19" i="55" s="1"/>
  <c r="L351" i="30"/>
  <c r="I127" i="55" s="1"/>
  <c r="C115" i="27"/>
  <c r="C114" s="1"/>
  <c r="I233" i="30"/>
  <c r="E115" i="27" s="1"/>
  <c r="E114" s="1"/>
  <c r="I127" i="30"/>
  <c r="I132"/>
  <c r="F31" i="55" s="1"/>
  <c r="C20" i="27"/>
  <c r="I23" i="30"/>
  <c r="I235"/>
  <c r="F88" i="55" s="1"/>
  <c r="I266" i="30"/>
  <c r="F12" i="55" s="1"/>
  <c r="I96" i="30"/>
  <c r="I98"/>
  <c r="I415"/>
  <c r="L215"/>
  <c r="L216"/>
  <c r="I70"/>
  <c r="I71"/>
  <c r="I31"/>
  <c r="I26" s="1"/>
  <c r="L264"/>
  <c r="L266"/>
  <c r="I12" i="55" s="1"/>
  <c r="I340" i="30"/>
  <c r="F66" i="55" s="1"/>
  <c r="L96" i="30"/>
  <c r="L98"/>
  <c r="I16"/>
  <c r="I301"/>
  <c r="I240"/>
  <c r="F87" i="55" s="1"/>
  <c r="G65"/>
  <c r="L340" i="30"/>
  <c r="I66" i="55" s="1"/>
  <c r="D14" i="44"/>
  <c r="L97" i="30"/>
  <c r="I257"/>
  <c r="L284"/>
  <c r="I284"/>
  <c r="D11" i="55"/>
  <c r="G11"/>
  <c r="L234" i="30"/>
  <c r="G89" i="55"/>
  <c r="I215" i="30"/>
  <c r="L171"/>
  <c r="I146"/>
  <c r="L146"/>
  <c r="I111"/>
  <c r="D20" i="44"/>
  <c r="I464" i="5"/>
  <c r="D42" i="44"/>
  <c r="D43"/>
  <c r="H27" i="48"/>
  <c r="L176" i="30"/>
  <c r="D66" i="44"/>
  <c r="D41"/>
  <c r="D51"/>
  <c r="D82"/>
  <c r="I426" i="5"/>
  <c r="D27" i="44"/>
  <c r="I594" i="5"/>
  <c r="D91" i="44"/>
  <c r="D94"/>
  <c r="H34" i="48"/>
  <c r="C26" i="27"/>
  <c r="C23" s="1"/>
  <c r="E28" i="48"/>
  <c r="H28"/>
  <c r="L239" i="30"/>
  <c r="I239"/>
  <c r="I598" i="5"/>
  <c r="E118" i="2" s="1"/>
  <c r="E117" s="1"/>
  <c r="I599" i="5"/>
  <c r="H48" i="48"/>
  <c r="E16"/>
  <c r="E31"/>
  <c r="E47"/>
  <c r="H38"/>
  <c r="E37"/>
  <c r="E11"/>
  <c r="E20"/>
  <c r="H12"/>
  <c r="I589" i="5"/>
  <c r="E26" i="2" s="1"/>
  <c r="E23" s="1"/>
  <c r="I42" i="5"/>
  <c r="E20" i="2" s="1"/>
  <c r="C40"/>
  <c r="I748" i="5"/>
  <c r="E111" i="2" s="1"/>
  <c r="E109" s="1"/>
  <c r="I298" i="5"/>
  <c r="D12" i="44"/>
  <c r="I593" i="5"/>
  <c r="E115" i="2" s="1"/>
  <c r="E114" s="1"/>
  <c r="D23" i="44"/>
  <c r="I47" i="5"/>
  <c r="D130" i="44"/>
  <c r="I393" i="5"/>
  <c r="I1001"/>
  <c r="D32" i="44"/>
  <c r="C61" i="27"/>
  <c r="F45" i="48"/>
  <c r="F20"/>
  <c r="F29"/>
  <c r="F19"/>
  <c r="F27"/>
  <c r="F30"/>
  <c r="F33"/>
  <c r="F37"/>
  <c r="F21"/>
  <c r="F34"/>
  <c r="F38"/>
  <c r="F43"/>
  <c r="F41"/>
  <c r="H47"/>
  <c r="L214" i="30"/>
  <c r="F115" i="27"/>
  <c r="F114" s="1"/>
  <c r="F51"/>
  <c r="H25" i="48"/>
  <c r="L300" i="30"/>
  <c r="L145"/>
  <c r="L431"/>
  <c r="F64" i="27"/>
  <c r="F59" s="1"/>
  <c r="H45" i="48"/>
  <c r="L110" i="30"/>
  <c r="L170"/>
  <c r="H16" i="48"/>
  <c r="H31"/>
  <c r="F111" i="27"/>
  <c r="F109" s="1"/>
  <c r="E46" i="48"/>
  <c r="E23"/>
  <c r="E25"/>
  <c r="E18"/>
  <c r="C51" i="27"/>
  <c r="E41" i="48"/>
  <c r="E15"/>
  <c r="H51"/>
  <c r="C48" i="27"/>
  <c r="E29" i="48"/>
  <c r="E33"/>
  <c r="E22"/>
  <c r="H50"/>
  <c r="D129" i="44"/>
  <c r="D78"/>
  <c r="D11"/>
  <c r="C97" i="2"/>
  <c r="I612" i="5"/>
  <c r="D30" i="44"/>
  <c r="F51" i="48"/>
  <c r="D22" i="44"/>
  <c r="D17"/>
  <c r="D12" i="48"/>
  <c r="D16"/>
  <c r="H46"/>
  <c r="C98" i="27"/>
  <c r="G25" i="48"/>
  <c r="D25"/>
  <c r="D15"/>
  <c r="H41"/>
  <c r="G17"/>
  <c r="G33"/>
  <c r="D26"/>
  <c r="D29"/>
  <c r="D18"/>
  <c r="G22"/>
  <c r="H18"/>
  <c r="H23"/>
  <c r="G12"/>
  <c r="G44"/>
  <c r="H11"/>
  <c r="G15"/>
  <c r="H29"/>
  <c r="H22"/>
  <c r="G10"/>
  <c r="D33"/>
  <c r="D41"/>
  <c r="F12"/>
  <c r="H15"/>
  <c r="G18"/>
  <c r="G23"/>
  <c r="D10"/>
  <c r="D22"/>
  <c r="D31"/>
  <c r="E11" i="27" l="1"/>
  <c r="I300" i="30"/>
  <c r="E97" i="2"/>
  <c r="F13" i="44"/>
  <c r="L202" i="30"/>
  <c r="L113" i="26"/>
  <c r="G25" i="55"/>
  <c r="I39"/>
  <c r="D38"/>
  <c r="D25"/>
  <c r="F86"/>
  <c r="G38"/>
  <c r="F26"/>
  <c r="I226" i="30"/>
  <c r="F89" i="55" s="1"/>
  <c r="D89"/>
  <c r="G37"/>
  <c r="G17"/>
  <c r="G86"/>
  <c r="D62"/>
  <c r="D65"/>
  <c r="D17"/>
  <c r="F38"/>
  <c r="I26"/>
  <c r="D86"/>
  <c r="F99" i="27"/>
  <c r="I202" i="30"/>
  <c r="G62" i="55"/>
  <c r="L257" i="30"/>
  <c r="E13" i="2"/>
  <c r="L201" i="30"/>
  <c r="E11" i="2"/>
  <c r="F41" i="44"/>
  <c r="L11" i="30"/>
  <c r="F11" i="27"/>
  <c r="L22" i="30"/>
  <c r="H20" i="27" s="1"/>
  <c r="F20"/>
  <c r="C13"/>
  <c r="D13" i="44"/>
  <c r="D40"/>
  <c r="L224" i="30"/>
  <c r="L15"/>
  <c r="H13" i="27" s="1"/>
  <c r="F13"/>
  <c r="C15"/>
  <c r="F22"/>
  <c r="E22"/>
  <c r="C22"/>
  <c r="F14" i="44"/>
  <c r="I201" i="30"/>
  <c r="I431"/>
  <c r="E15" i="27" s="1"/>
  <c r="E21" i="6"/>
  <c r="L169" i="1"/>
  <c r="I1043" i="5"/>
  <c r="I1044"/>
  <c r="E15" i="2" s="1"/>
  <c r="I87" i="30"/>
  <c r="F25" i="55" s="1"/>
  <c r="L258" i="30"/>
  <c r="F126" i="55"/>
  <c r="I251" i="5"/>
  <c r="E72" i="2" s="1"/>
  <c r="I252" i="5"/>
  <c r="I472"/>
  <c r="E99" i="2" s="1"/>
  <c r="I473" i="5"/>
  <c r="I627"/>
  <c r="I628"/>
  <c r="D26" i="44"/>
  <c r="I253" i="5"/>
  <c r="D49" i="44"/>
  <c r="I770" i="5"/>
  <c r="F49" i="44" s="1"/>
  <c r="L164" i="30"/>
  <c r="I38" i="55" s="1"/>
  <c r="D18" i="44"/>
  <c r="I629" i="5"/>
  <c r="I259" i="30"/>
  <c r="I325" i="5"/>
  <c r="F129" i="44"/>
  <c r="I547" i="5"/>
  <c r="I541" s="1"/>
  <c r="E102" i="2" s="1"/>
  <c r="I213" i="5"/>
  <c r="I240"/>
  <c r="D48" i="44"/>
  <c r="I769" i="5"/>
  <c r="F48" i="44" s="1"/>
  <c r="I462" i="5"/>
  <c r="E98" i="2" s="1"/>
  <c r="I463" i="5"/>
  <c r="L163" i="30"/>
  <c r="I37" i="55" s="1"/>
  <c r="D96" i="44"/>
  <c r="I53" i="5"/>
  <c r="F96" i="44" s="1"/>
  <c r="D95"/>
  <c r="I49" i="5"/>
  <c r="F95" i="44" s="1"/>
  <c r="I804" i="5"/>
  <c r="F65" i="44" s="1"/>
  <c r="I668" i="5"/>
  <c r="I667" s="1"/>
  <c r="E82" i="2" s="1"/>
  <c r="I339" i="30"/>
  <c r="F65" i="55" s="1"/>
  <c r="D52" i="44"/>
  <c r="I1003" i="5"/>
  <c r="F52" i="44" s="1"/>
  <c r="I718" i="5"/>
  <c r="I639"/>
  <c r="F11" i="44" s="1"/>
  <c r="F89"/>
  <c r="I126" i="55"/>
  <c r="E19" i="28"/>
  <c r="L87" i="30"/>
  <c r="I25" i="55" s="1"/>
  <c r="L225" i="30"/>
  <c r="I86" i="55" s="1"/>
  <c r="I271" i="5"/>
  <c r="I272"/>
  <c r="L339" i="30"/>
  <c r="I65" i="55" s="1"/>
  <c r="I523" i="5"/>
  <c r="F40" i="44" s="1"/>
  <c r="I122" i="5"/>
  <c r="I123"/>
  <c r="F78" i="44" s="1"/>
  <c r="I109" i="30"/>
  <c r="I110"/>
  <c r="C64" i="27"/>
  <c r="C59" s="1"/>
  <c r="I414" i="30"/>
  <c r="E64" i="27" s="1"/>
  <c r="E59" s="1"/>
  <c r="L274" i="30"/>
  <c r="L275"/>
  <c r="I263"/>
  <c r="L70"/>
  <c r="L71"/>
  <c r="L226"/>
  <c r="I89" i="55" s="1"/>
  <c r="L265" i="30"/>
  <c r="I11" i="55" s="1"/>
  <c r="I176" i="30"/>
  <c r="I265"/>
  <c r="F11" i="55" s="1"/>
  <c r="I275" i="30"/>
  <c r="C111" i="27"/>
  <c r="C109" s="1"/>
  <c r="I293" i="30"/>
  <c r="E111" i="27" s="1"/>
  <c r="E109" s="1"/>
  <c r="C73"/>
  <c r="I95" i="30"/>
  <c r="E73" i="27" s="1"/>
  <c r="F85"/>
  <c r="L283" i="30"/>
  <c r="I144"/>
  <c r="I145"/>
  <c r="I214"/>
  <c r="I264"/>
  <c r="L233"/>
  <c r="H115" i="27" s="1"/>
  <c r="H114" s="1"/>
  <c r="L259" i="30"/>
  <c r="I162"/>
  <c r="E97" i="27" s="1"/>
  <c r="C97"/>
  <c r="L293" i="30"/>
  <c r="H111" i="27" s="1"/>
  <c r="H109" s="1"/>
  <c r="L414" i="30"/>
  <c r="H64" i="27" s="1"/>
  <c r="H59" s="1"/>
  <c r="L311" i="30"/>
  <c r="H51" i="27" s="1"/>
  <c r="I15" i="30"/>
  <c r="E13" i="27" s="1"/>
  <c r="I22" i="30"/>
  <c r="E20" i="27" s="1"/>
  <c r="C99"/>
  <c r="I175" i="30"/>
  <c r="E99" i="27" s="1"/>
  <c r="I282" i="30"/>
  <c r="E85" i="27" s="1"/>
  <c r="I283" i="30"/>
  <c r="D24" i="55"/>
  <c r="D65" i="44"/>
  <c r="D64"/>
  <c r="F118" i="27"/>
  <c r="F117" s="1"/>
  <c r="I238" i="30"/>
  <c r="E118" i="27" s="1"/>
  <c r="E117" s="1"/>
  <c r="I564" i="5"/>
  <c r="C15" i="2"/>
  <c r="D89" i="44"/>
  <c r="H17" i="48"/>
  <c r="E17"/>
  <c r="C73" i="2"/>
  <c r="E26" i="48"/>
  <c r="E24"/>
  <c r="C54" i="27"/>
  <c r="C26" i="2"/>
  <c r="C23" s="1"/>
  <c r="D25" i="44"/>
  <c r="I392" i="5"/>
  <c r="C20" i="2"/>
  <c r="D10" i="44"/>
  <c r="C118" i="2"/>
  <c r="C117" s="1"/>
  <c r="C115"/>
  <c r="C114" s="1"/>
  <c r="I297" i="5"/>
  <c r="I424"/>
  <c r="E105" i="2" s="1"/>
  <c r="E103" s="1"/>
  <c r="C64"/>
  <c r="D31" i="44"/>
  <c r="C11" i="2"/>
  <c r="C111"/>
  <c r="C109" s="1"/>
  <c r="C70"/>
  <c r="C65" s="1"/>
  <c r="D29" i="44"/>
  <c r="F32" i="48"/>
  <c r="F46"/>
  <c r="F11"/>
  <c r="F48"/>
  <c r="F26"/>
  <c r="F44"/>
  <c r="F25"/>
  <c r="F16"/>
  <c r="H24"/>
  <c r="F98" i="27"/>
  <c r="H33" i="48"/>
  <c r="H37"/>
  <c r="F97" i="27"/>
  <c r="H26" i="48"/>
  <c r="L430" i="30"/>
  <c r="H20" i="48"/>
  <c r="L263" i="30"/>
  <c r="E14" i="48"/>
  <c r="F50"/>
  <c r="E44"/>
  <c r="E10"/>
  <c r="C35" i="2"/>
  <c r="C33" s="1"/>
  <c r="H10" i="48"/>
  <c r="D21" i="44"/>
  <c r="D16"/>
  <c r="F15" i="48"/>
  <c r="F18"/>
  <c r="F23"/>
  <c r="D17"/>
  <c r="D47"/>
  <c r="D24"/>
  <c r="D14"/>
  <c r="G24"/>
  <c r="H44"/>
  <c r="G14"/>
  <c r="H14"/>
  <c r="F10"/>
  <c r="F22"/>
  <c r="I17" i="55" l="1"/>
  <c r="H11" i="27"/>
  <c r="L10" i="30"/>
  <c r="I10"/>
  <c r="I330"/>
  <c r="F62" i="55" s="1"/>
  <c r="L329" i="30"/>
  <c r="H55" i="27" s="1"/>
  <c r="H46" s="1"/>
  <c r="F37" i="55"/>
  <c r="L175" i="30"/>
  <c r="H99" i="27" s="1"/>
  <c r="L330" i="30"/>
  <c r="I62" i="55" s="1"/>
  <c r="F17"/>
  <c r="G24"/>
  <c r="D37"/>
  <c r="I10"/>
  <c r="G10"/>
  <c r="F100" i="27"/>
  <c r="I161" i="30"/>
  <c r="I126"/>
  <c r="H15" i="27"/>
  <c r="F15"/>
  <c r="F9" s="1"/>
  <c r="E100"/>
  <c r="E73" i="2"/>
  <c r="C9" i="27"/>
  <c r="C85"/>
  <c r="E9"/>
  <c r="L126" i="30"/>
  <c r="H22" i="27"/>
  <c r="E78"/>
  <c r="F82"/>
  <c r="F81" s="1"/>
  <c r="I522" i="5"/>
  <c r="I324"/>
  <c r="F18" i="44"/>
  <c r="I768" i="5"/>
  <c r="I712"/>
  <c r="E85" i="2" s="1"/>
  <c r="E81" s="1"/>
  <c r="I713" i="5"/>
  <c r="I802"/>
  <c r="E55" i="2" s="1"/>
  <c r="I803" i="5"/>
  <c r="F64" i="44" s="1"/>
  <c r="I105" i="5"/>
  <c r="E51" i="2" s="1"/>
  <c r="C22"/>
  <c r="C9" s="1"/>
  <c r="I46" i="5"/>
  <c r="L84" i="30"/>
  <c r="D39" i="44"/>
  <c r="D128" s="1"/>
  <c r="F26"/>
  <c r="I611" i="5"/>
  <c r="E58" i="2" s="1"/>
  <c r="I86" i="30"/>
  <c r="I637" i="5"/>
  <c r="E78" i="2" s="1"/>
  <c r="I638" i="5"/>
  <c r="L120" i="30"/>
  <c r="H80" i="27" s="1"/>
  <c r="F80"/>
  <c r="L213" i="30"/>
  <c r="H102" i="27" s="1"/>
  <c r="F102"/>
  <c r="L109" i="30"/>
  <c r="H78" i="27" s="1"/>
  <c r="F78"/>
  <c r="F55"/>
  <c r="F46" s="1"/>
  <c r="L95" i="30"/>
  <c r="H73" i="27" s="1"/>
  <c r="F73"/>
  <c r="C100"/>
  <c r="C78"/>
  <c r="L162" i="30"/>
  <c r="H97" i="27" s="1"/>
  <c r="L238" i="30"/>
  <c r="H118" i="27" s="1"/>
  <c r="H117" s="1"/>
  <c r="L86" i="30"/>
  <c r="L144"/>
  <c r="H100" i="27" s="1"/>
  <c r="L282" i="30"/>
  <c r="H85" i="27" s="1"/>
  <c r="L169" i="30"/>
  <c r="H98" i="27" s="1"/>
  <c r="I120" i="30"/>
  <c r="E80" i="27" s="1"/>
  <c r="C80"/>
  <c r="I274" i="30"/>
  <c r="C102" i="27"/>
  <c r="I213" i="30"/>
  <c r="E102" i="27" s="1"/>
  <c r="L299" i="30"/>
  <c r="L223"/>
  <c r="C118" i="27"/>
  <c r="C117" s="1"/>
  <c r="I223" i="30"/>
  <c r="L161"/>
  <c r="I85"/>
  <c r="E72" i="27" s="1"/>
  <c r="I250" i="5"/>
  <c r="C100" i="2"/>
  <c r="C48"/>
  <c r="C61"/>
  <c r="C59" s="1"/>
  <c r="C58"/>
  <c r="C98"/>
  <c r="C99"/>
  <c r="C54"/>
  <c r="C85"/>
  <c r="C102"/>
  <c r="C105"/>
  <c r="C103" s="1"/>
  <c r="C80"/>
  <c r="C72"/>
  <c r="F24" i="48"/>
  <c r="F47"/>
  <c r="F31"/>
  <c r="G49"/>
  <c r="E49"/>
  <c r="C55" i="27"/>
  <c r="C46" s="1"/>
  <c r="F17" i="48"/>
  <c r="D49"/>
  <c r="H49"/>
  <c r="G52"/>
  <c r="H52"/>
  <c r="C78" i="2"/>
  <c r="C55"/>
  <c r="C51"/>
  <c r="C82"/>
  <c r="F14" i="48"/>
  <c r="F96" i="27" l="1"/>
  <c r="D131" i="44"/>
  <c r="I754" i="5"/>
  <c r="F24" i="55"/>
  <c r="F25" i="44"/>
  <c r="I312" i="5"/>
  <c r="E80" i="2" s="1"/>
  <c r="E71" s="1"/>
  <c r="E48"/>
  <c r="E46" s="1"/>
  <c r="I329" i="30"/>
  <c r="L273"/>
  <c r="H82" i="27" s="1"/>
  <c r="H81" s="1"/>
  <c r="I10" i="5"/>
  <c r="I24" i="55"/>
  <c r="I125" s="1"/>
  <c r="I128" s="1"/>
  <c r="L85" i="30"/>
  <c r="H72" i="27" s="1"/>
  <c r="H71" s="1"/>
  <c r="H9"/>
  <c r="E96"/>
  <c r="E125" i="55"/>
  <c r="E128" s="1"/>
  <c r="H125"/>
  <c r="H128" s="1"/>
  <c r="L245" i="30"/>
  <c r="G125" i="55"/>
  <c r="G128" s="1"/>
  <c r="C96" i="27"/>
  <c r="F72"/>
  <c r="F71" s="1"/>
  <c r="E22" i="2"/>
  <c r="E9" s="1"/>
  <c r="F10" i="44"/>
  <c r="E71" i="27"/>
  <c r="I521" i="5"/>
  <c r="I605"/>
  <c r="H96" i="27"/>
  <c r="D18" i="28"/>
  <c r="D24" s="1"/>
  <c r="C82" i="27"/>
  <c r="C81" s="1"/>
  <c r="I273" i="30"/>
  <c r="E82" i="27" s="1"/>
  <c r="E81" s="1"/>
  <c r="I245" i="30"/>
  <c r="C72" i="27"/>
  <c r="C71" s="1"/>
  <c r="C96" i="2"/>
  <c r="C81"/>
  <c r="C46"/>
  <c r="C71"/>
  <c r="F52" i="48"/>
  <c r="F49"/>
  <c r="F121" i="27" l="1"/>
  <c r="F123" s="1"/>
  <c r="C121" i="2"/>
  <c r="E55" i="27"/>
  <c r="E46" s="1"/>
  <c r="I299" i="30"/>
  <c r="E100" i="2"/>
  <c r="E96" s="1"/>
  <c r="E121" s="1"/>
  <c r="I449" i="5"/>
  <c r="L440" i="30"/>
  <c r="C121" i="27"/>
  <c r="E20" i="28" s="1"/>
  <c r="H121" i="27"/>
  <c r="H123" s="1"/>
  <c r="F39" i="44"/>
  <c r="F128" s="1"/>
  <c r="F131" s="1"/>
  <c r="G10" i="27"/>
  <c r="I84" i="30"/>
  <c r="E22" i="6"/>
  <c r="E20" s="1"/>
  <c r="E122" i="2" l="1"/>
  <c r="L442" i="30"/>
  <c r="E121" i="27"/>
  <c r="E123" s="1"/>
  <c r="C123"/>
  <c r="I440" i="30"/>
  <c r="H20" i="28"/>
  <c r="C122" i="2"/>
  <c r="G17" i="27" l="1"/>
  <c r="D10" i="55"/>
  <c r="D125" s="1"/>
  <c r="D128" s="1"/>
  <c r="G14" i="27"/>
  <c r="G21"/>
  <c r="G18"/>
  <c r="G16"/>
  <c r="G19"/>
  <c r="I442" i="30"/>
  <c r="F10" i="55" s="1"/>
  <c r="F125" s="1"/>
  <c r="F128" s="1"/>
  <c r="E26" i="6"/>
  <c r="E51" i="48"/>
  <c r="E50"/>
  <c r="G9" i="27" l="1"/>
  <c r="G121" s="1"/>
  <c r="G123" s="1"/>
  <c r="G18" i="28"/>
  <c r="G24" s="1"/>
  <c r="E52" i="48"/>
  <c r="A301" i="30" l="1"/>
  <c r="A302"/>
  <c r="A303"/>
  <c r="A300"/>
  <c r="A262"/>
  <c r="A237"/>
  <c r="A222"/>
  <c r="A212"/>
  <c r="A182"/>
  <c r="A184"/>
  <c r="A107"/>
  <c r="A108"/>
  <c r="A92"/>
  <c r="A93"/>
  <c r="A94"/>
  <c r="I20" i="48" l="1"/>
  <c r="I21"/>
  <c r="I30"/>
  <c r="I12"/>
  <c r="I11"/>
  <c r="I16"/>
  <c r="I24" l="1"/>
  <c r="I25"/>
  <c r="I29"/>
  <c r="I18"/>
  <c r="I15"/>
  <c r="I14"/>
  <c r="I10" l="1"/>
  <c r="A31" i="30"/>
  <c r="A35"/>
  <c r="A36"/>
  <c r="A37"/>
  <c r="A38"/>
  <c r="A39"/>
  <c r="A40"/>
  <c r="B11" i="48"/>
  <c r="B12"/>
  <c r="B13"/>
  <c r="B14"/>
  <c r="B15"/>
  <c r="B16"/>
  <c r="B17"/>
  <c r="B18"/>
  <c r="B19"/>
  <c r="B20"/>
  <c r="B21"/>
  <c r="B22"/>
  <c r="B23"/>
  <c r="B24"/>
  <c r="B25"/>
  <c r="B26"/>
  <c r="B27"/>
  <c r="B28"/>
  <c r="B29"/>
  <c r="B30"/>
  <c r="B31"/>
  <c r="B32"/>
  <c r="B33"/>
  <c r="B34"/>
  <c r="B35"/>
  <c r="B36"/>
  <c r="B37"/>
  <c r="B38"/>
  <c r="B39"/>
  <c r="B40"/>
  <c r="B41"/>
  <c r="B42"/>
  <c r="B43"/>
  <c r="B44"/>
  <c r="B45"/>
  <c r="B46"/>
  <c r="B47"/>
  <c r="B48"/>
  <c r="B50"/>
  <c r="B51"/>
  <c r="I37" l="1"/>
  <c r="I38"/>
  <c r="I43"/>
  <c r="I31"/>
  <c r="I32"/>
  <c r="I47"/>
  <c r="I48"/>
  <c r="A12" i="5"/>
  <c r="A13"/>
  <c r="I41" i="48" l="1"/>
  <c r="A106" i="5"/>
  <c r="B129" i="44"/>
  <c r="B130"/>
  <c r="B32"/>
  <c r="B33"/>
  <c r="B104"/>
  <c r="B105"/>
  <c r="B112"/>
  <c r="B113"/>
  <c r="B116"/>
  <c r="B117"/>
  <c r="A47" i="5"/>
  <c r="A48"/>
  <c r="A50"/>
  <c r="A52"/>
  <c r="A53"/>
  <c r="A54"/>
  <c r="A55"/>
  <c r="A56"/>
  <c r="D24" i="32"/>
  <c r="C24"/>
  <c r="A345" i="30"/>
  <c r="A346"/>
  <c r="A351"/>
  <c r="A352"/>
  <c r="A353"/>
  <c r="A339"/>
  <c r="A341"/>
  <c r="I45" i="48"/>
  <c r="C30" i="32"/>
  <c r="D30"/>
  <c r="D13" i="31"/>
  <c r="D12"/>
  <c r="B12"/>
  <c r="B13"/>
  <c r="B11" i="21"/>
  <c r="B12"/>
  <c r="A436" i="30"/>
  <c r="A435"/>
  <c r="A434"/>
  <c r="A433"/>
  <c r="A432"/>
  <c r="A431"/>
  <c r="A430"/>
  <c r="A417"/>
  <c r="A416"/>
  <c r="A415"/>
  <c r="A414"/>
  <c r="A385"/>
  <c r="A371"/>
  <c r="A370"/>
  <c r="A342"/>
  <c r="A334"/>
  <c r="A333"/>
  <c r="A331"/>
  <c r="A330"/>
  <c r="A329"/>
  <c r="A314"/>
  <c r="A313"/>
  <c r="A312"/>
  <c r="A311"/>
  <c r="A299"/>
  <c r="A296"/>
  <c r="A295"/>
  <c r="A294"/>
  <c r="A293"/>
  <c r="A289"/>
  <c r="A288"/>
  <c r="A287"/>
  <c r="A283"/>
  <c r="A278"/>
  <c r="A277"/>
  <c r="A274"/>
  <c r="A273"/>
  <c r="A272"/>
  <c r="A271"/>
  <c r="A270"/>
  <c r="A269"/>
  <c r="A268"/>
  <c r="A267"/>
  <c r="A264"/>
  <c r="A263"/>
  <c r="A261"/>
  <c r="A258"/>
  <c r="A257"/>
  <c r="A245"/>
  <c r="A244"/>
  <c r="A243"/>
  <c r="A242"/>
  <c r="A241"/>
  <c r="A239"/>
  <c r="A238"/>
  <c r="A236"/>
  <c r="A235"/>
  <c r="A233"/>
  <c r="A229"/>
  <c r="A224"/>
  <c r="A223"/>
  <c r="A221"/>
  <c r="A220"/>
  <c r="A219"/>
  <c r="A218"/>
  <c r="A214"/>
  <c r="A213"/>
  <c r="A202"/>
  <c r="A177"/>
  <c r="A176"/>
  <c r="A175"/>
  <c r="A174"/>
  <c r="A173"/>
  <c r="A170"/>
  <c r="A169"/>
  <c r="A168"/>
  <c r="A163"/>
  <c r="A162"/>
  <c r="A161"/>
  <c r="A160"/>
  <c r="A159"/>
  <c r="A158"/>
  <c r="A157"/>
  <c r="A156"/>
  <c r="A155"/>
  <c r="A154"/>
  <c r="A153"/>
  <c r="A152"/>
  <c r="A151"/>
  <c r="A150"/>
  <c r="A149"/>
  <c r="A145"/>
  <c r="A141"/>
  <c r="A140"/>
  <c r="A136"/>
  <c r="A135"/>
  <c r="A134"/>
  <c r="A133"/>
  <c r="A132"/>
  <c r="A126"/>
  <c r="A120"/>
  <c r="A119"/>
  <c r="A118"/>
  <c r="A110"/>
  <c r="A109"/>
  <c r="A106"/>
  <c r="A105"/>
  <c r="A104"/>
  <c r="A103"/>
  <c r="A102"/>
  <c r="A101"/>
  <c r="A100"/>
  <c r="A96"/>
  <c r="A95"/>
  <c r="A91"/>
  <c r="A90"/>
  <c r="A89"/>
  <c r="A88"/>
  <c r="A86"/>
  <c r="A85"/>
  <c r="A84"/>
  <c r="A74"/>
  <c r="A73"/>
  <c r="A72"/>
  <c r="A71"/>
  <c r="A70"/>
  <c r="A26"/>
  <c r="A25"/>
  <c r="A24"/>
  <c r="A23"/>
  <c r="A18"/>
  <c r="A17"/>
  <c r="A16"/>
  <c r="A15"/>
  <c r="A14"/>
  <c r="A13"/>
  <c r="A11"/>
  <c r="A10"/>
  <c r="A98" i="5"/>
  <c r="A97"/>
  <c r="A96"/>
  <c r="A95"/>
  <c r="A94"/>
  <c r="A93"/>
  <c r="A76"/>
  <c r="A46"/>
  <c r="A45"/>
  <c r="A44"/>
  <c r="A43"/>
  <c r="A42"/>
  <c r="A25"/>
  <c r="A23"/>
  <c r="A22"/>
  <c r="A15"/>
  <c r="A11"/>
  <c r="A10"/>
  <c r="A14"/>
  <c r="A12" i="30"/>
  <c r="B10" i="48"/>
  <c r="B31" i="44"/>
  <c r="B30"/>
  <c r="B26"/>
  <c r="B25"/>
  <c r="B24"/>
  <c r="B23"/>
  <c r="B22"/>
  <c r="B21"/>
  <c r="B18"/>
  <c r="B17"/>
  <c r="B16"/>
  <c r="B11"/>
  <c r="B12"/>
  <c r="I50" i="48" l="1"/>
  <c r="I51"/>
  <c r="I26"/>
  <c r="I27"/>
  <c r="I34"/>
  <c r="I19"/>
  <c r="I23"/>
  <c r="D50"/>
  <c r="D51"/>
  <c r="I46"/>
  <c r="D52" l="1"/>
  <c r="I22"/>
  <c r="I17"/>
  <c r="I33"/>
  <c r="I44"/>
  <c r="I49" l="1"/>
  <c r="I52"/>
  <c r="D14" i="40"/>
  <c r="C14"/>
  <c r="D12"/>
  <c r="C12"/>
  <c r="D10"/>
  <c r="C10"/>
  <c r="C14" i="39"/>
  <c r="C13" s="1"/>
  <c r="C11"/>
  <c r="C9"/>
  <c r="D19" i="38"/>
  <c r="C19"/>
  <c r="D24" i="37"/>
  <c r="E23"/>
  <c r="E22"/>
  <c r="E21"/>
  <c r="E20"/>
  <c r="E19"/>
  <c r="E18"/>
  <c r="C17"/>
  <c r="E16"/>
  <c r="E15"/>
  <c r="E14"/>
  <c r="E13"/>
  <c r="C12"/>
  <c r="E11"/>
  <c r="C10"/>
  <c r="E17" i="33"/>
  <c r="D17"/>
  <c r="C17"/>
  <c r="B17"/>
  <c r="C17" i="24"/>
  <c r="D17" s="1"/>
  <c r="D19" i="32"/>
  <c r="C19"/>
  <c r="D11"/>
  <c r="C11"/>
  <c r="E14" i="31"/>
  <c r="D14"/>
  <c r="C14"/>
  <c r="B14"/>
  <c r="C13" i="21"/>
  <c r="B13"/>
  <c r="C31" i="32" l="1"/>
  <c r="D31"/>
  <c r="C24" i="37"/>
  <c r="C16" i="39"/>
  <c r="D17" i="40"/>
  <c r="E17" i="37"/>
  <c r="C17" i="40"/>
  <c r="E10" i="37"/>
  <c r="E12"/>
  <c r="E24" l="1"/>
  <c r="B45" i="25" l="1"/>
  <c r="C45" s="1"/>
  <c r="C43" l="1"/>
  <c r="C44"/>
  <c r="H21" i="28" l="1"/>
  <c r="E21"/>
  <c r="B22" i="25" l="1"/>
  <c r="B28" s="1"/>
  <c r="B17"/>
  <c r="B14"/>
  <c r="H16" i="28"/>
  <c r="E15"/>
  <c r="H11"/>
  <c r="E11" l="1"/>
  <c r="B20" i="29"/>
  <c r="D21"/>
  <c r="H18" i="28"/>
  <c r="E18"/>
  <c r="B16" i="29"/>
  <c r="D20"/>
  <c r="H10" i="28"/>
  <c r="E10"/>
  <c r="H15"/>
  <c r="B20" i="25"/>
  <c r="B23" s="1"/>
  <c r="D43" i="29" l="1"/>
  <c r="D16"/>
  <c r="D13"/>
  <c r="B21"/>
  <c r="B27" s="1"/>
  <c r="D27" s="1"/>
  <c r="H24" i="28"/>
  <c r="D19" i="29"/>
  <c r="D22" s="1"/>
  <c r="E24" i="28"/>
  <c r="B13" i="29"/>
  <c r="B19" l="1"/>
  <c r="B22" s="1"/>
  <c r="B32"/>
  <c r="D42" i="25" l="1"/>
  <c r="C42"/>
  <c r="B45" i="29"/>
  <c r="B42" s="1"/>
  <c r="D42" s="1"/>
  <c r="D32"/>
  <c r="C44" l="1"/>
  <c r="C45"/>
  <c r="D45" i="25"/>
  <c r="E42" s="1"/>
  <c r="C42" i="29"/>
  <c r="C43"/>
  <c r="E44" i="25" l="1"/>
  <c r="E43"/>
  <c r="E45"/>
  <c r="D45" i="29"/>
  <c r="E42" s="1"/>
  <c r="E43" l="1"/>
  <c r="E45"/>
  <c r="E44"/>
</calcChain>
</file>

<file path=xl/comments1.xml><?xml version="1.0" encoding="utf-8"?>
<comments xmlns="http://schemas.openxmlformats.org/spreadsheetml/2006/main">
  <authors>
    <author>Елаева</author>
  </authors>
  <commentList>
    <comment ref="A278" authorId="0">
      <text>
        <r>
          <rPr>
            <b/>
            <sz val="9"/>
            <color indexed="81"/>
            <rFont val="Tahoma"/>
            <family val="2"/>
            <charset val="204"/>
          </rPr>
          <t>Елаева:</t>
        </r>
        <r>
          <rPr>
            <sz val="9"/>
            <color indexed="81"/>
            <rFont val="Tahoma"/>
            <family val="2"/>
            <charset val="204"/>
          </rPr>
          <t xml:space="preserve">
</t>
        </r>
      </text>
    </comment>
  </commentList>
</comments>
</file>

<file path=xl/sharedStrings.xml><?xml version="1.0" encoding="utf-8"?>
<sst xmlns="http://schemas.openxmlformats.org/spreadsheetml/2006/main" count="8060" uniqueCount="3271">
  <si>
    <t>Субсидии открытому акционерному обществу "Российские железные дороги" на перевозки новых автомобилей, произведенных на территории Российской Федерации, на железнодорожные станции, расположенные на территории Дальневосточного федерального округа, и в обратном направлении</t>
  </si>
  <si>
    <t>НАЦИОНАЛЬНАЯ БЕЗОПАСНОСТЬ И ПРАВООХРАНИТЕЛЬНАЯ ДЕЯТЕЛЬНОСТЬ</t>
  </si>
  <si>
    <t>Осуществление ежемесячной денежной выплаты ветеранам</t>
  </si>
  <si>
    <t>Федеральный закон от 19 мая 1995 года № 81-ФЗ "О государственных пособиях гражданам, имеющим детей"</t>
  </si>
  <si>
    <t>Мероприятия в области образования</t>
  </si>
  <si>
    <t>Приложение 2</t>
  </si>
  <si>
    <t>Приложение 4</t>
  </si>
  <si>
    <t xml:space="preserve">Наименование </t>
  </si>
  <si>
    <t>Константиновское сельское поселение</t>
  </si>
  <si>
    <t>Городское поселение Тутаев</t>
  </si>
  <si>
    <t>2 18 05010 05 0000 151</t>
  </si>
  <si>
    <t>Арендная плата и поступления от от продажи и заключения договоров аренды за земли городских поселений</t>
  </si>
  <si>
    <t>Учреждения, обеспечивающие предоставление услуг в сфере лесных отношений</t>
  </si>
  <si>
    <t>Вопросы в области лесных отношений</t>
  </si>
  <si>
    <t>МЦП "Развитие жилищного строительства в ТМР ЯО на 2011 - 2015 гг" подпрограмма "Жилье для молодежи (поддержка молодых семей в решении жилищной проблемы)"</t>
  </si>
  <si>
    <t>МЦП "Развитие жилищного строительства в ТМР ЯО на 2011 - 2015 гг" подпрограмма "Поддержка граждан проживающих на территории ТМР ЯО, в сфере ипотечного жилищного кредитования"</t>
  </si>
  <si>
    <t>Обеспечение деятельности вневедомственной охраны</t>
  </si>
  <si>
    <t>Администратора</t>
  </si>
  <si>
    <t>Группы</t>
  </si>
  <si>
    <t>Мобилизационная подготовка и переподготовка резервов, учебно-сборовые мероприятия</t>
  </si>
  <si>
    <t>Обеспечение функционирования аппаратов фондов поддержки научной  и (или) научно-технической деятельности</t>
  </si>
  <si>
    <t>Порядок (методика) и условия распределения субсидий  бюджетам поселений Тутаевского муниципального района на 2013 год.</t>
  </si>
  <si>
    <t>П Р О Г Р А М М А</t>
  </si>
  <si>
    <t xml:space="preserve">                                                                                                                                                                                       руб.</t>
  </si>
  <si>
    <t>Виды заимствований</t>
  </si>
  <si>
    <t xml:space="preserve">Получение кредитов </t>
  </si>
  <si>
    <t>Погашение кредитов</t>
  </si>
  <si>
    <t>2. Бюджетные кредиты</t>
  </si>
  <si>
    <t xml:space="preserve">3. Итого кредиты </t>
  </si>
  <si>
    <t xml:space="preserve">        Погашение</t>
  </si>
  <si>
    <t>в том числе сумма, направляемая на покрытие дефицита бюджета</t>
  </si>
  <si>
    <t xml:space="preserve">                                                                                                                                                                                      руб.</t>
  </si>
  <si>
    <t>Предельный размер</t>
  </si>
  <si>
    <t>1. Верхний предел муниципального долга</t>
  </si>
  <si>
    <t xml:space="preserve">в том числе верхний предел долга по муниципальным гарантиям  </t>
  </si>
  <si>
    <t>2. Предельный объем муниципального долга</t>
  </si>
  <si>
    <t>4. Предельный объем муниципальных заимствований</t>
  </si>
  <si>
    <t>5. Предельный объем предоставляемых муниципальных гарантий</t>
  </si>
  <si>
    <t>Обязательства</t>
  </si>
  <si>
    <t>Объем долга</t>
  </si>
  <si>
    <t>(прогноз)</t>
  </si>
  <si>
    <t>Сумма (руб.)</t>
  </si>
  <si>
    <t>%</t>
  </si>
  <si>
    <r>
      <t xml:space="preserve">1 </t>
    </r>
    <r>
      <rPr>
        <sz val="12"/>
        <rFont val="Times New Roman"/>
        <family val="1"/>
        <charset val="204"/>
      </rPr>
      <t>Кредиты кредитных организаций</t>
    </r>
  </si>
  <si>
    <t>2 Бюджетные кредиты</t>
  </si>
  <si>
    <t xml:space="preserve">3 Муниципальные гарантии </t>
  </si>
  <si>
    <t>Итого объем муниципального долга</t>
  </si>
  <si>
    <t>2014 год</t>
  </si>
  <si>
    <t>Перечень главных распорядителей бюджетных средств бюджета Тутаевского муниципального района</t>
  </si>
  <si>
    <t xml:space="preserve">          Получение кредитов</t>
  </si>
  <si>
    <t>5. Предельный объем предоставляемых муниципальных гарантий*</t>
  </si>
  <si>
    <t>Приложение 12</t>
  </si>
  <si>
    <t>Приложение 15</t>
  </si>
  <si>
    <t>Обеспечение мероприятий, связанных с направлением российских юристов для участия в работе Европейского Суда по правам человека</t>
  </si>
  <si>
    <t>Обеспечение участия Российской Федерации в деятельности Евразийской группы по противодействию легализации преступных доходов и финансированию терроризма</t>
  </si>
  <si>
    <t>Субсидии автономной некоммерческой организации "Дирекция Московского транспортного узла"</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</si>
  <si>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</si>
  <si>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Телерадиокомпании и телеорганизации</t>
  </si>
  <si>
    <t>Субсидии телерадиокомпаниям и телерадиоорганизациям</t>
  </si>
  <si>
    <t>Начальное профессиональное образование военнослужащих, проходящих военную службу по призыву</t>
  </si>
  <si>
    <t>Приобретение автобусов для государственных и муниципальных  школ в сельской местности</t>
  </si>
  <si>
    <t>Федеральная целевая программа государственной поддержки развития муниципальных образований и создания условий для реализации конституционных полномочий местного самоуправления</t>
  </si>
  <si>
    <t>Дошкольное образование</t>
  </si>
  <si>
    <t>Подгруппы</t>
  </si>
  <si>
    <t>Природоохранные учреждения</t>
  </si>
  <si>
    <t>Учреждения, обеспечивающие предоставление услуг в сфере образования</t>
  </si>
  <si>
    <t>Субсидии аэропортам, расположенным в районах Крайнего Севера и приравненных к ним местностях</t>
  </si>
  <si>
    <t>Кредиты кредитных организаций в валюте Российской Федерации</t>
  </si>
  <si>
    <t>955 01 02 00 00 00 0000 700</t>
  </si>
  <si>
    <t>Обеспечение деятельности финансовых, налоговых и таможенных органов и органов финансового (финансово-бюджетного) надзора</t>
  </si>
  <si>
    <t>НАЦИОНАЛЬНАЯ ОБОРОНА</t>
  </si>
  <si>
    <t>Субсидии федеральному государственному унитарному предприятию "Российское агентство международной информации "РИА Новости" на финансовое обеспечение расходов по организации информационно-пропагандистского сопровождения внешней и внутренней политики Российской Федерации в рамках единого информационного пространства России и участию в международном обмене (в том числе в рамках осуществления международной деятельности), по организации мероприятий по повышению интереса основных целевых аудиторий к российской общественной и политической жизни и формированию благоприятного образа России за рубежом</t>
  </si>
  <si>
    <t>Министерство образования РФ</t>
  </si>
  <si>
    <t>Министерство финансов РФ</t>
  </si>
  <si>
    <t>Дополнительная подготовка участковых врачей</t>
  </si>
  <si>
    <t>Субсидии ФГУП "Гознак" на возмещение части затрат на уплату процентов по кредитам, полученным в российских кредитных организациях в 2005 - 2010 годах, на приобретение специального оборудования, предназначенного для производства защищенной от подделок бумаги, полиграфической и монетно-орденской продукции</t>
  </si>
  <si>
    <t>Исследования в области разработки вооружения, военной и специальной техники в целях обеспечения государственной программы вооружения в рамках государственного оборонного заказа</t>
  </si>
  <si>
    <t>Функционирование органов в сфере национальной безопасности и правоохранительной деятельности</t>
  </si>
  <si>
    <t xml:space="preserve">Оплата и хранение специального топлива и горюче-смазочных материалов </t>
  </si>
  <si>
    <t>Обеспечение проведения выборов и референдумов</t>
  </si>
  <si>
    <t>Геодезия и картография</t>
  </si>
  <si>
    <t>Обеспечение деятельности подведомственных учреждений</t>
  </si>
  <si>
    <t>Другие вопросы в области образования</t>
  </si>
  <si>
    <t>02030</t>
  </si>
  <si>
    <t>Периодическая печать</t>
  </si>
  <si>
    <t>Федеральная целевая программа "Совершенствование федеральной системы разведки и контроля воздушного пространства Российской Федерации (2007 - 2010 годы)"</t>
  </si>
  <si>
    <t>Государственная регистрация актов гражданского состояния</t>
  </si>
  <si>
    <t>Санаторно-оздоровительная помощь</t>
  </si>
  <si>
    <t>Плата за негативное воздействие на окружающую среду</t>
  </si>
  <si>
    <t>Штрафы, санкции, возмещение ущерба</t>
  </si>
  <si>
    <t>Субсидия на подготовку к зиме объектов коммунального назначения</t>
  </si>
  <si>
    <t>Мероприятия в области санитарно-эпидемиологического надзора</t>
  </si>
  <si>
    <t>Центры спортивной подготовки (сборные команды)</t>
  </si>
  <si>
    <t>Противочумные организации</t>
  </si>
  <si>
    <t>МЦП "Развитие субъектов малого и среднего предпринимательства Тутаевского муниципального района на 2009 - 2011 годы"</t>
  </si>
  <si>
    <t xml:space="preserve"> </t>
  </si>
  <si>
    <t>000</t>
  </si>
  <si>
    <t>1</t>
  </si>
  <si>
    <t>00</t>
  </si>
  <si>
    <t>00000</t>
  </si>
  <si>
    <t>0000</t>
  </si>
  <si>
    <t>182</t>
  </si>
  <si>
    <t>Центры информатизации и обучения избирательным технологиям</t>
  </si>
  <si>
    <t>Обеспечение мероприятий по поддержке соотечественников, проживающих за рубежом</t>
  </si>
  <si>
    <t>Подпрограмма "Внедрение и использование спутниковых навигационных систем в области транспорта"</t>
  </si>
  <si>
    <t>Социальное обслуживание населения</t>
  </si>
  <si>
    <t>Другие вопросы в области социальной политики</t>
  </si>
  <si>
    <t>Задолженность и перерасчеты по отмененным налогам, сборам и иным обязательным платежам</t>
  </si>
  <si>
    <t>Детские дошкольные учреждения</t>
  </si>
  <si>
    <t>Общее образование</t>
  </si>
  <si>
    <t>Федеральная целевая программа "Обеспечение ядерной и радиационной безопасности на 2008 год и на период до 2015 года"</t>
  </si>
  <si>
    <t xml:space="preserve"> Российский центр  международного научного  и культурного сотрудничества  при правительстве  РФ</t>
  </si>
  <si>
    <t>Реализация мер социальной поддержки отдельных категорий граждан</t>
  </si>
  <si>
    <t>Обеспечение мер социальной поддержки ветеранов труда</t>
  </si>
  <si>
    <t>Оплата труда патронатного родителя</t>
  </si>
  <si>
    <t xml:space="preserve"> Российская академия сельскохозяйственных наук</t>
  </si>
  <si>
    <t>Федеральная миграционная служба</t>
  </si>
  <si>
    <t>Субсидии на проведение мероприятий по поисковому и аварийно-спасательному обеспечению полетов</t>
  </si>
  <si>
    <t>Отдельные мероприятия в области воздушного транспорта</t>
  </si>
  <si>
    <t>Федеральный закон от 17 декабря 2001 года № 173-ФЗ "О трудовых пенсиях в Российской Федерации"</t>
  </si>
  <si>
    <t>Мероприятия, связанные с распоряжением и реализацией выморочного имущества</t>
  </si>
  <si>
    <t>Федеральная целевая программа "Развитие оборонно-промышленного комплекса Российской Федерации на 2007 - 2010 годы и на период до 2015 года"</t>
  </si>
  <si>
    <t>1. Порядок (методика) и условия распределения субсидии на реализацию областной целевой программы "Чистая вода  Ярославской области"</t>
  </si>
  <si>
    <t xml:space="preserve">Имущественный взнос Российской Федерации в Государственную корпорацию по содействию разработке, производству и экспорту высокотехнологичной промышленной продукции "Ростехнологии" в целях государственной поддержки авиакомпаний </t>
  </si>
  <si>
    <t>Имущественный взнос Российской Федерации в Государственную корпорацию по содействию разработке, производству и экспорту высокотехнологичной промышленной</t>
  </si>
  <si>
    <t>продукции "Ростехнологии" на цели частичного выкупа обязательств открытого акционерного общества "Ижевский автомобильный завод" перед кредитными организациями посредством заключения договора уступки прав (требований)</t>
  </si>
  <si>
    <t>Субсидии государственной корпорации - Фонд содействия реформированию жилищно-коммунального хозяйства</t>
  </si>
  <si>
    <t>Имущественный взнос в государственную корпорацию - Фонд содействия реформированию жилищно-коммунального хозяйства на восстановление имущества указанной государственной корпорации, переданного в собственность Российской Федерации в 2009 году</t>
  </si>
  <si>
    <t xml:space="preserve">Субсидии Государственной компании </t>
  </si>
  <si>
    <t>Российские автомобильные дороги</t>
  </si>
  <si>
    <t>Имущественный взнос Российской Федерации в</t>
  </si>
  <si>
    <t>Государственную компанию "Российские автомобильные дороги"</t>
  </si>
  <si>
    <t>Субсидии Государственной компании "Российские автомобильные дороги" на осуществление деятельности по доверительному управлению автомобильными дорогами Государственной компании</t>
  </si>
  <si>
    <t>Субсидии государственной корпорации "Российская корпорация нанотехнологий"</t>
  </si>
  <si>
    <t>Имущественный взнос в государственную корпорацию "Российская корпорация нанотехнологий"</t>
  </si>
  <si>
    <t>Подпрограмма 'Единая система организации воздушного движения'</t>
  </si>
  <si>
    <t>Подпрограмма 'Внутренний водный транспорт'</t>
  </si>
  <si>
    <t>Подпрограмма  'Международные транспортные коридоры'</t>
  </si>
  <si>
    <t>Подпрограмма 'Реформирование пассажирского транспорта общего пользования'</t>
  </si>
  <si>
    <t>Подпрограмма 'Безопасность дорожного движения'</t>
  </si>
  <si>
    <t>Федеральная целевая программа "Культура России (2006 - 2011 годы)"</t>
  </si>
  <si>
    <t>Подпрограмма 'Развитие культуры и сохранение культурного наследия России'</t>
  </si>
  <si>
    <t>Подпрограмма 'Кинематография России'</t>
  </si>
  <si>
    <t>Подпрограмма 'Поддержка полиграфии и книгоиздания России (2002 – 2005 годы)'</t>
  </si>
  <si>
    <t>Федеральная целевая программа "Антитеррор (2009 - 2013 годы)"</t>
  </si>
  <si>
    <t>Федеральная целевая программа "Развитие оборонно-промышленного комплекса Российской Федерации на 2011 - 2020 годы"</t>
  </si>
  <si>
    <t>Подпрограмма 'Минеральные ресурсы Мирового океана, Арктики и Антарктики'</t>
  </si>
  <si>
    <t>Подпрограмма 'Транспортные коммуникации России в Мировом океане'</t>
  </si>
  <si>
    <t>Подпрограмма "Создание единой государственной системы информации об обстановке в Мировом океане"</t>
  </si>
  <si>
    <t>Мероприятия государственного заказчика-координатора</t>
  </si>
  <si>
    <t>Министерство транспорта Российской Федерации</t>
  </si>
  <si>
    <t>ОЦП "Чистая вода Ярославской области" в части мероприятий по строительству и реконструкции систем и объектов водоснабжения и водоотведения</t>
  </si>
  <si>
    <t>ОЦП "Чистая вода Ярославской области" в части мероприятий по реконструкции и строительству шахтных колодцев</t>
  </si>
  <si>
    <t>Закон Российской Федерации от 18 октября 1991 года № 1761-1 "О реабилитации жертв политических репрессий"</t>
  </si>
  <si>
    <t>Закон Российской Федерации от 26 июня 1992 года № 3132-1 "О статусе судей в Российской Федерации" и Федеральный закон от 10 января 1996 года № 6-ФЗ "О дополнительных гарантиях социальной защиты судей и работников аппаратов судов Российской Федерации"</t>
  </si>
  <si>
    <t>Пожизненное содержание судей</t>
  </si>
  <si>
    <t>Мобилизационная и вневойсковая подготовка</t>
  </si>
  <si>
    <t>Денежные выплаты медицинскому персоналу фельдшерско-акушерских пунктов, врачам, фельдшерам и медицинским сестрам скорой медицинской помощи</t>
  </si>
  <si>
    <t xml:space="preserve"> Государственный академический Большой театр России</t>
  </si>
  <si>
    <t xml:space="preserve"> Генеральная прокуратура Российской Федерации</t>
  </si>
  <si>
    <t>Органы юстиции</t>
  </si>
  <si>
    <t>Государственный  комитет  РФ по стандартизации и метрологии</t>
  </si>
  <si>
    <t>Бюджетные инвестиции в объекты государственной собственности бюджетным учреждениям вне рамок государственного оборонного заказа</t>
  </si>
  <si>
    <t>Бюджетные инвестиции в объекты государственной собственности бюджетным учреждениям в рамках государственного оборонного заказа</t>
  </si>
  <si>
    <t>Бюджетные инвестиции в объекты государственной собственности автономным учреждениям</t>
  </si>
  <si>
    <t>Бюджетные инвестиции в объекты государственной собственности государственным унитарным предприятиям</t>
  </si>
  <si>
    <t>Бюджетные инвестиции в объекты государственной собственности государственным унитарным предприятиям, основанным на праве оперативного управления</t>
  </si>
  <si>
    <t>Бюджетные инвестиции в объекты государственной собственности государственным унитарным предприятиям, основанным на праве хозяйственного ведения</t>
  </si>
  <si>
    <t>Бюджетные инвестиции в объекты государственных внебюджетных фондов</t>
  </si>
  <si>
    <t>Дотации на выравнивание бюджетной обеспеченности субъектов Российской Федерации</t>
  </si>
  <si>
    <t>Дотации бюджетам субъектов Российской Федерации на поддержку мер по обеспечению сбалансированности бюджетов</t>
  </si>
  <si>
    <t>Дотации бюджетам закрытых административно-территориальных образований, связанные со статусом закрытых административно- территориальных образований</t>
  </si>
  <si>
    <t>Дотации бюджету города Байконура</t>
  </si>
  <si>
    <t>Субсидии, за исключением субсидий на софинансирование объектов капитального строительства государственной собственности и муниципальной собственности</t>
  </si>
  <si>
    <t>Субсидии на софинансирование объектов капитального строительства государственной (муниципальной) собственности</t>
  </si>
  <si>
    <t>Субвенции</t>
  </si>
  <si>
    <t>Межбюджетные трансферты бюджету Федерального фонда обязательного медицинского страхования</t>
  </si>
  <si>
    <t>Межбюджетные трансферты бюджету Пенсионного фонда Российской Федерации</t>
  </si>
  <si>
    <t>Межбюджетные трансферты бюджетам территориальных фондов обязательного медицинского страхования</t>
  </si>
  <si>
    <t>Компенсация выпадающих доходов организациям, предоставляющим населению услуги водоснабжения и водоотведения по тарифам, не обеспечивающим возмещение издержек</t>
  </si>
  <si>
    <t xml:space="preserve"> Российская академия наук</t>
  </si>
  <si>
    <t>Фед.служба исполнения наказаний</t>
  </si>
  <si>
    <t>Проведение подготовки и переподготовки мобилизационного резерва и учебно-сборовые мероприятия</t>
  </si>
  <si>
    <t>Строительство федеральных центров высоких медицинских технологий, осуществляемое в рамках национального проекта</t>
  </si>
  <si>
    <t>Доплаты к пенсиям, дополнительное пенсионное обеспечение</t>
  </si>
  <si>
    <t>Совершенствование организации питания учащихся в общеобразовательных учреждениях</t>
  </si>
  <si>
    <t>Субсидии организациям железнодорожного транспорта на компенсацию потерь в доходах, возникающих в результате государственного регулирования тарифов на перевозку пассажиров в поездах дальнего следования в плацкартных и общих вагонах</t>
  </si>
  <si>
    <t>Государственная поддержка геодезии и картографии</t>
  </si>
  <si>
    <t>Картографо-геодезические и картографические работы</t>
  </si>
  <si>
    <t>Оплата и хранение специального топлива и горюче-смазочных материалов вне рамок государственного оборонного заказа</t>
  </si>
  <si>
    <t>Передача средств пенсионных накоплений в негосударственные пенсионные фонды</t>
  </si>
  <si>
    <t>Проведение дополнительной диспансеризации работающих граждан</t>
  </si>
  <si>
    <t>Выполнение территориальной программы обязательного медицинского страхования в рамках базовой программы обязательного медицинского страхования</t>
  </si>
  <si>
    <t>Поддержка организаций, осуществляющих фундаментальные исследования</t>
  </si>
  <si>
    <t>Субсидия на реализацию подпрограммы "Улучшение условий проживания отдельных категорий граждан, нуждающихся в специальной социальной защите"</t>
  </si>
  <si>
    <t xml:space="preserve">к решению Муниципального </t>
  </si>
  <si>
    <t>Единовременные денежные компенсации реабилитированным лицам</t>
  </si>
  <si>
    <t>Продовольственное обеспечение вне рамок государственного оборонного заказа</t>
  </si>
  <si>
    <t>Компенсация стоимости продовольственного пайка</t>
  </si>
  <si>
    <t>Субсидии на поддержку социально значимых проектов в сфере периодической печати</t>
  </si>
  <si>
    <t>Субсидии стационарам сложного протезирования на оплату дней пребывания инвалидов в стационарах</t>
  </si>
  <si>
    <t>Федеральный закон от 12 января 1995 года № 5-ФЗ "О ветеранах"</t>
  </si>
  <si>
    <t>Осуществление ежемесячной денежной выплаты Героям Советского Союза, Героям Российской Федерации и полным кавалерам ордена Славы</t>
  </si>
  <si>
    <t xml:space="preserve"> Федеральная  энергетическая  комиссия   РФ</t>
  </si>
  <si>
    <t xml:space="preserve"> Центральная избирательная комиссия РФ</t>
  </si>
  <si>
    <t>Субсидии военизированным аварийно-спасательным частям на обеспечение постоянной боевой готовности</t>
  </si>
  <si>
    <t>Государственная поддержка отдельных отраслей промышленности и топливно-энергетического комплекса</t>
  </si>
  <si>
    <t>Подпрограмма "Автомобильные дороги"</t>
  </si>
  <si>
    <t>Центры, станции и отделения переливания крови</t>
  </si>
  <si>
    <t>Совершенствование медицинской помощи больным с сосудистыми заболеваниями</t>
  </si>
  <si>
    <t>Дезинфекционные станции</t>
  </si>
  <si>
    <t>Дотации бюджетам закрытых административно-территориальных образований</t>
  </si>
  <si>
    <t>Выплаты приемной семье на содержание подопечных детей</t>
  </si>
  <si>
    <t>Департамент АПКООС и П</t>
  </si>
  <si>
    <t>Оплата труда приемного родителя</t>
  </si>
  <si>
    <t>Периодическая печать и издательства</t>
  </si>
  <si>
    <t>Доставка грузов гуманитарного характера и эвакуация российских граждан</t>
  </si>
  <si>
    <t>Обеспечение деятельности аварийно-спасательного флота</t>
  </si>
  <si>
    <t>Федеральная целевая программа "Национальная технологическая база" на 2007 - 2011 годы</t>
  </si>
  <si>
    <t>Департамент финансов администрации Ярославской области</t>
  </si>
  <si>
    <t>Управление внутренних дел Ярославской области</t>
  </si>
  <si>
    <t>Услуги ГИБДД</t>
  </si>
  <si>
    <t>Медицинская помощь в дневных стационарах всех типов</t>
  </si>
  <si>
    <t>Расходы  общепрограммного  характера  по  федеральной  целевой программе "Развитие оборонно-промышленного комплекса Российской Федерации на 2007 - 2010 годы и на период до 2015 года"</t>
  </si>
  <si>
    <t>Федеральная целевая программа "Исследования и разработки по приоритетным направлениям развития научно-технологического комплекса России на 2007 - 2012 годы"</t>
  </si>
  <si>
    <t>Управление находящимися в государственной и муниципальной собственности акциями открытых акционерных обществ</t>
  </si>
  <si>
    <t xml:space="preserve"> Российская академия живописи, ваяния и зодчества</t>
  </si>
  <si>
    <t>Транспортное обеспечение федеральных органов власти</t>
  </si>
  <si>
    <t>Мероприятия по обеспечению жильем прокуроров, следователей органов прокуратуры</t>
  </si>
  <si>
    <t>Содержание автомобильных дорог и инженерных сооружений на них в границах городских округов и поселений в рамках благоустройства</t>
  </si>
  <si>
    <t>Озеленение</t>
  </si>
  <si>
    <t>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</si>
  <si>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Государственная фельдъегерская служба РФ</t>
  </si>
  <si>
    <t>Переселение граждан Российской Федерации из города Байконура</t>
  </si>
  <si>
    <t>Взнос Российской Федерации в уставные капиталы</t>
  </si>
  <si>
    <t>Мероприятия по проведению оздоровительной кампании детей</t>
  </si>
  <si>
    <t>Фундаментальные исследования в интересах национальной обороны, национальной безопасности и правоохранительной деятельности в целях обеспечения государственной программы вооружения в рамках государственного оборонного заказа</t>
  </si>
  <si>
    <t>Субвенция на государственную поддержку опеки и попечительства</t>
  </si>
  <si>
    <t>Субсидии на осуществление контроля за излучением радиоэлектронных средств и (или) высокочастотных устройств (радиоконтроль)</t>
  </si>
  <si>
    <t>Субсидии организациям, осуществляющим ведение федеральных информационных фондов, баз и банков данных</t>
  </si>
  <si>
    <t>Мероприятия, связанные с реализацией задач по выполнению обязательств по сокращению и ограничению вооружений и военной техники, и прочие расходы в данной области</t>
  </si>
  <si>
    <t>Научно-исследовательские и опытно-конструкторские работы</t>
  </si>
  <si>
    <t>Подпрограмма "Обеспечение жильем молодых семей"</t>
  </si>
  <si>
    <t xml:space="preserve"> Министерство  экономического  развития  и торговли РФ</t>
  </si>
  <si>
    <t>Санэпиднадзор</t>
  </si>
  <si>
    <t>Субсидии организациям на возмещение расходов по обеспечению содержания и эксплуатации федерального недвижимого имущества, расположенного за пределами территории Российской Федерации</t>
  </si>
  <si>
    <t>Развитие объектов производственных, социальных и оздоровительных комплексов</t>
  </si>
  <si>
    <t>Топливно-энергетический комплекс</t>
  </si>
  <si>
    <t>Государственная поддержка в сфере образования</t>
  </si>
  <si>
    <t>Единовременные страховые выплаты</t>
  </si>
  <si>
    <t>Ежемесячные страховые выплаты</t>
  </si>
  <si>
    <t>Подпрограмма "Вирусные гепатиты"</t>
  </si>
  <si>
    <t>Закон Российской Федерации от 12 февраля 1993 года № 4468-I "О пенсионном обеспечении лиц, проходивших военную службу, службу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и их семей"</t>
  </si>
  <si>
    <t>Столбец2</t>
  </si>
  <si>
    <t>МУ КЦСОН "Милосердие"</t>
  </si>
  <si>
    <t>Подпрограмма "Промышленная утилизация атомных подводных лодок, надводных кораблей с ядерными энергетическими установками, судов атомного технологического обслуживания и реабилитация береговых технических баз (2005 - 2010 годы)"</t>
  </si>
  <si>
    <t>Единый налог на вменённый доход для отдельных видов деятельности</t>
  </si>
  <si>
    <t>Создание Президентской библиотеки имени Б.Н. Ельцина</t>
  </si>
  <si>
    <t>Мобилизационная подготовка экономики</t>
  </si>
  <si>
    <t>Скорая медицинская помощь</t>
  </si>
  <si>
    <t>048</t>
  </si>
  <si>
    <t>Вещевое обеспечение</t>
  </si>
  <si>
    <t>Федеральная космическая программа России на 2006 - 2015 годы</t>
  </si>
  <si>
    <t>Государственная пошлина</t>
  </si>
  <si>
    <t>Название</t>
  </si>
  <si>
    <t>Строительство и реконструкция объектов для размещения Высшей школы менеджмента федерального государственного образовательного учреждения высшего профессионального образования "Санкт-Петербургский государственный университет"</t>
  </si>
  <si>
    <t>Строительство специальных и военных объектов</t>
  </si>
  <si>
    <t>Обеспечение военнослужащих служебным и постоянным жильем</t>
  </si>
  <si>
    <t>Нормированный страховой запас Федерального фонда обязательного медицинского страхования</t>
  </si>
  <si>
    <t>Стационарная медицинская помощь</t>
  </si>
  <si>
    <t>Амбулаторная помощь</t>
  </si>
  <si>
    <t>Научное сопровождение инновационных проектов государственного значения</t>
  </si>
  <si>
    <t>Природоохранные мероприятия</t>
  </si>
  <si>
    <t>Проведение мероприятий для детей и молодежи</t>
  </si>
  <si>
    <t>Субсидии издательствам и издающим организациям на реализацию социально значимых проектов, выпуск книг, изданий для инвалидов по зрению</t>
  </si>
  <si>
    <t>Реализация мероприятий, связанных с процедурами банкротства</t>
  </si>
  <si>
    <t>Зарубежный аппарат</t>
  </si>
  <si>
    <t>Генеральный прокурор Российской Федерации</t>
  </si>
  <si>
    <t>Мероприятия в области воспроизводства и сохранения водных биологических ресурсов и прочие мероприятия</t>
  </si>
  <si>
    <t>Субсидии федеральному государственному унитарному предприятию "Всероссийская государственная телевизионная и радиовещательная компания" на финансовое обеспечение деятельности, а также на покрытие расходов, связанных с производством программного продукта, наполнением им телерадиоэфира и с обеспечением мероприятий по доведению его до телезрителей и радиослушателей, на обеспечение международной деятельности, на содержание зарубежных корреспондентских пунктов</t>
  </si>
  <si>
    <t>Общее руководство и управление общими службами и услугами Управления делами Президента Российской Федерации</t>
  </si>
  <si>
    <t>Материальное обеспечение специалистов ядерного оружейного комплекса Российской Федерации</t>
  </si>
  <si>
    <t>Социальная помощь</t>
  </si>
  <si>
    <t>Водоохранные и водохозяйственные учреждения</t>
  </si>
  <si>
    <t>Подпрограмма "Создание высокоэффективной системы геодезического обеспечения Российской Федерации"</t>
  </si>
  <si>
    <t>Министерство сельского хозяйства  РФ</t>
  </si>
  <si>
    <t>Неуказанная ведомственная статья</t>
  </si>
  <si>
    <t>Строительство и реконструкция объектов для проведения XXVII Всемирной летней Универсиады 2013 г. в г. Казани</t>
  </si>
  <si>
    <t>Учреждения, обеспечивающие государственный санитарно-эпидемиологический надзор</t>
  </si>
  <si>
    <t>2</t>
  </si>
  <si>
    <t>01</t>
  </si>
  <si>
    <t>05</t>
  </si>
  <si>
    <t>08</t>
  </si>
  <si>
    <t>11</t>
  </si>
  <si>
    <t>12</t>
  </si>
  <si>
    <t>14</t>
  </si>
  <si>
    <t>16</t>
  </si>
  <si>
    <t>02</t>
  </si>
  <si>
    <t>110</t>
  </si>
  <si>
    <t>120</t>
  </si>
  <si>
    <t>151</t>
  </si>
  <si>
    <t xml:space="preserve"> Российское авиационно-космическое агентство</t>
  </si>
  <si>
    <t>МЦП "Развитие жилищного строительства в ТМР ЯО на 2011 - 2015 гг"</t>
  </si>
  <si>
    <t>Прием и содержание вынужденных переселенцев</t>
  </si>
  <si>
    <t>Организационно-воспитательная работа с молодежью</t>
  </si>
  <si>
    <t>Реализация государственных функций, связанных с обеспечением национальной обороны</t>
  </si>
  <si>
    <t>Пенсии</t>
  </si>
  <si>
    <t>Субвенция на оказание социальной помощи отдельным категориям  граждан</t>
  </si>
  <si>
    <t>Централизованные закупки в рамках национального календаря профилактических прививок</t>
  </si>
  <si>
    <t>Субсидии на обеспечение мероприятий по обводнению</t>
  </si>
  <si>
    <t>Санатории для детей и подростков</t>
  </si>
  <si>
    <t>МУЗ "Тутаевская центральная районная больница"</t>
  </si>
  <si>
    <t>Подпрограмма "Вакцинопрофилактика"</t>
  </si>
  <si>
    <t>Продовольственное обеспечение в рамках государственного оборонного заказа</t>
  </si>
  <si>
    <t>Выплата пенсий, назначенных досрочно гражданам, признанным безработными</t>
  </si>
  <si>
    <t>Обеспечение разработок, закупок и ремонта вооружений, военной и специальной техники, продукции производственно-технического назначения и имущества в рамках государственного оборонного заказа</t>
  </si>
  <si>
    <t>Специальные мероприятия</t>
  </si>
  <si>
    <t>Федеральная целевая программа "Реформирование системы военного образования в Российской Федерации на период до 2010 года"</t>
  </si>
  <si>
    <t>Мероприятия по борьбе с беспризорностью, по опеке и попечительству</t>
  </si>
  <si>
    <t>Учреждения по внешкольной работе с детьми</t>
  </si>
  <si>
    <t>Библиотеки</t>
  </si>
  <si>
    <t>Администрация поселка Константиновский</t>
  </si>
  <si>
    <t>Безвозмездные поступления от других бюджетов бюджетной системы Российской Федерации</t>
  </si>
  <si>
    <t>Подпрограмма "Исследование природы Мирового океана"</t>
  </si>
  <si>
    <t>Подпрограмма "Освоение и использование Арктики"</t>
  </si>
  <si>
    <t>Подпрограмма "Изучение и исследование Антарктики"</t>
  </si>
  <si>
    <t>Меры по оказанию медицинской помощи гражданам Российской Федерации за рубежом</t>
  </si>
  <si>
    <t>Федеральная целевая программа "Социально-экономическое развитие Курильских островов (Сахалинская область) на 2007 - 2015 годы"</t>
  </si>
  <si>
    <t>Оплата услуг организаций по переработке высокообогащенного урана, извлеченного из ядерного оружия, в низкообогащенный уран</t>
  </si>
  <si>
    <t>Мероприятия по обеспечению миграционной политики</t>
  </si>
  <si>
    <t>Уличное освещение</t>
  </si>
  <si>
    <t>Обеспечение деятельности военных комиссариатов</t>
  </si>
  <si>
    <t>Организация, регулирование и охрана водных биологических ресурсов</t>
  </si>
  <si>
    <t>Администрация Чебаковской сельской территории</t>
  </si>
  <si>
    <t>Администрация Константиновского сельского поселения</t>
  </si>
  <si>
    <t>Администрация Артемьевского сельского поселения</t>
  </si>
  <si>
    <t>Субвенции бюджетам субъектов Российской Федерации и муниципальных образований</t>
  </si>
  <si>
    <t>Иные межбюджетные трансферты</t>
  </si>
  <si>
    <t xml:space="preserve"> Российское агентство по патентам и товарным знакам</t>
  </si>
  <si>
    <t>Участие в миротворческой деятельности</t>
  </si>
  <si>
    <t>Военно-техническое сотрудничество</t>
  </si>
  <si>
    <t>Переподготовка и повышение квалификации кадров</t>
  </si>
  <si>
    <t>Субсидии образовательным учреждениям в странах Содружества Независимых Государств и общественным организациям</t>
  </si>
  <si>
    <t>ОЦП "Развитие агропромышленного комплекса и сельских территорий ЯО"</t>
  </si>
  <si>
    <t>Субсидия на проведение мероприятий по улучшению жилищных условий граждан РФ проживающих в сельской местности</t>
  </si>
  <si>
    <t>Субсидии на поддержку некоммерческих неправительственных организаций, участвующих в развитии институтов гражданского общества</t>
  </si>
  <si>
    <t>Развитие и поддержка социальной, инженерной и инновационной инфраструктуры наукоградов Российской Федерации</t>
  </si>
  <si>
    <t>Выплата дополнительного материального обеспечения, доплат к пенсиям, пособий и компенсаций</t>
  </si>
  <si>
    <t>Прикладные научные исследования в области национальной обороны</t>
  </si>
  <si>
    <t>Другие вопросы в области национальной обороны</t>
  </si>
  <si>
    <t>Органы прокуратуры</t>
  </si>
  <si>
    <t>Внутренние войска</t>
  </si>
  <si>
    <t>Благоустройство</t>
  </si>
  <si>
    <t>Субвенция на денежные выплаты</t>
  </si>
  <si>
    <t>Президентская программа "Уничтожение запасов химического оружия в Российской Федерации"</t>
  </si>
  <si>
    <t>Реализация дополнительных мероприятий, направленных на снижение напряженности на рынке труда субъектов Российской Федерации</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</si>
  <si>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</si>
  <si>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Кинематография</t>
  </si>
  <si>
    <t>Телевидение и радиовещание</t>
  </si>
  <si>
    <t xml:space="preserve"> Федеральная   служба    России   по    финансовому оздоровлению и банкротству</t>
  </si>
  <si>
    <t>Субсидии творческим союзам на поддержку развития театральной деятельности</t>
  </si>
  <si>
    <t>Мероприятия в области национальной обороны</t>
  </si>
  <si>
    <t>Подпрограмма "Информационное обеспечение управления недвижимостью, реформирования и регулирования земельных и имущественных отношений"</t>
  </si>
  <si>
    <t>Формирование и использование государственных семенных фондов</t>
  </si>
  <si>
    <t>Охрана и использование объектов животного мира</t>
  </si>
  <si>
    <t>Субсидии сельскохозяйственным товаропроизводителям и организациям агропромышленного комплекса независимо от их организационно-правовых форм и крестьянским (фермерским) хозяйствам на возмещение части затрат на уплату процентов по инвестиционным кредитам, полученным в российских кредитных организациях в 2003 - 2006 годах на срок до 5 лет, включая строительство зерновых терминалов в российских портах</t>
  </si>
  <si>
    <t>Государственная поддержка деятельности Комитета ветеранов подразделений особого риска Российской Федерации</t>
  </si>
  <si>
    <t>Ежемесячное денежное вознаграждение за классное руководство</t>
  </si>
  <si>
    <t>Выполнение научно-исследовательских и опытно-конструкторских работ по государственным контрактам</t>
  </si>
  <si>
    <t>Специальные профессионально-технические училища</t>
  </si>
  <si>
    <t>Средние специальные учебные заведения</t>
  </si>
  <si>
    <t>Институты повышения квалификации</t>
  </si>
  <si>
    <t>Расходы общепрограммного характера по федеральной целевой программе "Промышленная утилизация вооружения и военной техники (2005 - 2010 годы)"</t>
  </si>
  <si>
    <t xml:space="preserve">Областная целевая программа "Развитие физической культуры и спорта в Ярославской области" </t>
  </si>
  <si>
    <t>Социальное обеспечение населения</t>
  </si>
  <si>
    <t>Реформирование муниципальных финансов</t>
  </si>
  <si>
    <t>Мероприятия по обеспечению жильем федеральных государственных гражданских служащих</t>
  </si>
  <si>
    <t>Мероприятия по обеспечению жильем молодых ученых и строительство общежитий</t>
  </si>
  <si>
    <t>Приобретение оборудования для быстровозводимых физкультурно-оздоровительных комплексов</t>
  </si>
  <si>
    <t>Федеральный закон от 10 января 2002 года № 2-ФЗ "О социальных гарантиях гражданам, подвергшимся радиационному воздействию вследствие ядерных испытаний на Семипалатинском полигоне"</t>
  </si>
  <si>
    <t>Уменьшение прочих остатков денежных средств бюджета муниципального района</t>
  </si>
  <si>
    <t xml:space="preserve"> Управление делами Президента Российской Федерации</t>
  </si>
  <si>
    <t>Выплата единовременного пособия при всех формах устройства детей, лишенных родительского попечения, в семью</t>
  </si>
  <si>
    <t>Обеспечение деятельности Общественной палаты Российской Федерации</t>
  </si>
  <si>
    <t>Исследования (испытания) и экспертиза отобранных образцов (проб) продукции</t>
  </si>
  <si>
    <t>Содержание учреждений, осуществляющих управление федеральными автомобильными дорогами</t>
  </si>
  <si>
    <t>952</t>
  </si>
  <si>
    <t>Дорожное хозяйство</t>
  </si>
  <si>
    <t>Рыболовное хозяйство</t>
  </si>
  <si>
    <t>Поддержка северного оленеводства и табунного коневодства</t>
  </si>
  <si>
    <t>Поддержка племенного животноводства</t>
  </si>
  <si>
    <t>Государственный  комитет  Российской  Федерации по строительству и жилищно-коммунальному комплексу</t>
  </si>
  <si>
    <t>Закон Российской Федерации от 15 мая 1991 года № 1244-1 "О социальной защите граждан, подвергшихся воздействию радиации вследствие катастрофы на Чернобыльской АЭС"</t>
  </si>
  <si>
    <t>Субсидии на поддержку культурных и духовных центров за рубежом в соответствии с решениями Правительства Российской Федерации</t>
  </si>
  <si>
    <t>Среднее профессиональное образование</t>
  </si>
  <si>
    <t>Приложение 8</t>
  </si>
  <si>
    <t>Защита населения и территории от последствий чрезвычайных ситуаций природного и техногенного характера, гражданская оборона</t>
  </si>
  <si>
    <t>Обеспечение пожарной безопасности</t>
  </si>
  <si>
    <t>Модернизация внутренних войск, войск гражданской обороны, а также правоохранительных и иных органов</t>
  </si>
  <si>
    <t>НАЦИОНАЛЬНАЯ ЭКОНОМИКА</t>
  </si>
  <si>
    <t>Капитальный ремонт муниципального жилищного фонда</t>
  </si>
  <si>
    <t>Поддержка коммунального хозяйства</t>
  </si>
  <si>
    <t>Председатель Конституционного Суда Российской Федерации и судьи Конституционного Суда Российской Федерации</t>
  </si>
  <si>
    <t>Федеральная целевая программа "Модернизация транспортной системы России (2002 - 2010 годы)"</t>
  </si>
  <si>
    <t>Подпрограмма "Железнодорожный транспорт"</t>
  </si>
  <si>
    <t>Реализация проекта Международного термоядерного экспериментального реактора ИТЭР</t>
  </si>
  <si>
    <t>Оплата и хранение специального топлива и горюче-смазочных материалов в рамках государственного оборонного заказа</t>
  </si>
  <si>
    <t>Мероприятия по организации оздоровительной кампании детей</t>
  </si>
  <si>
    <t>Закупки вооружений, военной и специальной техники, продукции производственно-технического назначения и имущества в целях обеспечения государственной программы вооружения в рамках государственного оборонного заказа</t>
  </si>
  <si>
    <t>Авиационная техника</t>
  </si>
  <si>
    <t>Культура</t>
  </si>
  <si>
    <t>Оплата стоимости проезда пенсионерам к месту отдыха и обратно один раз в два года</t>
  </si>
  <si>
    <t>Мероприятия по организации социальной защиты</t>
  </si>
  <si>
    <t>Федеральная целевая программа "Мировой океан"</t>
  </si>
  <si>
    <t>Дотация на сбалансированность бюджетов поселений</t>
  </si>
  <si>
    <t>Реализация межгосударственных договоров в рамках Содружества Независимых Государств</t>
  </si>
  <si>
    <t>Федеральная целевая программа "Восстановление экономики и социальной сферы Чеченской Республики (2002 год и последующие годы)"</t>
  </si>
  <si>
    <t>Прочие поступления</t>
  </si>
  <si>
    <t>Погашение бюджетами муниципальных районов кредитов от других бюджетов бюджетной системы Российской Федерации в валюте Российской Федерации</t>
  </si>
  <si>
    <t>Комитет РФ по делам молодежи</t>
  </si>
  <si>
    <t>Администрация Метенининской сельской территории</t>
  </si>
  <si>
    <t>Обеспечение доступности воздушных перевозок пассажиров - жителей Калининградской области из г. Калининграда в европейскую часть страны и в обратном направлении</t>
  </si>
  <si>
    <t>Обеспечение транспортной безопасности воздушных транспортных средств в федеральных государственных образовательных учреждениях Федерального агентства воздушного транспорта</t>
  </si>
  <si>
    <t>Мероприятия по реализации Федерального закона от 9 февраля 2007 г. № 16-ФЗ «О транспортной безопасности» в сфере водного транспорта</t>
  </si>
  <si>
    <t>Компенсация части затрат на приобретение средств химической защиты растений</t>
  </si>
  <si>
    <t>Возмещение сельскохозяйственным товаропроизводителям, организациям агропромышленного комплекса независимо от их организационно-правовых форм и крестьянским (фермерским) хозяйствам, сельскохозяйственным потребительским кооперативам части затрат на уплату процентов по инвестиционным кредитам, полученным в российских кредитных организациях, и займам, полученным в сельскохозяйственных кредитных потребительских кооперативах в 2004 - 2010 годах на срок от 2 до 11 лет</t>
  </si>
  <si>
    <t>Поддержка экономически значимых региональных программ</t>
  </si>
  <si>
    <t>Возмещение части затрат на закупку кормов для маточного поголовья крупного рогатого скота</t>
  </si>
  <si>
    <t>Субсидии Федеральному государственному унитарному предприятию "Главный вычислительный центр Минсельхоза России" на создание системы государственного информационного обеспечения в сфере сельского хозяйства</t>
  </si>
  <si>
    <t>Мероприятия по воспроизводству водных биологических ресурсов</t>
  </si>
  <si>
    <t>Субсидии на возмещение рыбохозяйственным организациям и индивидуальным предпринимателям части затрат на уплату процентов по кредитам, полученным в российских кредитных организациях, на материально-техническое снабжение и снаряжение рыбопромысловых судов на срок до 1 года</t>
  </si>
  <si>
    <t>Субсидии открытому акционерному обществу "Российские железные дороги" на компенсацию потерь в доходах, возникающих в результате государственного регулирования тарифов, сборов и платежей за грузовые железнодорожные перевозки</t>
  </si>
  <si>
    <t>МУСА МЦ "Галактика"</t>
  </si>
  <si>
    <t>Обеспечение имеющих специальные звания сотрудников федеральных органов исполнительной власти, в которых предусмотрена служба, приравненная к военной, служебными жилыми помещениями и жилыми помещениями в общежитиях</t>
  </si>
  <si>
    <t>Дополнительное ежемесячное материальное обеспечение инвалидов вследствие военной травмы</t>
  </si>
  <si>
    <t>Администрация Великосельского сельского поселения</t>
  </si>
  <si>
    <t>Гуманитарная финансовая помощь другим государствам</t>
  </si>
  <si>
    <t>Субсидии издательствам и издающим организациям на реализацию социально значимых проектов, государственную поддержку непериодических изданий</t>
  </si>
  <si>
    <t>Администрация Помогаловской сельской территории</t>
  </si>
  <si>
    <t>Содержание служб поисково- и аварийно-спасательного обеспечения полетов</t>
  </si>
  <si>
    <t>Региональная программа "Социальная поддержка пожилых граждан в Ярославской области" в сфере молодежной политики</t>
  </si>
  <si>
    <t>Мероприятия в рамках административной реформы</t>
  </si>
  <si>
    <t>Международные культурные, научные и информационные связи</t>
  </si>
  <si>
    <t>Президент Российской Федерации</t>
  </si>
  <si>
    <t>Специальные объекты</t>
  </si>
  <si>
    <t>Социальная поддержка Героев Советского Союза, Героев Российской Федерации и полных кавалеров ордена Славы</t>
  </si>
  <si>
    <t>Реформирование государственной службы Российской Федерации</t>
  </si>
  <si>
    <t>Строительство объектов подразделений вневедомственной охраны</t>
  </si>
  <si>
    <t>Пенсионное обеспечение</t>
  </si>
  <si>
    <t>Ремонт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вне государственной программы вооружения</t>
  </si>
  <si>
    <t>ОБЩЕГОСУДАРСТВЕННЫЕ ВОПРОСЫ</t>
  </si>
  <si>
    <t>Субсидии на возмещение части затрат на уплату процентов сельскохозяйственным товаропроизводителям, организациям агропромышленного комплекса независимо от их организационно-правовых форм и крестьянским (фермерским) хозяйствам, сельскохозяйственным потребительским кооперативам по инвестиционным кредитам, полученным в российских кредитных организациях, и займам, полученным в сельскохозяйственных кредитных кооперативах, в 2004 - 2009 годах на срок от 2 до 8 лет</t>
  </si>
  <si>
    <t>Реализация государственной политики в отношении соотечественников за рубежом</t>
  </si>
  <si>
    <t>Выплаты семьям опекунов на содержание подопечных детей</t>
  </si>
  <si>
    <t xml:space="preserve"> Министерство   труда   и   социального    развития РФ</t>
  </si>
  <si>
    <t xml:space="preserve"> Государственный  комитет  РФ по статистике</t>
  </si>
  <si>
    <t xml:space="preserve"> Центр экономической конъюнктуры при  Правительстве РФ</t>
  </si>
  <si>
    <t>Доходы, получаемые в виде арендной либо иной платы за передачу в возмездное пользование государственного и муниципального имущества(за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</si>
  <si>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Министерство  по  делам  федерации, национальной и миграционной политики РФ</t>
  </si>
  <si>
    <t>Администрация Борисоглебской сельской территории</t>
  </si>
  <si>
    <t xml:space="preserve"> Высший арбитражный суд Российской Федерации</t>
  </si>
  <si>
    <t xml:space="preserve"> Конституционный Суд Российской Федерации</t>
  </si>
  <si>
    <t>Субсидии творческим союзам на оказание материальной помощи членам творческих союзов</t>
  </si>
  <si>
    <t>Субвенция на предоставление гражданам субсидий на оплату жилого помещения и коммунальных услуг</t>
  </si>
  <si>
    <t>Связь и информатика</t>
  </si>
  <si>
    <t>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t>
  </si>
  <si>
    <t>Администрация Борисоглебского сельского поселения</t>
  </si>
  <si>
    <t>Федеральная регистрация</t>
  </si>
  <si>
    <t>Доходы</t>
  </si>
  <si>
    <t>Налоги на прибыль, доходы</t>
  </si>
  <si>
    <t>Мероприятия в сфере межнациональных отношений</t>
  </si>
  <si>
    <t>Федеральная целевая программа "Социально-экономическое развитие Республики Башкортостан до 2007 года"</t>
  </si>
  <si>
    <t>Компенсация выпадающих доходов организациям, предоставляющим населению услуги электроснабжения по тарифам, необеспечивающим возмещение издержек</t>
  </si>
  <si>
    <t xml:space="preserve"> Информационное телеграфное агентство России (ИТАР-ТАСС)</t>
  </si>
  <si>
    <t>Пособия гражданам, подвергшимся воздействию радиации вследствие радиационных аварий и ядерных испытаний</t>
  </si>
  <si>
    <t xml:space="preserve"> Сибирское отделение Российской академии наук</t>
  </si>
  <si>
    <t>Учреждения, обеспечивающие предоставление услуг в области животноводства</t>
  </si>
  <si>
    <t>Компенсация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 учащихся очной формы обучения образовательных учреждений начального профессионального, среднего профессионального и высшего профессионального образования железнодорожным транспортом общего пользования в пригородном сообщении</t>
  </si>
  <si>
    <t>Субсидии открытому акционерному обществу "Российские железные дороги" на компенсацию потерь в доходах, связанных с установлением исключительных тарифов на перевозку зерна, продуктов мукомольно-крупяной промышленности, сои и соевого шрота</t>
  </si>
  <si>
    <t>Субсидии открытому акционерному обществу "Российские железные дороги" на компенсацию потерь в доходах, возникающих в результате государственного регулирования тарифов на услуги по использованию инфраструктуры железнодорожного транспорта общего пользования, оказываемые при осуществлении перевозок пассажиров в пригородном сообщении</t>
  </si>
  <si>
    <t>Реализация Комплексной программы обеспечения безопасности населения на транспорте</t>
  </si>
  <si>
    <t>Субсидии открытому акционерному обществу "Российские железные дороги" на реализацию Комплексной программы обеспечения безопасности населения на транспорте</t>
  </si>
  <si>
    <t>Субсидии федеральному государственному унитарному предприятию "Администрация гражданских аэропортов (аэродромов)" на реализацию Комплексной программы обеспечения безопасности населения на транспорте</t>
  </si>
  <si>
    <t>Реализация мероприятий по обеспечению безопасности населения на метрополитене в рамках Комплексной программы обеспечения безопасности населения на транспорте</t>
  </si>
  <si>
    <t>Реализация мероприятий по обеспечению безопасности населения на автомобильном транспорте в рамках Комплексной программы обеспечения безопасности населения на транспорте</t>
  </si>
  <si>
    <t>Содержание и управление дорожным хозяйством</t>
  </si>
  <si>
    <t>Ремонт и содержание федеральных автомобильных дорог</t>
  </si>
  <si>
    <t>Строительство, модернизация,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</si>
  <si>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Софинансирование строительства автомобильной дороги "Западный скоростной диаметр" в г. Санкт-Петербурге</t>
  </si>
  <si>
    <t>Софинансирование инвестиционного проекта по строительству примыкания к автомобильной дороге М-52 "Чуйский тракт" на км 651 в районе урочища реки Урсул</t>
  </si>
  <si>
    <t>Софинансирование реконструкции автомобильной дороги Саяногорск - Майнская ГЭС - Черемушки и искусственных сооружений на ней</t>
  </si>
  <si>
    <t>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t>
  </si>
  <si>
    <t>Мероприятия по реализации Федерального закона от 9 февраля 2007 г. № 16-ФЗ «О транспортной безопасности» в сфере дорожного хозяйства</t>
  </si>
  <si>
    <t>Субсидии на покрытие части расходов, связанных с функционирование почтовых отделений, расположенных в районах Крайнего Севера</t>
  </si>
  <si>
    <t>Субсидии ФГУП "Почта России" на компенсацию потерь в доходах, связанных со сдерживанием указанным предприятием роста тарифов на услуги по распространению периодических печатных изданий</t>
  </si>
  <si>
    <t>Территориальная избирательная комиссия по г. Тутаеву и Тутаевскому району</t>
  </si>
  <si>
    <t>Российское агентство по боеприпасам</t>
  </si>
  <si>
    <t>Плазмацентры</t>
  </si>
  <si>
    <t>Вопросы топливно-энергетического комплекса</t>
  </si>
  <si>
    <t>Высокотехнологичные виды медицинской помощи</t>
  </si>
  <si>
    <t>Федеральная целевая программа "Реструктуризация запасов ракет, боеприпасов и взрывчатых материалов, приведение системы их хранения и эксплуатации во взрывопожаробезопасное состояние на 2005 - 2010 годы"</t>
  </si>
  <si>
    <t>Данная субсидия распределяется в порядке и на условиях, утвержденных законодательством Ярославской области.</t>
  </si>
  <si>
    <t>Субсидии на обеспечение безопасности судоходства на канале имени Москвы</t>
  </si>
  <si>
    <t>Региональные целевые программы</t>
  </si>
  <si>
    <t>Мероприятия в области коммунального хозяйства</t>
  </si>
  <si>
    <t>Бюджетные кредиты, предоставленные внутри страны в валюте Российской Федерации</t>
  </si>
  <si>
    <t>Поддержка мер по обеспечению сбалансированности бюджетов закрытых административно-территориальных образований</t>
  </si>
  <si>
    <t>Реформирование региональных и муниципальных финансов</t>
  </si>
  <si>
    <t>Денежное довольствие и социальные выплаты сотрудникам и заработная плата работникам территориальных подразделений Государственной противопожарной службы, содержащимся за счет средств субъектов Российской Федерации, за исключением подразделений, созданных в субъектах Российской Федерации в соответствии со статьей 5 Федерального закона от 21 декабря 1994 года № 69-ФЗ "О пожарной безопасности"</t>
  </si>
  <si>
    <t>Центральные транспортные комбинаты</t>
  </si>
  <si>
    <t>Эксплуатация зданий</t>
  </si>
  <si>
    <t>Исследования в части вопросов утилизации и ликвидации вооружения и военной техники, уничтожения запасов химического оружия</t>
  </si>
  <si>
    <t>Борьба с эпидемиями</t>
  </si>
  <si>
    <t>Реализация государственной политики в области приватизации и управления государственной и муниципальной собственностью</t>
  </si>
  <si>
    <t>Содержание и обслуживание казны Российской Федерации</t>
  </si>
  <si>
    <t>Развитие и поддержка социальной и инженерной инфраструктуры закрытых административно-территориальных образований</t>
  </si>
  <si>
    <t>Субсидии издательствам и издающим организациям на реализацию социально значимых проектов, выпуск книг, изданий для инвалидов</t>
  </si>
  <si>
    <t>Подпрограмма "Развитие экспорта транспортных услуг России"</t>
  </si>
  <si>
    <t>2 02 03007 05 0000 151</t>
  </si>
  <si>
    <t>Субвенции бюджетам муниципальных районов на составление (изменение и дополнение) списков кандидатов в присяжные заседатели федеральных судов общей юрисдикции в Российской Федерации</t>
  </si>
  <si>
    <t>Федеральный закон от 27 ноября 2001 года № 155-ФЗ "О дополнительном социальном обеспечении членов летных экипажей воздушных судов гражданской авиации"</t>
  </si>
  <si>
    <t>Доплата к пенсии членам летных экипажей воздушных судов гражданской авиации</t>
  </si>
  <si>
    <t>Финансовое обеспечение оказания дополнительной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сестрами участковыми врачей-терапевтов участковых, врачей-педиатров участковых, медицинскими сестрами врачей общей практики (семейных врачей)</t>
  </si>
  <si>
    <t>Подпрограмма "Социальная поддержка и реабилитация инвалидов вследствие боевых действий и военной травмы"</t>
  </si>
  <si>
    <t>Субвенция на освобождение от оплаты стоимости  проезда лиц, находящихся под диспансерным наблюдением в связи с туберкулезом, и больных туберкулезом</t>
  </si>
  <si>
    <t>Администрация Николо-Эдомской сельской территории</t>
  </si>
  <si>
    <t>Итого источников внутреннего финансирования</t>
  </si>
  <si>
    <t>Прочие мероприятия по благоустройству городских округов и поселений</t>
  </si>
  <si>
    <t>09</t>
  </si>
  <si>
    <t>Федеральный закон от 24 июля 1998 года № 125-ФЗ "Об обязательном социальном страховании от несчастных случаев на производстве и профессиональных заболеваний"</t>
  </si>
  <si>
    <t>Другие вопросы в области охраны окружающей среды</t>
  </si>
  <si>
    <t>Обслуживание внутреннего государственного и муниципального долга</t>
  </si>
  <si>
    <t xml:space="preserve"> Министерство иностранных дел Российской Федерации</t>
  </si>
  <si>
    <t>Совершенствование организации медицинской помощи пострадавшим при дорожно-транспортных происшествиях</t>
  </si>
  <si>
    <t>Медицинская, социальная и профессиональная реабилитация пострадавших, обеспечение предупредительных мер по сокращению производственного травматизма и профессиональных заболеваний</t>
  </si>
  <si>
    <t>Доставка и пересылка страховых выплат</t>
  </si>
  <si>
    <t>Субсидии на поддержку образовательного кредитования</t>
  </si>
  <si>
    <t>Приобретение автотранспортных средств повышенной проходимости для развития межпоселкового пассажирского сообщения наземным транспортом на территории Корякского округа</t>
  </si>
  <si>
    <t>Государственная хлебная инспекция при правительстве РФ</t>
  </si>
  <si>
    <t>Автобронетанковая техника</t>
  </si>
  <si>
    <t>Администрация Родионовской сельской территории</t>
  </si>
  <si>
    <t xml:space="preserve"> Федеральная служба  России по  гидрометеорологии и мониторингу окружающей среды</t>
  </si>
  <si>
    <t xml:space="preserve">Субсидия на реализацию областной целевой программы "Модернизация объектов коммунальной инфраструктуры Ярославской области" </t>
  </si>
  <si>
    <t>Субсидии организациям на создание и ведение Федерального информационного фонда технических регламентов и стандартов</t>
  </si>
  <si>
    <t>Пособия при усыновлении ребенка</t>
  </si>
  <si>
    <t>Резервный фонд Правительства Российской Федерации по предупреждению и ликвидации чрезвычайных ситуаций и последствий стихийных бедствий</t>
  </si>
  <si>
    <t>Бюджетные инвестиции в объекты капитального строительства государственной собственности субъектов Российской Федерации (объекты капитального строительства собственности муниципальных образований)</t>
  </si>
  <si>
    <t>Оснащение общеобразовательных учреждений учебным оборудованием</t>
  </si>
  <si>
    <t>Приобретение жилья гражданами, уволенными с военной службы (службы), и приравненными к ним лицами</t>
  </si>
  <si>
    <t>Обучение в высших учебных заведениях лиц, прошедших военную службу по контракту</t>
  </si>
  <si>
    <t>Проведение статистических обследований и переписей</t>
  </si>
  <si>
    <t>Депутаты представительного органа муниципального образования</t>
  </si>
  <si>
    <t>Расходы на выплаты персоналу в сфере национальной безопасности, правоохранительной деятельности и обороны</t>
  </si>
  <si>
    <t>Денежное довольствие военнослужащих и приравненных к ним лиц</t>
  </si>
  <si>
    <t>Дополнительное денежное стимулирование военнослужащих и приравненных к ним лиц</t>
  </si>
  <si>
    <t>Расходы на выплаты, зависящие от размера денежного довольствия</t>
  </si>
  <si>
    <t>Иные выплаты персоналу, за исключением денежного довольствия</t>
  </si>
  <si>
    <t>Расходы на выплаты персоналу государственных внебюджетных фондов</t>
  </si>
  <si>
    <t>Иные выплаты персоналу, за исключением фонда оплаты труда труда и командировочные расходы, а также на страховые взносы с указанных выплат в установленных законодательством случаях.</t>
  </si>
  <si>
    <t>Закупка товаров, работ и услуг для государственных нужд</t>
  </si>
  <si>
    <t>Разработка, закупка и ремонт вооружений, военной и специальной техники, продукции производственно-технического назначения и имущества</t>
  </si>
  <si>
    <t>Закупка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 целях обеспечения государственной программы вооружения</t>
  </si>
  <si>
    <t>Закупка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вне рамок государственной программы вооружения</t>
  </si>
  <si>
    <t xml:space="preserve"> Закупка вооружений, военной и специальной техники, продукции производственно-технического назначения и имущества вне рамок государственного оборонного заказа</t>
  </si>
  <si>
    <t>Ремонт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 целях обеспечения государственной программы вооружения</t>
  </si>
  <si>
    <t>Ремонт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вне рамок государственной программы вооружения</t>
  </si>
  <si>
    <t>Финансовое обеспечение государственного задания в соответствии с программой государственных гарантий оказания гражданам Российской Федерации бесплатной медицинской помощи на оказание дополнительной бесплатной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сестрами участковыми врачей-терапевтов участковых, врачей-педиатров участковых, медицинскими сестрами врачей общей практики (семейных врачей)</t>
  </si>
  <si>
    <t>Федеральный закон от 29 декабря 2006 года № 256-ФЗ "О дополнительных мерах государственной поддержки семей, имеющих детей"</t>
  </si>
  <si>
    <t>Отдельные мероприятия в области информационно-коммуникационных технологий и связи</t>
  </si>
  <si>
    <t>Конверсия радиочастотного спектра</t>
  </si>
  <si>
    <t>Осуществление полномочий Российской Федерации в области содействия занятости населения, включая расходы по осуществлению этих полномочий</t>
  </si>
  <si>
    <t xml:space="preserve"> Российская академия архитектуры и строительных наук</t>
  </si>
  <si>
    <t xml:space="preserve"> Российский фонд фундаментальных исследований</t>
  </si>
  <si>
    <t>МУ ИЦ "Берега"</t>
  </si>
  <si>
    <t>Возврат бюджетных кредитов, предоставленных юридическим лицам в валюте Российской Федерации</t>
  </si>
  <si>
    <t xml:space="preserve"> Российская академия образования</t>
  </si>
  <si>
    <t>Федеральная целевая программа "Развитие гражданской авиационной техники России на 2002 - 2010 годы и на период до 2015 года"</t>
  </si>
  <si>
    <t>Жилищное хозяйство</t>
  </si>
  <si>
    <t>Коммунальное хозяйство</t>
  </si>
  <si>
    <t xml:space="preserve"> Федеральный надзор России по ядерной и  радиационной безопасности</t>
  </si>
  <si>
    <t>Штрафы за экологическое правонарушение</t>
  </si>
  <si>
    <t>Подготовка населения и организаций к действиям в чрезвычайной ситуации в мирное и военное время</t>
  </si>
  <si>
    <t>Мероприятия по депортации (административному выдворению)</t>
  </si>
  <si>
    <t>Государственная поддержка сельского хозяйства</t>
  </si>
  <si>
    <t>955 01 06 00 00 00 0000 000</t>
  </si>
  <si>
    <t>955 01 06 05 01 00 0000 640</t>
  </si>
  <si>
    <t xml:space="preserve"> Представительство Правительства РФ в Чеченской республике</t>
  </si>
  <si>
    <t>Государственная пошлина за государственную регистрацию, а также за совершение прочих юридически значимых действий</t>
  </si>
  <si>
    <t>ОХРАНА ОКРУЖАЮЩЕЙ СРЕДЫ</t>
  </si>
  <si>
    <t>Экологический контроль</t>
  </si>
  <si>
    <t xml:space="preserve"> Главное управление специальных программ Президента РФ</t>
  </si>
  <si>
    <t>Обеспечение проведения ремонта индивидуальных жилых домов, принадлежащих членам семей военнослужащих, потерявшим кормильца</t>
  </si>
  <si>
    <t>Осуществление ежемесячной денежной выплаты Героям Социалистического Труда и полным кавалерам ордена Трудовой Славы</t>
  </si>
  <si>
    <t>Прикладные научные исследования в области образования</t>
  </si>
  <si>
    <t>Администрация Великосельской сельской территории</t>
  </si>
  <si>
    <t>Компенсация стоимости вещевого имущества</t>
  </si>
  <si>
    <t>Обеспечение ведения специальной части индивидуальных лицевых счетов застрахованных лиц, формирование средств пенсионных накоплений</t>
  </si>
  <si>
    <t>Аппараты органов управления государственных внебюджетных фондов</t>
  </si>
  <si>
    <t>Военный персонал</t>
  </si>
  <si>
    <t>Погашение бюджетных кредитов, полученных от других бюджетов бюджетной системы Российской Федерации в валюте Российской Федерации</t>
  </si>
  <si>
    <t xml:space="preserve"> Федеральное управление медико-биологических и экстремальных проблем при министерстве  здравоохранения РФ</t>
  </si>
  <si>
    <t xml:space="preserve"> Пенсионный фонд Российской Федерации</t>
  </si>
  <si>
    <t>Мероприятия в области исследования и использования космического пространства в мирных целях</t>
  </si>
  <si>
    <t>Геологическое изучение недр</t>
  </si>
  <si>
    <t>Территориальные фонды информации</t>
  </si>
  <si>
    <t>Воинские формирования (органы, подразделения)</t>
  </si>
  <si>
    <t>Осуществление полномочий по подготовке проведения статистических переписей</t>
  </si>
  <si>
    <t>Субсидии российским кредитным организациям на возмещение выпадающих доходов по кредитам, выданным российскими кредитными организациями в 2009 - 2011 годах физическим лицам на приобретение автомобилей</t>
  </si>
  <si>
    <t xml:space="preserve">Взносы в уставные капиталы кредитных организаций, осуществляемые путем обмена государственных ценных бумаг Российской Федерации на акции кредитных организаций </t>
  </si>
  <si>
    <t>Приобретение школьных автобусов, производимых на территории Российской Федерации, для общеобразовательных учреждений</t>
  </si>
  <si>
    <t>Реализация проектов Комиссии при Президенте Российской Федерации по модернизации и технологическому развитию экономики России</t>
  </si>
  <si>
    <t>Стратегические компьютерные технологии и программное обеспечение</t>
  </si>
  <si>
    <t>ИКТ-услуги в области медицины и здравоохранения и социального обеспечения</t>
  </si>
  <si>
    <t>Развитие суперкомпьютеров и грид-технологий</t>
  </si>
  <si>
    <t>Развитие электронных образовательных интернет-ресурсов нового поколения, включая культурно-познавательные сервисы, а также систем дистанционного общего и профессионального обучения (e-learning)</t>
  </si>
  <si>
    <t>Осуществление полномочий Российской Федерации в области охраны и использования охотничьих ресурсов по контролю, надзору, выдаче разрешений на добычу охотничьих ресурсов и заключению охотхозяйственных соглашений</t>
  </si>
  <si>
    <t>Осуществление полномочий Российской Федерации по контролю качества образования, лицензированию и государственной аккредитации образовательных учреждений, надзору и контролю за соблюдением законодательства в области образования</t>
  </si>
  <si>
    <t>Осуществление полномочий Российской Федерации по государственной охране объектов культурного наследия федерального значения</t>
  </si>
  <si>
    <t>Обеспечение мероприятий, предусмотренных соглашениями с международными финансовыми организациями</t>
  </si>
  <si>
    <t>Субсидии на возмещение части затрат на обеспечение деятельности Международного центра устойчивого энергетического развития под эгидой ЮНЕСКО в г. Москве</t>
  </si>
  <si>
    <t>Оказание финансовой помощи в целях социально-экономического развития Республики Южная Осетия</t>
  </si>
  <si>
    <t>Оказание финансовой помощи в целях социально-экономического развития Республики Абхазия</t>
  </si>
  <si>
    <t>Оказание финансовой помощи в целях осуществления бюджетных инвестиций Республике Южная Осетия</t>
  </si>
  <si>
    <t>Оказание финансовой помощи в целях осуществления бюджетных инвестиций Республике Абхазия</t>
  </si>
  <si>
    <t>Международный проект по сооружению Европейского центра по исследованию ионов и антипротонов (ФАИР)</t>
  </si>
  <si>
    <t>Резервный фонд исполнительных органов государственной власти субъектов Российской Федерации</t>
  </si>
  <si>
    <t>Реализация мероприятий Программы совместной деятельности организаций, участвующих в пилотном проекте по созданию национального исследовательского центра "Курчатовский институт", на 2010 - 2012 годы</t>
  </si>
  <si>
    <t>Обеспечение функционирования аппаратов фондов поддержки научной и (или) научно-технической деятельности</t>
  </si>
  <si>
    <t>Оценка недвижимости, признание прав и регулирование отношений по государственной и муниципальной собственности</t>
  </si>
  <si>
    <t>Комбинаты питания</t>
  </si>
  <si>
    <t>Денежные компенсации истцам в случае вынесения соответствующих решений Европейским Судом по правам человека</t>
  </si>
  <si>
    <t>Государственная поддержка финансового рынка, рынка труда и отраслей экономики Российской Федерации, предоставление межбюджетных трансфертов бюджету Пенсионного фонда Российской Федерации и иные мероприятия</t>
  </si>
  <si>
    <t>Обеспечение расходов Федерального фонда обязательного медицинского страхования в связи с недопоступлением налоговых доходов в бюджет Фонда</t>
  </si>
  <si>
    <t>Возмещение потерь, возникших при инвестировании Пенсионным фондом Российской Федерации сумм страховых взносов на финансирование накопительной части трудовой пенсии</t>
  </si>
  <si>
    <t>Мероприятия по ликвидации чрезвычайных ситуаций и стихийных бедствий, выполняемые в рамках специальных решений</t>
  </si>
  <si>
    <t>Осуществление ежемесячной денежной выплаты инвалидам</t>
  </si>
  <si>
    <t>изменения</t>
  </si>
  <si>
    <t>Оплата и хранение специального топлива и горюче-смазочных материалов</t>
  </si>
  <si>
    <t>Бюджетные инвестиции в объекты капитального строительства, не включенные в целевые программы</t>
  </si>
  <si>
    <t xml:space="preserve"> Министерство российской  федерации по  делам гражданской обороны, чрезвычайным ситуациям и ликвидации последствий стихийных бедствий</t>
  </si>
  <si>
    <t xml:space="preserve"> Министерство  Российской  Федерации  по  налогам и сборам</t>
  </si>
  <si>
    <t>Федеральная налоговая служба</t>
  </si>
  <si>
    <t>Мероприятия по патриотическому воспитанию граждан Российской Федерации</t>
  </si>
  <si>
    <t>Резервный фонд Президента Российской Федерации</t>
  </si>
  <si>
    <t>Мероприятия в области использования, охраны водных объектов и гидротехнических сооружений</t>
  </si>
  <si>
    <t>Перевозка несовершеннолетних, самовольно ушедших из семей, детских домов, школ-интернатов, специальных учебно-воспитательных и иных детских учреждений</t>
  </si>
  <si>
    <t>Поиск и спасание</t>
  </si>
  <si>
    <t>Учреждения по обеспечению хозяйственного обслуживания</t>
  </si>
  <si>
    <t>Приложение 1</t>
  </si>
  <si>
    <t xml:space="preserve"> Государственная Дума Федерального собрания РФ</t>
  </si>
  <si>
    <t>Единый сельскохозяйственный налог</t>
  </si>
  <si>
    <t>Вещевое обеспечение в рамках государственного оборонного заказа</t>
  </si>
  <si>
    <t>Вещевое обеспечение вне рамок государственного оборонного заказа</t>
  </si>
  <si>
    <t>Строительство объектов общегражданского назначения с использованием специальных методов</t>
  </si>
  <si>
    <t>Чебаковское сельское поселение</t>
  </si>
  <si>
    <t>Левобережное сельское поселение</t>
  </si>
  <si>
    <t>Проведение диспансеризации находящихся в стационарных учреждениях детей-сирот и детей, оставшихся без попечения родителей</t>
  </si>
  <si>
    <t>Подпрограмма "Разработка и подготовка производства навигационного оборудования и аппаратуры для гражданских потребителей"</t>
  </si>
  <si>
    <t>Федеральное агентство по сельскому хозяйству</t>
  </si>
  <si>
    <t>Государственный комитет  по кинематографии</t>
  </si>
  <si>
    <t xml:space="preserve"> Министерство  промышленности,  науки  и технологий РФ</t>
  </si>
  <si>
    <t>Резервный фонд Правительства Российской Федерации</t>
  </si>
  <si>
    <t>Федеральная целевая программа "Снижение рисков и смягчение последствий чрезвычайных ситуаций природного и техногенного характера в Российской Федерации до 2010 года"</t>
  </si>
  <si>
    <t>Не используется</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</si>
  <si>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</si>
  <si>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Выравнивание бюджетной обеспеченности</t>
  </si>
  <si>
    <t>Дотации</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</si>
  <si>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</si>
  <si>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Оздоровление детей </t>
  </si>
  <si>
    <t>Имущественный взнос в Государственную корпорацию по строительству олимпийских объектов и развитию города Сочи как горноклиматического курорта</t>
  </si>
  <si>
    <t>Прием и содержание беженцев и лиц, ходатайствующих о признании их беженцами</t>
  </si>
  <si>
    <t>Содержание граждан, временно покинувших территорию Чеченской Республики</t>
  </si>
  <si>
    <t>Имущественный взнос на приобретение акций открытого акционерного общества "Технопарк-Технология"</t>
  </si>
  <si>
    <t>Имущественный взнос в Государственную корпорацию по атомной энергии "Росатом" на обеспечение безопасной эксплуатации объектов использования атомной энергии и выполнение норм ядерной и радиационной безопасности</t>
  </si>
  <si>
    <t>Имущественный взнос в Государственную корпорацию по атомной энергии "Росатом" на обеспечение инновационного развития гражданского сектора атомной отрасли Российской Федерации</t>
  </si>
  <si>
    <t>Имущественный взнос в Государственную корпорацию по атомной энергии "Росатом" на обеспечение стабильного функционирования и развития ядерного оружейного комплекса</t>
  </si>
  <si>
    <t>Субсидии Государственной корпорации по строительству олимпийских объектов и развитию города Сочи как горноклиматического курорта</t>
  </si>
  <si>
    <t>Премии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t>
  </si>
  <si>
    <t>Государственная поддержка талантливой молодежи</t>
  </si>
  <si>
    <t>Федеральная целевая программа "Развитие атомного энергопромышленного комплекса России на 2007 - 2010 годы и на перспективу  до 2015 года"</t>
  </si>
  <si>
    <t>Федеральная целевая программа "Развитие г. Сочи как горноклиматического курорта (2006 - 2014 годы)"</t>
  </si>
  <si>
    <t>Федеральная целевая программа "Дети России" на 2007 - 2010 годы</t>
  </si>
  <si>
    <t>Подпрограмма "Здоровое поколение"</t>
  </si>
  <si>
    <t>Подпрограмма "Дети и семья"</t>
  </si>
  <si>
    <t>Субсидии информационным агентствам</t>
  </si>
  <si>
    <t>Развитие социальной и инженерной инфраструктуры субъектов Российской Федерации и муниципальных образований</t>
  </si>
  <si>
    <t>Субсидии на поддержку овцеводства</t>
  </si>
  <si>
    <t>Разработка приоритетных направлений науки, технологий и техники</t>
  </si>
  <si>
    <t>Инспекционная деятельность и другие расходы</t>
  </si>
  <si>
    <t>Субсидии российским организациям на обеспечение деятельности на архипелаге Шпицберген</t>
  </si>
  <si>
    <t>Обеспечение реализации соглашений с правительствами иностранных государств и организациями</t>
  </si>
  <si>
    <t>Субсидии на закладку и уход за многолетними насаждениями</t>
  </si>
  <si>
    <t>Закупки лекарственных препаратов, предназначенных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</si>
  <si>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Мероприятия по развитию службы крови</t>
  </si>
  <si>
    <t>Осуществление организационных мероприятий по обеспечению граждан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</si>
  <si>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Мероприятия, направленные на совершенствование медицинской помощи больным с онкологическими заболеваниями</t>
  </si>
  <si>
    <t>Мероприятия, направленные на формирование здорового образа жизни у населения Российской Федерации, включая сокращение потребления алкоголя и табака</t>
  </si>
  <si>
    <t>Финансовое обеспечение создания информационной системы в здравоохранении</t>
  </si>
  <si>
    <t>Подготовка и повышение квалификации медицинских работников федеральных центров высоких медицинских технологий, в том числе модернизация образовательного процесса</t>
  </si>
  <si>
    <t>Мероприятия по пренатальной (дородовой) диагностике</t>
  </si>
  <si>
    <t>Финансовое обеспечение развития неонатальной хирургии</t>
  </si>
  <si>
    <t>Реализация государственных функций в области физической культуры и спорта</t>
  </si>
  <si>
    <t>Оказание адресной финансовой поддержки спортивным организациям, осуществляющим подготовку спортивного резерва для сборных команд Российской Федерации</t>
  </si>
  <si>
    <t>Реализация государственных функций в области туризма</t>
  </si>
  <si>
    <t>Пенсии военнослужащим, членам их семей и лицам, приравненным к ним по пенсионному обеспечению, а также пособия и иные выплаты в рамках пенсионного обеспечения</t>
  </si>
  <si>
    <t>Указ Президента Российской Федерации от 23 августа 2000 года № 1563 "О неотложных мерах социальной поддержки специалистов ядерного оружейного комплекса Российской Федерации"</t>
  </si>
  <si>
    <t>Выплата региональной доплаты к пенсии</t>
  </si>
  <si>
    <t>Указ Президента Российской Федерации от 18 февраля 2005 года № 176 "Об установлении ежемесячной доплаты к пенсиям отдельным категориям пенсионеров"</t>
  </si>
  <si>
    <t>Ежемесячная доплата к пенсиям отдельным категориям пенсионеров</t>
  </si>
  <si>
    <t>Федеральный закон от 17 июля 1999 года № 178-ФЗ «О государственной социальной помощи»</t>
  </si>
  <si>
    <t>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t>
  </si>
  <si>
    <t>Оказание отдельным категориям граждан государственной социальной помощи по обеспечению лекарственными препаратами, изделиями медицинского назначения, а также специализированными продуктами лечебного питания для детей-инвалидов</t>
  </si>
  <si>
    <t>Выплата федеральной социальной доплаты к пенсии</t>
  </si>
  <si>
    <t>Выплата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t>
  </si>
  <si>
    <t>Субсидии Мемориально-благотворительному фонду имени В.П. Чкалова "Международный Чкаловский фонд" на подготовку и проведение мероприятий, посвященных 75-летию беспосадочного перелета экипажа В.П. Чкалова</t>
  </si>
  <si>
    <t>Совершенствование стипендиального обеспечения обучающихся в федеральных образовательных учреждениях профессионального образования</t>
  </si>
  <si>
    <t>Субсидии федеральному государственному унитарному предприятию "Управление служебными зданиями" при Министерстве сельского хозяйства Российской Федерации</t>
  </si>
  <si>
    <t>Обеспечение авиационных перевозок высших должностных лиц Российской Федерации</t>
  </si>
  <si>
    <t>Модернизация Вооруженных Сил Российской Федерации и воинских формирований</t>
  </si>
  <si>
    <t>Субсидии организациям угольной промышленности на возмещение части затрат на уплату процентов по кредитам, полученным в российских кредитных организациях в 2005 - 2007 годах, на осуществление инвестиционных проектов</t>
  </si>
  <si>
    <t>Совета ТМР</t>
  </si>
  <si>
    <t>Межбюджетные трансферты на обеспечение сбалансированности бюджетов поселений</t>
  </si>
  <si>
    <t>Прикладные научные исследования в области жилищно- коммунального хозяйства</t>
  </si>
  <si>
    <t>Областная целевая программа "Комплексные меры противодействия злоупотреблению наркотиками и их незаконному обороту"</t>
  </si>
  <si>
    <t>Разработка, закупка и ремонт вооружений, военной и специальной техники, продукции производственно-технического назначения и имущества в рамках государственного оборонного заказа</t>
  </si>
  <si>
    <t>Субсидия на финансирование дорожного хозяйства</t>
  </si>
  <si>
    <t>Прочие выплаты по обязательствам государства</t>
  </si>
  <si>
    <t>Субвенция на обеспечение профилактики безнадзорности, правонарушений несовершеннолетних и защиты их прав</t>
  </si>
  <si>
    <t>Реализация государственных функций, связанных с общегосударственным управлением</t>
  </si>
  <si>
    <t>Мероприятия, связанные с обеспечением функционирования организаций оборонно-промышленного комплекса</t>
  </si>
  <si>
    <t>Осуществление мероприятий по снижению профессионального риска застрахованного по обязательному социальному страхованию от несчастных случаев на производстве и профессиональных заболеваний и оптимизации страховых тарифов</t>
  </si>
  <si>
    <t xml:space="preserve"> Государственный Эрмитаж</t>
  </si>
  <si>
    <t xml:space="preserve"> МОСКОВСКОЕ НПО "РАДОН"</t>
  </si>
  <si>
    <t>Всероссийское общество слепых</t>
  </si>
  <si>
    <t>Обеспечение ядерной, радиационной и экологической безопасности</t>
  </si>
  <si>
    <t>Подпрограмма "Психические расстройства"</t>
  </si>
  <si>
    <t>Субсидии организациям на проведение оздоровительных и реабилитационных мероприятий</t>
  </si>
  <si>
    <t>Выполнение других обязательств государства по выплате агентских комиссий и вознаграждения</t>
  </si>
  <si>
    <t>Государственные гарантии Российской Федерации</t>
  </si>
  <si>
    <t>1. Субвенция на осуществление первичного воинского учета на территориях, где отсутствуют военные комиссариаты</t>
  </si>
  <si>
    <t>955 01 05 02 01 05 0000 610</t>
  </si>
  <si>
    <t>Организация альтернативной гражданской службы</t>
  </si>
  <si>
    <t>Процентные платежи по муниципальному долгу</t>
  </si>
  <si>
    <t>Компенсация в возмещение вреда гражданам, подвергшимся воздействию радиации вследствие радиационных аварий</t>
  </si>
  <si>
    <t>Федеральный закон от 24 ноября 1995 года № 181-ФЗ "О социальной защите инвалидов в Российской Федерации"</t>
  </si>
  <si>
    <t>Платежи за выполнение определенных функций</t>
  </si>
  <si>
    <t>Административные платежи и сборы</t>
  </si>
  <si>
    <t>Мероприятия в области коммунального хозяйства, связанные с выполнением переданных полномочий  по газоснабжению населения (газификация жилых домов левый берег)</t>
  </si>
  <si>
    <t>Мероприятия в области коммунального хозяйства, связанные с выполнением переданных полномочий по теплоснабжению</t>
  </si>
  <si>
    <t>МЦП "Чистая вода" на территории  ТМР на период 2011-2014годов</t>
  </si>
  <si>
    <t>Обеспечение автомобильными дорогами новых микрорайонов</t>
  </si>
  <si>
    <t>Отдельные мероприятия в области дорожного хозяйства</t>
  </si>
  <si>
    <t>Функционирование высшего должностного лица субъекта Российской Федерации и муниципального образования</t>
  </si>
  <si>
    <t>Изменение остатков средств на счетах по учету средств бюджета</t>
  </si>
  <si>
    <t>955 01 05 02 01 05 0000 510</t>
  </si>
  <si>
    <t xml:space="preserve">Имущественный взнос Российской Федерации в Государственную корпорацию по содействию разработке, производству и экспорту высокотехнологичной промышленной продукции ""Ростехнологии"" для осуществления мероприятий, связанных с завершением строительства и ввода в эксплуатацию федеральных центров высоких медицинских технологий, в том числе для проведения аудиторской проверки и оценки объектов незавершенного строительства указанных центров </t>
  </si>
  <si>
    <t xml:space="preserve">Имущественный взнос Российской Федерации в Государственную корпорацию по содействию разработке, производству и экспорту высокотехнологичной промышленной продукции "Ростехнологии" на реализацию мероприятий, осуществляемых в рамках специальных решений </t>
  </si>
  <si>
    <t>Постановление Правительства Российской Федерации от 4 августа 2006 года № 472 "О финансировании ежемесячных компенсационных выплат нетрудоустроенным женщинам, имеющим детей в возрасте до 3 лет, уволенным в связи с ликвидацией организации"</t>
  </si>
  <si>
    <t>Компенсации женщинам, имеющим детей в возрасте до трех лет, уволенным в связи с ликвидацией организаций</t>
  </si>
  <si>
    <t>Постановление Правительства Российской Федерации от 30 апреля 1997 года № 510 "О Порядке выплаты компенсаций за утраченное жилье и/или имущество гражданам, пострадавшим в результате разрешения кризиса в Чеченской Республике и покинувшим ее безвозвратно"</t>
  </si>
  <si>
    <t>Компенсация за утраченное жилье и (или) имущество гражданам, пострадавшим в результате разрешения кризиса в Чеченской Республике и покинувшим ее безвозвратно</t>
  </si>
  <si>
    <t>Обеспечение мер социальной поддержки для лиц, награжденных знаком "Почетный донор СССР", "Почетный донор России"</t>
  </si>
  <si>
    <t>Федеральный закон от 29 декабря 2006 года № 255-ФЗ "Об обязательном социальном страховании на случай временной нетрудоспособности и в связи с материнством"</t>
  </si>
  <si>
    <t>Пособия по временной нетрудоспособности по обязательному социальному страхованию на случай временной нетрудоспособности и в связи с материнством</t>
  </si>
  <si>
    <t>Пособия по беременности и родам гражданам, подлежащим обязательному социальному страхованию на случай временной нетрудоспособности и в связи с материнством</t>
  </si>
  <si>
    <t>Пособия по беременности и родам отдельным категориям граждан в связи с зачетом в страховой стаж нестраховых периодов</t>
  </si>
  <si>
    <t>Пособия по временной нетрудоспособности отдельным категориям граждан в связи с зачетом в страховой стаж нестраховых периодов</t>
  </si>
  <si>
    <t>Обеспечение жильем инвалидов войны и инвалидов боевых действий, участников Великой Отечественной войны, ветеранов боевых действий, военнослужащих, проходивших военную службу в период с 22 июня 1941 года по 3 сентября 1945 года, граждан, награжденных знаком "Жителю блокадного Ленинграда", лиц, работавших на военных объектах в период Великой Отечественной войны, членов семей погибших (умерших) инвалидов войны, участников Великой Отечественной войны, ветеранов боевых действий, инвалидов и семей, имеющих детей-инвалидов</t>
  </si>
  <si>
    <t>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</si>
  <si>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</si>
  <si>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Оплата медицинской помощи женщинам в период беременности, родов и послеродовом периоде, а также диспансерного наблюдения ребенка в течение первого года жизни</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</si>
  <si>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 за счет областных средств</t>
  </si>
  <si>
    <t>Реализация иных мер социальной поддержки отдельных категорий граждан</t>
  </si>
  <si>
    <t>Единовременная выплата отдельным категориям граждан в связи с празднованием 65-летия Победы в Великой Отечественной войне</t>
  </si>
  <si>
    <t>Предоставление материнского (семейного) капитала</t>
  </si>
  <si>
    <t>Федеральная целевая программа "Русский язык" на 2011 - 2015 годы"</t>
  </si>
  <si>
    <t>Расходы общепрограммного  характера   по  федеральной  целевой  программе "Социальная поддержка инвалидов на 2006 - 2010 годы"</t>
  </si>
  <si>
    <t>Федеральная целевая программа "Государственная граница Российской Федерации (2003 - 2011 годы)"</t>
  </si>
  <si>
    <t>Проведение мероприятий по медицинскому освидетельствованию в связи с исполнением гражданами воинской обязанности</t>
  </si>
  <si>
    <t>Подготовка граждан по военно-учетным специальностям</t>
  </si>
  <si>
    <t>Реализация программ местного развития и обеспечение занятости для шахтерских городов и поселков</t>
  </si>
  <si>
    <t>Накопительно-ипотечная система жилищного обеспечения военнослужащих</t>
  </si>
  <si>
    <t>Функционирование Президента Российской Федерации</t>
  </si>
  <si>
    <t>Медико-социальная экспертная комиссия</t>
  </si>
  <si>
    <t>Другие вопросы в области жилищно-коммунального хозяйства</t>
  </si>
  <si>
    <t>Министерство Российской Федерации по делам печати, телерадиовещания и средств массовых коммуникаций</t>
  </si>
  <si>
    <t>Председатель Высшего Арбитражного Суда Российской Федерации и судьи Высшего Арбитражного Суда Российской Федерации</t>
  </si>
  <si>
    <t>Судьи</t>
  </si>
  <si>
    <t>Судейское сообщество</t>
  </si>
  <si>
    <t>Обеспечение деятельности аппаратов судов</t>
  </si>
  <si>
    <t>Выплаты правопреемникам умерших застрахованных лиц</t>
  </si>
  <si>
    <t>Компенсация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</si>
  <si>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Государственная поддержка внедрения комплексных мер модернизации образования</t>
  </si>
  <si>
    <t>ОЦП "Поддержка потребительского рынка на селе"</t>
  </si>
  <si>
    <t>955 01 02 00 00 05 0000 810</t>
  </si>
  <si>
    <t xml:space="preserve"> Государственный  комитет  РФ по физической культуре, спорту и туризму</t>
  </si>
  <si>
    <t>Миграционная политика</t>
  </si>
  <si>
    <t>Прикладные научные исследования в области национальной безопасности и правоохранительной деятельности</t>
  </si>
  <si>
    <t>Федеральная целевая программа "Развитие социальной инфраструктуры космодрома "Плесецк" и города Мирный"</t>
  </si>
  <si>
    <t>Поддержка государственных академий наук и их региональных отделений</t>
  </si>
  <si>
    <t>Проведение выборов главы муниципального образования</t>
  </si>
  <si>
    <t>Подготовка и участие в обеспечении коллективной безопасности и миротворческой деятельности;</t>
  </si>
  <si>
    <t>Реализация соглашений с международными финансовыми организациями</t>
  </si>
  <si>
    <t>Софинансирование, связанное с реализацией соглашений с международными финансовыми организациями</t>
  </si>
  <si>
    <t>Федеральные целевые программы</t>
  </si>
  <si>
    <t>Федеральная целевая программа "Глобальная навигационная система"</t>
  </si>
  <si>
    <t>Федеральная целевая программа "Развитие физической культуры и спорта в Российской Федерации на 2006 - 2015 годы"</t>
  </si>
  <si>
    <t>Администрация Тутаевского муниципального района</t>
  </si>
  <si>
    <t>Субсидии на компенсацию части затрат по страхованию урожая сельскохозяйственных культур, урожая многолетних насаждений и посадок многолетних насаждений</t>
  </si>
  <si>
    <t>Субсидии на поддержку северного оленеводства и табунного коневодства</t>
  </si>
  <si>
    <t>Субсидии на поддержку племенного животноводства</t>
  </si>
  <si>
    <t>Отдельные мероприятия в области морского и речного транспорта</t>
  </si>
  <si>
    <t>Департамент труда и соц. развития Администрации ТМР</t>
  </si>
  <si>
    <t>Департамент культуры, туризма и молодежной политики Администрации ТМР</t>
  </si>
  <si>
    <t>Департамент АПК, ООС и природопользования Администрации ТМР</t>
  </si>
  <si>
    <t>Департамент ЖКХ и строительства Администрации ТМР</t>
  </si>
  <si>
    <t>Субсидии федеральному государственному унитарному предприятию "Информационное телеграфное агентство России (ИТАР - ТАСС)" на финансовое обеспечение расходов по организации мероприятий по освещению государственной политики и общественной жизни в Российской Федерации, сбора и оперативного распространения информации о событиях в сфере политики, экономики, культуры, науки, спорта в целях обеспечения органов государственной власти необходимой информацией, а также расходов для обеспечения международной деятельности</t>
  </si>
  <si>
    <t>Доходы от использования имущества, находящегося в государственной и муниципальной собственности</t>
  </si>
  <si>
    <t>Члены Совета Федерации и их помощники</t>
  </si>
  <si>
    <t>Российское агентство по обычным вооружениям</t>
  </si>
  <si>
    <t>Российское агентство по системам управления</t>
  </si>
  <si>
    <t>Состояние окружающей среды и природопользования</t>
  </si>
  <si>
    <t>Столбец1</t>
  </si>
  <si>
    <t>Санатории для больных туберкулезом</t>
  </si>
  <si>
    <t>Издательства</t>
  </si>
  <si>
    <t>Подпрограмма "Промышленная утилизация ядерных боеприпасов (2005 - 2010 годы)"</t>
  </si>
  <si>
    <t>Мероприятия по информационному обеспечению и другие работы в области водных ресурсов</t>
  </si>
  <si>
    <t>Молодежная политика и оздоровление детей</t>
  </si>
  <si>
    <t xml:space="preserve"> Счетная палата Российской Федерации</t>
  </si>
  <si>
    <t>Выравнивание финансовых условий деятельности территориальных фондов обязательного медицинского страхования за счет средств нормированного страхового запаса Федерального фонда обязательного медицинского страхования</t>
  </si>
  <si>
    <t>Исследования и разработки в сфере использования атомной энергии в интересах развития национальной экономики</t>
  </si>
  <si>
    <t>Техническое регулирование и обеспечение единства измерений</t>
  </si>
  <si>
    <t>Техническое регулирование</t>
  </si>
  <si>
    <t>Каталогизация продукции для федеральных государственных нужд</t>
  </si>
  <si>
    <t>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 оказание мер социальной поддержки которым относится к ведению Российской Федерации и субъектов Российской Федерации</t>
  </si>
  <si>
    <t>Приобретение жилья гражданами, подлежащими отселению с комплекса "Байконур"</t>
  </si>
  <si>
    <t xml:space="preserve"> Министерство обороны Российской Федерации</t>
  </si>
  <si>
    <t>Субсидии на навигационно-гидрографическое обеспечение судоходства на трассах Севморпути</t>
  </si>
  <si>
    <t>Резервные фонды</t>
  </si>
  <si>
    <t>Другие общегосударственные вопросы</t>
  </si>
  <si>
    <t>Подпрограмма "Обеспечение функционирования и развития системы ГЛОНАСС"</t>
  </si>
  <si>
    <t>Выплата пенсий по государственному пенсионному обеспечению</t>
  </si>
  <si>
    <t>Государственный материальный резерв</t>
  </si>
  <si>
    <t>Фундаментальные исследования</t>
  </si>
  <si>
    <t>Подпрограмма "Военно-стратегические интересы России в Мировом океане"</t>
  </si>
  <si>
    <t>ЖИЛИЩНО-КОММУНАЛЬНОЕ ХОЗЯЙСТВО</t>
  </si>
  <si>
    <t>Министерство леса и природопользования области</t>
  </si>
  <si>
    <t xml:space="preserve"> Дальневосточное отделение российской академии наук</t>
  </si>
  <si>
    <t>Государственные научные стипендии для выдающихся ученых России и для талантливых молодых ученых России</t>
  </si>
  <si>
    <t>Постановление Правительства Российской Федерации от 26 августа 2004 года № 439 "О премиях Правительства Российской Федерации в области науки и техники"</t>
  </si>
  <si>
    <t>Премии Правительства Российской Федерации в области науки и техники ученым и специалистам</t>
  </si>
  <si>
    <t>Постановление Правительства Российской Федерации от 15 декабря 2004 года № 793 "О премиях Правительства Российской Федерации в области науки и техники для молодых ученых"</t>
  </si>
  <si>
    <t>Премии Правительства Российской Федерации в области науки и техники для молодых ученых</t>
  </si>
  <si>
    <t>Расходы общепрограммного характера по федеральной целевой программе "Национальная технологическая база" на 2007 - 2011 годы"</t>
  </si>
  <si>
    <t>Подпрограмма "Создание и организация производства в Российской Федерации в 2011 - 2015 годах дизельных двигателей и их компонентов нового поколения"</t>
  </si>
  <si>
    <t>Подпрограмма "Развитие отечественного станкостроения и инструментальной промышленности" на 2011 - 2016 годы</t>
  </si>
  <si>
    <t>Федеральная целевая программа 'Интеграция науки и высшего образования России на 2002 - 2006 годы'</t>
  </si>
  <si>
    <t>Федеральная целевая программа 'Развитие единой образовательной информационной среды (2001 – 2005 годы)'</t>
  </si>
  <si>
    <t>Федеральная целевая программа развития Калининградской области на период до 2015 года</t>
  </si>
  <si>
    <t>Развитие г. Владивостока как центра международного сотрудничества в Азиатско-Тихоокеанском регионе</t>
  </si>
  <si>
    <t>Экономическое и социальное развитие Дальнего Востока и Забайкалья на период до 2013 года</t>
  </si>
  <si>
    <t>Федеральная целевая программа "Юг России (2008-2013 годы)"</t>
  </si>
  <si>
    <t>Подпрограмма 'Сохранение и развитие исторического центра              г. Казани'</t>
  </si>
  <si>
    <t>Федеральная целевая программа 'Поддержка Российской Федерацией интеграционных процессов в области образования в СНГ'</t>
  </si>
  <si>
    <t>Федеральная целевая программа "Создание системы базирования Черноморского флота на территории Российской Федерации в 2005 - 2020 годах"</t>
  </si>
  <si>
    <t>Подпрограмма "Создание обеспечивающей инфраструктуры космодрома "Восточный"</t>
  </si>
  <si>
    <t>Развитие российских космодромов на 2006 - 2015 годы</t>
  </si>
  <si>
    <t>Подпрограмма "Развитие футбола в Российской Федерации на 2008 - 2015 годы"</t>
  </si>
  <si>
    <t>Расходы общепрограммного характера по федеральной целевой программе "Развитие физической культуры и спорта в Российской Федерации на 2006 - 2015 годы"</t>
  </si>
  <si>
    <t>Федеральная целевая программа "Развитие ядерного оружейного комплекса Российской Федерации на 2007 - 2015 годы и на период до 2020 года"</t>
  </si>
  <si>
    <t>Федеральная целевая программа "Развитие инфраструктуры наноиндустрии в Российской Федерации" на 2008-2011 годы</t>
  </si>
  <si>
    <t>Технопарки в сфере высоких технологий</t>
  </si>
  <si>
    <t>Обеспечение военнослужащих федеральных органов исполнительной власти, в которых законом предусмотрена военная служба, служебными жилыми помещениями и жилыми помещениями в общежитиях</t>
  </si>
  <si>
    <t>955 01 02 00 00 00 0000 000</t>
  </si>
  <si>
    <t>Осуществление мероприятий по обучению по охране труда отдельных категорий застрахованных</t>
  </si>
  <si>
    <t>Проведение научно-исследовательских работ по охране труда</t>
  </si>
  <si>
    <t>Стрелковое и холодное оружие</t>
  </si>
  <si>
    <t>Развитие и поддержка инфраструктуры города Байконура</t>
  </si>
  <si>
    <t>Другие вопросы в области национальной безопасности и правоохранительной деятельности</t>
  </si>
  <si>
    <t>Обслуживание внешнего государственного долга</t>
  </si>
  <si>
    <t>Другие вопросы в области национальной экономики</t>
  </si>
  <si>
    <t>Федеральный закон от 4 марта 2002 года № 21-ФЗ "О дополнительном ежемесячном материальном обеспечении граждан Российской Федерации за выдающиеся достижения и особые заслуги перед Российской Федерацией"</t>
  </si>
  <si>
    <t>Инвестиционный фонд</t>
  </si>
  <si>
    <t>Приоритетные направления науки и техники</t>
  </si>
  <si>
    <t>Субсидии на поддержку научных мероприятий</t>
  </si>
  <si>
    <t>Реализация государственной политики занятости населения</t>
  </si>
  <si>
    <t>Процентные платежи по государственному долгу Российской Федерации</t>
  </si>
  <si>
    <t>Субвенция на оплату жилого помещения и коммунальных услуг отдельным категориям граждан, оказание мер социальной поддержки которым относится к полномочиям Ярославской области</t>
  </si>
  <si>
    <t>Периодические издания, учрежденные органами законодательной и исполнительной власти</t>
  </si>
  <si>
    <t>Учреждения, обеспечивающие предоставление услуг в сфере здравоохранения</t>
  </si>
  <si>
    <t>Поликлиники, амбулатории, диагностические центры</t>
  </si>
  <si>
    <t>Пособия по временной нетрудоспособности по обязательному социальному страхованию от несчастных случаев на производстве и профессиональных заболеваний</t>
  </si>
  <si>
    <t>Государственная поддержка воздушного транспорта</t>
  </si>
  <si>
    <t>МЕЖБЮДЖЕТНЫЕ ТРАНСФЕРТЫ БЮДЖЕТАМ СУБЪЕКТОВ РОССИЙСКОЙ ФЕДЕРАЦИИ И МУНИЦИПАЛЬНЫХ ОБРАЗОВАНИЙ ОБЩЕГО ХАРАКТЕРА</t>
  </si>
  <si>
    <t>Дотации на выравнивание бюджетной обеспеченности субъектов Российской Федерации и муниципальных образований</t>
  </si>
  <si>
    <t>Иные дотации</t>
  </si>
  <si>
    <t>Прочие межбюджетные трансферты бюджетам субъектов Российской Федерации и муниципальных образований общего характера</t>
  </si>
  <si>
    <t>Подпрограмма "Гражданская авиация"</t>
  </si>
  <si>
    <t>Подпрограмма "Морской транспорт"</t>
  </si>
  <si>
    <t>Подпрограмма "Внутренние водные пути"</t>
  </si>
  <si>
    <t>Налоги на совокупный доход</t>
  </si>
  <si>
    <t>Обеспечение инвалидов транспортными средствами</t>
  </si>
  <si>
    <t>Подпрограмма "Онкология"</t>
  </si>
  <si>
    <t>Подпрограмма "Инфекции, передаваемые половым путем"</t>
  </si>
  <si>
    <t>Субсидии на возмещение расходов по содержанию специальных объектов</t>
  </si>
  <si>
    <t>Обеспечение деятельности учреждений по правовой защите результатов интеллектуальной деятельности военного, специального и двойного назначения</t>
  </si>
  <si>
    <t>Обеспечение деятельности судебно-экспертных учреждений Министерства юстиции Российской Федерации</t>
  </si>
  <si>
    <t>Мероприятия в топливно-энергетической области</t>
  </si>
  <si>
    <t>Закон Российской Федерации от 19 февраля 1993 года № 4520-1 "О государственных гарантиях и компенсациях для лиц, работающих и проживающих в районах Крайнего Севера и приравненных к ним местностях"</t>
  </si>
  <si>
    <t>Обеспечение функционирования Вооруженных Сил Российской Федерации</t>
  </si>
  <si>
    <t>Продовольственное обеспечение</t>
  </si>
  <si>
    <t>Федеральная целевая программа "Развитие государственной статистики России в 2007 - 2011 годах"</t>
  </si>
  <si>
    <t>Переселение граждан из жилищного фонда, признанного непригодным для проживания, и (или) жилищного фонда с высоким уровнем износа (более 70 процентов)</t>
  </si>
  <si>
    <t xml:space="preserve">Доплаты к пенсиям государственных служащих субъектов Российской Федерации и муниципальных служащих </t>
  </si>
  <si>
    <t>Учреждения социального обслуживание  населения</t>
  </si>
  <si>
    <t>Подпрограмма "Промышленная утилизация атомных подводных лодок, надводных кораблей с ядерной энергетической установкой, судов атомного технологического обслуживания и реабилитация радиационно-опасных объектов на 2011 - 2015 годы и на период до 2020 года"</t>
  </si>
  <si>
    <t>Бюджетные инвестиции в объекты капитального строительства собственности муниципальных образований</t>
  </si>
  <si>
    <t>Подпрограмма "Промышленная утилизация ядерных боеприпасов на 2011 - 2015 годы и на период до 2020 года"</t>
  </si>
  <si>
    <t>2 02 04012 05 0000 151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</si>
  <si>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</si>
  <si>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2 02 04014 05 0000 151</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</si>
  <si>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t>
  </si>
  <si>
    <t>2 02 04999 05 0000 151</t>
  </si>
  <si>
    <t>Прочие межбюджетные трансферты, передаваемые бюджетам муниципальных районов</t>
  </si>
  <si>
    <t>2 08 05000 05 0000 180</t>
  </si>
  <si>
    <t>Строительство и реконструкция объектов для проведения V Международных спортивных игр "Дети Азии" в г. Якутске</t>
  </si>
  <si>
    <t>Строительство медицинских центров по оказанию специализированной медицинской помощи в области акушерства, гинекологии и неонатологии (перинатальных центров)</t>
  </si>
  <si>
    <t>Строительство объектов социального и производственных комплексов, в том числе объектов общегражданского назначения, жилья, инфраструктуры, осуществляемое в рамках Государственной программы развития сельского хозяйства и регулирования рынков сельскохозяйственной продукции, сырья и продовольствия на 2008 - 2012 годы</t>
  </si>
  <si>
    <t>Субсидии организациям, осуществляющим производство, распространение и тиражирование социально значимых программ в области электронных средств массовой информации, на создание и поддержание в сети Интернет сайтов, имеющих социальное или образовательное значение</t>
  </si>
  <si>
    <t>Реализация международных обязательств в сфере военно-технического сотрудничества</t>
  </si>
  <si>
    <t>Меры социальной поддержки граждан, подвергшихся воздействию радиации вследствие радиационных аварий и ядерных испытаний</t>
  </si>
  <si>
    <t>Заготовка, переработка, хранение и обеспечение безопасности донорской крови и её компонентов</t>
  </si>
  <si>
    <t>Санитарно-эпидемиологическое благополучие</t>
  </si>
  <si>
    <t>Санатории, пансионаты, дома отдыха и турбазы</t>
  </si>
  <si>
    <t>Обеспечение сотрудничества в рамках Содружества Независимых Государств</t>
  </si>
  <si>
    <t>Долевой взнос в бюджет Союзного государства</t>
  </si>
  <si>
    <t>Реализация государственных функций по мобилизационной подготовке экономики</t>
  </si>
  <si>
    <t>Российское агентство по судостроению</t>
  </si>
  <si>
    <t>Другие вооружения, военная и специальная техника</t>
  </si>
  <si>
    <t>Продукция производственно-технического назначения</t>
  </si>
  <si>
    <t>Руководитель контрольно-счетной палаты муниципального образования и его заместители</t>
  </si>
  <si>
    <t>Глава муниципального образования</t>
  </si>
  <si>
    <t>Государственные единовременные пособия и ежемесячные денежные компенсации гражданам при возникновении поствакцинальных осложнений</t>
  </si>
  <si>
    <t>Информационные технологии и связь</t>
  </si>
  <si>
    <t>Услуги, связанные с реализацией работы разделения, содержащейся в стоимости низкообогащенного урана, полученного из высокообогащенного урана, извлеченного из ядерного оружия</t>
  </si>
  <si>
    <t xml:space="preserve"> Министерство юстиции Российской Федерации</t>
  </si>
  <si>
    <t>Корабли и катера</t>
  </si>
  <si>
    <t>Государственная программа развития сельского хозяйства</t>
  </si>
  <si>
    <t>Мониторинг водных биологических ресурсов</t>
  </si>
  <si>
    <t>Прикладные научные исследования и разработки</t>
  </si>
  <si>
    <t>Субсидии на выполнение мероприятий по несению аварийно-спасательной готовности на море</t>
  </si>
  <si>
    <t>Органы, осуществляющие государственный санитарно-эпидемиологический надзор</t>
  </si>
  <si>
    <t>Элемента</t>
  </si>
  <si>
    <t>Формирование государственного запаса специального сырья и делящихся материалов</t>
  </si>
  <si>
    <t>Субсидии стратегическим организациям оборонно-промышленного комплекса с целью предупреждения банкротства</t>
  </si>
  <si>
    <t>Строительство объектов вневедомственной охраны</t>
  </si>
  <si>
    <t>Содержание спецконтингентов</t>
  </si>
  <si>
    <t>Обеспечение деятельности договорных подразделений федеральной противопожарной службы</t>
  </si>
  <si>
    <t>Мероприятия по защите от угрозы природного и техногенного характера, информирование и оповещение населения на транспорте</t>
  </si>
  <si>
    <t>Организация Государственной информационной системы миграционного учета</t>
  </si>
  <si>
    <t>Гранты в области науки, культуры, искусства и средств массовой информации</t>
  </si>
  <si>
    <t>Субсидии на завоз семян для выращивания кормовых культур в северных районах страны</t>
  </si>
  <si>
    <t>Субсидии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2005 - 2009 годах личным подсобным хозяйствам, сельскохозяйственным потребительским кооперативам, крестьянским (фермерским) хозяйствам на срок до 8 лет</t>
  </si>
  <si>
    <t>Мероприятия в области сельскохозяйственного производства</t>
  </si>
  <si>
    <t>Реализация мероприятий в рамках базовой программы обязательного медицинского страхования</t>
  </si>
  <si>
    <t>Закупки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вне рамок государственной программы вооружения</t>
  </si>
  <si>
    <t>Федеральный закон от 12 января 1996 года № 8-ФЗ "О погребении и похоронном деле"</t>
  </si>
  <si>
    <t>Детские дома</t>
  </si>
  <si>
    <t>Название дохода</t>
  </si>
  <si>
    <t>Код</t>
  </si>
  <si>
    <t>Наименование</t>
  </si>
  <si>
    <t>Российская антарктическая и арктическая экспедиции</t>
  </si>
  <si>
    <t>Учреждения, обеспечивающие предоставление услуг в сфере гидрометеорологии и мониторинга окружающей среды</t>
  </si>
  <si>
    <t>955 01 03 00 00 00 0000 000</t>
  </si>
  <si>
    <t>Компенсация стоимости санаторно-курортных путевок лицам, нуждающимся в санаторно-курортном лечении</t>
  </si>
  <si>
    <t>Премирование победителей Всероссийского конкурса на звание "Самый благоустроенный город России"</t>
  </si>
  <si>
    <t>Строительство специальных и военных объектов в рамках мероприятий в области национальной обороны</t>
  </si>
  <si>
    <t>Обеспечение мероприятий по укреплению доверия в военной области</t>
  </si>
  <si>
    <t>Федеральная целевая программа "Социальная поддержка инвалидов на 2006 - 2010 годы"</t>
  </si>
  <si>
    <t>Межбюджетные трансферты на снижение тарифов на жилищно-коммунальные услуги для населения органами местного самоуправления</t>
  </si>
  <si>
    <t>Межбюджетные трансферты на финансирование убытков предприятиям ЖКХ в результате предоставления ЖКУ населению городского пос.Тутаев</t>
  </si>
  <si>
    <t>Комплектование книжных фондов библиотек муниципальных образований</t>
  </si>
  <si>
    <t>Федеральная целевая программа "Электронная Россия (2002 - 2010 годы)"</t>
  </si>
  <si>
    <t>Бюджетные инвестиции в объекты капитального строительства государственной собственности субъектов Российской Федерации</t>
  </si>
  <si>
    <t xml:space="preserve"> Совет Федерации  федерального собрания  РФ</t>
  </si>
  <si>
    <t xml:space="preserve"> Медицинский  центр  управления  делами  президента РФ</t>
  </si>
  <si>
    <t xml:space="preserve"> Московский   Государственный   Университет   имени М.В.Ломоносова</t>
  </si>
  <si>
    <t>Федеральная целевая программа "Русский язык (2006 - 2010 годы)"</t>
  </si>
  <si>
    <t>Субсидии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2007 - 2009 годах на срок до одного года, сельскохозяйственным товаропроизводителям, организациям агропромышленного комплекса независимо от их организационно-правовых форм, крестьянским (фермерским) хозяйствам и организациям потребительской кооперации</t>
  </si>
  <si>
    <t>Строительство объектов социального и производственного комплексов, в том числе объектов общегражданского назначения, жилья, инфраструктуры</t>
  </si>
  <si>
    <t>Иные безвозмездные и безвозвратные перечисления</t>
  </si>
  <si>
    <t>Проведение закупочных и товарных интервенций сельскохозяйственной продукции, а также залоговых операций</t>
  </si>
  <si>
    <t>Государственная поддержка отраслей сельского хозяйства</t>
  </si>
  <si>
    <t>Возмещение гражданам, ведущим личное подсобное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2005 - 2011 годах на срок до 8 лет</t>
  </si>
  <si>
    <t>Поддержка овцеводства</t>
  </si>
  <si>
    <t>Поддержка элитного семеноводства</t>
  </si>
  <si>
    <t>Поддержка завоза семян для выращивания кормовых культур в районах Крайнего Севера и приравненных к ним местностях, включая производство продукции растениеводства на низкопродуктивных пашнях</t>
  </si>
  <si>
    <t>Поддержка производства льна и конопли</t>
  </si>
  <si>
    <t>Закладка и уход за многолетними насаждениями</t>
  </si>
  <si>
    <t>Компенсация части затрат по страхованию урожая сельскохозяйственных культур, урожая многолетних насаждений и посадок многолетних насаждений</t>
  </si>
  <si>
    <t>Субсидии автономной некоммерческой организации "Транспортная дирекция Олимпийских игр"</t>
  </si>
  <si>
    <t>Субсидии автономной некоммерческой организации "Организационный комитет ХХII Олимпийских зимних игр и ХI Паралимпийских зимних игр 2014 года в г. Сочи"</t>
  </si>
  <si>
    <t>Развитие города Сочи как горноклиматического курорта</t>
  </si>
  <si>
    <t>Реализация мероприятий по развитию инфраструктуры г. Сочи</t>
  </si>
  <si>
    <t>Организация и содержание  мест захоронения</t>
  </si>
  <si>
    <t>Ведомственная целевая программа "Создание второй очереди информационной системы обеспечения надзора за исполнением законов Российской Федерации"</t>
  </si>
  <si>
    <t>Обращение с радиоактивными отходами</t>
  </si>
  <si>
    <t>Субсидии на возмещение затрат на обращение с радиоактивными отходами</t>
  </si>
  <si>
    <t>Программа развития сельского хозяйства в ТМР на 2008 - 2012 гг.</t>
  </si>
  <si>
    <t>Возмещение сельскохозяйственным товаропроизводителям (кроме личных подсобных хозяйств и сельскохозяйственных потребительских кооперативов), организациям агропромышленного комплекса независимо от их организационно-правовых форм, крестьянским (фермерским) хозяйствам и организациям потребительской кооперации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2008 - 2011 годах на срок до 1 года</t>
  </si>
  <si>
    <t>Субсидии автономной некоммерческой организации "Спортивное вещание"</t>
  </si>
  <si>
    <t>Оплата четырех дополнительных выходных дней работающим родителям (опекунам, попечителям) для ухода за детьми-инвалидами</t>
  </si>
  <si>
    <t>Закон Российской Федерации от 19 апреля 1991 года № 1032-1 "О занятости населения в Российской Федерации"</t>
  </si>
  <si>
    <t>Федеральный закон от 10 мая 2010 года № 84-ФЗ "О дополнительном социальном обеспечении отдельных категорий работников организаций угольной промышленности"</t>
  </si>
  <si>
    <t>Доплаты к пенсии работникам организаций угольной промышленности</t>
  </si>
  <si>
    <t>Компенсационные выплаты за утраченное жилье и имущество пострадавшим в результате разрешения кризиса в Чеченской Республике гражданам, постоянно проживающим на ее территории</t>
  </si>
  <si>
    <t>Федеральный закон от 30 апреля 2008 года № 56-ФЗ "О дополнительных страховых взносах на накопительную часть трудовой пенсии и государственной поддержке формирования пенсионных накоплений"</t>
  </si>
  <si>
    <t>Обеспечение ведения специальной части индивидуальных лицевых счетов застрахованных лиц, добровольно вступивших в правоотношения по обязательному пенсионному страхованию в целях уплаты дополнительных страховых взносов на накопительную часть трудовой пенсии</t>
  </si>
  <si>
    <t>Ежемесячное пособие на ребенка</t>
  </si>
  <si>
    <t>Обеспечение мер социальной поддержки ветеранов труда и тружеников тыла</t>
  </si>
  <si>
    <t>Обеспечение мер социальной поддержки реабилитированных лиц и лиц, признанных пострадавшими от политических репрессий</t>
  </si>
  <si>
    <t>Выплата пенсий иностранным гражданам, проживающим на территории Российской Федерации</t>
  </si>
  <si>
    <t>Выплата пенсий гражданам Эстонской Республики</t>
  </si>
  <si>
    <t>Выплата пенсий гражданам Латвийской Республики</t>
  </si>
  <si>
    <t>Выплата пенсий гражданам Республики Белоруссия</t>
  </si>
  <si>
    <t>Выплата пенсий гражданам Республики Болгария</t>
  </si>
  <si>
    <t>Выплата доплат к пенсиям за счет средств бюджета субъекта</t>
  </si>
  <si>
    <t>Выплата доплат к пенсиям за счет средств бюджета Чеченской Республики</t>
  </si>
  <si>
    <t>Государственные природные заповедники</t>
  </si>
  <si>
    <t>Субсидии на возмещение рыбохозяйственным организациям и индивидуальным предпринимателям части затрат на уплату процентов по инвестиционным кредитам, полученным в российских кредитных организациях, на строительство и модернизацию рыбопромысловых судов сроком до 5 лет</t>
  </si>
  <si>
    <t>Субсидии на возмещение рыбохозяйственным организациям и индивидуальным предпринимателям части затрат на уплату процентов по инвестиционным кредитам, полученным в российских кредитных организациях, на строительство и модернизацию объектов рыбоперерабатывающей инфраструктуры, объектов хранения рыбной продукции сроком до 5 лет</t>
  </si>
  <si>
    <t>Субсидии на содержание комплекса защитных сооружений г. Санкт-Петербурга от наводнений</t>
  </si>
  <si>
    <t>Увеличение прочих остатков денежных средств бюджета муниципального района</t>
  </si>
  <si>
    <t>Внедрение современных образовательных технологий</t>
  </si>
  <si>
    <t>Реализация договоров (контрактов) с иностранными фирмами в области научного сотрудничества</t>
  </si>
  <si>
    <t>Департамент муниципального имущества Администрации ТМР</t>
  </si>
  <si>
    <t>Департамент образования Администрации ТМР</t>
  </si>
  <si>
    <t>Целевые программы муниципальных образований</t>
  </si>
  <si>
    <t>Создание технопарков</t>
  </si>
  <si>
    <t>Субсидии на возмещение российским авиакомпаниям части затрат на уплату лизинговых платежей за воздушные суда отечественного производства, получаемые российскими авиакомпаниями от российских лизинговых компаний по договорам лизинга в 2002 - 2010 годах, и части затрат на уплату процентов по кредитам, полученным в российских кредитных организациях в 2002 - 2005 годах на приобретение российских воздушных судов</t>
  </si>
  <si>
    <t>Водный транспорт</t>
  </si>
  <si>
    <t>Государственная поддержка водного транспорта</t>
  </si>
  <si>
    <t>Государственные бассейновые управления водных путей и судоходства</t>
  </si>
  <si>
    <t>Подпрограмма "Создание авиационно-космических материалов и развитие специальной металлургии России с учетом восстановления производства стратегических материалов и малотоннажной химии" на 2007 - 2008 годы</t>
  </si>
  <si>
    <t>17</t>
  </si>
  <si>
    <t>Прочие неналоговые доходы</t>
  </si>
  <si>
    <t>Председатель представительного органа муниципального образования</t>
  </si>
  <si>
    <t>Субсидии на проведение отдельных мероприятий по другим видам транспорта</t>
  </si>
  <si>
    <t>СОЦИАЛЬНАЯ ПОЛИТИКА</t>
  </si>
  <si>
    <t>Охрана семьи и детства</t>
  </si>
  <si>
    <t>Субвенция на осуществление первичного воинского учета на территориях, где отсутствуют военные комиссариаты</t>
  </si>
  <si>
    <t>Федеральная служба земельного Кадастра России</t>
  </si>
  <si>
    <t>Прикладные научные исследования в области социальной политики</t>
  </si>
  <si>
    <t>Мероприятия по предупреждению и ликвидации последствий чрезвычайных ситуаций и стихийных бедствий</t>
  </si>
  <si>
    <t>Мероприятия по гражданской обороне</t>
  </si>
  <si>
    <t>Председатель Государственной Думы и его заместители</t>
  </si>
  <si>
    <t>Компенсации членам семей погибших военнослужащих</t>
  </si>
  <si>
    <t>Оказание государственной социальной помощи отдельным категориям граждан по проезду на транспорте пригородного сообщения</t>
  </si>
  <si>
    <t xml:space="preserve"> Министерство внутренних дел Российской Федерации</t>
  </si>
  <si>
    <t xml:space="preserve"> Федеральная служба безопасности РФ</t>
  </si>
  <si>
    <t>Господдержка опеки и попечительства</t>
  </si>
  <si>
    <t>Информационно-аналитическое и научно-методическое обеспечение</t>
  </si>
  <si>
    <t>Областная целевая программа "Повышение эффективности и результативности деятельности органов исполнительной власти "</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</si>
  <si>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</si>
  <si>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 xml:space="preserve">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
</t>
  </si>
  <si>
    <t>Профессиональная подготовка, переподготовка и повышение квалификации</t>
  </si>
  <si>
    <t>Высшее и послевузовское профессиональное образование</t>
  </si>
  <si>
    <t>Международное сотрудничество</t>
  </si>
  <si>
    <t>ПРОФИЦИТ/ДЕФИЦИТ</t>
  </si>
  <si>
    <t>к решению Муниципального</t>
  </si>
  <si>
    <t>Субсидии организациям железнодорожного транспорта на компенсацию потерь в доходах, возникающих в результате установления льгот по тарифам на перевозку обучающихся и воспитанников общеобразовательных учреждений старше 10 лет железнодорожным транспортом общего пользования в общих и плацкартных вагонах в поездах дальнего следования всех категорий</t>
  </si>
  <si>
    <t>953 Департамент образования Администрации Тутаевского муниципального района</t>
  </si>
  <si>
    <t>2 02 03020 05 0000 151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</si>
  <si>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</si>
  <si>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2 02 03021 05 0000 151</t>
  </si>
  <si>
    <t>Субвенции бюджетам муниципальных районов на ежемесячное денежное вознаграждение за классное руководство</t>
  </si>
  <si>
    <t>2 02 03027 05 0000 151</t>
  </si>
  <si>
    <t xml:space="preserve">Субвенции бюджетам муниципальных районов на содержание ребенка в семье опекуна и приемной семье, а также взнаграждение, причитающееся приемному родителю </t>
  </si>
  <si>
    <t>2 02 03033 05 0000 151</t>
  </si>
  <si>
    <t>Субвенции бюджетам муниципальных районов на оздоровление детей</t>
  </si>
  <si>
    <t>954 Департамент труда и социального развития Администрации Тутаевского муниципального района</t>
  </si>
  <si>
    <t>2 02 03001 05 0000 151</t>
  </si>
  <si>
    <t>Субвенции бюджетам муниципальных районов на оплату жилищно-коммунальных услуг отдельным категориям граждан</t>
  </si>
  <si>
    <t>2 02 03004 05 0000 151</t>
  </si>
  <si>
    <t>Субвенции бюджетам муниципальных районов на обеспечение мер социальной поддержки для лиц, награжденных знаком "Почетный донор СССР", "Почетный донор России"</t>
  </si>
  <si>
    <t>2 02 03013 05 0000 151</t>
  </si>
  <si>
    <t>Субвенции бюджетам муниципальных районов на обеспечение мер социальной поддержки реабилитированных лиц и лиц, признанных пострадавшими от политических репрессий</t>
  </si>
  <si>
    <t>2 02 03022 05 0000 151</t>
  </si>
  <si>
    <t>Субвенции бюджетам муниципальных районов на предоставление гражданам субсидий на оплату жилого помещения и коммунальных услуг</t>
  </si>
  <si>
    <t>2 02 03053 05 0000 151</t>
  </si>
  <si>
    <t>Субвенции бюджетам муниципальных районов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</si>
  <si>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2 02 09071 05 0000 151</t>
  </si>
  <si>
    <t>Прочие безвозмездные поступления в бюджеты муниципальных районов от бюджета Пенсионного фонда Российской Федерации</t>
  </si>
  <si>
    <t>955 Департамент финансов администрации Тутаевского муниципального района</t>
  </si>
  <si>
    <t>1 11 03050 05 0000 120</t>
  </si>
  <si>
    <t>Проценты, полученные от предоставления бюджетных кредитов внутри страны за счет средств бюджета района</t>
  </si>
  <si>
    <t>1 16 18050 05 0000 140</t>
  </si>
  <si>
    <t>Денежные взыскания (штрафы) за нарушение бюджетного законодательства (в части бюджетов муниципальных районов)</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</si>
  <si>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t>
  </si>
  <si>
    <t>01 02 00 00 05 0000 710</t>
  </si>
  <si>
    <t>01 02 00 00 05 0000 810</t>
  </si>
  <si>
    <t>Получение кредитов от других бюджетов бюджетной системы Российской Федерации бюджетом муниципального района в валюте Российской Федерации</t>
  </si>
  <si>
    <t>Погашение бюджетом муниципального района кредитов от других бюджетов бюджетной системы Российской Федерации в валюте Российской Федерации</t>
  </si>
  <si>
    <t>Сумма, руб.</t>
  </si>
  <si>
    <t>Ремонт вооружений, военной и специальной техники, продукции производственно-технического назначения и имущества в целях обеспечения государственной программы вооружения в рамках государственного оборонного заказа</t>
  </si>
  <si>
    <t>Оздоровление детей</t>
  </si>
  <si>
    <t>Внедрение инновационных образовательных программ</t>
  </si>
  <si>
    <t>Компенсация выпадающих доходов организациям, предоставляющим населению услуги теплоснабжения по тарифам, не обеспечивающим возмещение издержек</t>
  </si>
  <si>
    <t>Платежи при пользовании природными ресурсами</t>
  </si>
  <si>
    <t>Субвенция на обеспечение деятельности   органов опеки и попечительства</t>
  </si>
  <si>
    <t>Субвенция на социальную поддержку отдельных категорий  граждан в части ежемесячного пособия на ребенка</t>
  </si>
  <si>
    <t>Полномочные представители Президента Российской Федерации в федеральных округах и их аппараты</t>
  </si>
  <si>
    <t>Центральный аппарат</t>
  </si>
  <si>
    <t xml:space="preserve"> Федеральная служба специального строительства РФ</t>
  </si>
  <si>
    <t xml:space="preserve"> Уполномоченный  по  правам  человека  в РФ</t>
  </si>
  <si>
    <t>Выплата накопительной части трудовой пенсии</t>
  </si>
  <si>
    <t>Государственная поддержка железнодорожного транспорта</t>
  </si>
  <si>
    <t xml:space="preserve"> Российская академия медицинских наук</t>
  </si>
  <si>
    <t>Боевая подготовка</t>
  </si>
  <si>
    <t>Проведение мероприятий по улучшению жилищных условий граждан Российской Федерации,  проживающих и работающих в сельской местности</t>
  </si>
  <si>
    <t>Обеспечение мероприятий по капитальному ремонту многоквартирных домов за счет средств, поступивших от государственной корпорации Фонд содействия реформированию жилищно-коммунального хозяйства</t>
  </si>
  <si>
    <t>Вооруженные Силы Российской Федерации</t>
  </si>
  <si>
    <t>Проведение выборов Президента Российской Федерации</t>
  </si>
  <si>
    <t>Проведение референдумов</t>
  </si>
  <si>
    <t>ОЦП "Чистая вода Ярославской области"</t>
  </si>
  <si>
    <t>Субсидии организациям на осуществление расходов в области обеспечения единства измерений</t>
  </si>
  <si>
    <t>Мероприятия по землеустройству и землепользованию</t>
  </si>
  <si>
    <t>Субсидии организациям по добыче и переработке угля на возмещение части затрат, связанных с ликвидацией последствий аварий и стихийных бедствий</t>
  </si>
  <si>
    <t>Администрация Президента Российской Федерации</t>
  </si>
  <si>
    <t>Строительство и приобретение жилых помещений для постоянного проживания военнослужащих федеральных органов исполнительной власти, в которых законом предусмотрена военная служба</t>
  </si>
  <si>
    <t>Пособия и компенсации военнослужащим,  приравненным к ним лицам, а также уволенным из их числа</t>
  </si>
  <si>
    <t>Субсидии</t>
  </si>
  <si>
    <t>Информатика</t>
  </si>
  <si>
    <t>Федеральный закон от 24 июля 2002 года № 111-ФЗ "Об инвестировании средств для финансирования накопительной части трудовой пенсии в Российской Федерации"</t>
  </si>
  <si>
    <t>Расходы общепрограммного характера по федеральной целевой программе   "Модернизация   транспортной     системы    России (2002 - 2010 годы)"</t>
  </si>
  <si>
    <t>Обеспечение мер социальной поддержки тружеников тыла</t>
  </si>
  <si>
    <t>955 01 06 05 01 05 0000 640</t>
  </si>
  <si>
    <t>Субсидии творческим союзам</t>
  </si>
  <si>
    <t>Федеральная служба статистики</t>
  </si>
  <si>
    <t>Мероприятия по реализации государственной национальной политики</t>
  </si>
  <si>
    <t>Изменения</t>
  </si>
  <si>
    <t>Профессионально-технические училища</t>
  </si>
  <si>
    <t>Министерство международных отношений и внешнеэкономических связей области</t>
  </si>
  <si>
    <t>Управление Росприроднадзора</t>
  </si>
  <si>
    <t>Федеральное агенство лесного хозяйства</t>
  </si>
  <si>
    <t>ID</t>
  </si>
  <si>
    <t>NAME</t>
  </si>
  <si>
    <t>Органы внутренних дел</t>
  </si>
  <si>
    <t>ИТОГО</t>
  </si>
  <si>
    <t>955</t>
  </si>
  <si>
    <t>Закон Российской Федерации от 9 июня 1993 года № 5142-I "О донорстве крови и ее компонентов"</t>
  </si>
  <si>
    <t>Оплата жилищно-коммунальных услуг отдельным категориям граждан</t>
  </si>
  <si>
    <t>Мероприятия в области здравоохранения, спорта и физической культуры, туризма</t>
  </si>
  <si>
    <t>Взносы в международные организации</t>
  </si>
  <si>
    <t>Субсидии открытому акционерному обществу "Первый канал" и открытому акционерному обществу "Телекомпания НТВ" на оплату услуг связи, предоставляемых федеральным государственным унитарным предприятием "Российская телевизионная и радиовещательная сеть" на основе договоров, заключенных на распространение и трансляцию программ в населенных пунктах с численностью населения менее 200 тысяч человек</t>
  </si>
  <si>
    <t>Субсидии российским транспортным компаниям и пароходствам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2008 - 2011 годах, и организациям рыбохозяйственного комплекса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2009 - 2011 годах, на закупку гражданских судов, изготовленных на российских верфях, на срок до 5 лет</t>
  </si>
  <si>
    <t>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t>
  </si>
  <si>
    <t>Расходы на выплаты персоналу казенных учреждений</t>
  </si>
  <si>
    <t>Фонд оплаты труда и страховые взносы</t>
  </si>
  <si>
    <t>Иные выплаты персоналу, за исключением фонда оплаты труда</t>
  </si>
  <si>
    <t>Расходы на выплаты персоналу государственных органов</t>
  </si>
  <si>
    <t>Субсидии российским транспортным компаниям и пароходствам, а также организациям рыбохозяйственного комплекса на возмещение части затрат на уплату лизинговых платежей по договорам лизинга, заключенным в 2008 - 2012 годах с российскими лизинговыми компаниями на приобретение гражданских судов, изготовленных на российских верфях</t>
  </si>
  <si>
    <t>Субсидии российским производителям самолетов и вертолетов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2008 - 2011 годах на техническое перевооружение на срок до 5 лет, а также части затрат на уплату лизинговых платежей за технологическое оборудование, поставляемое российскими лизинговыми компаниями по договорам лизинга, заключенным с 2006 года</t>
  </si>
  <si>
    <t>Субсидии российским лизинговым компаниям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2008 - 2011 годах на закупку воздушных судов отечественного производства с последующей передачей их российским авиакомпаниям по договорам лизинга</t>
  </si>
  <si>
    <t>Субсидии российским производителям авиационных двигателей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2008 - 2011 годах на техническое перевооружение на срок до 5 лет, а также части затрат на уплату лизинговых платежей за технологическое оборудование, поставляемое российскими лизинговыми компаниями по договорам лизинга, заключенным с 2006 года</t>
  </si>
  <si>
    <t>Субсидии организациям оборонно-промышленного комплекса на возмещение части затрат на уплату процентов по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на осуществление инновационных и инвестиционных проектов по выпуску высокотехнологичной продукции</t>
  </si>
  <si>
    <t>Исследования в области разработки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вне рамок государственной программы вооружения</t>
  </si>
  <si>
    <t>Фундаментальные исследования в интересах национальной обороны, национальной безопасности и правоохранительной деятельности в рамках государственного оборонного заказа в целях обеспечения государственной программы вооружения</t>
  </si>
  <si>
    <t>Исследования в области разработки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 целях обеспечения государственной программы вооружения</t>
  </si>
  <si>
    <t>Субсидии бюджетным учреждениям</t>
  </si>
  <si>
    <t>Субсидии бюджетным учреждениям на финансовое обеспечение государственного задания на оказание государственных услуг (выполнение работ)</t>
  </si>
  <si>
    <t>Субсидии бюджетным учреждениям на иные цели</t>
  </si>
  <si>
    <t>Субсидии автономным учреждениям</t>
  </si>
  <si>
    <t>Субсидии автономным учреждениям на финансовое обеспечение государственного задания на оказание государственных услуг (выполнение работ)</t>
  </si>
  <si>
    <t>Субсидии автономным учреждениям на иные цели 630 Субсидии некоммерческим организациям (за исключением государственных учреждений)</t>
  </si>
  <si>
    <t>Обслуживание государственного долга Российской Федерации</t>
  </si>
  <si>
    <t>Иные бюджетные ассигнования</t>
  </si>
  <si>
    <t>Субсидии юридическим лицам (кроме государственных учреждений) и физическим лицам - производителям товаров, работ, услуг</t>
  </si>
  <si>
    <t>Субсидии государственным корпорациям (компаниям)</t>
  </si>
  <si>
    <t>Субсидии государственным корпорациям (компаниям) в виде имущественного взноса</t>
  </si>
  <si>
    <t>Субсидии государственным корпорациям (компаниям) на выполнение возложенных на них государственных полномочий</t>
  </si>
  <si>
    <t>Иные субсидии государственным корпорациям (компаниям)</t>
  </si>
  <si>
    <t>Субсидии на поддержку российской духовной культуры, традиций и истории за рубежом в соответствии с решениями Правительства Российской Федерации</t>
  </si>
  <si>
    <t>Обеспечение мероприятий по реформированию государственной и муниципальной службы</t>
  </si>
  <si>
    <t>Мероприятия по обеспечению жильем отдельных категорий граждан</t>
  </si>
  <si>
    <t>Другие виды транспорта</t>
  </si>
  <si>
    <t>Приобретение жилья военнослужащими, сотрудниками органов внутренних дел, подлежащими увольнению с военной службы (службы), и приравненными к ним лицами</t>
  </si>
  <si>
    <t>Выплата базовой части трудовой пенсии</t>
  </si>
  <si>
    <t>Субсидии организациям культуры, кинематографии и средств массовой информации</t>
  </si>
  <si>
    <t>Осуществление полномочий субъектов Российской Федерации по решению вопросов предупреждения чрезвычайных ситуаций природного и техногенного характера и ликвидации их последствий, создания и организации деятельности аварийно-спасательных служб и аварийно-спасательных формирований, организации тушения пожаров силами Государственной противопожарной службы, организации осуществления на межмуниципальном и региональном уровне мероприятий по гражданской обороне, осуществления поиска и спасения людей во внутренних водах и в территориальном море Российской Федерации, в соответствии с Соглашениями</t>
  </si>
  <si>
    <t>Обеспечение и проведение предпродажной подготовки и продажи федерального имущества</t>
  </si>
  <si>
    <t>Осуществление передаваемых полномочий Российской Федерации в области охраны здоровья граждан</t>
  </si>
  <si>
    <t>Председатель Правительства Российской Федерации и его заместители</t>
  </si>
  <si>
    <t>Территориальные органы</t>
  </si>
  <si>
    <t>Реализация отдельных полномочий в области лесных отношений</t>
  </si>
  <si>
    <t>Учреждения, обеспечивающие предоставление услуг в сфере недропользования</t>
  </si>
  <si>
    <t>Судебная система</t>
  </si>
  <si>
    <t xml:space="preserve"> Российское агентство по государственным резервам</t>
  </si>
  <si>
    <t>Пособия и компенсации военнослужащим, приравненным к ним лицам, а также уволенным из их числа</t>
  </si>
  <si>
    <t xml:space="preserve"> Министерство РФ по антимонопольной политике и поддержке предпринимательства</t>
  </si>
  <si>
    <t>Оказание других видов социальной помощи по решению суда</t>
  </si>
  <si>
    <t>Субсидии организациям народных художественных промыслов на поддержку производства и реализации изделий народных художественных промыслов</t>
  </si>
  <si>
    <t>Служба внешней разведки Российской Федерации</t>
  </si>
  <si>
    <t>N</t>
  </si>
  <si>
    <t>Код ведомственной</t>
  </si>
  <si>
    <t>п/п</t>
  </si>
  <si>
    <t>классификации</t>
  </si>
  <si>
    <t>Администрация  Тутаевского муниципального района</t>
  </si>
  <si>
    <t>Департамент труда и социального развития Администрации ТМР</t>
  </si>
  <si>
    <t>Департамент АПК, охраны окружающей среды и природопользования Администрации ТМР</t>
  </si>
  <si>
    <t>Департамент жилищно – коммунального хозяйства  и строительства Администрации ТМР</t>
  </si>
  <si>
    <t>Муниципальный Совет ТМР</t>
  </si>
  <si>
    <t>950 Администрация Тутаевского муниципального района</t>
  </si>
  <si>
    <t>1 08 07150 01 1000 110</t>
  </si>
  <si>
    <t>Государственная пошлина за выдачу разрешения на установку рекламной конструкции</t>
  </si>
  <si>
    <t>1 16 90050 05 0000 140</t>
  </si>
  <si>
    <t>Прочие поступления от денежных взысканий (штрафов) и иных сумм в возмещение ущерба, зачисляемые в бюджеты муниципальных районов</t>
  </si>
  <si>
    <t>1 17 01050 05 0000 180</t>
  </si>
  <si>
    <t>Невыясненные поступления, зачисляемые в бюджеты муниципальных районов</t>
  </si>
  <si>
    <t>1 17 05050 05 0000 180</t>
  </si>
  <si>
    <t>Создание системы распознавания речи и системы комбинированной обработки речевых сигналов, повышения разборчивости речи, синтеза и голосовой биометрии</t>
  </si>
  <si>
    <t>Космос и телекоммуникации</t>
  </si>
  <si>
    <t>Создание транспортно-энергетического модуля на основе ядерной энергодвигательной установки мегаваттного класса</t>
  </si>
  <si>
    <t>Обеспечение высокоскоростного доступа к информационным сетям через системы спутниковой связи</t>
  </si>
  <si>
    <t>Создание системы экстренного реагирования при авариях (ЭРА - ГЛОНАСС)</t>
  </si>
  <si>
    <t>Создание системы слежения и мониторинга подвижных объектов</t>
  </si>
  <si>
    <t>Создание интеллектуальных систем мониторинга и контроля состояния технически сложных объектов</t>
  </si>
  <si>
    <t>Медицинская техника и фармацевтика</t>
  </si>
  <si>
    <t>Организация опытно-промышленного производства субстанций и лекарственных средств на основе моноклональных антител</t>
  </si>
  <si>
    <t>Энергоэффективность</t>
  </si>
  <si>
    <t>Проект "Инновационная энергетика"</t>
  </si>
  <si>
    <t>Организация мониторинга разрабатываемых и реализуемых высокотехнологичных проектов модернизации экономики Российской Федерации</t>
  </si>
  <si>
    <t>Исполнение судебных актов</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</si>
  <si>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либо должностных лиц этих органов, а также в результате деятельности казенных учреждений</t>
  </si>
  <si>
    <t>Исполнение судебных актов судебных органов иностранных государств, международных судов и арбитражей, определяемых международными договорами Российской Федерации, в результате незаконных действий (бездействия) органов государственной власти (государственных органов) либо должностных лиц этих органов, мировых соглашений, заключенных в рамках судебных процессов в судебных органах иностранных государств, в международных судах и арбитражах</t>
  </si>
  <si>
    <t>Исполнение судебных актов Российской Федерации и мировых соглашений по делам о банкротстве и процедурам банкротства</t>
  </si>
  <si>
    <t>Исполнение государственных гарантий без права регрессного требования гаранта к принципалу или уступки гаранту прав требования бенефициара к принципалу</t>
  </si>
  <si>
    <t>Исполнение государственных гарантий Российской Федерацией</t>
  </si>
  <si>
    <t>Уплата налогов, сборов и иных обязательных платежей в бюджетную систему Российской Федерации</t>
  </si>
  <si>
    <t>Уплата налога на имущество организаций и земельного налога</t>
  </si>
  <si>
    <t>Уплата прочих налогов, сборов и иных обязательных платежей</t>
  </si>
  <si>
    <t>Софинансирование формирования пенсионных накоплений застрахованных лиц за счет средств Фонда национального благосостояния</t>
  </si>
  <si>
    <t>Обеспечение расходов Федерального фонда обязательного медицинского страхования для последующего направления межбюджетных трансфертов бюджетам территориальных фондов обязательного медицинского страхования на реализацию территориальных программ государственных гарантий оказания гражданам Российской Федерации бесплатной медицинской помощи</t>
  </si>
  <si>
    <t>Валоризация величины расчетного пенсионного капитала</t>
  </si>
  <si>
    <t>Методическое обеспечение и информационная поддержка</t>
  </si>
  <si>
    <t xml:space="preserve"> Федеральная комиссия по рынку ценных бумаг</t>
  </si>
  <si>
    <t>Председатель Верховного Суда Российской Федерации и судьи Верховного Суда Российской Федерации</t>
  </si>
  <si>
    <t>Федеральная целевая программа "Преодоление последствий радиационных аварий на период до 2010 года"</t>
  </si>
  <si>
    <t>Переселение граждан из закрытых административно-территориальных образований</t>
  </si>
  <si>
    <t>Министерство природных ресурсов РФ</t>
  </si>
  <si>
    <t>Министерство здравоохранения РФ</t>
  </si>
  <si>
    <t>Министерство культуры РФ</t>
  </si>
  <si>
    <t>Содержание ребенка в семье опекуна и приемной семье, а также вознаграждение, причитающееся приемному родителю</t>
  </si>
  <si>
    <t xml:space="preserve">Выравнивание бюджетной обеспеченности поселений из районного фонда финансовой поддержки </t>
  </si>
  <si>
    <t>Субсидия на реализацию подпрограммы "Государственная поддержка граждан, проживающих на территории ЯО, в сфере ипотечного кредитования"</t>
  </si>
  <si>
    <t>Централизованные закупки медикаментов и медицинского оборудования</t>
  </si>
  <si>
    <t>Департамент культуры, туризма  и молодежной политики Администрации ТМР</t>
  </si>
  <si>
    <t>Проведение выборов и референдумов</t>
  </si>
  <si>
    <t>Государственная пошлина по делам, рассматриваемым в судах общей юрисдикции, мировыми судьями</t>
  </si>
  <si>
    <t>Мероприятия в сфере культуры и кинематографии</t>
  </si>
  <si>
    <t>Федеральная целевая программа "Промышленная утилизация вооружения и военной техники (2005 - 2010 годы)"</t>
  </si>
  <si>
    <t>Тутаевский МО МВД России</t>
  </si>
  <si>
    <t>Реформирование региональных финансов</t>
  </si>
  <si>
    <t>Исследования в области разработки вооружения, военной и специальной техники и иного производственно-технического оборудования в рамках государственного оборонного заказа вне государственной программы вооружения</t>
  </si>
  <si>
    <t xml:space="preserve"> Государственный таможенный комитет РФ</t>
  </si>
  <si>
    <t>Обязательное медицинское страхование неработающего населения (детей)</t>
  </si>
  <si>
    <t>Формирование государственного материального резерва</t>
  </si>
  <si>
    <t>Государственная поддержка почтовой связи</t>
  </si>
  <si>
    <t>Артиллерия</t>
  </si>
  <si>
    <t xml:space="preserve"> Фонд содействия развитию малых форм предприятий  в научно-технической сфере</t>
  </si>
  <si>
    <t>Субсидии на поддержку периодической печати для инвалидов, на реализацию социально значимых проектов, изданий для инвалидов по зрению</t>
  </si>
  <si>
    <t>Государственная автоматизированная информационная система "Выборы", повышение правовой культуры избирателей и обучение организаторов выборов</t>
  </si>
  <si>
    <t>Осуществление первичного воинского учета на территориях, где отсутствуют военные комиссариаты</t>
  </si>
  <si>
    <t>Оказание других видов социальной помощи</t>
  </si>
  <si>
    <t>Выплата страховой части трудовой пенсии</t>
  </si>
  <si>
    <t>от "___"____________ 20___ г.№ ______</t>
  </si>
  <si>
    <t>Председатель Совета Федерации и его заместители</t>
  </si>
  <si>
    <t>Депутаты Государственной Думы и их помощники</t>
  </si>
  <si>
    <t>Денежные выплаты врачам и медицинским сестрам, оказывающим первичную медико-санитарную помощь в федеральных учреждениях здравоохранения ведомственного подчинения, выполняющих государственное задание по оказанию дополнительной медицинской помощи при условии размещения в этих медицинских учреждениях муниципального заказа</t>
  </si>
  <si>
    <t>Денежные выплаты медицинскому персоналу фельдшерско-акушерских пунктов, врачам, фельдшерам и медицинским сестрам станций (отделений) скорой медицинской помощи федеральных учреждений здравоохранения, подведомственных Федеральному медико-биологическому агентству</t>
  </si>
  <si>
    <t>Мероприятия по предупреждению распространения в Российской Федерации заболеваний, вызванных высокопатогенным вирусом гриппа</t>
  </si>
  <si>
    <t>Мероприятия, направленные на обследование населения с целью выявления туберкулеза, лечения больных туберкулезом, профилактические мероприятия</t>
  </si>
  <si>
    <t>Реализация государственных функций в области здравоохранения</t>
  </si>
  <si>
    <t>Развитие новых высоких медицинских технологий в федеральных специализированных медицинских учреждениях и государственных образовательных учреждениях высшего профессионального и послевузовского образования, имеющих лицензии на осуществление медицинской деятельности</t>
  </si>
  <si>
    <t>Финансовое обеспечение закупок диагностических средств и антивирусных препаратов для профилактики, выявления, мониторинга лечения и лечения лиц, инфицированных вирусами иммунодефицита человека и гепатитов B и C</t>
  </si>
  <si>
    <t>Закупки оборудования и расходных материалов для неонатального и аудиологического скрининга</t>
  </si>
  <si>
    <t>Пособие на проведение летнего оздоровительного отдыха детей отдельных категорий военнослужащих и сотрудников некоторых федеральных органов исполнительной власти, погибших (умерших), пропавших без вести, ставших инвалидами в связи с выполнением задач в условиях вооруженного конфликта немеждународного характера, а также в связи с выполнением задач в ходе контртеррористических операций</t>
  </si>
  <si>
    <t>Федеральный закон от 17 декабря 1994 года № 67-ФЗ "О федеральной фельдъегерской связи"</t>
  </si>
  <si>
    <t>Реализация комплекса мер по выхаживанию новорожденных с низкой и экстремально низкой массой тела</t>
  </si>
  <si>
    <t>Финансовое обеспечение мероприятий по созданию обучающих симуляционных центров</t>
  </si>
  <si>
    <t>Закупки лекарственных препаратов и медицинского оборудования</t>
  </si>
  <si>
    <t>Поддержка программ развития инновационной инфраструктуры, включая поддержку малого инновационного предпринимательства, в федеральных образовательных учреждениях высшего профессионального образования</t>
  </si>
  <si>
    <t>Организационно-техническое, информационное и методическое обеспечение конкурса и методическое сопровождение государственной поддержки развития инновационной инфраструктуры образовательных учреждений</t>
  </si>
  <si>
    <t>Оснащение школьных библиотек учебниками и литературой на русском языке и языках народов Кавказа</t>
  </si>
  <si>
    <t>Модернизация региональных систем общего образования</t>
  </si>
  <si>
    <t>Учреждения культуры и мероприятия в сфере культуры и кинематографии</t>
  </si>
  <si>
    <t>Прочие поступления от использования имущества, находящегося в собственности муниципальных районов(за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</si>
  <si>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1 14 01050 05 0000 410</t>
  </si>
  <si>
    <t>Доходы от продажи квартир, находящихся в собственности муниципальных районов</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</si>
  <si>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</si>
  <si>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Пособие по уходу за ребенком до достижения им возраста полутора лет гражданам, подлежащим обязательному социальному страхованию на случай временной нетрудоспособности и в связи с материнством</t>
  </si>
  <si>
    <t>Пособия при рождении ребенка гражданам, подлежащим обязательному социальному страхованию на случай временной нетрудоспособности и в связи с материнством</t>
  </si>
  <si>
    <t>Единовременные пособия женщинам, вставшим на учет в медицинских учреждениях в ранние сроки беременности, подлежащим обязательному социальному страхованию на случай временной нетрудоспособности и в связи с материнством</t>
  </si>
  <si>
    <t>Реализация программ модернизации здравоохранения субъектов Российской Федерации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t>
  </si>
  <si>
    <t>Реализация программ модернизации здравоохранения субъектов Российской Федерации в части внедрения стандартов медицинской помощи, повышение доступности амбулаторной медицинской помощи</t>
  </si>
  <si>
    <t>Фонд «Русский мир»</t>
  </si>
  <si>
    <t>Обеспечение деятельности фонда «Русский мир»</t>
  </si>
  <si>
    <t>Реализация региональных программ модернизации здравоохранения субъектов Российской Федерации и программ модернизации федеральных государственных учреждений</t>
  </si>
  <si>
    <t>Реализация программ модернизации здравоохранения субъектов Российской Федерации в части укрепления материально-технической базы медицинских учреждений</t>
  </si>
  <si>
    <t>Подготовка рабочих кадров и специалистов для высокотехнологичных производств, включая приобретение современного учебно-лабораторного и учебно-производственного оборудования</t>
  </si>
  <si>
    <t>Поощрение лучших учителей</t>
  </si>
  <si>
    <t>Материально-техническое обеспечение</t>
  </si>
  <si>
    <t>Код бюджетной классификации РФ</t>
  </si>
  <si>
    <t>Долевое участие в содержании координационных структур Содружества Независимых Государств</t>
  </si>
  <si>
    <t>Государственная программа "Обеспечение безопасности потерпевших, свидетелей и иных участников уголовного судопроизводства на 2006 - 2008 годы"</t>
  </si>
  <si>
    <t>Мероприятия в области социальной политики</t>
  </si>
  <si>
    <t>Мероприятия по реализации Концепции развития унифицированной системы рефинансирования ипотечных жилищных кредитов в России</t>
  </si>
  <si>
    <t>КУЛЬТУРА И КИНЕМАТОГРАФИЯ</t>
  </si>
  <si>
    <t xml:space="preserve">Прикладные научные исследования в области культуры, кинематографии </t>
  </si>
  <si>
    <t>Строительство и приобретение жилых помещений для постоянного проживания имеющих специальные звания сотрудников федеральных органов исполнительной власти, в которых предусмотрена служба, приравненная к военной</t>
  </si>
  <si>
    <t>Иммиграционный контроль</t>
  </si>
  <si>
    <t>Мероприятия по выполнению требований международных договоров и обязательств о сокращении и ограничении вооружений и укреплению мер доверия в военной области</t>
  </si>
  <si>
    <t xml:space="preserve"> Государственная техническая комиссия при президенте РФ</t>
  </si>
  <si>
    <t>Мероприятия в области жилищного хозяйства в целях создания благоприятных условий для организации и деятельности товариществ собственников жилья в ТМР</t>
  </si>
  <si>
    <t>Мероприятия по реализации федеральной целевой программы "Создание автоматизированной системы ведения государственного земельного кадастра и государственного учета объектов недвижимости (2002 - 2007 годы)"</t>
  </si>
  <si>
    <t>Выплата доплат к пенсиям</t>
  </si>
  <si>
    <t>Бюджетные инвестиции</t>
  </si>
  <si>
    <t>Министерство РФ по атомной энергии</t>
  </si>
  <si>
    <t>Подпрограмма "Сахарный диабет"</t>
  </si>
  <si>
    <t>Подпрограмма "Туберкулез"</t>
  </si>
  <si>
    <t xml:space="preserve">Погашение кредитов, предоставленных кредитными организациями в валюте Российской Федерации </t>
  </si>
  <si>
    <t>955 01 02 00 00 00 0000 800</t>
  </si>
  <si>
    <t>955 01 05 00 00 00 0000 000</t>
  </si>
  <si>
    <t>Прочие расходы, связанные с международной деятельностью</t>
  </si>
  <si>
    <t>Выполнение других обязательств государства</t>
  </si>
  <si>
    <t>Поисковые и аварийно-спасательные учреждения</t>
  </si>
  <si>
    <t>Железнодорожный транспорт</t>
  </si>
  <si>
    <t>Другие вопросы в области культуры, кинематографии</t>
  </si>
  <si>
    <t>ЗДРАВООХРАНЕНИЕ</t>
  </si>
  <si>
    <t>Прикладные научные исследования в области здравоохранения</t>
  </si>
  <si>
    <t>Другие вопросы в области здравоохранения</t>
  </si>
  <si>
    <t>ФИЗИЧЕСКАЯ КУЛЬТУРА И СПОРТ</t>
  </si>
  <si>
    <t xml:space="preserve">Физическая культура </t>
  </si>
  <si>
    <t>Массовый спорт</t>
  </si>
  <si>
    <t>Спорт высших достижений</t>
  </si>
  <si>
    <t>Прикладные научные исследования в области физической культуры и спорта</t>
  </si>
  <si>
    <t>Другие вопросы в области физической культуры и спорта</t>
  </si>
  <si>
    <t>СРЕДСТВА МАССОВОЙ ИНФОРМАЦИИ</t>
  </si>
  <si>
    <t>Прикладные научные исследования в области средств массовой информации</t>
  </si>
  <si>
    <t>Другие вопросы в области средств массовой информации</t>
  </si>
  <si>
    <t xml:space="preserve">ОБСЛУЖИВАНИЕ ГОСУДАРСТВЕННОГО И МУНИЦИПАЛЬНОГО ДОЛГА </t>
  </si>
  <si>
    <t>Выплата социального пособия на погребение и оказание услуг по погребению согласно гарантированному перечню услуг за умерших, получавших трудовую пенсию</t>
  </si>
  <si>
    <t>Выплата социального пособия на погребение умерших не работающих пенсионеров, досрочно оформивших пенсию по предложению органов службы занятости, и оказание услуг по погребению согласно гарантированному перечню этих услуг</t>
  </si>
  <si>
    <t>Возмещение стоимости гарантированного перечня услуг и социальные пособия на погребение за счет средств Фонда социального страхования Российской Федерации</t>
  </si>
  <si>
    <t>Возмещение федеральными органами исполнительной власти расходов на погребение</t>
  </si>
  <si>
    <t>Субсидии организациям связи на закупку космических аппаратов</t>
  </si>
  <si>
    <t>Субсидии на закупку космических аппаратов "Экспресс – МД1", "Экспресс – МД2" и "Экспресс – АМ4"</t>
  </si>
  <si>
    <t>Субсидии на возмещение организациям связи части затрат на уплату процентов по кредитам, полученным в российских кредитных организациях в 2001-2004 годах, на обеспечение финансирования изготовления космических аппаратов серии "Экспресс"</t>
  </si>
  <si>
    <t>Эксплуатация инфраструктуры электронного правительства</t>
  </si>
  <si>
    <t>Субсидии на проведение мероприятий по строительству технологических дорог (подъездных путей) к объектам связи федеральной автомобильной дороги "Амур" Чита - Хабаровск</t>
  </si>
  <si>
    <t>Мероприятия по возмещению расходов по содержанию объектов, связанных с использованием атомной энергии</t>
  </si>
  <si>
    <t>Субсидии федеральному государственному унитарному предприятию «Атомфлот» на возмещение расходов по содержанию объектов, связанных с использованием атомной энергии</t>
  </si>
  <si>
    <t>Обеспечение единства измерений</t>
  </si>
  <si>
    <t>Премия Правительства Российской Федерации в области качества</t>
  </si>
  <si>
    <t>Мероприятия в области гражданской промышленности</t>
  </si>
  <si>
    <t>Закупка для государственных нужд техники, производимой на территории Российской Федерации</t>
  </si>
  <si>
    <t>Закупка для государственных нужд автомобильной техники, производимой на территории Российской Федерации</t>
  </si>
  <si>
    <t>Закупка автотранспортных средств и коммунальной техники</t>
  </si>
  <si>
    <t>Реализация российской части обязательств по проекту создания российско-индийского многоцелевого транспортного самолета</t>
  </si>
  <si>
    <t>Пособия лицам, являвшимся сотрудниками федеральной фельдъегерской связи, получившим телесные повреждения, исключающие для них возможность дальнейшего осуществления служебной деятельности, а также семьям и иждивенцам погибших (умерших) сотрудников федеральной фельдъегерской связи</t>
  </si>
  <si>
    <t>Софинансирование социальных программ субъектов Российской Федерации, связанных с укреплением материально-технической базы учреждений социального обслуживания населения и оказанием адресной социальной помощи неработающим пенсионерам</t>
  </si>
  <si>
    <t>Поощрение достижения наилучших значений показателей деятельности органов исполнительной власти</t>
  </si>
  <si>
    <t>Софинансирование реформирования региональных финансов</t>
  </si>
  <si>
    <t>Осуществление полномочий по резервированию земель и изъятию земельных участков для федеральных нужд</t>
  </si>
  <si>
    <t>Осуществление Краснодарским краем полномочий по резервированию земель и изъятию земельных участков для федеральных нужд</t>
  </si>
  <si>
    <t>Иные межбюджетные трансферты на развитие и поддержку социальной и инженерной инфраструктуры закрытых административно-территориальных образований</t>
  </si>
  <si>
    <t>Иные межбюджетные трансферты на развитие и поддержку социальной, инженерной и инновационной инфраструктуры наукоградов Российской Федерации</t>
  </si>
  <si>
    <t>Средства, передаваемые для компенсации дополнительных расходов, возникших а результате решений, принятых органами власти другого уровня</t>
  </si>
  <si>
    <t>Отдельные полномочия в области лекарственного обеспечения</t>
  </si>
  <si>
    <t>Проведение капитального ремонта многоквартирных домов и переселение граждан из аварийного фонда</t>
  </si>
  <si>
    <t>Реализация региональных программ повышения эффективности бюджетных расходов</t>
  </si>
  <si>
    <t>Премирование победителей Всероссийского конкурса на звание "Самое благоустроенное городское (сельское) поселение России"</t>
  </si>
  <si>
    <t>Финансовое обеспечение единовременного денежного поощрения лучших социальных работников</t>
  </si>
  <si>
    <t>Капитальный ремонт и ремонт дворовых территорий многоквартирных домов,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t>
  </si>
  <si>
    <t>Повышение пожарной безопасности торфяников</t>
  </si>
  <si>
    <t>Материальное обеспечение патронатной семьи</t>
  </si>
  <si>
    <t>Субсидия на реализацию мероприятий патриотического воспитания молодежи ЯО</t>
  </si>
  <si>
    <t>Подпрограмма 'Физическое воспитание и оздоровление детей,   подростков и молодежи в Российской Федерации (2002 – 2005 годы)'</t>
  </si>
  <si>
    <t>Мероприятия по реализации федеральной целевой программы 'Молодежь России (2001 – 2005 годы)'</t>
  </si>
  <si>
    <t>Федеральная целевая программа развития образования на 2006 - 2010 годы</t>
  </si>
  <si>
    <t>Субсидия на проведение мероприятий по улучшению жилищных условий граждан РФ, проживающих в сельской местности в части областных средств</t>
  </si>
  <si>
    <t>Федеральная целевая программа 'Молодежь России (2001 – 2005 годы)'</t>
  </si>
  <si>
    <t>Субсидии организациям железнодорожного транспорта на компенсацию потерь в доходах от выравнивания тарифов при перевозке пассажиров в сообщении из (в) Калининградской области в (из) другие регионы Российской Федерации</t>
  </si>
  <si>
    <t>Главный расп., расп.</t>
  </si>
  <si>
    <t>Реализация других функций, связанных с обеспечением национальной безопасности и правоохранительной деятельности</t>
  </si>
  <si>
    <t>Артемьевское сельское поселение</t>
  </si>
  <si>
    <t>Обеспечение мероприятий по капитальному ремонту многоквартирных домов и переселению граждан из аварийного жилищного фонда за счет средств, поступивших от государственной корпорации Фонд содействия реформированию жилищно-коммунального хозяйства</t>
  </si>
  <si>
    <t>Осуществление отдельных полномочий в области водных отношений</t>
  </si>
  <si>
    <t>Федеральный закон от 15 декабря 2001 года № 166-ФЗ "О государственном пенсионном обеспечении в Российской Федерации"</t>
  </si>
  <si>
    <t>Государственный заказ на профессиональную переподготовку и повышение квалификации государственных служащих</t>
  </si>
  <si>
    <t>Мероприятия по повышению безопасности атомной энергетики, улучшению экологии</t>
  </si>
  <si>
    <t>Федеральная целевая программа "Социально-экономическое и этнокультурное развитие российских немцев на 2008 - 2012 годы"</t>
  </si>
  <si>
    <t>Федеральная целевая программа "Развитие электронной компонентной базы и радиоэлектроники на 2008 - 2015 годы"</t>
  </si>
  <si>
    <t>Субсидии на поддержку элитного семеноводства</t>
  </si>
  <si>
    <t>Получение кредитов от кредитных организаций в валюте Российской Федерации</t>
  </si>
  <si>
    <t>955 01 02 00 00 05 0000 710</t>
  </si>
  <si>
    <t>Администрация Артемьевской сельской территории</t>
  </si>
  <si>
    <t>Прочая продукция производственно-технического назначения</t>
  </si>
  <si>
    <t>Закон Российской Федерации от 15 января 1993 года № 4301-1 "О статусе Героев Советского Союза, Героев Российской Федерации и полных кавалеров ордена Славы"</t>
  </si>
  <si>
    <t>Софинансирование социальных программ субъектов Российской Федерации, связанных с предоставлением субсидий бюджетам субъектов Российской Федерации на социальные программы субъектов Российской Федерации, связанные с укреплением материально-технической базы учреждений социального обслуживания населения и оказанием адресной социальной помощи неработающим пенсионерам</t>
  </si>
  <si>
    <t>Областная целевая социальная программа дополнительных мер поддержки людей пожилого возраста</t>
  </si>
  <si>
    <t>МП "организация круглогодичной переправы в Тутаевском муниципальном районе"</t>
  </si>
  <si>
    <t>МП "О дополнительных мерах реализации 185-ФЗ "О фонде содействия реформированию ЖКХ" на территории ТМР ЯО на 2009 - 2011 годы"</t>
  </si>
  <si>
    <t>Больницы, клиники, госпитали, медико-санитарные части</t>
  </si>
  <si>
    <t>Руководство и управление в сфере установленных функций</t>
  </si>
  <si>
    <t>Аудиторы Счетной палаты Российской Федерации</t>
  </si>
  <si>
    <t>Члены Центральной избирательной комиссии Российской Федерации</t>
  </si>
  <si>
    <t>Администрация Фоминской сельской территории</t>
  </si>
  <si>
    <t>Исследование и использование космического пространства</t>
  </si>
  <si>
    <t>Воспроизводство минерально-сырьевой базы</t>
  </si>
  <si>
    <t>Водные ресурсы</t>
  </si>
  <si>
    <t>Лесное хозяйство</t>
  </si>
  <si>
    <t>Прикладные научные исследования в области национальной экономики</t>
  </si>
  <si>
    <t>430</t>
  </si>
  <si>
    <t xml:space="preserve"> Постоянный комитет союзного государства</t>
  </si>
  <si>
    <t xml:space="preserve"> Комитет Российской Федерации по военно-техническому сотрудничеству с иностранными государствами</t>
  </si>
  <si>
    <t>Ядерно-оружейный комплекс</t>
  </si>
  <si>
    <t xml:space="preserve"> Российская академия художеств</t>
  </si>
  <si>
    <t>Субсидии федеральным государственным унитарным предприятиям, находящимся в ведении Управления делами Президента Российской Федерации, на содержание особо важных объектов</t>
  </si>
  <si>
    <t>Переселение граждан в другую местность</t>
  </si>
  <si>
    <t>Указ Президента Российской Федерации от 20 марта 2006 года № 233 "О Государственной премии Российской Федерации за выдающиеся достижения в области гуманитарной деятельности"</t>
  </si>
  <si>
    <t>Государственная премия Российской Федерации за выдающиеся достижения в области гуманитарной деятельности</t>
  </si>
  <si>
    <t>Указ Президента Российской Федерации от 24 февраля 2004 года № 233 "О мерах государственной поддержки работников организаций оборонно-промышленного комплекса Российской Федерации"</t>
  </si>
  <si>
    <t>Ежемесячная стипендия работникам организаций оборонно-промышленного комплекса Российской Федерации за выдающиеся заслуги в области создания вооружения, военной и специальной техники</t>
  </si>
  <si>
    <t>Указ Президента Российской Федерации от 6 июля 2002 года № 692 "О стипендиях Президента Российской Федерации спортсменам - членам спортивных сборных команд Российской Федерации и их тренерам, чемпионам Олимпийских игр, чемпионам Паралимпийских игр и чемпионам Сурдлимпийских игр, входившим в состав сборных команд СССР и (или) Российской Федерации"</t>
  </si>
  <si>
    <t>Стипендия Президента Российской Федерации членам спортивных сборных команд Российской Федерации и их тренерам, а также чемпионам Олимпийских игр, чемпионам Паралимпийских игр и чемпионам Сурдлимпийских игр, входившим в состав сборных команд СССР и (или) Российской Федерации</t>
  </si>
  <si>
    <t>Указ Президента Российской Федерации от 16 сентября 1993 года № 1372 "О мерах по материальной поддержке ученых России"</t>
  </si>
  <si>
    <t>Прочие неналоговые доходы бюджетов муниципальных районов</t>
  </si>
  <si>
    <t>2 18 05010 05 0000 180</t>
  </si>
  <si>
    <t>2 19 05000 05 0000 151</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</si>
  <si>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</si>
  <si>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2 02 02999 05 0000 151</t>
  </si>
  <si>
    <t>Прочие субсидии бюджетам муниципальных районов</t>
  </si>
  <si>
    <t>2 02 03003 05 0000 151</t>
  </si>
  <si>
    <t>Указ Президента Российской Федерации от 29 апреля 2010 года № 518 "О мерах государственной поддержки молодых работников организаций оборонно-промышленного комплекса Российской Федерации"</t>
  </si>
  <si>
    <t>Стипендии молодым работникам организаций оборонно-промышленного комплекса</t>
  </si>
  <si>
    <t>Постановление Правительства Российской Федерации от 19 января 2005 года № 29 "О премиях Правительства Российской Федерации в области культуры"</t>
  </si>
  <si>
    <t>Премии Правительства Российской Федерации в области культуры</t>
  </si>
  <si>
    <t>Постановление Правительства Российской Федерации от 26 августа 2004 года № 440 "О премиях Правительства Российской Федерации в области образования"</t>
  </si>
  <si>
    <t>Премии Правительства Российской Федерации в области образования</t>
  </si>
  <si>
    <t>Постановление Правительства Российской Федерации от 19 января 2005 года № 28 "О премиях Правительства Российской Федерации в области печатных средств массовой информации"</t>
  </si>
  <si>
    <t>Премии Правительства Российской Федерации в области печатных средств массовой информации</t>
  </si>
  <si>
    <t>Постановление Правительства Российской Федерации от 4 апреля 2011 года N 240 "О премиях Правительства Российской Федерации имени Ю.А. Гагарина в области космической деятельности"</t>
  </si>
  <si>
    <t>Премии Правительства Российской Федерации имени Ю.А. Гагарина в области космической деятельности</t>
  </si>
  <si>
    <t>не используется</t>
  </si>
  <si>
    <t>ВЦП "Развитие системы мер социальной поддержки населения ЯО"</t>
  </si>
  <si>
    <t>Субсидии федеральным государственным унитарным протезно-ортопедическим предприятиям на возмещение убытков, связанных с реализацией протезно-ортопедических изделий и услуг по протезированию по ценам ниже себестоимости</t>
  </si>
  <si>
    <t>Разработка и реализация комплекса мер по оказанию поддержки детям, оказавшимся в трудной жизненной ситуации</t>
  </si>
  <si>
    <t>Финансовое обеспечение единовременного денежного поощрения лучших врачей</t>
  </si>
  <si>
    <t>Федеральная целевая программа "Развитие гражданской морской техники" на 2009 - 2016 годы</t>
  </si>
  <si>
    <t>Федеральная целевая программа "Национальная система химической и биологической безопасности Российской Федерации (2009 - 2013 годы)"</t>
  </si>
  <si>
    <t>Федеральная целевая программа "Модернизация Единой системы организации воздушного движения Российской Федерации (2009 - 2015 годы)"</t>
  </si>
  <si>
    <t>Федеральная целевая программа "Социально-экономическое развитие Чеченской Республики на 2008 - 2012 годы"</t>
  </si>
  <si>
    <t>Федеральная целевая программа "Пожарная безопасность в Российской Федерации на период до 2012 года"</t>
  </si>
  <si>
    <t>Пособие по уходу за ребенком гражданам, подвергшимся воздействию радиации вследствие радиационных аварий</t>
  </si>
  <si>
    <t>Дотация бюджету Красноярского края</t>
  </si>
  <si>
    <t>Обеспечение деятельности учреждений по реализации миграционной политики</t>
  </si>
  <si>
    <t>Субсидии организациям автомобильного транспорта на возмещение убытков, возникающих в результате государственного регулирования тарифов на перевозку пассажиров в межмуниципальном сообщении</t>
  </si>
  <si>
    <t>Строительство объектов общегражданского назначения</t>
  </si>
  <si>
    <t>Составление (изменение и дополнение) списков кандидатов в присяжные заседатели федеральных судов общей юрисдикции в Российской Федерации</t>
  </si>
  <si>
    <t>Электронная техника и средства связи</t>
  </si>
  <si>
    <t>Боеприпасы</t>
  </si>
  <si>
    <t>Федеральная целевая программа "Преодоление последствий радиационных аварий на период до 2015 года"</t>
  </si>
  <si>
    <t>Федеральная целевая программа "Развитие фармацевтической и медицинской промышленности Российской Федерации на период до 2020 года и дальнейшую перспективу"</t>
  </si>
  <si>
    <t>Федеральная целевая программа "Жилище" на 2011 - 2015 годы</t>
  </si>
  <si>
    <t>Подпрограмма "Выполнение государственных обязательств по обеспечению жильем категорий граждан, установленных федеральным законодательством"</t>
  </si>
  <si>
    <t>Приобретение жилья гражданами - участниками ликвидации последствий радиационных аварий и катастроф, пострадавшими в результате этих аварий, и приравненными к ним лицами</t>
  </si>
  <si>
    <t>Подпрограмма "Стимулирование программ развития жилищного строительства субъектов Российской Федерации"</t>
  </si>
  <si>
    <t>Мероприятия по обеспечению жильем прокуроров и следователей</t>
  </si>
  <si>
    <t>Мероприятия по обеспечению жильем спасателей аварийно-спасательных служб и аварийно-спасательных формирований МЧС России</t>
  </si>
  <si>
    <t>Мероприятия по переселению граждан из ветхого и аварийного жилья в зоне Байкало-Амурской магистрали</t>
  </si>
  <si>
    <t>Мероприятия по обеспечению жильем иных категорий граждан Управлением делами Президента Российской Федерации на основании решений Президента Российской Федерации</t>
  </si>
  <si>
    <t>Мероприятия по приведению объектов города Волгодонска в состояние, обеспечивающее безопасное проживание его жителей</t>
  </si>
  <si>
    <t>Мероприятия по переселению граждан, проживающих в городах Норильск и Дудинка, и модернизации коммунальной инфраструктуры города Норильска</t>
  </si>
  <si>
    <t>Расходы на управление Программой</t>
  </si>
  <si>
    <t>Федеральная целевая программа развития образования на 2011 - 2015 годы</t>
  </si>
  <si>
    <t>Государственная программа "Доступная среда на 2011 - 2015 годы"</t>
  </si>
  <si>
    <t>Государственная программа "Информационное общество" (2011 - 2020 годы)</t>
  </si>
  <si>
    <t>Федеральная целевая программа "Охрана озера Байкал и социально-экономическое развитие Байкальской природной территории" на 2011 - 2020 годы</t>
  </si>
  <si>
    <t>Федеральная целевая программа "Чистая вода" на 2011 - 2017 годы</t>
  </si>
  <si>
    <t>в 2011 - 2015 годах"</t>
  </si>
  <si>
    <t>Федеральная целевая программа "Снижение рисков и смягчение последствий чрезвычайных ситуаций природного и техногенного характера в Российской Федерации до 2015 года"</t>
  </si>
  <si>
    <t>Федеральная целевая программа "Промышленная утилизация вооружения и военной техники на 2011 - 2015 годы и на период до 2020 года"</t>
  </si>
  <si>
    <t>Федеральная целевая программа "Сохранность и реконструкция военно-мемориальных объектов в 2011 - 2015 годах"</t>
  </si>
  <si>
    <t>Федеральная целевая программа "Развитие внутреннего и въездного туризма в Российской Федерации (2011 - 2016 годы)"</t>
  </si>
  <si>
    <t>Федеральная целевая программа "Промышленная утилизация вооружения и военной техники ядерного комплекса на 2011 - 2015 годы и на период до 2020 года"</t>
  </si>
  <si>
    <t>Постановление Правительства Российской Федерации от 29 декабря 2008 года № 1051 "О порядке предоставления пособий на проведение летнего оздоровительного отдыха детей отдельных категорий военнослужащих и сотрудников некоторых федеральных органов исполнительной власти, погибших (умерших), пропавших без вести, ставших инвалидами в связи с выполнением задач в условиях вооруженного конфликта немеждународного характера в Чеченской Республике и на непосредственно прилегающих к ней территориях Северного Кавказа, отнесенных к зоне вооруженного конфликта, а также в связи с выполнением задач в ходе контртеррористических операций на территории Северо-Кавказского региона, пенсионное обеспечение которых осуществляется Пенсионным фондом Российской Федерации"</t>
  </si>
  <si>
    <t>Субвенция на реализацию отдельных полномочий в сфере законодательства об административных правонарушениях</t>
  </si>
  <si>
    <t>Перечисления из бюджетов муниципальных районов (в бюджеты муниципальных районов)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</si>
  <si>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956 Департамент культуры, туризма и молодежной политики Администрации Тутаевского муниципального района</t>
  </si>
  <si>
    <t>2 02 02077 05 0000 151</t>
  </si>
  <si>
    <t>2 02 04025 05 0000 151</t>
  </si>
  <si>
    <t>Межбюджетные трансферты, передаваемые бюджетам муниципальных районов на комплектование книжных фондов библиотек муниципальных образований</t>
  </si>
  <si>
    <t>2 02 02085 05 0000 151</t>
  </si>
  <si>
    <t>Субсидии бюджетам муниципальных районов на осуществление мероприятий по обеспечению жильем граждан Российской Федерации, проживающих в сельской местности</t>
  </si>
  <si>
    <t>958 Департамент жилищно- коммунального хозяйства и строительства Администрации Тутаевского муниципального района</t>
  </si>
  <si>
    <t>Строительство и реконструкция объектов в целях организации производства новых радиофармпрепаратов и медицинских изделий и формирования сети услуг по оказанию высокотехнологичной медицинской помощи</t>
  </si>
  <si>
    <t>Федеральная целевая программа "Жилище" на 2002 - 2010 годы</t>
  </si>
  <si>
    <t>Подпрограмма "Выполнение государственных обязательств по обеспечению жильем категорий граждан, установленных федеральным законодательством" (второй этап)</t>
  </si>
  <si>
    <t>Расходы общепрограммного характера по федеральной целевой программе "Жилище" на 2002 – 2010 годы</t>
  </si>
  <si>
    <t>Мероприятия по обеспечению жильем иных категорий граждан на основании решений Правительства Российской Федерации</t>
  </si>
  <si>
    <t>Государственная поддержка инвестиционных проектов за счет средств Инвестиционного фонда Российской Федерации на основании решений Правительства Российской Федерации</t>
  </si>
  <si>
    <t>Государственная поддержка инвестиционных проектов</t>
  </si>
  <si>
    <t>Прием и содержание лиц в рамках выполнения международных договоров Российской Федерации о реадмиссии</t>
  </si>
  <si>
    <t>Прочие расходы по реализации мероприятий по обеспечению выполнения международных договоров и обязательств о сокращении и ограничении вооружений</t>
  </si>
  <si>
    <t>Субсидии на подготовку специалистов массовых технических профессий и развития технического творчества</t>
  </si>
  <si>
    <t>Субсидии на оснащение Центров военно-патриотического воспитания и подготовки граждан к военной службе</t>
  </si>
  <si>
    <t>Субсидии на развитие авиационных и технических видов спорта</t>
  </si>
  <si>
    <t>Обустройство государственной границы Российской Федерации</t>
  </si>
  <si>
    <t>Обеспечение функционирования пунктов пропуска через государственную границу Российской Федерации</t>
  </si>
  <si>
    <t>Субсидии на поддержку производства льна и конопли</t>
  </si>
  <si>
    <t>Федеральная целевая программа "Экономическое и социальное развитие коренных малочисленных народов Севера до 2011 года"</t>
  </si>
  <si>
    <t>Функ. кл.</t>
  </si>
  <si>
    <t>Вид. расх.</t>
  </si>
  <si>
    <t>Физкультурно-оздоровительная работа и спортивные мероприятия</t>
  </si>
  <si>
    <t>Музеи и постоянные выставки</t>
  </si>
  <si>
    <t>Осуществление ежемесячной денежной выплаты гражданам, подвергшимся воздействию радиации вследствие радиационных аварий и ядерных испытаний</t>
  </si>
  <si>
    <t>Налог на доходы физических лиц</t>
  </si>
  <si>
    <t>Органы по контролю за оборотом наркотических средств и психотропных веществ</t>
  </si>
  <si>
    <t xml:space="preserve"> Российская     оборонная     спортивно-техническая организация (РОСТО)</t>
  </si>
  <si>
    <t>Доходы от продажи материальных и нематериальных активов</t>
  </si>
  <si>
    <t>Прикладные научные исследования в области общегосударственных вопросов</t>
  </si>
  <si>
    <t>МУ Управление единого заказчика ТМО</t>
  </si>
  <si>
    <t>МУ Контрольно-счетная палата ТМР</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</si>
  <si>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</si>
  <si>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Получение кредитов от кредитных организаций бюджетом муниципального района в валюте Российской Федерации</t>
  </si>
  <si>
    <t>Оплата путевок на санаторно-курортное лечение работников</t>
  </si>
  <si>
    <t>Федеральный закон от 17 сентября 1998 года № 157-ФЗ "Об иммунопрофилактике инфекционных болезней"</t>
  </si>
  <si>
    <t>Субсидии организациям транспорта, осуществляющим приобретение автотехники для пополнения подвижного состава автоколонн войскового типа</t>
  </si>
  <si>
    <t>Государственная поддержка в сфере культуры, кинематографии и средств массовой информации</t>
  </si>
  <si>
    <t xml:space="preserve"> Министерство  имущественных  отношений  РФ</t>
  </si>
  <si>
    <t>Международные отношения и международное сотрудничество</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</si>
  <si>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</si>
  <si>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Содержание объектов инфраструктуры города Байконура, связанных с арендой космодрома Байконур</t>
  </si>
  <si>
    <t>Возврат бюджетных кредитов, предоставленных юридическим лицам из бюджетов муниципальных районов в валюте Российской Федерации</t>
  </si>
  <si>
    <t>Поддержка мер по обеспечению сбалансированности бюджетов</t>
  </si>
  <si>
    <t>Геолого-разведочные и другие работы в области геологического изучения недр</t>
  </si>
  <si>
    <t>Субсидии казенным предприятиям оборонно-промышленного комплекса</t>
  </si>
  <si>
    <t>Театры, цирки, концертные и другие организации исполнительских искусств</t>
  </si>
  <si>
    <t>Информационные агентства</t>
  </si>
  <si>
    <t>Приобретение жилья гражданами – участниками ликвидации последствий радиационных аварий и катастроф, пострадавшими в результате этих аварий, и приравненными к ним лицами</t>
  </si>
  <si>
    <t>Приобретение жилья вынужденными переселенцами</t>
  </si>
  <si>
    <t>Воздушный транспорт</t>
  </si>
  <si>
    <t>Подпрограмма "Одаренные дети"</t>
  </si>
  <si>
    <t>Система исполнения наказаний</t>
  </si>
  <si>
    <t>Исследования и разработки в части обеспечения выполнения международных договоров и обязательств о сокращении и ограничении вооружений и укрепления мер доверия в военной области</t>
  </si>
  <si>
    <t>МЛУ "Константиновская районная больница"</t>
  </si>
  <si>
    <t>ОЦП "О господдержке отдельных категорий граждан, проживающих в ЯО, по проведению ремонта жилых помещений и (или) работ, направленных на повышение уровня обеспеченности их коммунальными услугами на 2010-2013 годы"</t>
  </si>
  <si>
    <t>Субсидия на реализацию подпрограммы "Государственная поддержка молодых семей ЯО в приобретении (строительстве) жилья"</t>
  </si>
  <si>
    <t>ОЦП "развитие МТБ учреждений культуры ЯО"</t>
  </si>
  <si>
    <t>ОЦП "Развитие МТБ учреждений культуры ЯО"</t>
  </si>
  <si>
    <t>Субсидия ОЦП "Обращение с ТБО на территории ЯО" , в части мероприятий обеспечения МО генеральными схемами очистки территорий</t>
  </si>
  <si>
    <t>Региональная программа "Социальная поддержка пожилых граждан в Ярославской области" мероприятия по соц. поддержке ветеранов, инвалидов и малообеспеч. пенсионеров</t>
  </si>
  <si>
    <t>Обеспечение создания, эксплуатации государственной системы изготовления, оформления и контроля паспортно-визовых документов нового поколения</t>
  </si>
  <si>
    <t>Эксплуатация государственной системы изготовления, оформления и контроля паспортно-визовых документов нового поколения</t>
  </si>
  <si>
    <t>Поддержка экономического и социального развития коренных малочисленных народов Севера, Сибири и Дальнего Востока</t>
  </si>
  <si>
    <t>Организация и проведение ХХII Олимпийских зимних игр и ХI Паралимпийских зимних игр 2014 года в городе Сочи, развитие города Сочи как горноклиматического курорта</t>
  </si>
  <si>
    <t>Субсидии автономным некоммерческим организациям</t>
  </si>
  <si>
    <t>Выплата единовременных пособий женщинам, вставшим на учет в медицинских учреждениях в ранние сроки беременности, уволенным в связи с ликвидацией организаций, прекращением деятельности (полномочий) физическими лицами в установленном порядке</t>
  </si>
  <si>
    <t>Выплата пособий по беременности и родам женщинам, уволенным в связи с ликвидацией организаций, прекращением деятельности (полномочий) физическими лицами в установленном порядке</t>
  </si>
  <si>
    <t>Федеральный закон от 26 ноября 1998 № 175-ФЗ "О социальной защите граждан Российской Федерации, подвергшихся воздействию радиации вследствие аварии в 1957 году на производственном объединении "Маяк" и сбросов радиоактивных отходов в реку Теча"</t>
  </si>
  <si>
    <t>Федеральный закон от 9 января 1997 года № 5-ФЗ" О предоставлении социальных гарантий Героям Социалистического Труда и полным кавалерам ордена Трудовой Славы"</t>
  </si>
  <si>
    <t>Социальная поддержка Героев Социалистического Труда и полных кавалеров ордена Трудовой Славы</t>
  </si>
  <si>
    <t>Указ Президента Российской Федерации от 30 марта 2005 года № 363 "О мерах по улучшению материального положения некоторых категорий граждан Российской Федерации в связи с 60-летеим Победы в Великой Отечественной войне 1941-1945 годов"</t>
  </si>
  <si>
    <t>2 02 02008 05 0000 151</t>
  </si>
  <si>
    <t xml:space="preserve">Субсидии бюджетам муниципальных районов на обеспечение жильем молодых семей </t>
  </si>
  <si>
    <t xml:space="preserve">1 13 01995 05 0000 130 </t>
  </si>
  <si>
    <t>1 13 02995 05 0000 130</t>
  </si>
  <si>
    <t xml:space="preserve">Прочие доходы от компенсации затрат бюджетов муниципальных районов </t>
  </si>
  <si>
    <t>1 16 23051 05 0000 140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</si>
  <si>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</si>
  <si>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1 16 23052 05 0000 140</t>
  </si>
  <si>
    <t xml:space="preserve">Доходы бюджетов муниципальных районов от возврата бюджетными учреждениями остатков субсидий прошлых лет </t>
  </si>
  <si>
    <t>Указ Президента Российской Федерации от 26 декабря 2006 года № 1455 "О компенсационных выплатах лицам, осуществляющим уход за нетрудоспособными гражданами"</t>
  </si>
  <si>
    <t>Компенсационные выплаты лицам, осуществляющим уход за нетрудоспособными гражданами</t>
  </si>
  <si>
    <t>Выплата социального пособия на погребение и оказание услуг по погребению согласно гарантированному перечню услуг за умерших, получавших пенсии по государственному пенсионному обеспечению</t>
  </si>
  <si>
    <t>Субсидирование процентных ставок по привлеченным организациями связи кредитам в целях финансирования и изготовления космических аппаратов серии "Экспресс"</t>
  </si>
  <si>
    <t>Развитие группировки космической связи</t>
  </si>
  <si>
    <t>Субсидии на возмещение операторам связи убытков, причиняемых оказанием универсальных услуг связи</t>
  </si>
  <si>
    <t>Приложение 9</t>
  </si>
  <si>
    <t>Приложение 10</t>
  </si>
  <si>
    <t>2-я редакция</t>
  </si>
  <si>
    <t>Приобретение специализированной лесопожарной техники и оборудования</t>
  </si>
  <si>
    <t>Субсидии на возмещение расходов за аэронавигационное обслуживание полетов воздушных судов пользователей воздушного пространства, освобожденных в соответствии с законодательством Российской Федерации от платы за аэронавигационное обслуживание</t>
  </si>
  <si>
    <t>Реализация мероприятий с использованием специальных методов</t>
  </si>
  <si>
    <t>Субсидии редакциям печатных средств массовой информации и издающим организациям для инвалидов по зрению</t>
  </si>
  <si>
    <t>Субсидии редакциям печатных средств массовой информации и издающим организациям для инвалидов</t>
  </si>
  <si>
    <t>Вопросы регулирования продовольственного рынка и государственных семенных фондов</t>
  </si>
  <si>
    <t>Земельные кадастровые палаты</t>
  </si>
  <si>
    <t>Реализация государственных функций в области национальной экономики</t>
  </si>
  <si>
    <t>Муниципальный совет ТМР</t>
  </si>
  <si>
    <t xml:space="preserve"> Российский гуманитарный научный фонд</t>
  </si>
  <si>
    <t xml:space="preserve"> Государственный фонд кинофильмов РФ</t>
  </si>
  <si>
    <t>Председатель Счетной палаты Российской Федерации и его заместитель</t>
  </si>
  <si>
    <t>Учебные заведения и курсы по переподготовке кадров</t>
  </si>
  <si>
    <t>Высшие учебные заведения</t>
  </si>
  <si>
    <t>Проведение выборов в Федеральное Собрание Российской Федерации</t>
  </si>
  <si>
    <t>Обеспечение международной экономической и гуманитарной помощи</t>
  </si>
  <si>
    <t>Федеральный закон от 16 июля 1999 года № 165-ФЗ "Об основах обязательного социального страхования"</t>
  </si>
  <si>
    <t>Министерство энергетики Российской Федерации</t>
  </si>
  <si>
    <t>Министерство путей сообщения Российской Федерации</t>
  </si>
  <si>
    <t>Федеральная служба железнодорожных войск РФ</t>
  </si>
  <si>
    <t>Администрация Помогаловского сельского поселения</t>
  </si>
  <si>
    <t>Покрытие дефицита бюджетов государственных внебюджетных фондов</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</si>
  <si>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</si>
  <si>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Региональная программа "Социальная поддержка пожилых граждан в Ярославской области"</t>
  </si>
  <si>
    <t>Региональная программа "Социальная поддержка пожилых граждан в Ярославской области" в сфере культуры</t>
  </si>
  <si>
    <t>Министерство торговли области</t>
  </si>
  <si>
    <t>Государственная инспекция по маломерным судам области</t>
  </si>
  <si>
    <t xml:space="preserve"> Рабочий центр экономических реформ при правительстве РФ</t>
  </si>
  <si>
    <t xml:space="preserve"> Федеральная служба охраны РФ</t>
  </si>
  <si>
    <t xml:space="preserve"> Специальный  представитель  Президента  РФ по  вопросам урегулирования  Осетино-Ин-гушского конфликта</t>
  </si>
  <si>
    <t>Погашение бюджетом муниципального района кредитов от кредитных организаций в валюте в Российской Федерации</t>
  </si>
  <si>
    <t>Обеспечение инвалидов техническими средствами реабилитации, включая изготовление и ремонт протезно-ортопедических изделий</t>
  </si>
  <si>
    <t>Государственная программа по оказанию содействия добровольному переселению в Российскую Федерацию соотечественников, проживающих за рубежом</t>
  </si>
  <si>
    <t>Переселение в Российскую Федерацию соотечественников, проживающих за рубежом</t>
  </si>
  <si>
    <t>Федеральная служба судебных приставов</t>
  </si>
  <si>
    <t>Учреждения, обеспечивающие предоставление услуг в сфере рыбохозяйственной деятельности</t>
  </si>
  <si>
    <t>Водохозяйственные мероприятия</t>
  </si>
  <si>
    <t xml:space="preserve"> Федеральная архивная служба России</t>
  </si>
  <si>
    <t xml:space="preserve"> Верховный суд Российской Федерации</t>
  </si>
  <si>
    <t xml:space="preserve"> Уральское отделение Российской академии наук</t>
  </si>
  <si>
    <t>Органы безопасности</t>
  </si>
  <si>
    <t>Органы пограничной службы</t>
  </si>
  <si>
    <t>Субвенция на обеспечение деятельности органов местного самоуправления в сфере социальной защиты населения</t>
  </si>
  <si>
    <t>Субвенция на содержание ребенка в семье опекуна и приемной семье, а также вознаграждение, причитающееся приемному родителю</t>
  </si>
  <si>
    <t>Мероприятия по профилактике ВИЧ-инфекции, гепатитов В, С</t>
  </si>
  <si>
    <t>Обеспечение деятельности особо ценных объектов (учреждений) культурного наследия народов Российской Федерации</t>
  </si>
  <si>
    <t>Федеральная целевая программа "Повышение безопасности дорожного движения в 2006 - 2012 годах"</t>
  </si>
  <si>
    <t>Субсидии открытому акционерному обществу "Российские железные дороги" на компенсацию потерь в доходах, связанных с установлением исключительных тарифов на перевозку нефелинового концентрата</t>
  </si>
  <si>
    <t>01 06 01 00 00 0000 630</t>
  </si>
  <si>
    <t>Средства от продажи акций и иных форм участия в капитале, находящихся в государственной и муниципальной собственности</t>
  </si>
  <si>
    <t xml:space="preserve">Областная целевая программа "Социальное развитие села до 2012 года" </t>
  </si>
  <si>
    <t>Приложение 11</t>
  </si>
  <si>
    <t>1. Дотация на выравнивание бюджетной обеспеченности поселений Тутаевского муниципального района</t>
  </si>
  <si>
    <t>Наименование поселения</t>
  </si>
  <si>
    <t>Направление средств материнского (семейного) капитала, ранее направленных на формирование накопительной части трудовой пенсии, на улучшение жилищных условий и получение образования ребенком (детьми)</t>
  </si>
  <si>
    <t>Подпрограмма 'Реформирование промышленного сектора уголовно-исполнительной системы и содействие трудовой занятости осужденных на 2002 – 2006 годы'</t>
  </si>
  <si>
    <t>Федеральная целевая программа "Развитие судебной системы России на 2007 - 2012 годы"</t>
  </si>
  <si>
    <t>Федеральная целевая программа 'Экология и природные ресурсы России (2002 - 2010 годы)'</t>
  </si>
  <si>
    <t>Подпрограмма 'Минерально-сырьевые ресурсы'</t>
  </si>
  <si>
    <t>Подпрограмма 'Водные ресурсы и водные объекты'</t>
  </si>
  <si>
    <t>Подпрограмма 'Водные биологические ресурсы и аквакультура'</t>
  </si>
  <si>
    <t>Подпрограмма 'Сохранение редких и исчезающих видов животных и растений'</t>
  </si>
  <si>
    <t>Подпрограмма 'Охрана озера Байкал и Байкальской природной территории'</t>
  </si>
  <si>
    <t>Подпрограмма 'Гидрометеорологическое обеспечение безопасности жизнедеятельности и рационального природопользования'</t>
  </si>
  <si>
    <t>Федеральная целевая программа "Предупреждение и борьба с социально значимыми заболеваниями на (2007 - 2011 годы)"</t>
  </si>
  <si>
    <t>Подпрограмма 'Обращение с радиоактивными отходами и отработавшими ядерными материалами, их утилизация и захоронение'</t>
  </si>
  <si>
    <t>Подпрограмма 'Безопасность атомной промышленности России'</t>
  </si>
  <si>
    <t>Подпрограмма 'Безопасность атомных электростанций и исследовательских ядерных установок'</t>
  </si>
  <si>
    <t>Подпрограмма 'Атомные электростанции и ядерные энергетические установки нового поколения с повышенной безопасностью'</t>
  </si>
  <si>
    <t>Подпрограмма 'Совершенствование системы подготовки,    переподготовки и повышения квалификации кадров'</t>
  </si>
  <si>
    <t>Подпрограмма 'Организация системы государственного учета и контроля ядерных материалов и системы государственного учета и контроля радиоактивных веществ и радиоактивных отходов'</t>
  </si>
  <si>
    <t>Подпрограмма 'Ядерная и радиационная безопасность на   предприятиях судостроительной промышленности'</t>
  </si>
  <si>
    <t>Подпрограмма 'Защита населения и территорий от последствий возможных радиационных аварий'</t>
  </si>
  <si>
    <t>Подпрограмма 'Методическое обеспечение деятельности по  защите населения и реабилитации территорий, подвергшихся радиоактивному загрязнению'</t>
  </si>
  <si>
    <t>Указ Президента Российской Федерации от 27 декабря 1999 года № 1708 "О дополнительных мерах социальной поддержки Героев Советского Союза, Героев Российской Федерации и полных кавалеров ордена Славы - участников Великой Отечественной войны 1941 - 1945 годов"</t>
  </si>
  <si>
    <t>Дополнительное пожизненное ежемесячное материальное обеспечение Героям Советского Союза, Героям Российской Федерации и полным кавалерам ордена Славы - участникам Великой Отечественной войны 1941 - 1945 годов</t>
  </si>
  <si>
    <t>Покрытие дефицита бюджета Фонда социального страхования Российской Федерации"</t>
  </si>
  <si>
    <t>Дополнительные средства на покрытие дефицитов бюджетов государственных внебюджетных фондов Российской Федерации</t>
  </si>
  <si>
    <t>Мероприятия в области государственной семейной политики</t>
  </si>
  <si>
    <t>Единовременное денежное поощрение при награждении орденом "Родительская слава"</t>
  </si>
  <si>
    <t>Премии, стипендии за выдающиеся заслуги</t>
  </si>
  <si>
    <t>Указ Президента Российской Федерации от 30 июля 2008 года № 1144 "О премии Президента Российской Федерации в области науки и инноваций для молодых ученых"</t>
  </si>
  <si>
    <t>Премия Президента Российской Федерации в области науки и инноваций для молодых ученых</t>
  </si>
  <si>
    <t>Обеспечение мероприятий по реформированию  государственной и муниципальной службы</t>
  </si>
  <si>
    <t>Подпрограмма "ВИЧ-инфекция"</t>
  </si>
  <si>
    <t>Поддержка дорожного хозяйства</t>
  </si>
  <si>
    <t>Подпрограмма "Модернизация и создание перспективных средств навигации в интересах специальных потребителей"</t>
  </si>
  <si>
    <t>Международные обязательства в сфере военно-технического сотрудничества</t>
  </si>
  <si>
    <t>Развитие подведомственных центров реабилитации Фонда социального страхования Российской Федерации</t>
  </si>
  <si>
    <t xml:space="preserve"> Федеральный горный и промышленный надзор России</t>
  </si>
  <si>
    <t xml:space="preserve"> Общеэкономические вопросы</t>
  </si>
  <si>
    <t>Администрация Никольской сельской территории</t>
  </si>
  <si>
    <t>Государственный комитет РФ по оборонному заказу при Министерстве обороны РФ</t>
  </si>
  <si>
    <t xml:space="preserve"> Федеральная служба геодезии и картографии России</t>
  </si>
  <si>
    <t>Субсидии государственным цирковым организациям</t>
  </si>
  <si>
    <t>Проведение углубленных медицинских осмотров работников, занятых на работах с вредными и (или) опасными производственными факторами</t>
  </si>
  <si>
    <t>Развитие социальной и инженерной инфраструктуры</t>
  </si>
  <si>
    <t>Обеспечение создания государственной системы изготовления, оформления и контроля паспортно-визовых документов нового поколения</t>
  </si>
  <si>
    <t>Администрация Родионовского сельского поселения</t>
  </si>
  <si>
    <t>Предупреждение и ликвидация последствий чрезвычайных ситуаций и стихийных бедствий природного и техногенного характера</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</si>
  <si>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</si>
  <si>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Ликвидация межтерриториального перекрестного субсидирования в электроэнергетике</t>
  </si>
  <si>
    <t>Управление делами Президента Российской Федерации</t>
  </si>
  <si>
    <t>Обеспечение визитов делегаций высших органов власти за рубеж</t>
  </si>
  <si>
    <t>Мероприятия по обеспечению мобилизационной готовности экономики</t>
  </si>
  <si>
    <t>Осуществление высшим исполнительным органом государственной власти Санкт-Петербурга полномочий по управлению федеральным имуществом</t>
  </si>
  <si>
    <t>Сбор, удаление отходов и очистка сточных вод</t>
  </si>
  <si>
    <t>Охрана объектов растительного и животного мира и среды их обитания</t>
  </si>
  <si>
    <t>ОБРАЗОВАНИЕ</t>
  </si>
  <si>
    <t>Департамент финансов администрации ТМР</t>
  </si>
  <si>
    <t>Выполнение Читинской областью комплекса мероприятий по развитию транспортной и социальной инфраструктуры Читинской области и Агинского Бурятского автономного округа</t>
  </si>
  <si>
    <t>Федеральная целевая программа "Комплексные меры противодействия злоупотреблению наркотиками и их незаконному обороту на 2005 - 2009 годы"</t>
  </si>
  <si>
    <t>Федеральная целевая программа "Развитие российских космодромов на 2006 - 2015 годы"</t>
  </si>
  <si>
    <t>Покрытие дефицита бюджета Пенсионного фонда Российской Федерации</t>
  </si>
  <si>
    <t>Обеспечение государственного материального резерва</t>
  </si>
  <si>
    <t>Субсидии организациям ядерно-оружейного комплекса</t>
  </si>
  <si>
    <t>Субсидии на государственную поддержку общероссийских общественных организаций инвалидов</t>
  </si>
  <si>
    <t>Субсидии отдельным общественным организациям и иным некоммерческим объединениям</t>
  </si>
  <si>
    <t>Реформирование системы оплаты труда работников федеральных бюджетных учреждений</t>
  </si>
  <si>
    <t>Администрация городского поселения Тутаев</t>
  </si>
  <si>
    <t>МУ "Отдел строительства и капитального ремонта" ТМР</t>
  </si>
  <si>
    <t>Избирательная комиссия ТМР</t>
  </si>
  <si>
    <t>Субсидии организациям легкой и текстильной промышленности на возмещение части затрат на уплату процентов по кредитам, полученным в российских кредитных организациях в 2006 - 2011 годах, на осуществление технического перевооружения</t>
  </si>
  <si>
    <t>Пособия лицам, являвшимся сотрудниками милиции, получившим телесные повреждения, исключающие возможность дальнейшего прохождения службы, а также семьям и иждивенцам сотрудников милиции, погибших (умерших) в связи с осуществлением служебной деятельности</t>
  </si>
  <si>
    <t>Постановление Верховного Совета Российской Федерации от 23 декабря 1992 года № 4202-I "Об утверждении Положения о службе в органах внутренних дел Российской Федерации и текста Присяги сотрудника органов внутренних дел Российской Федерации"</t>
  </si>
  <si>
    <t>Пособия, выплаты и компенсации лицам, уволенным со службы в органах внутренних дел с правом на пенсию, а также членам их семей</t>
  </si>
  <si>
    <t>Федеральный закон от 21 июля 1997 года № 114-ФЗ "О службе в таможенных органах Российской Федерации"</t>
  </si>
  <si>
    <t>Пособия, выплаты и компенсации лицам, уволенным со службы в таможенных органах, а также членам их семей</t>
  </si>
  <si>
    <t>Федеральный закон от 21 декабря 1994 года № 69-ФЗ "О пожарной безопасности"</t>
  </si>
  <si>
    <t>Пособия лицам, досрочно уволенным из органов федеральной противопожарной службы, и членам семей погибших (умерших) сотрудников и работников федеральной противопожарной службы</t>
  </si>
  <si>
    <t>Федеральный закон "О прокуратуре Российской Федерации"</t>
  </si>
  <si>
    <t>Компенсации лицам, являвшимся прокурорами и следователями, утратившим возможность заниматься профессиональной деятельностью, и членам семей погибших (умерших) прокуроров и следователей</t>
  </si>
  <si>
    <t>Федеральный закон от 21 июля 1997 года № 118-ФЗ "О судебных приставах"</t>
  </si>
  <si>
    <t>Компенсации лицам, являвшимся судебными приставами, утратившим возможность заниматься профессиональной деятельностью, и нетрудоспособным членам семей погибших (умерших) судебных приставов</t>
  </si>
  <si>
    <t>Таможенный кодекс Российской Федерации</t>
  </si>
  <si>
    <t>Пособия гражданам, являвшимся должностными лицами таможенных органов, утратившим возможность заниматься профессиональной деятельностью, и членам семьи и иждивенцам должностного лица таможенных органов в случае его гибели в связи с исполнением служебных обязанностей</t>
  </si>
  <si>
    <t>Федеральный закон "О беженцах"</t>
  </si>
  <si>
    <t>Пособие лицам, ходатайствующим о признании их беженцами на территории Российской Федерации, и прибывшим с ними членам их семей</t>
  </si>
  <si>
    <t>Закон Российской Федерации от 19 февраля 1993 года № 4530-I "О вынужденных переселенцах"</t>
  </si>
  <si>
    <t>Пособие лицам, ходатайствующим о признании их вынужденными переселенцами, и прибывшим с ними членам их семей</t>
  </si>
  <si>
    <t>Указ Президента Российской Федерации от 30 мая 1994 года № 1110 "О размере компенсационных выплат отдельным категориям граждан"</t>
  </si>
  <si>
    <t>Компенсационные выплаты отдельным категориям граждан</t>
  </si>
  <si>
    <t>Указ Президента Российской Федерации от 30 октября 2009 года № 1225 "О дополнительных гарантиях и компенсациях работникам органов прокуратуры Российской Федерации, осуществляющим служебную деятельность на территории Северо-Кавказского региона Российской Федерации, и членам их семей"</t>
  </si>
  <si>
    <t>Пособие детям погибших (пропавших без вести) работников органов прокуратуры</t>
  </si>
  <si>
    <t>Указ Президента Российской Федерации от 29 октября 2009 года № 1219 "О дополнительных мерах по усилению социальной защиты детей военнослужащих и сотрудников некоторых федеральных органов исполнительной власти, погибших (умерших), пропавших без вести при исполнении обязанностей военной службы (служебных обязанностей)"</t>
  </si>
  <si>
    <t>Субсидии российским организациям сельскохозяйственного и тракторного машиностроения, лесопромышленного комплекса, машиностроения для нефтегазового комплекса и станкоинструментальной промышленности и предприятиям спецметаллургии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2008 - 2011 годах на техническое перевооружение на срок до 5 лет</t>
  </si>
  <si>
    <t>Закупка работ и услуг в целях обеспечения мероприятий в рамках государственного оборонного заказа</t>
  </si>
  <si>
    <t>Закупка товаров, работ и услуг для обеспечения специальным топливом и горюче-смазочными материалами, продовольственного и вещевого обеспечения органов в сфере национальной безопасности, правоохранительной деятельности и обороны</t>
  </si>
  <si>
    <t>Обеспечение специальным топливом и горюче-смазочными материалами в рамках государственного оборонного заказа</t>
  </si>
  <si>
    <t>Обеспечение специальным топливом и горюче-смазочными материалами вне рамок государственного оборонного заказа</t>
  </si>
  <si>
    <t>Закупка товаров, работ, услуг в целях формирования государственного материального резерва</t>
  </si>
  <si>
    <t>Иные закупки товаров, работ и услуг для государственных нужд</t>
  </si>
  <si>
    <t>Закупка товаров, работ, услуг в сфере информационно-коммуникационных технологий</t>
  </si>
  <si>
    <t xml:space="preserve">Закупка товаров, работ, услуг в целях капитального ремонта государственного имущества </t>
  </si>
  <si>
    <t>Прочая закупка товаров, работ и услуг для государственных нужд</t>
  </si>
  <si>
    <t>Социальное обеспечение и иные выплаты населению</t>
  </si>
  <si>
    <t>Публичные нормативные социальные выплаты гражданам</t>
  </si>
  <si>
    <t>Пенсии, выплачиваемые по пенсионному страхованию населения</t>
  </si>
  <si>
    <t>Пенсии, выплачиваемые организациями сектора государственного управления</t>
  </si>
  <si>
    <t>Пособия и компенсации по публичным нормативным обязательствам</t>
  </si>
  <si>
    <t>Меры социальной поддержки населения по публичным нормативным обязательствам</t>
  </si>
  <si>
    <t>Социальные выплаты гражданам, кроме публичных нормативных социальных выплат</t>
  </si>
  <si>
    <t>Пособия и компенсации гражданам и иные социальные выплаты, кроме публичных нормативных обязательств</t>
  </si>
  <si>
    <t>Субсидии гражданам на приобретение жилья</t>
  </si>
  <si>
    <t>Приобретение товаров, работ, услуг в пользу граждан</t>
  </si>
  <si>
    <t xml:space="preserve">Публичные нормативные выплаты гражданам несоциального характера </t>
  </si>
  <si>
    <t>Стипендии</t>
  </si>
  <si>
    <t>Премии и гранты</t>
  </si>
  <si>
    <t>Иные выплаты населению</t>
  </si>
  <si>
    <t>Бюджетные инвестиции в объекты государственной собственности федеральным государственным учреждениям</t>
  </si>
  <si>
    <t>Бюджетные инвестиции в объекты государственной собственности казенным учреждениям вне рамок государственного оборонного заказа</t>
  </si>
  <si>
    <t>Бюджетные инвестиции в объекты государственной собственности казенным учреждениям в рамках государственного оборонного заказа</t>
  </si>
  <si>
    <t>Субсидии российским организациям автомобилестроения, в том числе их дочерним организациям, на возмещение части затрат на уплату процентов по кредитам, полученным на реализацию инвестиционных и инновационных проектов и (или) выплату купонного дохода по облигациям, выпущенным для осуществления расходов инвестиционного характера, а также на возмещение части затрат на уплату процентов по кредитам, привлеченным в 2009 - 2010 годах и обеспеченным государственными гарантиями Российской Федерации</t>
  </si>
  <si>
    <t>Субсидии открытому акционерному обществу "Газпром" на покрытие разницы между ценой приобретения газа у оператора проекта "Сахалин-2" и ценой на газ, установленной на входе в газотранспортную систему "Сахалин - Хабаровск - Владивосток", в целях его поставки энергосбытовым организациям Дальневосточного региона</t>
  </si>
  <si>
    <t>Субсидии российским организациям транспортного машиностроения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а также в международных финансовых организациях, созданных в соответствии с международными договорами, в которых участвует Российская Федерация, в 2008 - 2011 годах на технологическое перевооружение</t>
  </si>
  <si>
    <t>Возмещение недополученных доходов открытому акционерному обществу "Росагролизинг" от реализации сельскохозяйственной техники, оборудования и автомобильной техники сельскохозяйственным товаропроизводителям</t>
  </si>
  <si>
    <t>Малое и среднее предпринимательство</t>
  </si>
  <si>
    <t>Субсидии на государственную поддержку малого и среднего предпринимательства, включая крестьянские (фермерские) хозяйства</t>
  </si>
  <si>
    <t>МЦП "Развитие жилищного строительства в ТМР ЯО на 2011 - 2015 гг" подпрограмма "Улучшения условий проживания отдельных категорий граждан, нуждающихся в социальной защите, проживающих на территории ТМР"</t>
  </si>
  <si>
    <t>Субсидии федеральным автономным учреждениям на иные цели</t>
  </si>
  <si>
    <t>Субсидии федеральным бюджетным учреждениям</t>
  </si>
  <si>
    <t>Субсидии федеральным бюджетным учреждениям на финансовое обеспечение выполнения государственного задания на оказание государственных услуг (выполнение работ)</t>
  </si>
  <si>
    <t>Субсидии федеральным бюджетным учреждениям на иные цели</t>
  </si>
  <si>
    <t>Бюджетные инвестиции федеральным государственным учреждениям</t>
  </si>
  <si>
    <t>Бюджетные инвестиции федеральным автономным учреждениям</t>
  </si>
  <si>
    <t>Бюджетные инвестиции федеральным бюджетным учреждениям</t>
  </si>
  <si>
    <t>Обеспечение мероприятий по защите российского морского судоходства и противодействия пиратству</t>
  </si>
  <si>
    <t>Обеспечение мероприятий по празднованию Победы советского народа в Великой Отечественной войне 1941-1945 годов</t>
  </si>
  <si>
    <t>Субсидии на совершенствование учебно-материальной базы Российской оборонной спортивно-технической организации – РОСТО (ДОСААФ) для подготовки граждан Российской Федерации, подлежащих призыву на военную службу, по военно-учетным специальностям</t>
  </si>
  <si>
    <t>Субсидии Общероссийской общественно-государственной организации "Добровольное общество содействия армии, авиации и флоту России"</t>
  </si>
  <si>
    <t>Промышленная утилизация и ликвидация вооружений и военной техники</t>
  </si>
  <si>
    <t>Обеспечение государственного запаса специального сырья и делящихся материалов</t>
  </si>
  <si>
    <t>ОЦП " Обеспечение территорий МО ЯО градостроительной документацией и ПЗЗ"</t>
  </si>
  <si>
    <t>Областная целевая программа "Государственная поддержка молодых семей Ярославской области в приобретении (строительстве) жилья"</t>
  </si>
  <si>
    <t>Программа "Обеспечение доступного дошкольного образования"</t>
  </si>
  <si>
    <t>Программа "Обеспечение доступного дошкольного образования" в части проведения ремонтных работ</t>
  </si>
  <si>
    <t>Областная комплексная целевая программа "Семья и дети Ярославии"</t>
  </si>
  <si>
    <t>Реализация подпрограмм "Семья", "Дети-сироты", Дети-инвалиды", "Одаренные дети"</t>
  </si>
  <si>
    <t>Подпрограмма "Ярославские каникулы" в части оздоровления и отдыха</t>
  </si>
  <si>
    <t>Подпрограмма "Ярославские каникулы" оплата стоимости наборов продуктов питания в лагерях с дневной формой пребывания</t>
  </si>
  <si>
    <t>Подпрограмма "Ярославские каникулы" профильные лагеря</t>
  </si>
  <si>
    <t>Субсидия на реализацию муниципальных программ  развития туризма и отдыха</t>
  </si>
  <si>
    <t xml:space="preserve">ОЦП "Развитие образования" </t>
  </si>
  <si>
    <t>ОЦП Развития субъектов малого и среднего предпринимательства ЯО</t>
  </si>
  <si>
    <t xml:space="preserve">ОЦП Развития субъектов малого и среднего предпринимательства ЯО в части создания бизнес-инкубаторов </t>
  </si>
  <si>
    <t>ОЦП Развития субъектов малого и среднего предпринимательства ЯО в части реализации МП развития субъектов малого и среднего предпринимательства</t>
  </si>
  <si>
    <t>ОЦП Развития субъектов малого и среднего предпринимательства ЯО в части реализации МП включенных в перечень монопрофильных муниципальных районов</t>
  </si>
  <si>
    <t>ОЦП"Патриотеческое воспитание граждан РФ"</t>
  </si>
  <si>
    <t>ОЦП "Развитие и совершенствование бытового обслуживания населения и торговли в Ярославской области" в части возмещения части затрат организациям любых форм собственности и индивидуальным предпринимателям, занимающихся доставкой товаров</t>
  </si>
  <si>
    <t>Областная целевая программа "Государственная поддержка граждан, проживающих на территории Ярославской области, в сфере ипотечного жилищного кредитования"</t>
  </si>
  <si>
    <t>Областная целевая программа "Профилактика правонарушений в Ярославской области"</t>
  </si>
  <si>
    <t>Программа"Энергоресурсосбережений"</t>
  </si>
  <si>
    <t>Программа "Энергоресурсосбережений"</t>
  </si>
  <si>
    <t>Предоставление платежей, взносов, безвозмездных перечислений субъектам международного права</t>
  </si>
  <si>
    <t>Безвозмездные перечисления субъектам международного права</t>
  </si>
  <si>
    <t xml:space="preserve"> 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</si>
  <si>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</si>
  <si>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Резервные средства</t>
  </si>
  <si>
    <t>Специальные расходы</t>
  </si>
  <si>
    <t>Бюджетные кредиты от других бюджетов бюджетной системы Российской Федерации</t>
  </si>
  <si>
    <t>Подпрограмма "Обеспечение земельных участков коммунальной инфраструктурой в целях жилищного строительства"</t>
  </si>
  <si>
    <t>Федеральная целевая программа "Экономическое и социальное развитие Дальнего Востока и Забайкалья на период до 2013 года"</t>
  </si>
  <si>
    <t xml:space="preserve"> Судебный департамент при верховном суде РФ</t>
  </si>
  <si>
    <t>Компенсация выпадающих доходов бюджету Пенсионного фонда Российской Федерации в связи с установлением пониженных тарифов страховых взносов на обязательное пенсионное страхование</t>
  </si>
  <si>
    <t>Компенсация выпадающих доходов бюджету Фонда социального страхования Российской Федерации в связи с установлением пониженных тарифов страховых взносов</t>
  </si>
  <si>
    <t>Компенсация выпадающих доходов бюджету Федерального фонда обязательного медицинского страхования в связи с установлением пониженных тарифов страховых взносов</t>
  </si>
  <si>
    <t xml:space="preserve">Возмещение расходов, связанных с обеспечением ведения специальной части индивидуальных лицевых счетов застрахованных лиц, добровольно вступивших в правоотношения по обязательному пенсионному страхованию в целях уплаты дополнительных страховых взносов на накопительную часть трудовой пенсии </t>
  </si>
  <si>
    <t>Возмещение организациям транспорта потерь в доходах в связи с транспортным обеспечением мероприятий в период празднования 65-й годовщины Победы в Великой Отечественной войне 1941 - 1945 годов</t>
  </si>
  <si>
    <t>Финансирование затрат на оплату услуг органов (организаций), с которыми Пенсионным фондом Российской Федерации заключены соглашения о взаимном удостоверении подписей, по приему и передаче в электронной форме в Пенсионный фонд Российской Федерации заявлений застрахованных лиц о добровольном вступлении в правоотношения по обязательному пенсионному страхованию в целях уплаты дополнительных страховых взносов на накопительную часть трудовой пенсии и копий платежных документов, подтверждающих уплату дополнительных страховых взносов на накопительную часть трудовой пенсии</t>
  </si>
  <si>
    <t>Создание комплексной системы обеспечения безопасности населения на транспорте</t>
  </si>
  <si>
    <t>Государственная поддержка отдельных некоммерческих организаций</t>
  </si>
  <si>
    <t>Реализация мероприятий по празднованию 50-летия полета в космос Ю.А. Гагарина</t>
  </si>
  <si>
    <t>Софинансирование мероприятий по рекультивации территории бывшего Открытого акционерного общества "Средне-Волжский завод химикатов" (г. Чапаевск)</t>
  </si>
  <si>
    <t>Инженерно-геологические и инженерно-экологические изыскания и разработка проектно-сметной документации рекультивации территории бывшего Открытого акционерного общества "Средне-Волжский завод химикатов" (г. Чапаевск)</t>
  </si>
  <si>
    <t>Реализация мероприятий, связанных с созданием и обеспечением функционирования инновационного центра "Сколково"</t>
  </si>
  <si>
    <t>Субсидии некоммерческой организации "Фонд развития Центра разработки и коммерциализации новых технологий"</t>
  </si>
  <si>
    <t>Субсидии некоммерческой организации "Фонд развития Центра разработки и коммерциализации новых технологий" на компенсацию затрат участников проекта создания инновационного центра "Сколково" по уплате таможенных платежей</t>
  </si>
  <si>
    <t>Региональные программы модернизации здравоохранения субъектов Российской Федерации и программы модернизации федеральных государственных учреждений, оказывающих медицинскую помощь</t>
  </si>
  <si>
    <t>Программа энергосбережения и повышения энергетической эффективности на период до 2020 года</t>
  </si>
  <si>
    <t>Мероприятия, направленные на развитие федеральных автономных учреждений</t>
  </si>
  <si>
    <t>Процентные платежи по долговым обязательствам</t>
  </si>
  <si>
    <t>Фонд социального страхования РФ</t>
  </si>
  <si>
    <t>Приобретение жилья гражданами, выезжающими из районов Крайнего Севера и приравненных к ним местностей</t>
  </si>
  <si>
    <t>Проведение выборов в представительные органы муниципального образования</t>
  </si>
  <si>
    <t>Предоставление гражданам субсидий на оплату жилого помещения и коммунальных услуг</t>
  </si>
  <si>
    <t>Подпрограмма "Модернизация объектов коммунальной инфраструктуры"</t>
  </si>
  <si>
    <t>Обеспечение имеющих специальные звания сотрудников федеральных органов исполнительной власти, в которых предусмотрена служба, приравниваемая к военной, служебным и постоянным жильем</t>
  </si>
  <si>
    <t>МУЗ Тутаевская городская больница</t>
  </si>
  <si>
    <t>Школы-интернаты</t>
  </si>
  <si>
    <t>Администрация Чебаковского сельского поселения</t>
  </si>
  <si>
    <t>Субсидии на предоставление грантов Правительства Российской Федерации, выделяемых для государственной поддержки научных исследований, проводимых под руководством ведущих ученых в российских образовательных учреждениях высшего профессионального образования</t>
  </si>
  <si>
    <t>Проведение мероприятий для детей и молодежи в части реализ.ведомст.целевой программы "Патриотическое воспитание молодежи Я,О"</t>
  </si>
  <si>
    <t>Оздоровление детей в трудной жизненной ситуации</t>
  </si>
  <si>
    <t>Дистанционное образование детей-инвалидов</t>
  </si>
  <si>
    <t>Проведение противоаварийных мероприятий в зданиях государственных и муниципальных общеобразовательных учреждений</t>
  </si>
  <si>
    <t>Развитие сети национальных исследовательских университетов</t>
  </si>
  <si>
    <t>Организационно-аналитическое сопровождение мероприятий приоритетного национального проекта "Образование"</t>
  </si>
  <si>
    <t>Подготовка управленческих кадров для организаций народного хозяйства Российской Федерации</t>
  </si>
  <si>
    <t>Государственная поддержка развития инновационной инфраструктуры образовательных учреждений</t>
  </si>
  <si>
    <t>Субсидии авиационным предприятиям и организациям экспериментальной авиации на возмещение затрат при осуществлении ими поисково-спасательных операций (работ) и участии в их обеспечении</t>
  </si>
  <si>
    <t>Мероприятия по модернизации аэропортового комплекса Минеральные Воды</t>
  </si>
  <si>
    <t>Субсидии на функционирование координационного центра Россия-НАТО</t>
  </si>
  <si>
    <t>Субсидии на возмещение затрат за аэронавигационное обслуживание полетов в интересах Российской Федерации</t>
  </si>
  <si>
    <t>Обеспечение доступности воздушных перевозок пассажиров с Дальнего Востока в европейскую часть страны и в обратном направлении</t>
  </si>
  <si>
    <t>Субсидии авиационным перевозчикам для возмещения недополученных ими доходов в связи с обеспечением перевозки пассажиров, заключивших договор воздушной перевозки с авиационным перевозчиком, в отношении которого принято решение о приостановлении действия сертификата эксплуатанта</t>
  </si>
  <si>
    <t>Субсидии федеральным казенным предприятиям, расположенным в районах Крайнего Севера и приравненных к ним местностях</t>
  </si>
  <si>
    <t>Субвенции бюджетам муниципальных районов на выполнение переданных полномочий на государственную регистрацию актов гражданского состояния</t>
  </si>
  <si>
    <t>2 02 03024 05 0000 151</t>
  </si>
  <si>
    <t>Субвенции бюджетам муниципальных районов на выполнение передаваемых полномочий субъектов Российской Федерации</t>
  </si>
  <si>
    <t>952 Департамент муниципального имущества  Администрации Тутаевского муниципального района</t>
  </si>
  <si>
    <t xml:space="preserve">1 11 01050 05 0000 120 </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</si>
  <si>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</si>
  <si>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</si>
  <si>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1 11 05025 05 0000 120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</si>
  <si>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</si>
  <si>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</si>
  <si>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учреждений(за исключением имущества муниципальных бюджетных и автономных учреждений)</t>
  </si>
  <si>
    <t>1 11 09045 05 0000 120</t>
  </si>
  <si>
    <t xml:space="preserve">Субсидии российским транспортным компаниям на возмещение части затрат на уплату процентов по кредитам, полученным в российских кредитных организациях в 2009 году и используемым на приобретение нового железнодорожного подвижного состава российского производства, а также уплату лизинговых платежей по договорам лизинга, заключенным в 2009 году с российскими лизинговыми компаниями на приобретение нового железнодорожного подвижного состава российского производства </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</si>
  <si>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</si>
  <si>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1 14 04050 05 0000 420</t>
  </si>
  <si>
    <t>Доходы от продажи нематериальных активов, находящихся в собственности муниципальных районов</t>
  </si>
  <si>
    <t>Доходы от продажи земельных участков, государственная собственность на которые не разграничена и которые расположены в границах поселений</t>
  </si>
  <si>
    <t>1 14 06025 05 0000 430</t>
  </si>
  <si>
    <t>Субсидия на финансирование убытков предприятий ЖКХ в результате предоставления ЖКУ населению городского пос Тутаев</t>
  </si>
  <si>
    <t>Субсидия на реализацию ЦМП "Соц развитие ТМР на период 2007 - 2010 гг."</t>
  </si>
  <si>
    <t>Иные межбюджетные трансферты бюджетам бюджетной системы</t>
  </si>
  <si>
    <t>Областная целевая программа "Развитие сельского хозяйства, пищевой и перерабатывающей промышленности ЯО"</t>
  </si>
  <si>
    <t>Обеспечение мероприятий по капитальному ремонту многоквартирных домов и переселение граждан из аварийного жилищного фонда</t>
  </si>
  <si>
    <t>Обеспечение мероприятий по капитальному ремонту многоквартирных домов за счет средств местных бюджетов в части жилых и нежилых помещений находящихся в муниципальной собственности</t>
  </si>
  <si>
    <t>Субсидии государственным корпорациям</t>
  </si>
  <si>
    <t xml:space="preserve">Субсидии Государственной корпорации </t>
  </si>
  <si>
    <t>по атомной энергии «Росатом»</t>
  </si>
  <si>
    <t>Субсидии Государственной корпорации по атомной энергии «Росатом» на выполнение возложенных на неё государственных полномочий</t>
  </si>
  <si>
    <t>Субсидии Государственной корпорации по атомной энергии "Росатом" в рамках технической защиты информации</t>
  </si>
  <si>
    <t>Имущественный взнос в Государственную корпорацию по атомной энергии "Росатом" на развитие атомного энергопромышленного комплекса</t>
  </si>
  <si>
    <t>Имущественный взнос на приобретение акций открытого акционерного общества "Атомредметзолото"</t>
  </si>
  <si>
    <t>Дополнительное ежемесячное материальное обеспечение некоторым категориям граждан Российской Федерации в связи с 60-летием Победы в Великой Отечественной войне 1941-1945 годов</t>
  </si>
  <si>
    <t>Указ Президента Российской Федерации от 1 августа 2005 года № 887 "О мерах по улучшению материального положения инвалидов вследствие военной травмы"</t>
  </si>
  <si>
    <t>Указ Президента Российской Федерации от 28 августа 2003 года № 995 "О дополнительном ежемесячном материальном обеспечении лиц, замещавших должности первых заместителей и заместителей министров Союза ССР и РСФСР, первых заместителей и заместителей председателей государственных комитетов Союза ССР и РСФСР, заместителей управляющих делами Советов Министров Союза ССР и РСФСР и заместителей председателей комитетов народного контроля Союза ССР и РСФСР"</t>
  </si>
  <si>
    <t>Закон Российской Федерации от 28 июня 1991 года № 1499-I «О медицинском страховании граждан в Российской Федерации»</t>
  </si>
  <si>
    <t>Единовременное пособие беременной жене военнослужащего, проходящего военную службу по призыву, а также ежемесячное пособие на ребенка военнослужащего, проходящего военную службу по призыву</t>
  </si>
  <si>
    <t>Субсидии государственной корпорации "Банк развития и внешнеэкономической деятельности (Внешэкономбанк)"</t>
  </si>
  <si>
    <t>Имущественный взнос в государственную корпорацию "Банк развития и внешнеэкономической деятельности (Внешэкономбанк)" на формирование фонда прямых инвестиций</t>
  </si>
  <si>
    <t>Субсидии Государственной корпорации по содействию разработке, производству и экспорту высокотехнологичной промышленной продукции "Ростехнологии"</t>
  </si>
  <si>
    <t>Имущественный взнос в Государственную корпорацию по содействию разработке, производству и экспорту высокотехнологичной промышленной продукции "Ростехнологии" для урегулирования обязательств по процентам по кредитам и кредитным линиям, привлеченным для обеспечения возможности консолидации акций открытого акционерного общества "Корпорация ВСМПО-АВИСМА"</t>
  </si>
  <si>
    <t xml:space="preserve">Имущественный взнос Российской Федерации в Государственную корпорацию по содействию разработке, производству и экспорту высокотехнологичной промышленной продукции "Ростехнологии" для оказания финансовой поддержки открытому акционерному обществу "АВТОВАЗ" путем предоставления беспроцентного займа </t>
  </si>
  <si>
    <t>Мероприятия в области информационно-коммуникационных и телекоммуникационных технологий для подготовки и проведения ХХVII Всемирной летней Универсиады 2013 г. в г. Казани</t>
  </si>
  <si>
    <t>Сельское хозяйство и рыболовство</t>
  </si>
  <si>
    <t>Транспорт</t>
  </si>
  <si>
    <t>Федеральная целевая программа "Создание и развитие системы мониторинга геофизической обстановки над территорией Российской Федерации на 2008-2015 годы"</t>
  </si>
  <si>
    <t>Выплаты независимым экспертам</t>
  </si>
  <si>
    <t>Комитет по земельным ресурсам и землеустройству области</t>
  </si>
  <si>
    <t>Федеральная служба по ветеринарному и фитосанитарному надзору</t>
  </si>
  <si>
    <t>Прикладные научные исследования в области охраны окружающей среды</t>
  </si>
  <si>
    <t>Начальное профессиональное образование</t>
  </si>
  <si>
    <t>Развитие сети национальных университетов и других образовательных учреждений</t>
  </si>
  <si>
    <t xml:space="preserve">Субсидии открытому акционерному обществу ""Научно-производственное объединение ""Сатурн"" (г. Рыбинск, Ярославская область) на поддержку производства в связи с обеспечением работ по изготовлению специальной продукции </t>
  </si>
  <si>
    <t>Субсидии федеральному государственному унитарному предприятию "Уфимское агрегатное предприятие "Гидравлика" на поддержку производства в связи с обеспечением работ по изготовлению специальной продукции</t>
  </si>
  <si>
    <t>Мероприятия по реализации проектов Комиссии при Президенте Российской Федерации по модернизации и технологическому развитию экономики России</t>
  </si>
  <si>
    <t xml:space="preserve">Реализация мероприятий по завершению работ по созданию специальной техники в интересах национальной обороны </t>
  </si>
  <si>
    <t>Субсидии на возмещение потерь в доходах торговых организаций при продаже новых автотранспортных средств со скидкой физическим лицам, сдавшим вышедшее из эксплуатации автотранспортное средство на утилизацию</t>
  </si>
  <si>
    <t>Организация проведения эксперимента по стимулированию приобретения новых автотранспортных средств взамен вышедших из эксплуатации и сдаваемых на утилизацию автотранспортных средств</t>
  </si>
  <si>
    <t>Возмещение затрат торговых организаций, возникших при перевозке на пункты утилизации вышедших из эксплуатации автотранспортных средств</t>
  </si>
  <si>
    <t>Субсидии открытому акционерному обществу "РОСНАНО" на возмещение расходов по оплате целевого взноса на строительство установки Европейского рентгеновского лазера на свободных электронах</t>
  </si>
  <si>
    <t>Субсидии российским организациям - экспортерам промышленной продукции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2005 - 2013 годах</t>
  </si>
  <si>
    <t>Субсидии организациям топливно-энергетического комплекса на возмещение части затрат на уплату процентов по кредитам, полученным в российских кредитных организациях в 2010 – 2011 годах, на осуществление сезонных заготовок топлива на электростанциях, включая атомные, закачку газа в подземные хранилища, проведение мероприятий по текущему ремонту энергооборудования, а также по обеспечению населения топливом</t>
  </si>
  <si>
    <t>Субсидии организациям легкой и текстильной промышленности на возмещение части затрат на уплату процентов по кредитам, полученным в российских кредитных организациях в 2010 – 2011 годах, на осуществление сезонных закупок сырья и материалов для производства товаров народного потребления и продукции производственно-технического назначения</t>
  </si>
  <si>
    <t>Приобретение жилья гражданами, уволенными с военной службы, проживающими совместно с членами их семей в Мурманской и Архангельской областях и не вставшими до 1 января 2005 года на учет в качестве нуждающихся в жилых помещениях в органах местного самоуправления по избранному месту постоянного жительства</t>
  </si>
  <si>
    <t>Федеральный закон от 27 мая 1998 года № 76-ФЗ "О статусе военнослужащих"</t>
  </si>
  <si>
    <t>Пособия, выплаты и компенсации членам семей военнослужащих, а также лицам, уволенным с военной службы без права на пенсию</t>
  </si>
  <si>
    <t>Пособия, выплаты и компенсации лицам, уволенным с военной службы с правом на пенсию, а также членам их семей</t>
  </si>
  <si>
    <t>Закон Российской Федерации от 18 апреля 1991 года № 1026-I "О милиции"</t>
  </si>
  <si>
    <t>Федеральная программа 'Реформирование государственной службы Российской Федерации (2003 – 2005 годы)'</t>
  </si>
  <si>
    <t>Федеральная целевая программа "Развитие уголовно-исполнительной системы (2007 - 2016 годы)"</t>
  </si>
  <si>
    <t>Подпрограмма 'Строительство и реконструкция следственных изоляторов и тюрем, а также строительство жилья для персонала указанных учреждений на 2002 – 2006 годы'</t>
  </si>
  <si>
    <t>Подпрограмма 'Создание Единой государственной автоматизированной системы контроля радиационной обстановки на территории Российской Федерации'</t>
  </si>
  <si>
    <t>Подпрограмма 'Снижение уровня облучения населения и техногенного загрязнения окружающей среды природными радионуклидами'</t>
  </si>
  <si>
    <t>Подпрограмма 'Организация единой государственной системы  контроля и учета индивидуальных доз облучения граждан и состояние здоровья групп риска населения, подверженных повышенным уровням радиационного воздействия'</t>
  </si>
  <si>
    <t>Подпрограмма 'Организация системы медицинского обслуживания и охраны труда работников, подверженных облучению на производстве'</t>
  </si>
  <si>
    <t>Подпрограмма 'Организация системы медицинского  обслуживания лиц из групп риска населения, подверженных повышенным уровням радиационного воздействия'</t>
  </si>
  <si>
    <t>Подпрограмма 'Оказание специализированной медицинской     помощи при ликвидации последствий радиационных аварий'</t>
  </si>
  <si>
    <t>Подпрограмма 'Средства и методы исследований и анализа воздействия ядерно- и радиационно-опасных объектов на природную среду и человека'</t>
  </si>
  <si>
    <t>Подпрограмма 'Методы анализа и обоснования безопасности ядерно- и радиационно-опасных объектов'</t>
  </si>
  <si>
    <t>Подпрограмма 'Стратегия обеспечения ядерной и радиационной безопасности России'</t>
  </si>
  <si>
    <t>Подпрограмма 'Разработка федеральных норм и правил по ядерной безопасности и радиационной безопасности (технические аспекты)'</t>
  </si>
  <si>
    <t>Подпрограмма 'Разработка федеральных норм и правил по радиационной безопасности (санитарно-гигиенические аспекты)'</t>
  </si>
  <si>
    <t>Федеральная целевая программа 'Повышение плодородия почв России на 2002 - 2005 годы'</t>
  </si>
  <si>
    <t>Федеральная целевая программа 'Международный термоядерный реактор ИТЭР' на 2002 - 2005 годы</t>
  </si>
  <si>
    <t>Федеральная целевая программа "Создание автоматизированной системы ведения государственного земельного кадастра и государственного учета объектов недвижимости (2002 - 2008 годы)"</t>
  </si>
  <si>
    <t>Подпрограмма "Создание системы кадастра недвижимости (2006 - 2012 годы)"</t>
  </si>
  <si>
    <t>Расходы  общепрограммного  характера  по  федеральной  целевой программе "Создание автоматизированной системы ведения государственного земельного кадастра и государственного учета объектов недвижимости (2002 - 2007 годы)"</t>
  </si>
  <si>
    <t>Подпрограмма "Развитие электронной компонентной базы" на 2007 - 2011 годы</t>
  </si>
  <si>
    <t>Осуществление капитального ремонта гидротехнических сооружений, находящихся в собственности субъектов Российской Федерации, муниципальной собственности, и бесхозяйных гидротехнических сооружений</t>
  </si>
  <si>
    <t>Утилизация и ликвидация вооружений</t>
  </si>
  <si>
    <t>Безвозмездные поступления</t>
  </si>
  <si>
    <t>Дома-интернаты для престарелых и инвалидов</t>
  </si>
  <si>
    <t>Учреждения по обучению инвалидов</t>
  </si>
  <si>
    <t>Поддержка туристической деятельности</t>
  </si>
  <si>
    <t>Реализация государственных функций в области социальной политики</t>
  </si>
  <si>
    <t>Содержание и обеспечение деятельности учреждения, обеспечивающего функционирование системы весового контроля автотранспортных средств</t>
  </si>
  <si>
    <t>Субсидии федеральным государственным унитарным предприятиям, находящимся в ведении Управления делами Президента Российской Федерации</t>
  </si>
  <si>
    <t>Строительство объектов за пределами территории Российской Федерации</t>
  </si>
  <si>
    <t>Подпрограмма "Артериальная гипертония"</t>
  </si>
  <si>
    <t>Государственный комитет РФ по рыболовству</t>
  </si>
  <si>
    <t>Министерство РФ по связи и информатизации</t>
  </si>
  <si>
    <t>Обеспечение граждан квалифицированной юридической помощью по назначению органов дознания, органов предварительного следствия, прокурора</t>
  </si>
  <si>
    <t>Указ Президента Российской Федерации от 21 июня 2004 года № 785 "О совершенствовании системы государственного премирования за достижения в области науки и техники, образования и культуры"</t>
  </si>
  <si>
    <t>Государственные премии Российской Федерации в области науки и техники, образования и культуры</t>
  </si>
  <si>
    <t>Субсидии российским организациям автомобилестроения и транспортного машиностроения на возмещение части затрат на уплату процентов по кредитам, полученным в 2008 - 2009 годах в российских кредитных организациях, а также в международных финансовых организациях, созданных в соответствии с международными договорами, в которых участвует Российская Федерация, направленным на технологическое перевооружение</t>
  </si>
  <si>
    <t>Субсидии на возмещение части затрат на уплату процентов по кредитам, полученным организациями лесопромышленного комплекса в российских кредитных организациях в 2010 - 2011 годах на создание межсезонных запасов древесины, сырья и топлива</t>
  </si>
  <si>
    <t xml:space="preserve">Субсидии российским лизинговым компаниям на возмещение части затрат на уплату процентов по кредитам, полученным в российских кредитных организациях в 2009 году на срок не более 5 лет для приобретения автотранспортных средств российского производства с последующей передачей их в лизинг </t>
  </si>
  <si>
    <t>Субсидии организациям оборонно-промышленного комплекса - головным исполнителям (исполнителям) государственного оборонного заказа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t>
  </si>
  <si>
    <t>МЦП "Ликвидация последствий аварии на битумной установке, расположенной в урочище Марфино ТМР"</t>
  </si>
  <si>
    <t>МП"Повышение безопасности дорожного движения на территории ТМР на 2010-2012 годы"</t>
  </si>
  <si>
    <t>Условно утвержденные расходы</t>
  </si>
  <si>
    <t>Возмещение расходов по выплате трудовых пенсий в связи с зачетом в страховой стаж не страховых периодов</t>
  </si>
  <si>
    <t>Федеральная целевая программа "Сохранение и восстановление плодородия почв земель сельскохозяйственного назначения и агроландшафтов как национального достояния России на 2006 - 2012 годы на период до 2013 года"</t>
  </si>
  <si>
    <t>Бюджетные инвестиции в объекты кап. строительства собственности муниципальных образований на переселение граждан из ветхого и аварийного жил. фонда</t>
  </si>
  <si>
    <t>Субсидии коммерческим банкам на возмещение затрат и недополученных доходов по сделкам кредитования авиакомпаний в части, не компенсируемой доходами от продажи имущества, предоставленного по договору залога в обеспечение кредита</t>
  </si>
  <si>
    <t>Оздоровление детей погибших сотрудников правоохр.органов и военнослужащих</t>
  </si>
  <si>
    <t>Подпрограмма  "Отдых, оздоровление и занятость детей"</t>
  </si>
  <si>
    <t>Подпрограмма "Ярославские каникулы" победители ежегодного конкурса соц. знач. проектов сфере организации отдыха</t>
  </si>
  <si>
    <t>ОЦП "Модернизация объектов коммунальной инфраструктуры в ЯО на 2008-2010гг" в части мероприятий по газификации,теплоснабжению,водоснабжению и водоотведению</t>
  </si>
  <si>
    <t>МП "Поддержка садоводческих, огороднических и дачных некоммерческих объединений на территории ТМР на 2009 - 2011 годы"</t>
  </si>
  <si>
    <t>Меры государственной защиты потерпевших, свидетелей и иных участников уголовного судопроизводства</t>
  </si>
  <si>
    <t>Субсидии федеральным автономным учреждениям, созданным на базе имущества, находящегося в федеральной собственности</t>
  </si>
  <si>
    <t>Субсидии федеральному автономному учреждению "25 Государственный научно-исследовательский институт химмотологии Министерства обороны Российской Федерации"</t>
  </si>
  <si>
    <t>Субсидии федеральным автономным учреждениям на финансовое обеспечение выполнения государственного задания на оказание государственных услуг (выполнение работ)</t>
  </si>
  <si>
    <t>Федеральная целевая программа "Научные и научно-педагогические кадры инновационной России" на 2009 - 2013 годы</t>
  </si>
  <si>
    <t>Федеральная целевая программа "Повышение эффективности использования и развитие ресурсного потенциала рыбохозяйственного комплекса в 2009 - 2014 годах"</t>
  </si>
  <si>
    <t>Федеральная целевая программа "Разработка, восстановление и организация производства стратегических дефицитных и импортозамещающих материалов и малотоннажной химии для вооружения, военной и специальной техники на 2009 - 2011 годы и на период до 2015 года"</t>
  </si>
  <si>
    <t>Федеральная целевая программа "Совершенствование системы комплектования должностей сержантов и солдат военнослужащими, переведенными на военную службу по контракту, и осуществление перехода к комплектованию должностей сержантов (старшин) Вооруженных Сил Российской Федерации, других войск, воинских формирований и органов, а также матросов плавсостава Военно-Морского Флота военнослужащими, проходящими военную службу по контракту (2009 - 2015 годы)"</t>
  </si>
  <si>
    <t>Федеральная целевая программа "Развитие транспортной системы России (2010 - 2015 годы)"</t>
  </si>
  <si>
    <t>Подпрограмма "Развитие экспорта транспортных услуг"</t>
  </si>
  <si>
    <t>Подпрограмма "Внутренний водный транспорт"</t>
  </si>
  <si>
    <t>Расходы общепрограммного характера по федеральной целевой программе "Развитие транспортной системы России (2010 - 2015 годы)"</t>
  </si>
  <si>
    <t>Федеральная целевая программа "Повышение устойчивости жилых домов, основных объектов и систем жизнеобеспечения в сейсмических районах Российской Федерации на 2009 - 2014 годы"</t>
  </si>
  <si>
    <t>Федеральная целевая программа "Ядерные энерготехнологии нового поколения на период 2010 - 2015 годов и на перспективу до 2020 года"</t>
  </si>
  <si>
    <t>Федеральная целевая программа "Развитие телерадиовещания в Российской Федерации на 2009 - 2015 годы"</t>
  </si>
  <si>
    <t>Федеральная целевая программа "Социально-экономическое развитие Республики Ингушетия на 2010 - 2016 годы"</t>
  </si>
  <si>
    <t>01 05 02 01 05 0000 510</t>
  </si>
  <si>
    <t>01 05 02 01 05 0000 610</t>
  </si>
  <si>
    <t>2 02 01001 05 0000 151</t>
  </si>
  <si>
    <t xml:space="preserve">Дотации бюджетам муниципальным  на выравнивание бюджетной обеспеченности </t>
  </si>
  <si>
    <t>2 02 01003 05 0000 151</t>
  </si>
  <si>
    <t>Дотации бюджетам муниципальных районов на поддержку мер по обеспечению сбалансированности бюджетов</t>
  </si>
  <si>
    <t xml:space="preserve">2 02 02009 05 0000 151 </t>
  </si>
  <si>
    <t>2 02 03015 05 0000 151</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</si>
  <si>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</si>
  <si>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бюджетам муниципальных районов на выполнение переданных полномочий субъектов Российской Федерации</t>
  </si>
  <si>
    <t>Ежемесячное пособие детям отдельных категорий военнослужащих и сотрудников некоторых федеральных органов исполнительной власти, погибших (умерших), пропавших без вести при исполнении обязанностей военной службы (служебных обязанностей)</t>
  </si>
  <si>
    <t>Указ Президента Российской Федерации от 5 июня 2003 года № 613 "О правоохранительной службе в органах по контролю за оборотом наркотических средств и психотропных веществ"</t>
  </si>
  <si>
    <t>Ежемесячные социальные пособия лицам, уволенным из органов по контролю за оборотом наркотических средств и психотропных веществ без права на пенсию</t>
  </si>
  <si>
    <t>Организация продажи арестованного имущества, а также распоряжения имуществом, обращенным в собственность государства, и иным изъятым имуществом, в том числе вещественными доказательствами</t>
  </si>
  <si>
    <t>Субсидии благотворительному фонду по восстановлению Воскресенского Ново-Иерусалимского ставропигиального мужского монастыря Русской Православной Церкви на воссоздание исторического облика монастыря</t>
  </si>
  <si>
    <t>Мероприятия по реализации комплексного проекта "Культурное наследие - остров-град Свияжск и древний Болгар"</t>
  </si>
  <si>
    <t>Оснащение общедоступных библиотек субъектов Российской Федерации, входящих в состав Северо-Кавказского Федерального округа, литературой и компьютерами с выходом в Интернет</t>
  </si>
  <si>
    <t>Подключение общедоступных библиотек Российской Федерации к сети Интернет</t>
  </si>
  <si>
    <t>Средства массовой информации</t>
  </si>
  <si>
    <t>Мероприятия в сфере средств массовой информации</t>
  </si>
  <si>
    <t>Государственная поддержка в сфере средств массовой информации</t>
  </si>
  <si>
    <t>Мероприятия в сфере культуры, кинематографии и средств массовой информации</t>
  </si>
  <si>
    <t>Субсидии Благотворительному фонду по восстановлению Воскресенского Ново-Иерусалимского ставропигиального мужского монастыря Русской Православной Церкви на воссоздание исторического облика монастыря</t>
  </si>
  <si>
    <t>Субсидии автономной некоммерческой организации "ТВ-Новости" на создание и вещание телевизионных каналов на английском, арабском и испанском языках, покрытие расходов, связанных с производством программного продукта, наполнением им телеэфира и с обеспечением мероприятий по доведению его до телезрителей, с продвижением телеканалов на российском и международном рынках телевизионных услуг, а также расходов на обеспечение международной деятельности и содержание корреспондентских пунктов</t>
  </si>
  <si>
    <t>Субсидии открытому акционерному обществу "Единая телерадиовещательная система Вооруженных Сил Российской Федерации "ЗВЕЗДА"</t>
  </si>
  <si>
    <t>Субсидии федеральному государственному унитарному предприятию «Телевизионный технический центр «Останкино» на проведение капитального ремонта инженерного оборудования и техническое перевооружение производственно - технологического оборудования</t>
  </si>
  <si>
    <t>Субсидии открытому акционерному обществу "Первый канал", открытому акционерному обществу "Телекомпания НТВ" и открытому акционерному обществу "Телерадиокомпания "Петербург" на оплату предоставленных федеральным государственным унитарным предприятием "Российская телевизионная и радиовещательная сеть" услуг по распространению и трансляции их программ в населенных пунктах с численностью населения менее 100 тысяч человек</t>
  </si>
  <si>
    <t>Субсидии федеральному государственному унитарному предприятию "Российская телевизионная и радиовещательная сеть"</t>
  </si>
  <si>
    <t>Субсидии автономной некоммерческой организации "Спортивное вещание" на освещение мероприятий, связанных с подготовкой и проведением XXVII Всемирной летней Универсиады 2013 г. в г. Казани</t>
  </si>
  <si>
    <t>Субсидии автономной некоммерческой организации «Редакция журнала «Российская Федерация сегодня», автономной некоммерческой организации «Парламентская газета</t>
  </si>
  <si>
    <t>Реализация комплексных программ поддержки развития дошкольных образовательных учреждений в субъектах Российской Федерации</t>
  </si>
  <si>
    <t>Школы - детские сады, школы начальные, неполные средние и средние</t>
  </si>
  <si>
    <t>Субсидии на возмещение части затрат по невозвращенным кредитам</t>
  </si>
  <si>
    <t>Субсидии на возмещение части затрат на уплату процентов по кредитам, предоставляемым студентам образовательных учреждений высшего профессионального образования в рамках эксперимента по государственной поддержке предоставления образовательных кредитов</t>
  </si>
  <si>
    <t>Субсидии на государственную поддержку развития кооперации российских образовательных учреждений высшего профессионального образования</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</si>
  <si>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</si>
  <si>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2 18 05030 05 0000 180</t>
  </si>
  <si>
    <t xml:space="preserve">Доходы бюджетов муниципальных районов от возврата иными организациями остатков субсидий прошлых лет </t>
  </si>
  <si>
    <t>Содержание пунктов пропуска через государственную границу Российской Федерации</t>
  </si>
  <si>
    <t>Дополнительное пенсионное обеспечение (негосударственные пенсии) работников организаций по добыче (переработке) угля (горючих сланцев), подразделений военизированных аварийно-спасательных частей и шахтостроительных организаций в соответствии с Федеральным законом от 20 июня 1996 года № 81-ФЗ «О государственном регулировании в области добычи и использования угля, об особенностях социальной защиты работников организаций угольной промышленности</t>
  </si>
  <si>
    <t>Мероприятия по обеспечению функционирования и эксплуатации объектов наземной космической инфраструктуры в интересах государственных нужд</t>
  </si>
  <si>
    <t>Закупки специальной космической техники, организация запусков и управление полетами космических аппаратов</t>
  </si>
  <si>
    <t>Учреждения, обеспечивающие предоставление услуг, связанных с реструктуризацией угольной отрасли</t>
  </si>
  <si>
    <t>Повышение правовой грамотности и законопослушания населения России</t>
  </si>
  <si>
    <t>Издание за счет грантовых программ юридической литературы по правовому информированию населения и пропаганде правовых знаний</t>
  </si>
  <si>
    <t>Субсидии на возмещение части затрат на уплату процентов по кредитам, полученным на срок до пяти лет в российских кредитных организациях на приобретение племенного скота, племенного материала рыб, техники и оборудования для животноводческих комплексов и организаций, осуществляющих промышленное рыбоводство</t>
  </si>
  <si>
    <t>Субсидии на возмещение части затрат на уплату процентов организациям, осуществляющим промышленное рыбоводство, независимо от их организационно-правовых форм по инвестиционным кредитам, полученным в российских кредитных организациях в 2007-2011 годах на приобретение племенного материала рыб, техники и оборудования для промышленного рыбоводства на срок до пяти лет, на строительство, реконструкцию и модернизацию комплексов (ферм) по осуществлению промышленного рыбоводства на срок до восьми лет</t>
  </si>
  <si>
    <t>Возмещение части затрат крестьянских (фермерских) хозяйств, включая индивидуальных предпринимателей, при оформлении в собственность используемых ими земельных участков из земель сельскохозяйственного назначения</t>
  </si>
  <si>
    <t>Учреждения, обеспечивающие предоставление услуг в области сельского хозяйства, охраны и использования объектов животного мира</t>
  </si>
  <si>
    <t>Субсидии на проведение закупочных и товарных интервенций сельскохозяйственной продукции, а также залоговых операций</t>
  </si>
  <si>
    <t>Охрана и использование охотничьих ресурсов</t>
  </si>
  <si>
    <t>Охрана и использование объектов животного мира (за исключением охотничьих ресурсов и водных биологических ресурсов)</t>
  </si>
  <si>
    <t>Учреждения, обеспечивающие предоставление услуг в области охраны сельских лесов, и лесные опытные хозяйства</t>
  </si>
  <si>
    <t>Учреждения, обеспечивающие предоставление услуг по информационно-методологическому обеспечению в области сельского хозяйства</t>
  </si>
  <si>
    <t>Государственная программа развития сельского хозяйства и регулирования рынков сельскохозяйственной продукции, сырья и продовольствия на 2008 - 2012 годы</t>
  </si>
  <si>
    <t>Мероприятия, осуществляемые в рамках Государственной программы развития сельского хозяйства и регулирования рынков сельскохозяйственной продукции, сырья и продовольствия на 2008 - 2012 годы</t>
  </si>
  <si>
    <t>Субсидия на реализацию программ развития муниципальной службы муниципальных образований ЯО.</t>
  </si>
  <si>
    <t>ОЦП "Обеспечение муниципальных районов документацией территориального планирования"</t>
  </si>
  <si>
    <t>Субсидия на реализацию ОЦП "Комплексная программа модернизации и реформирования ЖКХ ЯО" в части мероприятий по строительству и реконструкции систем и объектов теплоснабжения и газификации</t>
  </si>
  <si>
    <t>Субсидия на реализацию ОЦП "О господдержке отдельных категорий граждан, проживающих в ЯО, по проведению ремонта жилых помещений и (или) работ, направленных на повышение уровня обеспеченности их коммунальными услугами на 2010-2013годы"</t>
  </si>
  <si>
    <t>Выплата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t>
  </si>
  <si>
    <t>Приложение 19</t>
  </si>
  <si>
    <t>Приложение 18</t>
  </si>
  <si>
    <t>7-я редакция</t>
  </si>
  <si>
    <t>Приложение 20</t>
  </si>
  <si>
    <t>Распределение иных межбюджетных трансфертов  бюджетам поселений Тутаевского муниципального района на 2013 год</t>
  </si>
  <si>
    <t>Приложение 21</t>
  </si>
  <si>
    <t>Приложение 22</t>
  </si>
  <si>
    <t>№</t>
  </si>
  <si>
    <t>Наименование программы</t>
  </si>
  <si>
    <t>Сумма                    (руб.)</t>
  </si>
  <si>
    <t>Код ведомственной классификации</t>
  </si>
  <si>
    <t>(руб.)</t>
  </si>
  <si>
    <t xml:space="preserve">Перечень ведомственных целевых программ  на 2013 год </t>
  </si>
  <si>
    <t>Перечень ведомственных целевых программ  на плановый период 2014-2015 годов</t>
  </si>
  <si>
    <t>2015 год</t>
  </si>
  <si>
    <t>Приложение 6</t>
  </si>
  <si>
    <t>01003</t>
  </si>
  <si>
    <t>Дотации  на выравнивание бюджетной обеспеченности поселений Ярославской области</t>
  </si>
  <si>
    <t>Дотации на выравнивание бюджетной обеспеченности  муниципальных районов Ярославской области</t>
  </si>
  <si>
    <t>Дотации на обеспечение сбалансированности бюджетов муниципальных образований Ярославской области (Тутаевский муниципальный район)</t>
  </si>
  <si>
    <t>Дотации на обеспечение сбалансированности бюджетов муниципальных образований Ярославской области (Левобережное сельское поселение)</t>
  </si>
  <si>
    <t>Субсидии бюджетам субъектов Российской Федерации и муниципальных образований (межбюджетные субсидии)</t>
  </si>
  <si>
    <t>Субсидия на улучшение жилищных условий граждан, проживающих в сельской местности на территории Ярославской области, в том числе молодых семей и молодых специалистов, за счет средств областного бюджета</t>
  </si>
  <si>
    <t>958</t>
  </si>
  <si>
    <t>956</t>
  </si>
  <si>
    <t>Субсидия на компенсацию части затрат по организации внутримуниципального сообщения водным транспортом с использованием переправ</t>
  </si>
  <si>
    <t>953</t>
  </si>
  <si>
    <t>950</t>
  </si>
  <si>
    <t>954</t>
  </si>
  <si>
    <t>Субвенция на содержание муниципальных казенных учреждений социального обслуживания населения, на предоставление субсидий муниципальным бюджетным учреждениям социального обслуживания населения на выполнение муниципальных заданий и иные цели</t>
  </si>
  <si>
    <t>04999</t>
  </si>
  <si>
    <t>10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</si>
  <si>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</si>
  <si>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Доходы от продажи земельных участков, государственная собственность на которые разграничена (за исключением земельных участков муниципальных бюджетных и автономных учреждений)</t>
  </si>
  <si>
    <t xml:space="preserve">Главные администраторы доходов бюджета Тутаевского муниципального района </t>
  </si>
  <si>
    <t>Главные администраторы источнков финансирования дефицита бюджета Тутаевского муниципального района</t>
  </si>
  <si>
    <t xml:space="preserve">2 02 02077 05 0000 151 </t>
  </si>
  <si>
    <t>2 02 02051 05 0000 151</t>
  </si>
  <si>
    <t>Субсидии бюджетам муниципальных районов на реализацию федеральных целевых программ</t>
  </si>
  <si>
    <t>2 02 02088 05 0004 151</t>
  </si>
  <si>
    <t>2 02 02089 05 0004 151</t>
  </si>
  <si>
    <t>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молоэтажного жилищного строительства за счет средств бюджетов</t>
  </si>
  <si>
    <t>2 02 04029 05 0000 151</t>
  </si>
  <si>
    <t>Межбюджетные трансферты, передаваемые бюджетам муниципальных районов на реализацию дополнительных мероприятий, направленных на снижение напряженности на рынке труда</t>
  </si>
  <si>
    <t xml:space="preserve">2 02 02088 05 0001 151 </t>
  </si>
  <si>
    <t>Субсидии бюджетам муниципальных районов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жилищно-коммунальногохозяйства</t>
  </si>
  <si>
    <t>2 02 02089 05 0001 151</t>
  </si>
  <si>
    <t>Субсидии бюджетам муниципальных районов на обеспечение мероприятий по капитальному ремонту многоквартирных домов за счет средств бюджетов</t>
  </si>
  <si>
    <t>1 14 06013 10 0000 430</t>
  </si>
  <si>
    <t>1 11 05013 10 0000 120</t>
  </si>
  <si>
    <t>1 14 02053 05 0000 410</t>
  </si>
  <si>
    <t>1 14 02053 05 0000 440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</si>
  <si>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</si>
  <si>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 xml:space="preserve">Прочие доходы от оказания платных услуг (работ) получателями средств бюджетов муниципальных районов </t>
  </si>
  <si>
    <t>1 16 32000 05 0000 140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</si>
  <si>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</si>
  <si>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Всего, руб.</t>
  </si>
  <si>
    <t>в том числе:  из районного фонда финансовой поддержки поселений</t>
  </si>
  <si>
    <t>2014 год        ( руб.)</t>
  </si>
  <si>
    <t>1. Межбюджетные трансферты на</t>
  </si>
  <si>
    <t>2015 год        ( руб.)</t>
  </si>
  <si>
    <t>Распределение иных межбюджетных трансфертов  бюджетам поселений Тутаевского муниципального района на плановый период 2014 - 2015 годов</t>
  </si>
  <si>
    <t>Порядок (методика) и условия распределения межбюджетных трансфертов бюджетам поселений Тутаевского муниципального района.</t>
  </si>
  <si>
    <t xml:space="preserve">1.  Порядок  (методика) и условия  распределения  межбюджетных трансфертов на </t>
  </si>
  <si>
    <t>Перечень муниципальных целевых программ на плановый период 2014-2015 годов</t>
  </si>
  <si>
    <t>2014 год                    (руб.)</t>
  </si>
  <si>
    <t>2015 год                     (руб.)</t>
  </si>
  <si>
    <t>Перечень муниципальных целевых программ на 2013 год</t>
  </si>
  <si>
    <t>04014</t>
  </si>
  <si>
    <t xml:space="preserve">1. Субсидия на реализацию мероприятий ОЦП "Комплексная программа модернизации и реформирования ЖКХ ЯО" в части  строительства и реконструкции объектов теплоснабжения и газификации </t>
  </si>
  <si>
    <t xml:space="preserve">Иные межбюджетные трансферты </t>
  </si>
  <si>
    <t>Межбюджетные трансферты</t>
  </si>
  <si>
    <t>Резервные фонды местных администраций</t>
  </si>
  <si>
    <t>Проведение мероприятий по повышению энергоэффективности в муниципальных районах (городских округах) в рамках реализации областной целевой программы "Энергосбережение и повышение энергоэффективности в Ярославской области"</t>
  </si>
  <si>
    <t xml:space="preserve">Обеспечение мероприятий по переселению граждан из ветхого и аварийного жилфонда за счет средств , поступивших от государственной корпорации  Фонд содействия реформированию ЖКХ </t>
  </si>
  <si>
    <t xml:space="preserve">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 поступивших от государственной корпорации  Фонда содействия реформированию ЖКХ </t>
  </si>
  <si>
    <t>Обеспечение мероприятий по капитальному ремонту многоквартирных домов и переселение граждан из аварийного жилищного фонда за счет средств бюджетов</t>
  </si>
  <si>
    <t>Обеспечение мероприятий по капитальному ремонту многоквартирных домов и переселению граждан из  аварийного жилфонда за счет средств бюджетов</t>
  </si>
  <si>
    <t>Обеспечение мероприятий по переселению граждан  из  аварийного жилищного фонда за счет средств бюджетов</t>
  </si>
  <si>
    <t xml:space="preserve">На капитальное строительство и реконструкцию объектов культурного назначения в рамках областной целевой программы "Развитие материально-технической базы учреждений культуры Ярославской области" </t>
  </si>
  <si>
    <t>Федеральная целевая программа "Развитие водохозяйственного комплекса РФ в 2012-2020 годах</t>
  </si>
  <si>
    <t>Субсидия на реализацию ОЦП "Берегоукрепление"</t>
  </si>
  <si>
    <t>Субсидия на реализацию Подпрограммы "Обеспечение жильем молодых семей" ФЦП "Жилище"</t>
  </si>
  <si>
    <t>Субсидия на реализацию мероприятий по строительству и реконструкции объектов водоснабжения и водоотведения</t>
  </si>
  <si>
    <t>Федеральная целевая программа "Обеспечение безопасности полетов воздушных судов государственной авиации Российской Федерации в 2011 - 2015 годах"</t>
  </si>
  <si>
    <t>Поддержка жилищного хохяйства</t>
  </si>
  <si>
    <t>Субсидия на возмещение затрат организациям - исполнителям коммунальных услуг для населения и социальной сферы Тутаевского муниципального района</t>
  </si>
  <si>
    <t>Субсидия на реализацию мероприятий по подготовке к зиме объектов коммунального назначения</t>
  </si>
  <si>
    <t>Обеспечение видеонаблюдения, автоматического обнаружения и распознавания целей и тревожных ситуаций в режиме реального времени по видеоизображению и формирование в режиме реального времени базы данных распознанных целей</t>
  </si>
  <si>
    <t>Расходы на реализацию мероприятий по патриотическому воспитанию молодежи ЯО</t>
  </si>
  <si>
    <t>Федеральный закон от 21 декабря 1996 года № 159-ФЗ "О дополнительных гарантиях по социальной поддержке детей-сирот и детей, оставшихся без попечения родителей"</t>
  </si>
  <si>
    <t>Дотация на реализацию мероприятий, предусмотренных нормативными правовыми актами органов государственной власти, в рамках статьи 8 Закона Ярославской области от 7 октября 2008 г. №40-з "О межбюджетных отношениях"</t>
  </si>
  <si>
    <t>Компенсация расходов на содержание ребенка в дошкольной образовательной организации</t>
  </si>
  <si>
    <t>Субсидия на содержание органов местного самоуправления</t>
  </si>
  <si>
    <t>Программа "Обеспечение доступного дошкольного образования" в части мероприятий по строительству дошкольных образовательных учреждений</t>
  </si>
  <si>
    <t>Подпрограмма "Ярославские каникулы" в части компенсации стоимости санаторно-курортной путевки лицам, нуждающимся в санаторно-курортном лечении</t>
  </si>
  <si>
    <t>Оказание гос. поддержки  побед конкурса мун. модел. по сопр. семей восп. детей-инвалидов</t>
  </si>
  <si>
    <t>ОЦП "Развитие туризма и отдыха в Ярославской области"</t>
  </si>
  <si>
    <t xml:space="preserve">Областная целевая программа "Развитие материально-технической базы физической культуры и спорта Ярославской области" </t>
  </si>
  <si>
    <t>Областной целевой программы "Развитие материально-технической базы физической культуры и спорта Ярославской области" в части обустройства плоскостных спортивных сооружений в муниципальных образовательных учреждениях области</t>
  </si>
  <si>
    <t>Областная целевая программа "Комплексная программа модернизации и реформирования жилищно-коммунального хозяйства"</t>
  </si>
  <si>
    <t xml:space="preserve">Региональная программа "Стимулирование развития жилищного строительства на территории Ярославской области" </t>
  </si>
  <si>
    <t>ОЦП "Обращение с твердыми бытовыми отходами на территории ЯО"</t>
  </si>
  <si>
    <t>Субсидия на реализацию мероприятий ОЦП "Обращение с твердыми бытовыми отходами на территории Ярославской области" в части модернизации инфраструктуры в сфере обращения с ТБО</t>
  </si>
  <si>
    <t>МЦП "Развитие жилищного строительства в ТМР ЯО на 2011 - 2015 гг" подпрограмма "Переселение граждан из аварийного (непригодного для проживания) жилищного фонда в ТМР"</t>
  </si>
  <si>
    <t>Прочие мероприятия, осуществляемые за счет межбюджетных трансфертов прошлых лет из федерального бюджета</t>
  </si>
  <si>
    <t>Областная целевая программа "Обеспечение безопасности граждан на водных объектах Ярославской области"</t>
  </si>
  <si>
    <t>Субсидия на реализацию мероприятий ОЦП "Обеспечение безопасности граждан на водных объектах Ярославской области"</t>
  </si>
  <si>
    <t>Программа развтия систем коммунальной инфраструктуры Тутаевского муниципального района на 2011-2015 годы с перспективой до 2030 года</t>
  </si>
  <si>
    <t>Муниципальная целевая программа "Развитие агропромышленного комплекса и сельских территорий ТМР" на 2012-2015 годы</t>
  </si>
  <si>
    <t>МЦП " Сохранность автомобильных дорог общего пользования на 2011-2013 годы"</t>
  </si>
  <si>
    <t>01 06 04 00 05 0000 810</t>
  </si>
  <si>
    <t>Исполнение муниципальных гарантий муниципального района в валюте Российской Федерации в случае, если исполнение гарантом  муниципальных гарантий муниципального района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</si>
  <si>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 xml:space="preserve">01 06 05 01 05 0000 640     </t>
  </si>
  <si>
    <t>Возврат бюджетных кредитов, предоставленных юридическим лицам из бюджета муниципального района в валюте Российской Федерации</t>
  </si>
  <si>
    <t>01 06 05 02 05 0000 640</t>
  </si>
  <si>
    <t>Возврат бюджетных кредитов, предоставленных другим бюджетам бюджетной системы Российской Федерации из бюджета муниципального района в валюте Российской Федерации</t>
  </si>
  <si>
    <t>01 06 05 01 05 0000 540</t>
  </si>
  <si>
    <t>Предоставление бюджетных кредитов юридическим лицам из бюджета муниципального района в валюте Росийской Федерации</t>
  </si>
  <si>
    <t>01 06 05 02 05 0000 540</t>
  </si>
  <si>
    <t>Предоставление бюджетных кредитов другим бюджетам бюджетной системы Российской Федерации из бюджета муниципального района в валюте Росийской Федерации</t>
  </si>
  <si>
    <t>МЦП "Комплексные меры противодействия злоупотребления наркотиками и их незаконному обороту на 2012 -2014 годы"</t>
  </si>
  <si>
    <t>МЦП "Доступная среда" на 2012-2015 годы"</t>
  </si>
  <si>
    <t>Комплексная программа профилактики правонарушений и усиления борьбы с преступностью в Тутаевском муниципальном районе на 2012-2013 годы</t>
  </si>
  <si>
    <t>Программа соц. защиты населения Тутаевского муниципального района на 2011-2013 годы</t>
  </si>
  <si>
    <t>МЦП "Развитие культуры Тутаевского муниципального района на 2011-2013 годы"</t>
  </si>
  <si>
    <t>МЦП "Развитие информатизации Тутаевского муниципального района Ярославской области" на 2011-2013 годы</t>
  </si>
  <si>
    <t>МЦП "Патриотическое воспитание граждан РФ, проживающих на территории ТМР ЯО, на 2011-2013 годы"</t>
  </si>
  <si>
    <t>МЦП " Развитие информатизации Тутаевского муниципального района Ярославской области" на 2011-2013 годы</t>
  </si>
  <si>
    <t>МЦП "Повышение эффективности бюджетных расходов Тутаевского муниципального района" на 2011-2013 годы</t>
  </si>
  <si>
    <t>Областная целевая программа "Доступная среда"</t>
  </si>
  <si>
    <t>Мероприятия по реализации областной целевой программы "Доступная среда"</t>
  </si>
  <si>
    <t>Ежемесячные денежные выплаты, назначаемые в случае рождения третьего ребенка или последующих детей до достижения ребенком возраста трех лет</t>
  </si>
  <si>
    <t>Областной целевой программы "Развитие материально-технической базы физической культуры и спорта Ярославской области" в части строительства (реконструкции) спортивных объектов</t>
  </si>
  <si>
    <t>Субсидия для софинансирования расходных обязательств, возникающих при выполнении полномочий органов местного самоуправления по вопросам местного значения</t>
  </si>
  <si>
    <t>Мероприятия в области коммунального хозяйства  на реализацию  Программы комплексного развития систем коммунальной инфраструктуры ТМР на 2011-2015 годы с перспективой до 2030 года</t>
  </si>
  <si>
    <t>Чебаковское  сельское поселение</t>
  </si>
  <si>
    <t>Левобережное  сельское поселение</t>
  </si>
  <si>
    <t>МЦП " Развитие въездного и внутреннего туризма на территории ТМР на 2011-2015 годы"</t>
  </si>
  <si>
    <t>Областная целевая программа "Развитие материально-технической базы общеобразовательных учреждений Ярославской области"</t>
  </si>
  <si>
    <t xml:space="preserve">Областная целевая программа "Развитие материально-технической базы общеобразовательных учреждений Ярославской области" в части проведения модернизации пищеблоков общеобразовательных учреждений  </t>
  </si>
  <si>
    <t>МЦП "Развитие физической культуры и спорта в Тутаевском муниципальном районе" на 2013-2015 годы</t>
  </si>
  <si>
    <t>Субсидии некоммерческим организациям (за исключением государственных учреждений)</t>
  </si>
  <si>
    <t>МЦП "Развитие потребительского рынка ТМР" на 2012-2014 годы</t>
  </si>
  <si>
    <t>Ведомственная целевая программа "Молодежь" на 2013-2015 годы</t>
  </si>
  <si>
    <t>Ведомственная целевая программа Департамента образования Администрации Тутаевского муниципального района на 2013-2015 годы</t>
  </si>
  <si>
    <t xml:space="preserve">Ведомственная целевая программа "Социальная поддержка населения Тутаевского муниципального района" на 2013-2015 годы </t>
  </si>
  <si>
    <t>Ведомственная целевая программа "Сохранение и развитие культуры Тутаевского муниципального района" на 2013-2015 годы</t>
  </si>
  <si>
    <t>2013 год (руб.)</t>
  </si>
  <si>
    <t>ВСЕГО</t>
  </si>
  <si>
    <r>
      <t xml:space="preserve">1. </t>
    </r>
    <r>
      <rPr>
        <b/>
        <sz val="12"/>
        <rFont val="Times New Roman"/>
        <family val="1"/>
        <charset val="204"/>
      </rPr>
      <t>Кредиты кредитных организаций</t>
    </r>
  </si>
  <si>
    <r>
      <t xml:space="preserve">        </t>
    </r>
    <r>
      <rPr>
        <sz val="12"/>
        <rFont val="Times New Roman"/>
        <family val="1"/>
        <charset val="204"/>
      </rPr>
      <t>Получение</t>
    </r>
  </si>
  <si>
    <t>3. Информация об объеме и структуре муниципального долга Тутаевского муниципального района</t>
  </si>
  <si>
    <t xml:space="preserve">Приложение 20 </t>
  </si>
  <si>
    <t xml:space="preserve">Приложение 21 </t>
  </si>
  <si>
    <t>Приложение 23</t>
  </si>
  <si>
    <t>Областная целевая программа "Развитие агропромышленного комплекса и сельский территорий Ярославской области" в части софинансирования мероприятий федеральной целевой программы "Социальное развитие села до 2013 года"</t>
  </si>
  <si>
    <t>Субсидия на  улучшение жилищных условий граждан, проживающих в сельской местности на территории Ярославской области, в том числе молодых семей и молодых специалистов, за счет средств областного бюджета</t>
  </si>
  <si>
    <t>Оказание господ. поддержки победителям конкурса проект. иннов. моделей по выявл. и поддержке одарен. детей</t>
  </si>
  <si>
    <t>МЦП "Об энергосбережении и повышении энергетической эффективности Тутаевского муниципального района на 2011-2013годы"</t>
  </si>
  <si>
    <t>МЦП "Об энергосбережении и повышении энергетической эффективности Тутаевского муниципального района на 2011-2013 годы"</t>
  </si>
  <si>
    <t>МЦП "Развитие потребительского рынка ТМР на 2012-2014 годы"</t>
  </si>
  <si>
    <t>Реализацию областной целевой программы "Доступная среда" в сфере образования</t>
  </si>
  <si>
    <t>от "20"декабря 2012 г.№ 05-г</t>
  </si>
  <si>
    <t>Адаптация учреждений социального обслуживания населения для обеспечения доступности для инвалидов и других маломобильных групп населения</t>
  </si>
  <si>
    <t>от"20" декабря 2012 г.№05-г</t>
  </si>
  <si>
    <t>от "20" декабря 2012 г. №05-г</t>
  </si>
  <si>
    <t>от "20" декабря 2012г. №05-г</t>
  </si>
  <si>
    <t>Субсидия на оказание (выполнение) муниципальными учреждениями услуг (работ) в сфере молодежной политики</t>
  </si>
  <si>
    <t>Субсидия на укрепление института семьи, повышение качества жизни семей с несовершеннолетними детьми</t>
  </si>
  <si>
    <t>Субсидия на оплату стоимости набора продуктов питания в лагерях с дневной формой пребывания детей, расположенных на территории Ярославской области</t>
  </si>
  <si>
    <t>Субсидия на обеспечение функционирования в вечернее время спортивных залов общеобразовательных организаций для занятий в них обучающихся</t>
  </si>
  <si>
    <t>Субсидия на проведение капитального ремонта муниципальных учреждений культуры</t>
  </si>
  <si>
    <t>Субвенция на выплату единовременного пособия при всех формах устройства детей, лишенных родительского попечения, в семью за счет средств федерального бюджета</t>
  </si>
  <si>
    <t>Субвенция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за счет средств федерального бюджета</t>
  </si>
  <si>
    <t>Субвенция на социальную поддержку отдельных категорий  граждан в части ежемесячной денежной выплаты ветеранам труда, труженикам тыла, реабилитированным лицам</t>
  </si>
  <si>
    <t>Субвенция на обеспечение отдыха и оздоровления детей, находящихся в трудной жизненной ситуации, детей погибших сотрудников правоохранительных органов и военнослужащих, безнадзорных детей за счет средств областного бюджета</t>
  </si>
  <si>
    <t>на 01.01.2017</t>
  </si>
  <si>
    <t>Субсидия на реализацию мероприятий по строительству и реконструкции объектов теплоснабжения и газификации</t>
  </si>
  <si>
    <t>Субвенция на оплату жилищно -  коммунальных услуг отдельным категориям граждан за счет средств федерального бюджета</t>
  </si>
  <si>
    <t>955 01 03 01 00 00 0000 800</t>
  </si>
  <si>
    <t>955 01 03 01 00 05 0000 810</t>
  </si>
  <si>
    <t>01 03 01 00 05 0000 710</t>
  </si>
  <si>
    <t>01 03 01 00 05 0000 810</t>
  </si>
  <si>
    <t>03</t>
  </si>
  <si>
    <t>Акцизы по подакцизным товарам (продукции), производимым на территории Российской Федерации</t>
  </si>
  <si>
    <t>Налоги на товары (работы, услуги), реализуемые на территории Российской Федерации</t>
  </si>
  <si>
    <t>Налог, взимаемый в связи с патентной системой налогообложения</t>
  </si>
  <si>
    <t>Доходы от сдачи в аренду имущества, составляющего казну муниципальных районов (за исключением земельных участков)</t>
  </si>
  <si>
    <t>Дотации бюджетов субъектов Российской Федерации и муниципальных образований</t>
  </si>
  <si>
    <t>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молоэтажного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</si>
  <si>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 xml:space="preserve">2 02 04014 05 0000 151 </t>
  </si>
  <si>
    <t xml:space="preserve">2 02 02041  05 0000 151 </t>
  </si>
  <si>
    <t>Субсидии бюджетам муниципальных районов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</si>
  <si>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Субсидии бюджетам муниципальных районов на осуществление капитального ремонта гидротехнических сооружений, находящихся в муниципальной собственности, и бесхозяйных гидротехнических сооружений</t>
  </si>
  <si>
    <t xml:space="preserve">2 02 02021 05 0000 151 </t>
  </si>
  <si>
    <t>1 11 05075 05 0000 120</t>
  </si>
  <si>
    <t xml:space="preserve">Доходы от сдачи в аренду имущества, составляющего казну муниципальных районов (за исключением земельных участков)  </t>
  </si>
  <si>
    <t>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</si>
  <si>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</si>
  <si>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2 02 02078 05 0000 151</t>
  </si>
  <si>
    <t>Субсидии бюджетам муниципальных районов на  бюджетные инвестиции для модернизации объектов коммунальной инфраструктуры</t>
  </si>
  <si>
    <t>2 02 02109 05 0000 151</t>
  </si>
  <si>
    <t>Субсидии бюджетам муниципальных районов на проведение капитального ремонта многоквартирных домов</t>
  </si>
  <si>
    <t xml:space="preserve">2 02 03090 05 0000 151 </t>
  </si>
  <si>
    <t xml:space="preserve">2 02 02141 05 0000 151 </t>
  </si>
  <si>
    <t xml:space="preserve">2 02 02145 05 0000 151 </t>
  </si>
  <si>
    <t>Субсидии бюджетам муниципальных районов на реализацию комплексных программ поддержки развития дошкольных образовательных учреждений в субъектах Российской Федерации</t>
  </si>
  <si>
    <t>Субсидии бюджетам муниципальных районов на модернизацию региональных систем общего образования</t>
  </si>
  <si>
    <t>2 02 02150 05 0000 151</t>
  </si>
  <si>
    <t>Субсидии бюджетам муниципальных районов на реализацию программы энергосбережения и повышения энергетической эффективности на период до 2020 года</t>
  </si>
  <si>
    <t>Субвенции бюджетам муниципальных районов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</si>
  <si>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2 02 04041 05 0000 151</t>
  </si>
  <si>
    <t>Межбюджетные трансферты, передаваемые бюджетам муниципальных районов,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</si>
  <si>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 xml:space="preserve">2 02 04052 05 0000 151 </t>
  </si>
  <si>
    <t>Межбюджетные трансферты, передаваемые бюджетам муниицпальных районов  на государственную поддержку муниципальных учреждений культуры, находящихся на территориях сельских поселений</t>
  </si>
  <si>
    <t>2 02 04053 05 0000 151</t>
  </si>
  <si>
    <t>Межбюджетные трансферты, передаваемые бюджетам муницпальных районов  на государственную поддержку лучших работников муниципальных учреждений культуры, находящихся на территориях сельских поселений</t>
  </si>
  <si>
    <t>1 16 46000 05 0000 140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</si>
  <si>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муниципальных дорожных фондов муниципальных районов, либо в связи с уклонением от заключения таких контрактов или иных договоров</t>
  </si>
  <si>
    <t>Получение кредитов от кредитных организаций бюджетами муниципальных района в валюте Российской Федерации</t>
  </si>
  <si>
    <t>Погашение бюджетами муниципальных района кредитов от кредитных организаций в валюте в Российской Федерации</t>
  </si>
  <si>
    <t>Погашение кредитов от других бюджетов бюджетной системы Российской Федерации  бюджетами муниципальных районов в валюте Российской Федерации</t>
  </si>
  <si>
    <t>Увеличение прочих остатков денежных средств бюджетов муниципальных районов</t>
  </si>
  <si>
    <t>Уменьшение прочих остатков денежных средств бюджетов муниципальных районов</t>
  </si>
  <si>
    <t>000 01 06 00 00 00 0000 000</t>
  </si>
  <si>
    <t>000 01 05 00 00 00 0000 000</t>
  </si>
  <si>
    <t>000 01 03 00 00 00 0000 000</t>
  </si>
  <si>
    <t>000 01 02 00 00 00 0000 000</t>
  </si>
  <si>
    <t>Субсидии бюджетам муниципальных районов   на государственную поддержку малого и среднего предпринимательства, включая крестьянские (фермерские) хозяйства</t>
  </si>
  <si>
    <t>2 02 02204 05 0000 151</t>
  </si>
  <si>
    <t>Субсидии бюджетам муниципальных районов на модернизацию региональных систем дошкольного образования</t>
  </si>
  <si>
    <t>Распределение дотаций бюджетам поселений Тутаевского муниципального района  на 2014 год</t>
  </si>
  <si>
    <t>Распределение дотаций бюджетам поселений Тутаевского муниципального района на плановый период 2015-2016 годов</t>
  </si>
  <si>
    <t>Приложение 16</t>
  </si>
  <si>
    <t>Код программы</t>
  </si>
  <si>
    <t>значение</t>
  </si>
  <si>
    <t>Код направления</t>
  </si>
  <si>
    <t>Значение</t>
  </si>
  <si>
    <t>Бюджетные инвестиции в объекты капитального строительства муниципальной собственности</t>
  </si>
  <si>
    <t>Бюджетные инвестиции на приобретение недвижимого имущества в муниципальную собственность</t>
  </si>
  <si>
    <t>Расходы на содержание объектов находящихся в муниципальной собственности</t>
  </si>
  <si>
    <t>Субсидия на возмещение затрат по содержанию и  ремонту муниципальных коммунальных сетей</t>
  </si>
  <si>
    <t>Содержание и ремонт бесхозяйных сетей</t>
  </si>
  <si>
    <t>Расходы на мероприятия по газификации поселений</t>
  </si>
  <si>
    <t>Бюджетные инвестиции в объекты капитального строительства и реконструкцию дорожного хозяйства муниципальной собственности</t>
  </si>
  <si>
    <t>Капитальный ремонт автомобильных дорог общего пользования</t>
  </si>
  <si>
    <t>Иные мероприятия в отношении дорог общего пользования</t>
  </si>
  <si>
    <t>Расходы на содействие развитию малого и среднего предпринимательства</t>
  </si>
  <si>
    <t>Мероприятия по повышению энергоэффективности и энергосбережению</t>
  </si>
  <si>
    <t>Мероприятия в области градостроительства</t>
  </si>
  <si>
    <t>Мероприятия  направленные  по охрану окружающей среды и природопользования</t>
  </si>
  <si>
    <t>Мероприятия  направленные на развитие агропромышленного комплекса</t>
  </si>
  <si>
    <t>Мероприятия направленные на возмещение части затрат за доставку товаров в отдаленные сельские населенные  пункты</t>
  </si>
  <si>
    <t>Дотации поселениям района  на выравнивание бюджетной обеспеченности</t>
  </si>
  <si>
    <t>Мероприятия по развитию въездного и внутреннего туризма</t>
  </si>
  <si>
    <t>Содержание центрального аппарата</t>
  </si>
  <si>
    <t>Содержание главы муниципального образования</t>
  </si>
  <si>
    <t>Содержание руководителя контрольно-счетной палаты муниципального образования и его заместителей</t>
  </si>
  <si>
    <t>Выполнение других обязательств органов местного самоуправления</t>
  </si>
  <si>
    <t>Оценка недвижимости, признание прав и регулирование отношений по муниципальной собственности</t>
  </si>
  <si>
    <t>Обеспечение деятельности подведомственных учреждений органов местного самоуправления</t>
  </si>
  <si>
    <t>Исполнение судебных актов, актов других органов и должностных лиц, иных документов</t>
  </si>
  <si>
    <t>Расходы на развитие муниципальной службы</t>
  </si>
  <si>
    <t>Расходы на проведение мероприятий по информатизации</t>
  </si>
  <si>
    <t>Расходы на развитие системы муниципального заказа</t>
  </si>
  <si>
    <t>Расходы на поддержку территориального общественного самоуправления и некоммерческих организаций</t>
  </si>
  <si>
    <t xml:space="preserve">Поддержка периодических изданий </t>
  </si>
  <si>
    <t>Процентные платежи по обслуживанию муниципального долга</t>
  </si>
  <si>
    <t>Обеспечение деятельности дошкольных учреждений</t>
  </si>
  <si>
    <t>Расходы на организацию присмотра и ухода за детьми в образовательных учреждениях</t>
  </si>
  <si>
    <t>Обеспечение деятельности общеобразовательных учреждений</t>
  </si>
  <si>
    <t>Обеспечение деятельности учреждений дополнительного образования</t>
  </si>
  <si>
    <t>Обеспечение деятельности прочих учреждений в сфере образования</t>
  </si>
  <si>
    <t>Мероприятия в сфере образования</t>
  </si>
  <si>
    <t>Расходы на обеспечение оздоровления и отдыха детей</t>
  </si>
  <si>
    <t xml:space="preserve">Расходы на оплату стоимости набора продуктов питания в лагерях с дневной формой пребывания детей </t>
  </si>
  <si>
    <t>Расходы на государственную поддержку материально-технической базы образовательных учреждений</t>
  </si>
  <si>
    <t>Расходы на реализацию мероприятий по строительству и реконструкции дошкольных образовательных учреждений</t>
  </si>
  <si>
    <t>Мероприятия в области спорта и физической культуры</t>
  </si>
  <si>
    <t xml:space="preserve">Обеспечение деятельности учреждений в сфере молодежной политики </t>
  </si>
  <si>
    <t>Мероприятия в сфере молодежной политики</t>
  </si>
  <si>
    <t>Расходы на реализацию мероприятий патриотического воспитания молодежи</t>
  </si>
  <si>
    <t>Расходы на укрепление социальной защищенности пожилых людей</t>
  </si>
  <si>
    <t>Обеспечение деятельности учреждений по организации досуга в сфере культуры</t>
  </si>
  <si>
    <t>Расходы на повышение социальной активности пожилых людей в части организации культурных программ</t>
  </si>
  <si>
    <t>Обеспечение деятельности библиотек</t>
  </si>
  <si>
    <t>Обеспечение деятельности прочих учреждений в сфере культуры</t>
  </si>
  <si>
    <t>Мероприятия в сфере культуры</t>
  </si>
  <si>
    <t>Расходы на проведение капитального ремонта муниципальных учреждений культуры</t>
  </si>
  <si>
    <t>Доплаты к пенсиям муниципальных служащих</t>
  </si>
  <si>
    <t>Расходы на обеспечение отдыха и оздоровления детей, находящихся в трудной жизненной ситуации, детей погибших сотрудников правоохранительных органов и военнослужащих, безнадзорных детей за счет средств федерального бюджета</t>
  </si>
  <si>
    <t>Расходы на осуществление полномочий РФ по государственной регистрации актов гражданского состояния, производимые за счет средств федерального бюджета</t>
  </si>
  <si>
    <t>Расходы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за счет средств федерального бюджета</t>
  </si>
  <si>
    <t>Оплата жилищно-коммунальных услуг отдельным категориям граждан за счет средств федерального бюджета</t>
  </si>
  <si>
    <t>Расходы на выплату единовременного пособия при всех формах устройства детей, лишенных родительского попечения, в семью за счет средств федерального бюджета</t>
  </si>
  <si>
    <t>Расходы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за счет средств федерального бюджета</t>
  </si>
  <si>
    <t>Расходы на выплату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t>
  </si>
  <si>
    <t>Расходы на выплаты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t>
  </si>
  <si>
    <t>Расходы на содержание ребенка в семье опекуна и приемной семье, а также вознаграждение, причитающееся приемному родителю, за счет средств областного бюджета</t>
  </si>
  <si>
    <t>Государственная поддержка материально-технической базы образовательных учреждений Ярославской области за счет средств областного бюджета</t>
  </si>
  <si>
    <t>Государственная поддержка опеки и попечительства за счет средств областного бюджета</t>
  </si>
  <si>
    <t>Расходы на выплаты медицинским работникам, осуществляющим медицинское обслуживание обучающихся и воспитанников муниципальных образовательных учреждений, за счет средств областного бюджета</t>
  </si>
  <si>
    <t>Организация образовательного процесса в образовательных учреждениях за счет средств областного бюджета</t>
  </si>
  <si>
    <t>Обеспечение бесплатным питанием обучающихся муниципальных образовательных учреждений за счет средств областного бюджета</t>
  </si>
  <si>
    <t>Расходы на обеспечение деятельности органов опеки и попечительства за счет средств областного бюджета</t>
  </si>
  <si>
    <t>Расходы на реализацию мероприятий по строительству дошкольных образовательных учреждений за счет средств областного бюджета</t>
  </si>
  <si>
    <t>Расходы на оказание (выполнение) муниципальными учреждениями услуг (работ) в сфере молодежной политики за счет средств областного бюджета</t>
  </si>
  <si>
    <t>Расходы на реализацию мероприятий патриотического воспитания молодежи Ярославской области за счет средств областного бюджета</t>
  </si>
  <si>
    <t>Предоставление гражданам субсидий на оплату жилого помещения и коммунальных услуг за счет средств областного бюджета</t>
  </si>
  <si>
    <t>Расходы на социальную поддержку отдельных категорий граждан в части ежемесячной денежной выплаты ветеранам труда, труженикам тыла, реабилитированным лицам</t>
  </si>
  <si>
    <t>Ежемесячная денежная выплата, назначаемая в случае рождения третьего ребенка или последующих детей до достижения ребенком возраста трех лет, за счет средств областного бюджета</t>
  </si>
  <si>
    <t>Оплата жилого помещения и коммунальных услуг отдельным категориям граждан, оказание мер социальной поддержки которым относится к полномочиям Ярославской области, за счет средств областного бюджета</t>
  </si>
  <si>
    <t>Расходы на содержание муниципальных казенных учреждений социального обслуживания населения, на предоставление субсидий муниципальным бюджетным учреждениям социального обслуживания населения на выполнение муниципальных заданий и иные цели</t>
  </si>
  <si>
    <t>Денежные выплаты за счет средств областного бюджета</t>
  </si>
  <si>
    <t>Расходы на обеспечение деятельности органов местного самоуправления в сфере социальной защиты населения за счет средств областного бюджета</t>
  </si>
  <si>
    <t>Оказание социальной помощи отдельным категориям граждан за счет средств областного бюджета</t>
  </si>
  <si>
    <t>Расходы на повышение социальной активности пожилых людей в части организации культурных программ за счет средств областного бюджета</t>
  </si>
  <si>
    <t>Расходы на укрепление института семьи, повышение качества жизни семей с несовершеннолетними детьми за счет средств областного бюджета</t>
  </si>
  <si>
    <t>Расходы на оздоровление и отдых детей за счет средств областного бюджета</t>
  </si>
  <si>
    <t>Расходы на оплату стоимости набора продуктов питания в лагерях с дневной формой пребывания детей, расположенных на территории Ярославской области, за счет средств областного бюджета</t>
  </si>
  <si>
    <t>Расходы на организацию профильных лагерей за счет средств областного бюджета</t>
  </si>
  <si>
    <t>Расходы на обеспечение отдыха и оздоровления детей, находящихся в трудной жизненной ситуации, детей погибших сотрудников правоохранительных органов и военнослужащих, безнадзорных детей за счет средств областного бюджета</t>
  </si>
  <si>
    <t>Расходы на оборудование социально-значимых объектов сферы культуры с целью обеспечения доступности для инвалидов за счет средств областного бюджета</t>
  </si>
  <si>
    <t>Расходы на оборудование социально-значимых объектов сферы молодежная политика с целью обеспечения доступности для инвалидов за счет средств областного бюджета</t>
  </si>
  <si>
    <t>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t>
  </si>
  <si>
    <t>Субсидия на реализацию мероприятий по обеспечению безопасности граждан на водных объектах</t>
  </si>
  <si>
    <t>Субсидия на мероприятия, направленные на  капитальный ремонт гидротехнических сооружений, расположенных на территории Ярославской области и находящихся в муниципальной собственности, за счет средств областного бюджета</t>
  </si>
  <si>
    <t>Расходы на содействие развитию малого и среднего предпринимательства за счет средств областного бюджета</t>
  </si>
  <si>
    <t>Расходы на финансирование дорожного хозяйства за счет средств областного бюджета</t>
  </si>
  <si>
    <t xml:space="preserve">Субсидия на осуществление бюджетных  инвестиций в объекты капитального строительства и реконструкцию дорожного хозяйства муниципальной собственности </t>
  </si>
  <si>
    <t>Предоставление бесплатного проезда лицам, находящимся под диспансерным наблюдением в связи с туберкулезом, и больным туберкулезом за счет средств областного бюджета</t>
  </si>
  <si>
    <t>Предоставление бесплатного проезда детям из многодетных семей, обучающимся в общеобразовательных учреждениях, за счет средств областного бюджета</t>
  </si>
  <si>
    <t>Субсидия на реализацию мероприятий по возмещению части затрат организациям любых форм собственности и индивидуальным предпринимателям, занимающимся доставкой товаров в отдаленные сельские населенные пункты</t>
  </si>
  <si>
    <t>Мероприятия по повышению энергоэффективности и энергосбережению за счет средств областного бюджета</t>
  </si>
  <si>
    <t>Дотации поселениям Ярославской области на выравнивание бюджетной обеспеченности</t>
  </si>
  <si>
    <t>Расходы на обеспечение казначейской системы исполнения областного и местных бюджетов в муниципальных районах (городских округах) Ярославской области</t>
  </si>
  <si>
    <t>Расходы на социальную поддержку отдельных категорий граждан в части ежемесячного пособия на ребенка</t>
  </si>
  <si>
    <t xml:space="preserve">Расходы на обеспечение предоставления услуг по дошкольному образованию детей в дошкольных образовательных организациях </t>
  </si>
  <si>
    <t>Расходы на организацию присмотра и ухода за детьми в образовательных организациях</t>
  </si>
  <si>
    <t>Резервные фонды исполнительных органов государственной власти субъектов Российской Федерации</t>
  </si>
  <si>
    <t>Расходы на обеспечение профилактики безнадзорности, правонарушений несовершеннолетних и защиты их прав за счет средств областного бюджета</t>
  </si>
  <si>
    <t>Расходы на реализацию отдельных полномочий в сфере законодательства об административных правонарушениях за счет средств областного бюджета</t>
  </si>
  <si>
    <t>Межбюджетные трансферты  поселениям района</t>
  </si>
  <si>
    <t xml:space="preserve"> Межбюджетные трансферты</t>
  </si>
  <si>
    <t>Бюджетные инвестиции иным юридическим лицам</t>
  </si>
  <si>
    <t>2. Субсидия на финансирование дорожного хозяйства</t>
  </si>
  <si>
    <t>Распределение субвенций бюджетам поселений Тутаевского муниципального района на плановый период 2015-2016 годов</t>
  </si>
  <si>
    <t>Распределение субвенций бюджетам поселений Тутаевского муниципального района на 2014 год</t>
  </si>
  <si>
    <t xml:space="preserve">3. Субсидия на мероприятия, направленные на капитальный ремонт гидротехнических сооружений, располлженных на территории Ярославской области и находящихся в муниципальной собственности </t>
  </si>
  <si>
    <t>4. Субсидия на реализацию мероприятий РП  "Развитие водоснабжения, водоотведения и очистки сточных вод Ярославской области" в части мероприятий на строительство и реконструкцию объектов водоснабжения и водоотведения</t>
  </si>
  <si>
    <t>Непрограммные расходы бюджета</t>
  </si>
  <si>
    <t>Целевая статья</t>
  </si>
  <si>
    <t>Расходы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</si>
  <si>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Расходы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</si>
  <si>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Расходы на капитальный ремонт зданий, возвращенных системе образования и функционирующих дошкольных и общеобразовательных учреждений</t>
  </si>
  <si>
    <t>Предоставление субсидий бюджетным, автономным учреждениям и иным некоммерческим организациям</t>
  </si>
  <si>
    <t>Расходы на обеспечение бесплатным питанием обучающихся муниципальных образовательных учреждений за счет средств областного бюджета</t>
  </si>
  <si>
    <t>Содержание и ремонт  автомобильных дорог общего пользования</t>
  </si>
  <si>
    <t>2014 год                                                                               Сумма, руб.</t>
  </si>
  <si>
    <t>2015 год                                                                               Сумма, руб.</t>
  </si>
  <si>
    <t>2016 год                                                                               Сумма, руб.</t>
  </si>
  <si>
    <t>Направ.</t>
  </si>
  <si>
    <t>Пр-ма</t>
  </si>
  <si>
    <t>Субсидии бюджетам муниципальных районов на софинансирование капитальных вложений в объекты муниципальной собственности</t>
  </si>
  <si>
    <t>Субсидии бюджетам муниципальных районов на  софинансирование капитальных вложений в объекты муниципальной собственности</t>
  </si>
  <si>
    <t xml:space="preserve">2 02 04999 05 0000 151 </t>
  </si>
  <si>
    <t>1.1.</t>
  </si>
  <si>
    <t>1.2</t>
  </si>
  <si>
    <t>1.3</t>
  </si>
  <si>
    <t>2.1</t>
  </si>
  <si>
    <t>2.2</t>
  </si>
  <si>
    <t>3</t>
  </si>
  <si>
    <t>3.1</t>
  </si>
  <si>
    <t>3.2</t>
  </si>
  <si>
    <t>4</t>
  </si>
  <si>
    <t>4.1</t>
  </si>
  <si>
    <t>5</t>
  </si>
  <si>
    <t>5.1</t>
  </si>
  <si>
    <t>6</t>
  </si>
  <si>
    <t>6.1</t>
  </si>
  <si>
    <t>7</t>
  </si>
  <si>
    <t>7.1</t>
  </si>
  <si>
    <t>7.2</t>
  </si>
  <si>
    <t>8</t>
  </si>
  <si>
    <t>8.1</t>
  </si>
  <si>
    <t>9</t>
  </si>
  <si>
    <t>9.1</t>
  </si>
  <si>
    <t>10.1</t>
  </si>
  <si>
    <t>11.1</t>
  </si>
  <si>
    <t>12.1</t>
  </si>
  <si>
    <t>13</t>
  </si>
  <si>
    <t>13.1</t>
  </si>
  <si>
    <t>14.1</t>
  </si>
  <si>
    <t>14.2</t>
  </si>
  <si>
    <t>15</t>
  </si>
  <si>
    <t>15.1</t>
  </si>
  <si>
    <t>15.2</t>
  </si>
  <si>
    <t>16.1</t>
  </si>
  <si>
    <t>40.9</t>
  </si>
  <si>
    <t>99</t>
  </si>
  <si>
    <t>Перечень муниципальных и ведомственных целевых программ на плановый период 2015-2016 годов</t>
  </si>
  <si>
    <t>Распределение субсидий бюджетам поселений Тутаевского муниципального района на плановый период 2015-2016 годов</t>
  </si>
  <si>
    <t>Всего</t>
  </si>
  <si>
    <t>Редакция 1</t>
  </si>
  <si>
    <t>982 МУ Контрольно-счетная палата Тутаевского муниципального района</t>
  </si>
  <si>
    <t>2 02 03029 05 0000 151</t>
  </si>
  <si>
    <t xml:space="preserve">Субвенции бюджетам муниципальных районов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 </t>
  </si>
  <si>
    <t>3. Объем расходов на обслуживание муниципального долга</t>
  </si>
  <si>
    <t>Организация перевозок больных, нуждающихся в амбулаторном гемодиализе</t>
  </si>
  <si>
    <t>2 02 03122 05 0000 151</t>
  </si>
  <si>
    <t xml:space="preserve">Субвенции бюджетам муниципальных районов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t>
  </si>
  <si>
    <t>Субвенция на выплаты медицинским работникам, осуществляющим медицинское обслуживание обучающихся и воспитанников муниципальных образовательных организаций</t>
  </si>
  <si>
    <t>Субвенция на организацию образовательного процесса в дошкольных образовательных организациях</t>
  </si>
  <si>
    <t>Субвенция на освобождение от оплаты стоимости  проезда на транспорте детей из многодетных семей, обучающихся в общеобразовательных организациях</t>
  </si>
  <si>
    <t>100</t>
  </si>
  <si>
    <t>2910</t>
  </si>
  <si>
    <t>Субвенция на компенсацию расходов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</si>
  <si>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2906</t>
  </si>
  <si>
    <t xml:space="preserve">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
</t>
  </si>
  <si>
    <t xml:space="preserve">Регулярные платежи за пользование недрами при пользовании недрами на территории Российской Федерации
</t>
  </si>
  <si>
    <t>Расходы на осуществление полномочий на государственную регистрацию актов гражданского состояния</t>
  </si>
  <si>
    <t>Выплата государственных единовременных пособий и ежемесячных денежных компенсаций гражданам при возникновении поствакцинальных осложнений</t>
  </si>
  <si>
    <t>Ежемесячная денежная выплата, назначаемая в случае рождения третьего ребенка или последующих детей до достижения ребенком возраста трех лет</t>
  </si>
  <si>
    <t>от "____"___________ 2014 г.№ ______</t>
  </si>
  <si>
    <t>от "____"______________ 2014 г.№ ______</t>
  </si>
  <si>
    <t>от "____"______________ 2014г.№ ______</t>
  </si>
  <si>
    <t>Редакция 2</t>
  </si>
  <si>
    <t>Субсидия на проведение мероприятий по повышению энергоэффективности за счет средств областного бюджета</t>
  </si>
  <si>
    <t>Приложение 14</t>
  </si>
  <si>
    <t>04012</t>
  </si>
  <si>
    <t>4010</t>
  </si>
  <si>
    <t>2917</t>
  </si>
  <si>
    <t>Расходы на оборудование социально-значимых объектов сферы образования с целью обеспечения доступности для инвалидов</t>
  </si>
  <si>
    <t>Оплата труда работников сферы образования</t>
  </si>
  <si>
    <t>Оплата труда работников сферы молодежной политики</t>
  </si>
  <si>
    <t>Мероприятия по строительству и реконструкции учреждения социальной защиты</t>
  </si>
  <si>
    <t>Оплата труда работников сферы культуры</t>
  </si>
  <si>
    <t>Расходы на профилактику правонарушений и усиления борьбы с преступностью</t>
  </si>
  <si>
    <t>Приложение 13</t>
  </si>
  <si>
    <t>3-я редакция</t>
  </si>
  <si>
    <t>Дотации на реализацию мероприятий, предусмотренных НПА ОГВ, в рамках п.3 ст.8 Закона ЯО от 07.10.2008 г. № 40-з "О межбюджетных отношениях"</t>
  </si>
  <si>
    <t>от "____"______________ 2013 г.№ ______</t>
  </si>
  <si>
    <t>Константиновское  сельское поселение</t>
  </si>
  <si>
    <t>Городское  поселение Тутаев</t>
  </si>
  <si>
    <t>Субсидия на реализацию мероприятий по возмещению затрат организациям любых форм собственности и индивидуальным предпринимателям, занимающимся доставкой товаров в отдаленные сельские населенные пункты за счет средств областного бюджета</t>
  </si>
  <si>
    <t>Субсидия на реализацию подпрограммы (господдержка граждан, проживающих на территории ЯО в сфере ипотечного жилищного кредитования)</t>
  </si>
  <si>
    <t>Субсидия на проведение мероприятий по повышению энергоэффективности за счет средств федерального бюджета</t>
  </si>
  <si>
    <t>Субсидия на реализацию подпрограммы «Государственная  поддержка граждан, проживающих на территории Ярославской области,  в сфере ипотечного жилищного кредитования»</t>
  </si>
  <si>
    <t>4004</t>
  </si>
  <si>
    <t>Межбюджетные трансферты на реализацию областной целевой программы "Развитие органов местного самоуправления на территории Ярославской области" по обращениям депутатов Ярославской областной Думы</t>
  </si>
  <si>
    <t>Расходы на развитие правовой грамотности и правосознания граждан на территории ЯО</t>
  </si>
  <si>
    <t>Расходы на развитие органов местного самоуправления на территории ЯО</t>
  </si>
  <si>
    <t>Расходы на реализацию ОЦП "Развитие органов местного самоуправления на территории ЯО"</t>
  </si>
  <si>
    <t>2. Дотация на реализацию мероприятий, предусмотренных нормативными правовыми актами органов государственной власти, в рамках п.3 ст.8 Закона Ярославской области от 07.10.2008 г. № 40-з "О межбюджетных отношениях"</t>
  </si>
  <si>
    <t>955 01 03 01 00 00 0000 700</t>
  </si>
  <si>
    <t>Получение бюджетных кредитов, полученных от других бюджетов бюджетной системы Российской Федерации в валюте Российской Федерации</t>
  </si>
  <si>
    <t>955 01 03 01 00 05 0000 710</t>
  </si>
  <si>
    <t>Получение бюджетами муниципальных районов кредитов от других бюджетов бюджетной системы Российской Федерации в валюте Российской Федерации</t>
  </si>
  <si>
    <t>Савичев</t>
  </si>
  <si>
    <t>J126</t>
  </si>
  <si>
    <t>28.07.2014 16:00:17</t>
  </si>
  <si>
    <t>Пр1</t>
  </si>
  <si>
    <t/>
  </si>
  <si>
    <t xml:space="preserve">2 </t>
  </si>
  <si>
    <t>Субсидии бюджетам муниципальных районов на обеспечение жильем молодых семей</t>
  </si>
  <si>
    <t>Субсидии бюджетам муниципальных районов на государственную поддержку малого и среднего предпринимательства, включая крестьянские (фермерские) хозяйства</t>
  </si>
  <si>
    <t>Субсидии бюджетам муниципальных районов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</si>
  <si>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2920</t>
  </si>
  <si>
    <t>Сумма, руб</t>
  </si>
  <si>
    <t>2017 Сумма, руб.</t>
  </si>
  <si>
    <t>2017 год                                                                               Сумма, руб.</t>
  </si>
  <si>
    <t>на 01.01.2018</t>
  </si>
  <si>
    <t>на 2017 год</t>
  </si>
  <si>
    <t>Субвенция на организацию образовательного процесса в общеобразовательных организациях</t>
  </si>
  <si>
    <t>Приложение 17</t>
  </si>
  <si>
    <t>130</t>
  </si>
  <si>
    <t>Доходы от оказания платных услуг (работ) и компесации затрат государства</t>
  </si>
  <si>
    <t xml:space="preserve">2 02 02008 05 0000 151 </t>
  </si>
  <si>
    <t xml:space="preserve">2 02 02051 05 0000 151 </t>
  </si>
  <si>
    <t>2 02 02088 05 0002 151</t>
  </si>
  <si>
    <t>2 02 02089 05 0002 151</t>
  </si>
  <si>
    <t xml:space="preserve">2 02 02999 05 0000 151 </t>
  </si>
  <si>
    <t>2 02 03011 05 0000 151</t>
  </si>
  <si>
    <t xml:space="preserve">Субвенции бюджетам муниципальных районов на государственные единовременные пособия и ежемесячные денежные компенсации гражданам при возникновении поствакцинальных осложнений
</t>
  </si>
  <si>
    <t>2 02 01999 05 0000 151</t>
  </si>
  <si>
    <t xml:space="preserve">Прочие дотации бюджетам муниципальных районов
</t>
  </si>
  <si>
    <t xml:space="preserve">Субсидии бюджетам муниципальных районов на обеспечение мероприятий по переселению граждан из аварийного жилищного фонда за счет средств бюджетов
</t>
  </si>
  <si>
    <t>2901</t>
  </si>
  <si>
    <t>Межбюджетные трансферты на обеспечение мероприятий по  предупреждению и ликвидации последствий чрезвычайных ситуаций в границах поселения</t>
  </si>
  <si>
    <t>2907</t>
  </si>
  <si>
    <t>Межбюджетные трансферты на обеспечение мероприятий для развития субъектов малого и среднего предпринимательства</t>
  </si>
  <si>
    <t>Межбюджетные трансферты на обеспечение мероприятий в сфере ипотечного жилищного кредитования</t>
  </si>
  <si>
    <t>2915</t>
  </si>
  <si>
    <t xml:space="preserve">Межбюджетные трансферты на обеспечение мероприятий по капитальному ремонту МКД </t>
  </si>
  <si>
    <t>2932</t>
  </si>
  <si>
    <t>2933</t>
  </si>
  <si>
    <t xml:space="preserve">Межбюджетные трансферты на обеспечение мероприятий по строительству и реконструкции объектов теплоснабжения </t>
  </si>
  <si>
    <t xml:space="preserve">Межбюджетные трансферты на обеспечение мероприятий по строительству и реконструкции  объектов  газификации </t>
  </si>
  <si>
    <t>Межбюджетные трансферты на обеспечение   мероприятий в области  дорожного хозяйства  по повышению безопасности дорожного движения</t>
  </si>
  <si>
    <t>Межбюджетные трансферты на обеспечение мероприятий по уличному освещению</t>
  </si>
  <si>
    <t>Межбюджетные трансферты на обеспечение мероприятий по техническому содержанию, текущему и капитальному ремонту сетей уличного освещения</t>
  </si>
  <si>
    <t>Межбюджетные трансферты на обеспечение мероприятий в области благоустройства</t>
  </si>
  <si>
    <t>Межбюджетные трансферты на обеспечение мероприятий по организации населению услуг бань  в общих отделениях</t>
  </si>
  <si>
    <t>Ведомственная целевая программа «Молодежь»</t>
  </si>
  <si>
    <t>Муниципальная целевая программа «Патриотическое воспитание граждан Российской Федерации, проживающих на территории Тутаевского муниципального района Ярославской области»</t>
  </si>
  <si>
    <t>Муниципальная целевая программа «Комплексные меры противодействия злоупотреблению наркотиками и их незаконному обороту»</t>
  </si>
  <si>
    <t>Ведомственная целевая программа «Сохранение и развитие культуры Тутаевского муниципального района»</t>
  </si>
  <si>
    <t>Муниципальная целевая программа «Развитие въездного и внутреннего туризма на территории Тутаевского муниципального района»</t>
  </si>
  <si>
    <t xml:space="preserve">Ведомственная целевая программа департамента образования Администрации Тутаевского муниципального района </t>
  </si>
  <si>
    <t>Муниципальная целевая программа "Развитие физической культуры и спорта в Тутаевском муниципальном районе"</t>
  </si>
  <si>
    <t xml:space="preserve">Ведомственная целевая программа «Социальная поддержка населения Тутаевского муниципального района» </t>
  </si>
  <si>
    <t>Муниципальная целевая программа «Повышение безопасности дорожного движения на территории Тутаевского муниципального района»</t>
  </si>
  <si>
    <t>Муниципальная целевая программа «Сохранность автомобильных дорог общего пользования Тутаевского муниципального района»</t>
  </si>
  <si>
    <t>Муниципальная целевая программа «Развитие субъектов малого и среднего предпринимательства Тутаевского муниципального района»</t>
  </si>
  <si>
    <t>Муниципальная целевая программа "Развитие системы муниципальных закупок в Тутаевском муниципальном районе"</t>
  </si>
  <si>
    <t>Программа развития муниципальной службы в Тутаевском муниципальном районе</t>
  </si>
  <si>
    <t>1.4</t>
  </si>
  <si>
    <t>1.5</t>
  </si>
  <si>
    <t>2.4</t>
  </si>
  <si>
    <t>2.5</t>
  </si>
  <si>
    <t>5.2</t>
  </si>
  <si>
    <t>5.3</t>
  </si>
  <si>
    <t>9.2</t>
  </si>
  <si>
    <t>9.3</t>
  </si>
  <si>
    <t>9.4</t>
  </si>
  <si>
    <t>10.2</t>
  </si>
  <si>
    <t>10.3</t>
  </si>
  <si>
    <t>Субсидия топливным предприятиям на возмещение части затрат по обеспечению населения твердым топливом</t>
  </si>
  <si>
    <t>Расходы на реализацию МЦП "Духовно - нравственное воспитание и просвещение населения ТМР"</t>
  </si>
  <si>
    <t>Расходы на оборудование социально значимых объектов с целью обеспечения доступности для инвалидов</t>
  </si>
  <si>
    <t xml:space="preserve">2 02 02019 05 0000 151 </t>
  </si>
  <si>
    <t xml:space="preserve">Субсидии бюджетам муниципальных районов на реализацию программ поддержки социально ориентированных некоммерческих организаций
</t>
  </si>
  <si>
    <t>2902</t>
  </si>
  <si>
    <t>2905</t>
  </si>
  <si>
    <t>2909</t>
  </si>
  <si>
    <t>2916</t>
  </si>
  <si>
    <t>2918</t>
  </si>
  <si>
    <t>2923</t>
  </si>
  <si>
    <t>2924</t>
  </si>
  <si>
    <t>2926</t>
  </si>
  <si>
    <t>2927</t>
  </si>
  <si>
    <t>Межбюджетные трансферты на обеспечение мероприятий по землеустройству и землепользованию, по определению кадастровой стоимости и приобретению прав собственности</t>
  </si>
  <si>
    <t>2930</t>
  </si>
  <si>
    <t>2931</t>
  </si>
  <si>
    <t>Межбюджетные трансферты на обеспечение   мероприятий в области  дорожного хозяйства  на строительство и модернизацию автомобильных дорог</t>
  </si>
  <si>
    <t>2908</t>
  </si>
  <si>
    <t>Межбюджетные трансферты на обеспечение   мероприятий в области  дорожного хозяйства  на ремонт и содержание автомобильных дорог</t>
  </si>
  <si>
    <t>Межбюджетные трансферты на осуществление части полномочий по решению вопросов местного значения в соответствии с заключенными соглашениями на содержание органов местного самоуправления</t>
  </si>
  <si>
    <t xml:space="preserve">Межбюджетные трансферты на обеспечение мероприятий по управлению, распоряжению имуществом, оценке недвижимости, признанию прав и регулированию отношений по муниципальной собственности поселения </t>
  </si>
  <si>
    <t>Содержание органов местного самоуправления за счет средств поселений</t>
  </si>
  <si>
    <t>Расходы на финансирование мероприятий на разработку и экспертизу проектно-сметной документации на строительство и реконструкцию</t>
  </si>
  <si>
    <t>1. Субсидия на финансирование дорожного хозяйства</t>
  </si>
  <si>
    <t>Обеспечение мероприятий по осуществлению пасажирских  перевозок на автомобильном  транспорте</t>
  </si>
  <si>
    <t>Обеспечение   мероприятий в области  дорожного хозяйства  по повышению безопасности дорожного движения</t>
  </si>
  <si>
    <t>Обеспечение   мероприятий в области  дорожного хозяйства  на  ремонт и содержание автомобильных дорог</t>
  </si>
  <si>
    <t>Обеспечение   мероприятий в области  дорожного хозяйства  на строительство и  модернизацию автомобильных дорог</t>
  </si>
  <si>
    <t xml:space="preserve">Государственная поддержка опеки и попечительства </t>
  </si>
  <si>
    <t xml:space="preserve">Расходы на комплектование книжных фондов библиотек </t>
  </si>
  <si>
    <t xml:space="preserve">2 02 03123 05 0000 151 </t>
  </si>
  <si>
    <t>Субвенции бюджетам муниципальных районов по предоставлению отдельных мер социальной поддержки граждан, подвергшихся воздействию радиации</t>
  </si>
  <si>
    <t>Компенсация расходов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</si>
  <si>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Субвенция на социальную поддержку граждан, подвергшихся воздействию радиации</t>
  </si>
  <si>
    <t>2018 Сумма, руб.</t>
  </si>
  <si>
    <t>2018 год                                                                               Сумма, руб.</t>
  </si>
  <si>
    <t>на 2018 год</t>
  </si>
  <si>
    <t>на 01.01.2018 (пргноз)</t>
  </si>
  <si>
    <t xml:space="preserve"> Прогнозируемые доходы бюджета Тутаевского муниципального района   в соответствии с классификацией доходов бюджетов Российской Федерации на плановый период 2017-2018 годов</t>
  </si>
  <si>
    <t>Расходы бюджета Тутаевского муниципального района по разделам и подразделам классификации расходов бюджетов Российской Федерации на плановый период 2017-2018 годов</t>
  </si>
  <si>
    <t xml:space="preserve">муниципальных внутренних заимствований Тутаевского муниципального района на плановый период 2017-2018 годов </t>
  </si>
  <si>
    <t>1. Муниципальные внутренние заимствования, осуществляемые Тутаевским муниципальным районом на плановый период 2017-2018 годов</t>
  </si>
  <si>
    <t>2. Предельные размеры на 2017 -2018 годы</t>
  </si>
  <si>
    <t>Ведомственная структура расходов бюджета Тутаевского муниципального района на плановый период 2017-2018 годов</t>
  </si>
  <si>
    <t>Распределение дотаций бюджетам поселений Тутаевского муниципального района на плановый период 2017-2018 годов</t>
  </si>
  <si>
    <t>Распределение субсидий бюджетам поселений Тутаевского муниципального района на плановый период 2017-2018 годов</t>
  </si>
  <si>
    <t xml:space="preserve"> Прогнозируемые доходы бюджета Тутаевского муниципального района на 2016 год  в соответствии с классификацией доходов бюджетов Российской Федерации</t>
  </si>
  <si>
    <t>Расходы бюджета Тутаевского муниципального района по разделам и подразделам классификации расходов бюджетов Российской Федерации на 2016 год</t>
  </si>
  <si>
    <t>Источники внутреннего финансирования дефицита муниципального района на 2016 год</t>
  </si>
  <si>
    <t xml:space="preserve">Программа муниципальных внутренних заимствований Тутаевского муниципального района на 2016 год </t>
  </si>
  <si>
    <t>1. Муниципальные внутренние заимствования, осуществляемые Тутаевским муниципальным районом в 2016 году</t>
  </si>
  <si>
    <t>2. Предельные размеры на 2016год</t>
  </si>
  <si>
    <t xml:space="preserve">на 2016 год </t>
  </si>
  <si>
    <t>* В связи с отсутствием принятых решений Администрацией Тутаевского муниципального района о предоставлении муниципальных гарантий конкретным заемщикам, сумма муниципальных гарантий ТМР на 2016-2018 годы не планируется.</t>
  </si>
  <si>
    <t>Ведомственная структура расходов бюджета Тутаевского муниципального района на 2016 год</t>
  </si>
  <si>
    <t>Распределение дотаций бюджетам поселений Тутаевского муниципального района  на 2016 год</t>
  </si>
  <si>
    <t>Распределение субсидий бюджетам поселений Тутаевского муниципального района на 2016год</t>
  </si>
  <si>
    <t>Распределение субвенций бюджетам поселений Тутаевского муниципального района на 2016 год</t>
  </si>
  <si>
    <t>Статья</t>
  </si>
  <si>
    <t>Подстатья</t>
  </si>
  <si>
    <t>Элемент доходов</t>
  </si>
  <si>
    <t>группа подвида дохода бюджетов</t>
  </si>
  <si>
    <t>аналитическая группа подвида доходов бюджета</t>
  </si>
  <si>
    <t>Статьи</t>
  </si>
  <si>
    <t>Подстатьи</t>
  </si>
  <si>
    <t>Субсидия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</si>
  <si>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Субвенция на организацию питания обучающихся образовательных организаций</t>
  </si>
  <si>
    <t>Субвенция на осуществление переданных полномочий Российской Федерации на предоставление отдельных мер социальной поддержки граждан, подвергшихся воздействию радиации, за счет средств федерального бюджета</t>
  </si>
  <si>
    <t>Субвенция на выплату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 за счет средств федерального бюджета</t>
  </si>
  <si>
    <t>Субвенция на выплату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 за счет средств федерального бюджета</t>
  </si>
  <si>
    <t xml:space="preserve">Субвенция на обеспечение отдыха и оздоровления детей, находящихся в трудной жизненной ситуации, детей погибших сотрудников правоохранительных органов и военнослужащих, безнадзорных детей </t>
  </si>
  <si>
    <t>Субвенция на компенсацию части расходов на приобретение путевки в организации отдыха детей и их оздоровления</t>
  </si>
  <si>
    <t>Субвенция на подготовку и проведение Всероссийской сельскохозяйственной переписи 2016 года</t>
  </si>
  <si>
    <t>Субвенция на освобождение от оплаты стоимости  проезда детей из многодетных семей, обучающихся в общеобразовательных организациях</t>
  </si>
  <si>
    <t>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t>
  </si>
  <si>
    <t>Субвенция на отлов и содержание безнадзорных животных</t>
  </si>
  <si>
    <t>04</t>
  </si>
  <si>
    <t>07</t>
  </si>
  <si>
    <t>050</t>
  </si>
  <si>
    <t>013</t>
  </si>
  <si>
    <t>075</t>
  </si>
  <si>
    <t>995</t>
  </si>
  <si>
    <t>06</t>
  </si>
  <si>
    <t>025</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</si>
  <si>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</si>
  <si>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</si>
  <si>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001</t>
  </si>
  <si>
    <t>003</t>
  </si>
  <si>
    <t>008</t>
  </si>
  <si>
    <t>009</t>
  </si>
  <si>
    <t>041</t>
  </si>
  <si>
    <t>999</t>
  </si>
  <si>
    <t>004</t>
  </si>
  <si>
    <t>007</t>
  </si>
  <si>
    <t>015</t>
  </si>
  <si>
    <t>020</t>
  </si>
  <si>
    <t>022</t>
  </si>
  <si>
    <t>024</t>
  </si>
  <si>
    <t>053</t>
  </si>
  <si>
    <t>090</t>
  </si>
  <si>
    <t>121</t>
  </si>
  <si>
    <t>122</t>
  </si>
  <si>
    <t>123</t>
  </si>
  <si>
    <t>216</t>
  </si>
  <si>
    <t>014</t>
  </si>
  <si>
    <t>Субвенция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областного бюджета</t>
  </si>
  <si>
    <t>Субвенция на ежемесячную денежную выплату, назначаемую при рождении третьего ребенка или последующих детей до достижения ребенком возраста трех лет, за счет средств областного бюджета</t>
  </si>
  <si>
    <t>Наименование дохода</t>
  </si>
  <si>
    <t>Бюджет муниципаль-ного района</t>
  </si>
  <si>
    <t>Бюджет городского поселения</t>
  </si>
  <si>
    <t>Бюджеты сельских поселений</t>
  </si>
  <si>
    <t>В части погашения задолженности и перерасчетов по отмененным налогам, сборам и иным обязательным платежам</t>
  </si>
  <si>
    <t>Налог на рекламу, мобилизуемый на территориях муниципальных районов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</si>
  <si>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</si>
  <si>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Прочие местные налоги и сборы, мобилизуемые на территориях муниципальных районов</t>
  </si>
  <si>
    <t>В части доходов от оказания платных услуг (работ) и компенсации затрат государства</t>
  </si>
  <si>
    <t>Прочие доходы от оказания платных услуг (работ) получателями  средств бюджетов муниципальных районов</t>
  </si>
  <si>
    <t>Прочие доходы от компенсации затрат бюджетов муниципальных районов</t>
  </si>
  <si>
    <t>Прочие доходы от оказания платных услуг (работ) получателями  средств бюджетов городских поселений</t>
  </si>
  <si>
    <t>Прочие доходы от компенсации затрат бюджетов городских поселений</t>
  </si>
  <si>
    <t>Прочие доходы от оказания платных услуг (работ) получателями  средств бюджетов сельских поселений</t>
  </si>
  <si>
    <t>Прочие доходы от компенсации затрат бюджетов сельских поселений</t>
  </si>
  <si>
    <t>Доходы, поступающие в порядке возмещения расходов, понесенных в связи с эксплуатацией имущества муниципальных районов</t>
  </si>
  <si>
    <t>В части штрафов, санкций, возмещения ущерба</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</si>
  <si>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</si>
  <si>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</si>
  <si>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поселений</t>
  </si>
  <si>
    <t>Доходы от возмещения  ущерба при возникновении иных страховых случаев, когда выгодоприобретателями выступают получатели средств бюджетов городских поселений</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</si>
  <si>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сельских поселений</t>
  </si>
  <si>
    <t>доходы от возмещения  ущерба при возникновении иных страховых случаев, когда выгодоприобретателями выступают получатели средств бюджетов сельских поселений</t>
  </si>
  <si>
    <t>В части прочих неналоговых доходов</t>
  </si>
  <si>
    <t>Невыясненные поступления, зачисляемые в бюджеты городских поселений</t>
  </si>
  <si>
    <t>Невыясненные поступления, зачисляемые в бюджеты сельских поселений</t>
  </si>
  <si>
    <t>Прочие неналоговые доходы бюджетов городских поселений</t>
  </si>
  <si>
    <t>Прочие неналоговые доходы бюджетов сельских поселений</t>
  </si>
  <si>
    <t>Нормативы                                                                                                                                распределения доходов между бюджетом Тутаевского муниципального района, бюджетом городского поселения Тутаев и бюджетами Константиновского, Артемьевского, Чебаковского и Левобережного сельских поселений на 2016 год и на плановый период 2017-2018 годов, %</t>
  </si>
  <si>
    <t>Муниципальная программа  "Развитие культуры, туризма и молодежной политики в Тутаевском муниципальном районе"</t>
  </si>
  <si>
    <t>Обеспечение условий для выполнения муниципального задания на оказание услуг, выполнение работ в сфере молодежной политики</t>
  </si>
  <si>
    <t>01.0.00</t>
  </si>
  <si>
    <t>01.1.00</t>
  </si>
  <si>
    <t>01.1.01</t>
  </si>
  <si>
    <t>01.2.00</t>
  </si>
  <si>
    <t>01.2.01</t>
  </si>
  <si>
    <t>01.3.00</t>
  </si>
  <si>
    <t>01.3.01</t>
  </si>
  <si>
    <t>01.4.00</t>
  </si>
  <si>
    <t>01.4.01</t>
  </si>
  <si>
    <t>Реализация дополнительных образовательных программ в сфере культуры</t>
  </si>
  <si>
    <t>01.4.02</t>
  </si>
  <si>
    <t>Содействие доступу граждан к культурным ценностям</t>
  </si>
  <si>
    <t>Поддержка доступа граждан к информационно-библиотечным ресурсам</t>
  </si>
  <si>
    <t>01.4.03</t>
  </si>
  <si>
    <t>01.4.04</t>
  </si>
  <si>
    <t>01.5.00</t>
  </si>
  <si>
    <t>01.5.01</t>
  </si>
  <si>
    <t>Создание благоприятных условий для развития туризма</t>
  </si>
  <si>
    <t>02.0.00</t>
  </si>
  <si>
    <t>02.1.00</t>
  </si>
  <si>
    <t>02.1.01</t>
  </si>
  <si>
    <t>Обеспечение эффективности управления системой культуры</t>
  </si>
  <si>
    <t>Обеспечение эффективности управления системой образования</t>
  </si>
  <si>
    <t>Организация предоставления муниципальных услуг и выполнения работ  муниципальными учреждениями сферы образования</t>
  </si>
  <si>
    <t>Методическая и консультационная помощь, психолого-педагогическое и медико-социальное сопровождение детей</t>
  </si>
  <si>
    <t>02.1.02</t>
  </si>
  <si>
    <t>02.1.03</t>
  </si>
  <si>
    <t>Обеспечение качества реализации мер по социальной поддержке детей-сирот и детей оставшихся без попечения родителей</t>
  </si>
  <si>
    <t>02.1.04</t>
  </si>
  <si>
    <t>02.1.05</t>
  </si>
  <si>
    <t>02.1.06</t>
  </si>
  <si>
    <t>Мероприятия направленные на осуществление отдельных полномочий в области образования</t>
  </si>
  <si>
    <t>05.0.00</t>
  </si>
  <si>
    <t>Муниципальная программа "Обеспечение качественными коммунальными услугами населения Тутаевского муниципального района"</t>
  </si>
  <si>
    <t>05.1.00</t>
  </si>
  <si>
    <t>Муниципальная целевая программа "Обеспечение надежного теплоснабжения жилищного фонда и учреждений  бюджетной сферы" на территории Тутаевского муниципального района</t>
  </si>
  <si>
    <t>05.1.01</t>
  </si>
  <si>
    <t>Обеспечение надежного теплоснабжения жилищного фонда и функционирования учреждений бюджетной сферы</t>
  </si>
  <si>
    <t>05.2.00</t>
  </si>
  <si>
    <t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t>
  </si>
  <si>
    <t>05.2.01</t>
  </si>
  <si>
    <t>Модернизация объектов теплоснабжения с вводом их в эксплуатацию (строительство и реконструкция котельных)</t>
  </si>
  <si>
    <t>05.2.02</t>
  </si>
  <si>
    <t>Газификация населенных пунктов Тутаевского муниципального района (строительство газопроводов и распределительных газовых сетей с вводом их в эксплуатацию)</t>
  </si>
  <si>
    <t>05.3.00</t>
  </si>
  <si>
    <t xml:space="preserve">Муниципальная целевая   программа «Развитие водоснабжения, водоотведения и очистки сточных вод» на территории Тутаевского муниципального района </t>
  </si>
  <si>
    <t>05.3.01</t>
  </si>
  <si>
    <t>Повышение качества водоснабжения в результате модернизации существующих источников водоснабжения и строительство  новых</t>
  </si>
  <si>
    <t>05.3.02</t>
  </si>
  <si>
    <t>Повышение качества  водоотведения и очистки сточных вод в результате модернизации существующих  систем  водоотведения и очистки сточных вод, строительство новых систем</t>
  </si>
  <si>
    <t>05.4.00</t>
  </si>
  <si>
    <t>05.4.01</t>
  </si>
  <si>
    <t>Проведение комплекса работ по ремонту, замене и реконструкции объектов теплоснабжения</t>
  </si>
  <si>
    <t>05.4.02</t>
  </si>
  <si>
    <t>Проведение комплекса работ по ремонту, замене и реконструкции объектов водоснабжения, водоотведения и очистки сточных вод</t>
  </si>
  <si>
    <t>05.4.03</t>
  </si>
  <si>
    <t>Проведение комплекса работ по ремонту, замене и реконструкции объектов газоснабжения</t>
  </si>
  <si>
    <t>06.0.00</t>
  </si>
  <si>
    <t>Муниципальная  программа "Об энергосбережении и повышении энергетической эффективности Тутаевского муниципального района"</t>
  </si>
  <si>
    <t>08.0.00</t>
  </si>
  <si>
    <t>08.1.00</t>
  </si>
  <si>
    <t>08.1.01</t>
  </si>
  <si>
    <t>08.2.00</t>
  </si>
  <si>
    <t>08.2.01</t>
  </si>
  <si>
    <t>08.3.00</t>
  </si>
  <si>
    <t>08.3.01</t>
  </si>
  <si>
    <t>08.4.00</t>
  </si>
  <si>
    <t>08.4.01</t>
  </si>
  <si>
    <t>Создание условий для поддержки  молодых семей в приобретении (строительстве) жилья</t>
  </si>
  <si>
    <t>16.0.00</t>
  </si>
  <si>
    <t>Муниципальная программа  "Развитие жилищного хозяйства Тутаевского муниципального района"</t>
  </si>
  <si>
    <t>16.1.00</t>
  </si>
  <si>
    <t>Муниципальная целевая программа "Развитие  лифтового хозяйства на территории городского поселения Тутаев Тутаевского муниципального района"</t>
  </si>
  <si>
    <t>17.0.00</t>
  </si>
  <si>
    <t>17.1.00</t>
  </si>
  <si>
    <t>Муниципальная целевая программа "Организация и развитие ритуальных услуг и мест захоронения в Тутаевском муниципальном районе"</t>
  </si>
  <si>
    <t>17.1.01</t>
  </si>
  <si>
    <t>17.2.00</t>
  </si>
  <si>
    <t>17.2.01</t>
  </si>
  <si>
    <t>Улучшение уровня внешнего благоустройства и санитарного  состояния территорий Тутаевского муниципального района</t>
  </si>
  <si>
    <t>17.2.02</t>
  </si>
  <si>
    <t>17.2.03</t>
  </si>
  <si>
    <t>Муниципальная программа "Благоустройство  и санитарно-эпидемиологическая безопасность  Тутаевского муниципального района</t>
  </si>
  <si>
    <t>16.1.01</t>
  </si>
  <si>
    <t>Обеспечение мероприятий по восстановлению лифтового хозяйства многоквартирных домов</t>
  </si>
  <si>
    <t xml:space="preserve">Обеспечение мероприятий по совершенствованию  эстетического  состояния территорий </t>
  </si>
  <si>
    <t>Обеспечение мероприятий по благоустройству мест массового отдыха населения</t>
  </si>
  <si>
    <t>Финансовое и организационное обеспечение переселения граждан из непригодного для проживания жилищного фонда с высоким уровнем износа</t>
  </si>
  <si>
    <t>03.0.00</t>
  </si>
  <si>
    <t>Муниципальная программа "Социальная поддержка населения Тутаевского муниципального района"</t>
  </si>
  <si>
    <t>03.1.00</t>
  </si>
  <si>
    <t>Обеспечение рационального использования топливно- энергетических ресурсов при их производстве, передаче и потреблении и создание условий повышения энергетической эффективности</t>
  </si>
  <si>
    <t>09.0.00</t>
  </si>
  <si>
    <t>09.2.00</t>
  </si>
  <si>
    <t>09.2.01</t>
  </si>
  <si>
    <t>Обеспечение доступности товаров для сельского населения путем оказания государственной поддержки</t>
  </si>
  <si>
    <t>09.3.00</t>
  </si>
  <si>
    <t>09.3.01</t>
  </si>
  <si>
    <t>05.1.02</t>
  </si>
  <si>
    <t xml:space="preserve">Обеспечение населения твердым топливом </t>
  </si>
  <si>
    <t>07.0.00</t>
  </si>
  <si>
    <t>Муниципальная программа "Развитие дорожного хозяйства и транспорта в Тутаевском муниципальном районе"</t>
  </si>
  <si>
    <t>07.1.00</t>
  </si>
  <si>
    <t>07.1.01</t>
  </si>
  <si>
    <t>07.2.00</t>
  </si>
  <si>
    <t>07.2.01</t>
  </si>
  <si>
    <t>Муниципальная программа "Экономическое развитие и инновационная экономика, развитие предпринимательства и сельского хозяйства в Тутаевском муниципальном районе"</t>
  </si>
  <si>
    <t>Приведение  в нормативное состояние автомобильных дорог общего пользования</t>
  </si>
  <si>
    <t>Повышение безопасности дорожного движения на автомобильных дорогах</t>
  </si>
  <si>
    <t>09.1.00</t>
  </si>
  <si>
    <t>09.1.01</t>
  </si>
  <si>
    <t>Популяризация роли предпринимательства, информационная, консультационная и организационная поддержка субъектов малого и среднего предпринимательства</t>
  </si>
  <si>
    <t>09.1.02</t>
  </si>
  <si>
    <t>Развитие системы финансовой поддержки субъектов малого и среднего предпринимательства</t>
  </si>
  <si>
    <t>Муниципальная программа  "Организация перевозок автомобильным и речным транспортом на территории Тутаевского муниципального района"</t>
  </si>
  <si>
    <t>06.0.01</t>
  </si>
  <si>
    <t>Предоставление социальных услуг лицам, находящимся под диспансерным наблюдением в связи с туберкулезом, и больных туберкулезом  при проезде в транспорте общего пользования</t>
  </si>
  <si>
    <t>Предоставление социальных услуг детям из многодетных семей, обучающихся в общеобразовательных организациях  при проезде в транспорте общего пользования</t>
  </si>
  <si>
    <t>10.0.00</t>
  </si>
  <si>
    <t>10.0.01</t>
  </si>
  <si>
    <t>Совершенствование межбюджетных отношений</t>
  </si>
  <si>
    <t>10.0.02</t>
  </si>
  <si>
    <t xml:space="preserve">Повышение эффективности управления муниципальным долгом </t>
  </si>
  <si>
    <t>10.1.00</t>
  </si>
  <si>
    <t>10.2.00</t>
  </si>
  <si>
    <t>Поддержка сельскохозяйственного производства в рамках субсидирования  (молоко, овцеводство) сельскохозяйственных товаропроизводителей</t>
  </si>
  <si>
    <t>09.3.02</t>
  </si>
  <si>
    <t xml:space="preserve">Кадровое обеспечение агропромышленного комплекса </t>
  </si>
  <si>
    <t>09.3.03</t>
  </si>
  <si>
    <t>Повышение стимула роста профессионального мастерства, привлечение овцеводов и туристов для популяризации бренда романовской овцы, поощрение передовиков сельскохозяйственного  производства</t>
  </si>
  <si>
    <t>03.2.00</t>
  </si>
  <si>
    <t>40.9.00</t>
  </si>
  <si>
    <t>99.0.00</t>
  </si>
  <si>
    <t>Развитие системы профилактики немедицинского потребления наркотиков</t>
  </si>
  <si>
    <t>02.2.00</t>
  </si>
  <si>
    <t>02.3.00</t>
  </si>
  <si>
    <t>02.2.01</t>
  </si>
  <si>
    <t>02.3.01</t>
  </si>
  <si>
    <t>Реализация мер по созданию целостной системы духовно-нравственного воспитания и просвещения населения</t>
  </si>
  <si>
    <t>02.3.02</t>
  </si>
  <si>
    <t>Организация физкультурно-оздоровительной и спортивно-массовой работы среди детей, обучающейся молодежи, населения и людей с ограниченными возможностями здоровья</t>
  </si>
  <si>
    <t>03.1.01</t>
  </si>
  <si>
    <t>03.1.02</t>
  </si>
  <si>
    <t>Предоставление социальных услуг населению Тутаевского муниципального района на основе соблюдения стандартов и нормативов</t>
  </si>
  <si>
    <t>03.1.03</t>
  </si>
  <si>
    <t>Социальная защита семей с детьми, инвалидов, ветеранов, граждан и детей, оказавшихся в трудной жизненной ситуации</t>
  </si>
  <si>
    <t>04.0.00</t>
  </si>
  <si>
    <t>Муниципальная целевая программа "Улучшение условий и охраны труда" по Тутаевскому муниципальному району</t>
  </si>
  <si>
    <t>04.0.01</t>
  </si>
  <si>
    <t>Муниципальная программа "Доступная среда "</t>
  </si>
  <si>
    <t>Муниципальная программа "Повышение эффективности управления муниципальными финансами"</t>
  </si>
  <si>
    <t>Ведомственная целевая программа департамента финансов администрации Тутаевского муниципального района</t>
  </si>
  <si>
    <t>10.1.01</t>
  </si>
  <si>
    <t>10.2.01</t>
  </si>
  <si>
    <t>Обеспечение деятельности финансового органа</t>
  </si>
  <si>
    <t xml:space="preserve">Организация системы подготовки, планирования, сопровождения и осуществления муниципальных закупок </t>
  </si>
  <si>
    <t>14.0.00</t>
  </si>
  <si>
    <t>Муниципальная программа "Профилактика правонарушений и усиление борьбы с преступностью в Тутаевском муниципальном районе"</t>
  </si>
  <si>
    <t>14.0.01</t>
  </si>
  <si>
    <t>11.0.00</t>
  </si>
  <si>
    <t>11.0.01</t>
  </si>
  <si>
    <t>12.0.00</t>
  </si>
  <si>
    <t>12.0.01</t>
  </si>
  <si>
    <t>13.0.00</t>
  </si>
  <si>
    <t>13.0.01</t>
  </si>
  <si>
    <t>Муниципальная программа "Поддержки социально ориентированных некоммерческих организаций и территориального общественного самоуправления Тутаевского муниципального района"</t>
  </si>
  <si>
    <t xml:space="preserve">Стимулирование развития деятельности социально ориентированных некоммерческих организаций </t>
  </si>
  <si>
    <t>13.0.02</t>
  </si>
  <si>
    <t>Размещение форм поддержки деятельности социально ориентированных некоммерческих организаций в средствах массовой информации</t>
  </si>
  <si>
    <t>Муниципальная программа "Информатизация управленческой деятельности Администрации Тутаевского муниципального района"</t>
  </si>
  <si>
    <t>12.0.02</t>
  </si>
  <si>
    <t>Обеспечение бесперебойного функционирования  программного обеспечения</t>
  </si>
  <si>
    <t>Координирование деятельности, совершенствование организационного, методического и информационного функционирования системы патриотического воспитания</t>
  </si>
  <si>
    <t>Муниципальная программа "Развитие образования, физической культуры и спорта в Тутаевском муниципальном районе"</t>
  </si>
  <si>
    <t>Мероприятия направленные на поддержку и мотивации участников образовательного процесса</t>
  </si>
  <si>
    <t>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t>
  </si>
  <si>
    <t>Муниципальная программа "Стимулирование развития жилищного строительства в Тутаевском муниципальном  районе Ярославской области"</t>
  </si>
  <si>
    <t>Обеспечение доступности жилья в соответствии с  уровнем платежеспособности спроса граждан, путем оказания поддержки гражданам, проживающим на территории Тутаевского муниципального района, в сфере ипотечного жилищного кредитования и займа</t>
  </si>
  <si>
    <t>Финансовое и организационное обеспечение переселения граждан из аварийных многоквартирных домов на территории Тутаевского муниципального района</t>
  </si>
  <si>
    <t>Реализация мероприятий по профилактике правонарушений</t>
  </si>
  <si>
    <t>Обеспечение комплекса работ по повышению уровня благоустройства мест погребений</t>
  </si>
  <si>
    <t>Муниципальная целевая программа "Благоустройство и озеленение территории  в Тутаевского муниципального  района"</t>
  </si>
  <si>
    <t>Организация предоставления транспортных услуг по перевозке пассажиров автомобильным транспортом, транспортом общего пользования</t>
  </si>
  <si>
    <t>Муниципальная целевая программа "Поддержка граждан, проживающих на территории Тутаевского муниципального района Ярославской области в сфере ипотечного жилищного кредитования"</t>
  </si>
  <si>
    <t>Муниципальная целевая программа "Переселение граждан из аварийного жилищного фонда в Тутаевском муниципальном районе"</t>
  </si>
  <si>
    <t>Муниципальная целевая программа "Переселение граждан из  жилищного фонда, признанного непригодным для проживания, и (или) жилищного фонда с высоким уровнем износа на территории Тутаевского муниципального района"</t>
  </si>
  <si>
    <t>Муниципальная целевая программа "Предоставление молодым семьям социальных выплат на приобретение(строительство) жилья"</t>
  </si>
  <si>
    <t>Муниципальная целевая программа "Развитие агропромышленного комплекса и сельских территорий Тутаевского муниципального района"</t>
  </si>
  <si>
    <t>Муниципальная целевая программа "Развитие потребительского рынка Тутаевского муниципального района "</t>
  </si>
  <si>
    <t>15.0.00</t>
  </si>
  <si>
    <t>15.0.01</t>
  </si>
  <si>
    <t>15.0.02</t>
  </si>
  <si>
    <t>15.0.03</t>
  </si>
  <si>
    <t>16.2.00</t>
  </si>
  <si>
    <t>16.2.01</t>
  </si>
  <si>
    <t>16.2.02</t>
  </si>
  <si>
    <t>16.2.03</t>
  </si>
  <si>
    <t>Муниципальная целевая программа "Ремонт и содержание муниципального жилищного фонда   Тутаевского муниципального района"</t>
  </si>
  <si>
    <t>Обеспечение мероприятий по ремонту общедомового имущества</t>
  </si>
  <si>
    <t>Обеспечение мероприятий по ремонту муниципавльных квартир</t>
  </si>
  <si>
    <t>18.0.00</t>
  </si>
  <si>
    <t>18.0.01</t>
  </si>
  <si>
    <t>Закупка компьютерного оборудования  и оргтехники для бесперебойного обеспечения деятельности органов местного самоуправления</t>
  </si>
  <si>
    <t>Мероприятия по повышению квалификации  муниципальных служащих</t>
  </si>
  <si>
    <t>Муниципальная программа "Обеспечение населения Тутаевского муниципального района банными услугами"</t>
  </si>
  <si>
    <t>Обеспечение населения Тутаевского муниципального района банными услугами</t>
  </si>
  <si>
    <t>Обеспечение мероприятий  по работе с детьми и молодежью</t>
  </si>
  <si>
    <t>Обеспечение мероприятий по осуществлению внешнего муниципального контроля</t>
  </si>
  <si>
    <t>Обеспечение мероприятий по  определению  поставщиков (подрядчиков, исполнителей), в порядке установленном Федеральным законом от 05.04.2013 года № 44-ФЗ</t>
  </si>
  <si>
    <t>Обеспечение мероприятий по строительству  спортивных объектов</t>
  </si>
  <si>
    <t xml:space="preserve">Обеспечение  участия волейбольной команды «Ярославна-ТМЗ» в  соревнованиях  </t>
  </si>
  <si>
    <t>Обеспечение мероприятий по защите от чрезвычайных ситуаций природного и техногенного характера</t>
  </si>
  <si>
    <t>Обеспечение мероприятий для развития субъектов малого и среднего предпринимательства</t>
  </si>
  <si>
    <t>Обеспечение деятельности общественных организаций</t>
  </si>
  <si>
    <t xml:space="preserve">Обеспечение мероприятий по начислению и сбору платы за найм муниципального жилищного фонда </t>
  </si>
  <si>
    <t>Обеспечение мероприятий по переселению граждан из аварийного жилищного фонда, непригодного для проживания, с высоким уровнем износа  за счет средств бюджета поселения</t>
  </si>
  <si>
    <t>Субсидия на благоустройство населенных пунктов Ярославской  области</t>
  </si>
  <si>
    <t xml:space="preserve">Обеспечение мероприятий по управлению, распоряжению имуществом, оценка недвижимости, признанию прав и регулированию отношений по муниципальной собственности поселения </t>
  </si>
  <si>
    <t>Обеспечение мероприятий,  связанные с выполнением полномочий ОМС МО  по тепло-, водоснабжению и водоотведению</t>
  </si>
  <si>
    <t xml:space="preserve">Обеспечение мероприятий на строительство и реконструкцию объектов водоснабжения и водоотведения </t>
  </si>
  <si>
    <t xml:space="preserve">Обеспечение мероприятий по строительству и реконструкции объектов теплоснабжения </t>
  </si>
  <si>
    <t xml:space="preserve">Обеспечение мероприятий по строительству и реконструкции  объектов  газификации </t>
  </si>
  <si>
    <t>Обеспечение  мероприятий подпрограммы "Улучшение условий проживания отдельных категорий граждан, нуждающихся в специальной социальной защите</t>
  </si>
  <si>
    <t xml:space="preserve">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бюджета поселения  </t>
  </si>
  <si>
    <t>Обеспечение мероприятий по улучшение жилищных условий молодых семей , проживающих и на территории Ярославскойобласти</t>
  </si>
  <si>
    <t>Обеспечение мероприятий в сфере ипотечного жилищного кредитования</t>
  </si>
  <si>
    <t>Обеспечение мероприятий по  предупреждению и ликвидации последствий чрезвычайных ситуаций в границах поселения</t>
  </si>
  <si>
    <t>Обеспечение   первичных мер пожарной безопасности в границах населенных пунктов поселения</t>
  </si>
  <si>
    <t>Обеспечение мероприятий по организации населению услуг бань  в общих отделениях</t>
  </si>
  <si>
    <t xml:space="preserve">Обеспечение культурно-досуговых мероприятий </t>
  </si>
  <si>
    <t>Обеспечение  физкультурно-спортивных мероприятий</t>
  </si>
  <si>
    <t>Обеспечение мероприятий по уличному освещению</t>
  </si>
  <si>
    <t>Обеспечение мероприятий по техническому содержанию, текущему и капитальному ремонту сетей уличного освещения</t>
  </si>
  <si>
    <t>Обеспечение мероприятий по озеленению территори поселения</t>
  </si>
  <si>
    <t>Обеспечение мероприятий в области благоустройства</t>
  </si>
  <si>
    <t>Обеспечение мероприятий  по землеустройству и землепользованию,   определению кадастровой стоимости и приобретению прав собственности</t>
  </si>
  <si>
    <t>Обеспечение мероприятий по внесению изменений в документы территориального планирования</t>
  </si>
  <si>
    <t>Обеспечение мероприятий по выдаче градостроительных документов</t>
  </si>
  <si>
    <t>Обеспечение мероприятий по обеспечению безопасности людей на водных объектах, охране их жизни и здоровья</t>
  </si>
  <si>
    <t>Обеспечение мероприятий по поддержке СМИ</t>
  </si>
  <si>
    <t>Обеспечение мероприятий  по капитальному ремонту лифтов в МКД, в части жилых помещений находящихся в муниципальной собственности</t>
  </si>
  <si>
    <t>Мероприятия по оценке условий труда и  обучение специалистов по охране труда в учреждениях на территории Тутаевского муниципального района</t>
  </si>
  <si>
    <t xml:space="preserve">Обеспечение мероприятий в области дорожного хозяйства по строительству светофорных объектов </t>
  </si>
  <si>
    <t>Обеспечение мероприятий по установке приборов учета потребляемых ресурсов</t>
  </si>
  <si>
    <t>Обеспечение мероприятий по строительству, реконструкции и ремонту памятников</t>
  </si>
  <si>
    <t xml:space="preserve">Обеспечение мероприятий в области дорожного хозяйства по ремонту дворовых территорий </t>
  </si>
  <si>
    <t>Обеспечение мероприятий по  содержанию мест захоронения</t>
  </si>
  <si>
    <t>Обеспечение мероприятий по доведению до сведения жителей МО официальной информации о социально-экономическом и культурном  развитии  МО, о развитии его общественной инфраструктуры и иной официальной информации</t>
  </si>
  <si>
    <t>Обеспечение мероприятий по строительству, реконструкции и ремонту общественных туалетов</t>
  </si>
  <si>
    <t>03.2.01</t>
  </si>
  <si>
    <t>Субсидия организациям автомобильного транспорта на возмещение затрат по пассажирским перевозкам внутримуниципальным транспортом общего пользования</t>
  </si>
  <si>
    <t>Обеспечение мероприятий по осуществлению грузопассажирских  перевозок на речном транспорте</t>
  </si>
  <si>
    <t>Субсидия на реализацию муниципальных программ развития малого и среднего предпринимательства  за счет средств областного бюджета</t>
  </si>
  <si>
    <t>Субвенция  на осуществление первичного воинского учета на территориях, где отсутствуют военные комиссариаты</t>
  </si>
  <si>
    <t>Расходы на реализацию МЦП "Улучшение условий и охраны труда"</t>
  </si>
  <si>
    <t>010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</si>
  <si>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</si>
  <si>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от продажи земельных участков, находящихся в государственной и муниципальной собственности</t>
  </si>
  <si>
    <t xml:space="preserve">Дотации на обеспечение сбалансированности бюджетов муниципальных образований Ярославской области </t>
  </si>
  <si>
    <t>2 02 03121 05 0000 151</t>
  </si>
  <si>
    <t>2 02 02216 05 0000 151</t>
  </si>
  <si>
    <t>S1000</t>
  </si>
  <si>
    <t>S1430</t>
  </si>
  <si>
    <t>Расходы на обеспечение функционирования в вечернее время спортивных залов общеобразовательных школ для занятий в них обучающихся</t>
  </si>
  <si>
    <t xml:space="preserve">Выплата ежемесячных и разовых стипендий главы </t>
  </si>
  <si>
    <t>Денежное поощрение лучших руковдящих и педагогических работников за заслуги в сфере образования</t>
  </si>
  <si>
    <t>Строительство, реконструкция и капитальный ремонт спортивных сооружений</t>
  </si>
  <si>
    <t>02.3.03</t>
  </si>
  <si>
    <t>S0470</t>
  </si>
  <si>
    <t>Мероприятия по строительству, реконструкции и ремонту спортивных объектов</t>
  </si>
  <si>
    <t>S4560</t>
  </si>
  <si>
    <t>S1970</t>
  </si>
  <si>
    <t>Cоздание в общеобразовательных организациях условий для занятий физической культурой и спортом</t>
  </si>
  <si>
    <t xml:space="preserve">Развитие сети плоскостных спортивных сооружений в муниципальных образованиях </t>
  </si>
  <si>
    <t>Текущий и капитальный ремонт спортивных залов в общеобразовательных школах</t>
  </si>
  <si>
    <t>S0970</t>
  </si>
  <si>
    <t xml:space="preserve">Расходы на укрепление института семьи, повышение качества жизни семей с несовершеннолетними детьми </t>
  </si>
  <si>
    <t>Взносы на  капитальный ремонт  жилых помещений муниципального жилищного фонда</t>
  </si>
  <si>
    <t>Расходы по предупреждению и ликвидации последствий чрезвычайных ситуаций на территории района</t>
  </si>
  <si>
    <t>Субсидия на выполнение ОМС Тутаевского МР полномочий по организации теплоснабжения</t>
  </si>
  <si>
    <t>Обеспечение мероприятий по замене приборов учета в муниципальном жилищном фонде</t>
  </si>
  <si>
    <t>2. Субсидия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</si>
  <si>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S2880</t>
  </si>
  <si>
    <t>Компенсация части расходов на приобретение путевки в организации отдыха детей и их оздоровления</t>
  </si>
  <si>
    <t>Исполнение публичных обязательств по предоставлению выплат, пособий и компенсаций</t>
  </si>
  <si>
    <t>Муниципальная целевая программа "Подготовка объектов коммунального хозяйства Тутаевского муниципального района к работе в осенне-зимних условиях"</t>
  </si>
  <si>
    <t>S1690</t>
  </si>
  <si>
    <t>S0650</t>
  </si>
  <si>
    <t>Оказание адресной материальной помощи</t>
  </si>
  <si>
    <t>Расходы на реализацию  МЦП "Комплексные меры противодействия злоупотреблению наркотиками и их незаконному обороту"</t>
  </si>
  <si>
    <t>2 02 02079 05 0000 151</t>
  </si>
  <si>
    <t>Субсидии бюджетам муниципальных районов на переселение граждан из жилищного фонда, признанного непригодным для проживания, и (или) жилищного фонда с высоким уровнем износа (более 70 процентов)</t>
  </si>
  <si>
    <t>1 17 01050 13 0000 180</t>
  </si>
  <si>
    <t>2 02 01001 13 0000 151</t>
  </si>
  <si>
    <t>Дотации бюджетам городских поселений на выравнивание бюджетной обеспеченности</t>
  </si>
  <si>
    <t>2 02 01999 13 0000 151</t>
  </si>
  <si>
    <t>Прочие дотации бюджетам городских поселений</t>
  </si>
  <si>
    <t>2 08 05000 13 0000 180</t>
  </si>
  <si>
    <t>Перечисления из бюджетов городских поселений (в бюджеты городских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</si>
  <si>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 xml:space="preserve">Главные администраторы доходов бюджета Тутаевского муниципального района и доходов бюджета городского поселения Тутаев </t>
  </si>
  <si>
    <t>Источники внутреннего финансирования дефицита  бюджета Тутаевского муниципального района на плановый период 2017-2018 годов</t>
  </si>
  <si>
    <t>2017 год редакция 1 Сумма, руб.</t>
  </si>
  <si>
    <t>2018 год редакция 1  Сумма, руб.</t>
  </si>
  <si>
    <t>2006</t>
  </si>
  <si>
    <t>2009</t>
  </si>
  <si>
    <t>2015</t>
  </si>
  <si>
    <t>2016</t>
  </si>
  <si>
    <t>2018</t>
  </si>
  <si>
    <t>3014</t>
  </si>
  <si>
    <t>3015</t>
  </si>
  <si>
    <t>3003</t>
  </si>
  <si>
    <t>3004</t>
  </si>
  <si>
    <t>3005</t>
  </si>
  <si>
    <t>3028</t>
  </si>
  <si>
    <t>3029</t>
  </si>
  <si>
    <t>3030</t>
  </si>
  <si>
    <t>3031</t>
  </si>
  <si>
    <t>3019</t>
  </si>
  <si>
    <t>3021</t>
  </si>
  <si>
    <t>3022</t>
  </si>
  <si>
    <t>3023</t>
  </si>
  <si>
    <t>3010</t>
  </si>
  <si>
    <t>3008</t>
  </si>
  <si>
    <t>3013</t>
  </si>
  <si>
    <t>3009</t>
  </si>
  <si>
    <t>3020</t>
  </si>
  <si>
    <t>3007</t>
  </si>
  <si>
    <t>3017</t>
  </si>
  <si>
    <t>3006</t>
  </si>
  <si>
    <t>3027</t>
  </si>
  <si>
    <t>3026</t>
  </si>
  <si>
    <t>3024</t>
  </si>
  <si>
    <t>Субвенции бюджетам муниципальных районов на государственную регистрацию актов гражданского состояния</t>
  </si>
  <si>
    <t>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</si>
  <si>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</si>
  <si>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</si>
  <si>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Распределение бюджетных ассигнований по программным и непрограммным расходам бюджета Тутаевского муниципального района на плановый период 2017-2018 годов</t>
  </si>
  <si>
    <t>Распределение бюджетных ассигнований по программным и непрограммным расходам бюджета Тутаевского муниципального района на 2016 год</t>
  </si>
  <si>
    <t>Обеспечение мероприятий по переселению граждан из аварийного жилищного фонда за счет средств бюджета поселения (доп.пл)</t>
  </si>
  <si>
    <t>S9602</t>
  </si>
  <si>
    <t>от "17"декабря 2015 г.№123-г</t>
  </si>
  <si>
    <t>от "17"декабря 2015 г. №123-г</t>
  </si>
  <si>
    <t>от "17"декабря 2015 г.№ 123-г</t>
  </si>
  <si>
    <t>14.0.02</t>
  </si>
  <si>
    <t>Реализация мероприятий по деятельности народных дружин</t>
  </si>
  <si>
    <t>Расходы на обеспечение деятельности народных дружин</t>
  </si>
  <si>
    <t>на 01.01.2016</t>
  </si>
  <si>
    <t>ПРОФИЦИТ+/ДЕФИЦИТ-</t>
  </si>
  <si>
    <t>Муниципальная целевая программа "Духовно-нравственное воспитание и просвещение населения Тутаевского муниципального района"</t>
  </si>
  <si>
    <t>15.0.04</t>
  </si>
  <si>
    <t>S2446</t>
  </si>
  <si>
    <t>S4796</t>
  </si>
  <si>
    <t>Обеспечение мероприятий в области дорожного хозяйства на ремонт и содержание дорог за счет средств областного бюджета</t>
  </si>
  <si>
    <t>Расходы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</si>
  <si>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Обеспечение мероприятий в области дорожного хозяйства на ремонт и содержание автомобильных дорог</t>
  </si>
  <si>
    <t>Обеспечение мероприятий в области дорожного хозяйства по  ремонту дворовых территорий</t>
  </si>
  <si>
    <t>088</t>
  </si>
  <si>
    <t>0002</t>
  </si>
  <si>
    <t>089</t>
  </si>
  <si>
    <t>Субсидии бюджетам муниципальных районов на обеспечение мероприятий по переселению граждан из аварийного жилищного фонда за счет средств бюджетов</t>
  </si>
  <si>
    <t>2022</t>
  </si>
  <si>
    <t>Субсидия на развитие органов местного самоуправления на территории Ярославской области</t>
  </si>
  <si>
    <t>078</t>
  </si>
  <si>
    <t>2013</t>
  </si>
  <si>
    <t>Субсидия на развитие сети плоскостных спортивных сооружений в муниципальных образованиях Ярославской области</t>
  </si>
  <si>
    <t>3032</t>
  </si>
  <si>
    <t>Субвенция на содержание муниципальных казенных учреждений социального обслуживания населения, на предоставление субсидий муниципальным бюджетным учреждениям социального обслуживания населения на выполнение муниципальных заданий и иные цели в части обеспечения доступности объектов и услуг для инвалидов</t>
  </si>
  <si>
    <t>2913</t>
  </si>
  <si>
    <t>Межбюджетные трансферты на обеспечение мероприятий по улучшению жилищных условий молодых семей,проживающих и на территории Ярославской области</t>
  </si>
  <si>
    <t>2914</t>
  </si>
  <si>
    <t xml:space="preserve">Межбюджетные трансферты на обеспечение мероприятий по переселению граждан из аварийного жилищного фонда за счет средств бюджета поселения </t>
  </si>
  <si>
    <t>2928</t>
  </si>
  <si>
    <t>Межбюджетные трансферты на обеспечение мероприятий по внесению изменений в документы территориального планирования</t>
  </si>
  <si>
    <t>2935</t>
  </si>
  <si>
    <t>Межбюджетные трансферты на обеспечение деятельности общественных организаций</t>
  </si>
  <si>
    <t>2940</t>
  </si>
  <si>
    <t xml:space="preserve">Межбюджетные трансферты на обеспечение мероприятий по переселению граждан из аварийного жилищного фонда, непригодного для проживания, с высоким уровнем износа </t>
  </si>
  <si>
    <t>2946</t>
  </si>
  <si>
    <t>Межбюджетные трансферты на обеспечение мероприятий по защите от чрезвычайных ситуаций природного и техногенного характера</t>
  </si>
  <si>
    <t>2951</t>
  </si>
  <si>
    <t>Межбюджетные трансферты на оказание поддержки социально-ориентированным некоммерческим организациям</t>
  </si>
  <si>
    <t>2922</t>
  </si>
  <si>
    <t>Межбюджетные трансферты на обеспечение физкультурно-спортивных мероприятий</t>
  </si>
  <si>
    <t>2921</t>
  </si>
  <si>
    <t>Межбюджетные трансферты на обеспечение культурно-досуговых мероприятий</t>
  </si>
  <si>
    <t>2936</t>
  </si>
  <si>
    <t>Межбюджетные трансферты на обеспечение мероприятий по поддержке СМИ</t>
  </si>
  <si>
    <t>2948</t>
  </si>
  <si>
    <t>Межбюджетные трансферты на обеспечение деятельности народных дружин</t>
  </si>
  <si>
    <t>2950</t>
  </si>
  <si>
    <t>Межбюджетные трансферты на обеспечение мероприятий по строительству, реконструкции и ремонту общественных туалетов</t>
  </si>
  <si>
    <t>2903</t>
  </si>
  <si>
    <t>Межбюджетные трансферты на обеспечение мероприятий, связанных с выполнением полномочий ОМС МО по тепло-, водоснабжению и водоотведению</t>
  </si>
  <si>
    <t>2904</t>
  </si>
  <si>
    <t>Межбюджетные трансферты на обеспечение мероприятий на строительство и реконструкцию объектов водоснабжения и водоотведения</t>
  </si>
  <si>
    <t>Межбюджетные трансферты на обеспечение мероприятий в области дорожного хозяйства по строительству светофорных объектов</t>
  </si>
  <si>
    <t>Межбюджетные трансферты на обеспечение мероприятий по осуществлению грузопассажирских  перевозок на речном транспорте</t>
  </si>
  <si>
    <t>Межбюджетные трансферты на обеспечение мероприятий по осуществлению пассажирских  перевозок на автомобильном  транспорте</t>
  </si>
  <si>
    <t>Межбюджетные трансферты на обеспечение мероприятий по установке приборов учета потребляемых ресурсов</t>
  </si>
  <si>
    <t>Межбюджетные трансферты на обеспечение мероприятий по содержанию и организации ритуальных услуг и содержание мест захоронения</t>
  </si>
  <si>
    <t>2937</t>
  </si>
  <si>
    <t>Межбюджетные трансферты на обеспечение мероприятий по содержанию, реконструкции и ремонту муниципального жилищного фонда</t>
  </si>
  <si>
    <t>2947</t>
  </si>
  <si>
    <t>Межбюджетные трансферты на обеспечение мероприятий по строительству,реконструкции и ремонту памятников</t>
  </si>
  <si>
    <t>2949</t>
  </si>
  <si>
    <t>Межбюджетные трансферты на обеспечение мероприятий в области дорожного хозяйства по ремонту дворовых территорий</t>
  </si>
  <si>
    <t>Субсидия на переселение граждан из жилищного фонда, признанного непригодным для проживания, и (или) жилищного фонда с высоким уровнем износа</t>
  </si>
  <si>
    <t>Субсидия на переселение граждан из жилищного фонда, признанного непригодным для проживания, и (или) жилищного фонда с высоким уровнем износа из бюджета поселения</t>
  </si>
  <si>
    <t>S2016</t>
  </si>
  <si>
    <t>Субсидия на реализацию мероприятий по строительству и реконструкции объектов теплоснабжения и газификации  софинансирование из средств поселений</t>
  </si>
  <si>
    <t xml:space="preserve">Субсидия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корпарации -Фонда содействия реформированию ЖКХ </t>
  </si>
  <si>
    <t xml:space="preserve">Субсидия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t>
  </si>
  <si>
    <t xml:space="preserve">Субсидия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местных бюджетов </t>
  </si>
  <si>
    <t>Приложение 7</t>
  </si>
  <si>
    <t>3. Субсидия на реализацию мероприятий по строительству и реконструкции объектов теплоснабжения и газификации</t>
  </si>
  <si>
    <t>Распределение иных межбюджетных трансфертов бюджетам поселений Тутаевского муниципального района на 2016 год</t>
  </si>
  <si>
    <t>Распределение иных межбюджетных трансфертов бюджетам поселений Тутаевского муниципального района на плановый период  2017-2018  годов</t>
  </si>
  <si>
    <t>Обеспечение мероприятий по содержанию,  реконструкции и капитальному ремонту муниципального жилищного фонда</t>
  </si>
  <si>
    <t>17.1.01.</t>
  </si>
  <si>
    <t>Содержание главы местной администрации</t>
  </si>
  <si>
    <t>Поддержка деятельности социально-ориентированных некоммерческих организаций</t>
  </si>
  <si>
    <t>R0840</t>
  </si>
  <si>
    <t>01.2.02</t>
  </si>
  <si>
    <t>Реализация мер направленных на пропаганду патриотических ценностей</t>
  </si>
  <si>
    <t>Обеспечение мероприятий по осуществлению грузопассажирских перевозок на речном транспорте</t>
  </si>
  <si>
    <t>Организация мероприятий по осуществлению грузопассажирских перевозок на речном транспорте</t>
  </si>
  <si>
    <t>Межбюджетные трансферты на обеспечение мероприятий по строительству, реконструкции и ремонту памятников</t>
  </si>
  <si>
    <t>от "____" ___________г.№_____</t>
  </si>
  <si>
    <t>от "_____"___________ г.№ _______</t>
  </si>
  <si>
    <t>1. Межбюджетные трансферты на организацию  в границах поселения водоснабжения населения</t>
  </si>
  <si>
    <t>1.Межбюджетные трансферты на организацию  в границах поселения водоснабжения населения</t>
  </si>
  <si>
    <t>4. Субсидия на реализацию подпрограммы «Государственная  поддержка граждан, проживающих на территории Ярославской области,  в сфере ипотечного жилищного кредитования»</t>
  </si>
  <si>
    <t xml:space="preserve">5. Субсидия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корпарации -Фонда содействия реформированию ЖКХ </t>
  </si>
  <si>
    <t xml:space="preserve">6. Субсидия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t>
  </si>
  <si>
    <t>7. Субсидия  на развитие органов местного самоуправления на территории ЯО</t>
  </si>
  <si>
    <t>09.3.04</t>
  </si>
  <si>
    <t>Мероприятия направленные на выполнение работ по оценке перспектив стратегического планирования развития сельского хозяйства Тутаевского муниципального района</t>
  </si>
  <si>
    <t>Приложение 5</t>
  </si>
  <si>
    <t>S1216</t>
  </si>
  <si>
    <t>Субсидия на переселение граждан из жилищного фонда, признанного непригодным для проживания, и (или) жилищного фонда с высоким уровнем износа, переданные полномочия</t>
  </si>
  <si>
    <t>на 01.01.2019 (прогноз)</t>
  </si>
  <si>
    <t>на 01.01.2019</t>
  </si>
  <si>
    <t xml:space="preserve">Обеспечение мероприятий по организации населению услуг торговли </t>
  </si>
  <si>
    <t>Обеспечение мероприятий по актуализации схем теплоснабжения</t>
  </si>
  <si>
    <t>Обеспечение участия  по  сбору   и  транспортированию ТКО и КГО</t>
  </si>
  <si>
    <t>051</t>
  </si>
  <si>
    <t>Субсидия на государственную поддержку молодых семей Ярославской области в приобретении (строительстве) жилья за счет средств федерального бюджета</t>
  </si>
  <si>
    <t>2005</t>
  </si>
  <si>
    <t>Субсидия на реализацию задачи по государственной поддержке граждан, проживающих на территории Ярославской области, в сфере ипотечного жилищного кредитования</t>
  </si>
  <si>
    <t>2952</t>
  </si>
  <si>
    <t>Межбюджетные трансферты  на обеспечение мероприятий по организации населению услуг торговли</t>
  </si>
  <si>
    <t>2955</t>
  </si>
  <si>
    <t>Межбюджетные трансферты на обеспечение других обязательств в рамках передаваемых полномочий по содержанию казны поселения</t>
  </si>
  <si>
    <t>2017</t>
  </si>
  <si>
    <t>Субсидия на государственную поддержку материально-технической базы образовательных организаций</t>
  </si>
  <si>
    <t>118</t>
  </si>
  <si>
    <t>Межбюджетные трансферты, передаваемые бюджетам муниципальных районов на финансовое обеспечение мероприятий, связанных с отдыхом и оздоровлением детей, находящихся в трудной жизненной ситуации</t>
  </si>
  <si>
    <t>Дотации на реализацию мероприятий, предусмотренных нормативными актами органов государственной власти Ярославской области</t>
  </si>
  <si>
    <t>1003</t>
  </si>
  <si>
    <t>4003</t>
  </si>
  <si>
    <t>Межбюджетные трансферты на содействие решению вопросов местного значения по обращениям депутатов Ярославской областной Думы</t>
  </si>
  <si>
    <t>079</t>
  </si>
  <si>
    <t>077</t>
  </si>
  <si>
    <t>Субсидия на осуществление бюджетных инвестиций в объекты капитального строительства и реконструкции дорожного хозяйства муниципальной собственности</t>
  </si>
  <si>
    <t>2024</t>
  </si>
  <si>
    <t>Субсидия на благоустройство населенных пунктов Ярославской области</t>
  </si>
  <si>
    <t>2953</t>
  </si>
  <si>
    <t>Межбюджетные трансферты на обеспечение мероприятий по актуализации схем теплоснабжения</t>
  </si>
  <si>
    <t>2954</t>
  </si>
  <si>
    <t>Межбюджетные трансферты на обеспечение участия по сбору и транспортированию твердых коммунальных отходов и крупногабаритных отходов</t>
  </si>
  <si>
    <t>8. Субсидия на благоустройство населенных пунктов Ярославской области</t>
  </si>
  <si>
    <t xml:space="preserve">9. Субсидия на обеспечение мероприятий по переселению граждан из непригодного для проживания   жилищного фонда  свысоким уровнем износа,  за счет средств областного бюджета  </t>
  </si>
  <si>
    <t>S4776</t>
  </si>
  <si>
    <t>Софинансирование субсидии на благоустройство населенных пунктов Ярославской области</t>
  </si>
  <si>
    <t>Субсидия на мероприятия по благоустройству  на содействие решения вопросов МЗ по обращению депутатов Думы   ЯО</t>
  </si>
  <si>
    <t>Распределение  субсидий  бюджетам поселений Тутаевского муниципального района на плановый период  2017-2018  годов</t>
  </si>
  <si>
    <t>1. Субсидия на реализацию мероприятий по строительству и реконструкции объектов теплоснабжения и газификации</t>
  </si>
  <si>
    <t>Субсидии бюджетам муниципальных районов на бюджетные инвестиции для модернизации объектов коммунальной инфраструктуры (Субсидия на реализацию мероприятий по строительству и реконструкции объектов газификации)</t>
  </si>
  <si>
    <t>S2440</t>
  </si>
  <si>
    <t>71236</t>
  </si>
  <si>
    <t>Мероприятия направленные на реализацию задачи по государственной поддержке граждан, проживающих на территории ЯО, в сфере ипотечного жилищного кредитования</t>
  </si>
  <si>
    <t>R0200</t>
  </si>
  <si>
    <t>Субсидия на государственную поддержку молодых семей Ярославской области в приобретении (строительстве) жилья за счет средств областного бюджета</t>
  </si>
  <si>
    <t>R0206</t>
  </si>
  <si>
    <t>Субсидия на реализацию мероприятий по господдержке молодых семей Ярославской области в приобретении (строительстве) жилья</t>
  </si>
  <si>
    <t>S1236</t>
  </si>
  <si>
    <t>L0206</t>
  </si>
  <si>
    <t>Обеспечение меропритяий по улучшению жилищных условий молодых семей, проживающих на территории ЯО</t>
  </si>
  <si>
    <t xml:space="preserve">Субсидия на государственную поддержку молодых семей Ярославской области в приобретении (строительстве) жилья </t>
  </si>
  <si>
    <t>Субсидии на мероприятия подпрограммы "Обеспечение жильем молодых семей" за счет средств федерального бюджета</t>
  </si>
  <si>
    <t>Субсидии на государственную поддержку молодых семей ЯО в приобретении (строительстве) жилья за счет средств федерального бюджета</t>
  </si>
  <si>
    <t xml:space="preserve">10. Субсидия на государственную поддержку молодых семей Ярославской области в приобретении (строительстве) жилья за счет средств областного бюджета </t>
  </si>
  <si>
    <t>11. Субсидия на государственную поддержку молодых семей Ярославской области в приобретении (строительстве) жилья за счет средств федерального бюджета</t>
  </si>
  <si>
    <t xml:space="preserve">12 . Субсидия на  осуществление бюджетных инвестиций в объекты капитального строительства и реконструкции дорожного хозяйства муниципальной собственности </t>
  </si>
  <si>
    <t xml:space="preserve">3. Субсидия на государственную поддержку молодых семей Ярославской области в приобретении (строительстве) жилья за счет средств областного бюджета </t>
  </si>
  <si>
    <t>75206</t>
  </si>
  <si>
    <t>S5206</t>
  </si>
  <si>
    <t xml:space="preserve"> Обеспечение софинансирования субсидии на  мероприятия по бесперебойному предоставлению коммунальных услуг потребителям Ярославской области, средства поселения</t>
  </si>
  <si>
    <t xml:space="preserve"> Обеспечение софинансирования субсидии на  мероприятия по бесперебойному предоставлению коммунальных услуг потребителям Ярославской области, средства района</t>
  </si>
  <si>
    <t>S5200</t>
  </si>
  <si>
    <t>Субсидия на выполнение мероприятий по обеспечению бесперебойного предоставления коммунальных услуг потребителям Ярославской области</t>
  </si>
  <si>
    <t>Субсидия на реализацию мероприятий по строительству и реконструкции объектов водоснабжения и водоотведения за счет средств областного бюджета</t>
  </si>
  <si>
    <t>Мероприятия по обеспечению бесперебойного предоставления коммунальных услуг потребителям Ярославской области</t>
  </si>
  <si>
    <t>Обеспечение других обязательств в рамках передаваемых полномочий по содержанию имущества казны городского поселения Тутаев</t>
  </si>
  <si>
    <t>Расходы на обеспечение отдыха и оздоровления  детей, находящихся в трудной жизненной ситтуации,детей погибших сотрудников правоохранительных органов и военнослужащих,безнадзорных детей за счет средств областного бюджета</t>
  </si>
  <si>
    <t>Мероприятия по содействию решению вопросов местного значения по обращению депутатов Ярославской областной Думы</t>
  </si>
  <si>
    <t>2. Мероприятия по содействию решению вопросов местного значения по обращениям депутатов Ярославской областной Думы</t>
  </si>
  <si>
    <t>Изм</t>
  </si>
  <si>
    <t>Редакция 4</t>
  </si>
  <si>
    <t>2017 Редакция 4 Сумма, руб.</t>
  </si>
  <si>
    <t>2018 Редакция 4 Сумма, руб.</t>
  </si>
  <si>
    <t>2018  Редакция 4  Сумма, руб.</t>
  </si>
  <si>
    <t>2017 год Редакция 4 Сумма, руб.</t>
  </si>
  <si>
    <t xml:space="preserve"> Редакция 4</t>
  </si>
  <si>
    <t>Редакция 5</t>
  </si>
  <si>
    <t>Редакция 3</t>
  </si>
  <si>
    <t xml:space="preserve"> Редакция 3</t>
  </si>
  <si>
    <t xml:space="preserve"> Редакция 5</t>
  </si>
  <si>
    <t xml:space="preserve">4. Субсидия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t>
  </si>
  <si>
    <t>019</t>
  </si>
  <si>
    <t>Субсидии бюджетам муниципальных районов на реализацию программ поддержки социально ориентированных некоммерческих организаций</t>
  </si>
  <si>
    <t>2004</t>
  </si>
  <si>
    <t>207</t>
  </si>
  <si>
    <t>Субсидии бюджетам муниципальных районов на реализацию мероприятий государственнной программы Российской Федерации "Доступная среда" на 2011-2020 годы</t>
  </si>
  <si>
    <t>012</t>
  </si>
  <si>
    <t>4002</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</si>
  <si>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 (резервный фонд - решения Правительства ЯО)</t>
  </si>
  <si>
    <t>2010</t>
  </si>
  <si>
    <t>Субсидия на реализацию мероприятий по патриотическому воспитанию граждан</t>
  </si>
  <si>
    <t>052</t>
  </si>
  <si>
    <t>Межбюджетные трансферты, передаваемые бюджетам муниципальных районов на государственную поддержку муниципальных учреждений культуры, находящихся на территориях сельских поселений</t>
  </si>
  <si>
    <t>Межбюджетные трансферты, передаваемые бюджетам муниципальных районов на государственную поддержку лучших работников муниципальных учреждений культуры, находящихся на территориях сельских поселений</t>
  </si>
  <si>
    <t>2030</t>
  </si>
  <si>
    <t xml:space="preserve">Субсидия на реализацию мероприятий по строительству и реконструкции объектов водоснабжения и водоотведения за счет средств областного бюджета </t>
  </si>
  <si>
    <t>Предоставление субсидий социально ориентированным некомерческим организациям на конкурсной основе</t>
  </si>
  <si>
    <t>Субсидии на мероприятия государственной программы Российской Федерации "Доступная среда"</t>
  </si>
  <si>
    <t>L0270</t>
  </si>
  <si>
    <t>R0270</t>
  </si>
  <si>
    <t>S4880</t>
  </si>
  <si>
    <t>Мероприятия по патриотическому воспитанию граждан</t>
  </si>
  <si>
    <t>Иные межбюджетные трансферты на государственную поддержку муниципальных учреждений культуры</t>
  </si>
  <si>
    <t>Иные межбюджетные трансферты на государственную поддержку лучших работников муниципальных учреждений культуры, находящихся на территориях сельских поселений</t>
  </si>
  <si>
    <t>Иные межбюджетные трансферты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</si>
  <si>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Санкт-Петербурга</t>
  </si>
  <si>
    <t xml:space="preserve">На комплектование книжных фондов библиотек муниципальных образований </t>
  </si>
  <si>
    <t>09502</t>
  </si>
  <si>
    <t>09602</t>
  </si>
  <si>
    <t>2017 Редакция 5 Сумма, руб.</t>
  </si>
  <si>
    <t>2018 Редакция 5 Сумма, руб.</t>
  </si>
  <si>
    <t>Приложение 3</t>
  </si>
</sst>
</file>

<file path=xl/styles.xml><?xml version="1.0" encoding="utf-8"?>
<styleSheet xmlns="http://schemas.openxmlformats.org/spreadsheetml/2006/main">
  <numFmts count="10">
    <numFmt numFmtId="44" formatCode="_-* #,##0.00&quot;р.&quot;_-;\-* #,##0.00&quot;р.&quot;_-;_-* &quot;-&quot;??&quot;р.&quot;_-;_-@_-"/>
    <numFmt numFmtId="43" formatCode="_-* #,##0.00_р_._-;\-* #,##0.00_р_._-;_-* &quot;-&quot;??_р_._-;_-@_-"/>
    <numFmt numFmtId="164" formatCode="#,##0_р_."/>
    <numFmt numFmtId="165" formatCode=";;"/>
    <numFmt numFmtId="166" formatCode="0000"/>
    <numFmt numFmtId="167" formatCode="000"/>
    <numFmt numFmtId="168" formatCode="0000000"/>
    <numFmt numFmtId="169" formatCode="0.0%"/>
    <numFmt numFmtId="170" formatCode="_-* #,##0_р_._-;\-* #,##0_р_._-;_-* &quot;-&quot;??_р_._-;_-@_-"/>
    <numFmt numFmtId="171" formatCode="00000"/>
  </numFmts>
  <fonts count="67">
    <font>
      <sz val="10"/>
      <name val="Arial Cyr"/>
      <charset val="204"/>
    </font>
    <font>
      <sz val="11"/>
      <color theme="1"/>
      <name val="Calibri"/>
      <family val="2"/>
      <charset val="204"/>
      <scheme val="minor"/>
    </font>
    <font>
      <sz val="10"/>
      <name val="Arial Cyr"/>
      <charset val="204"/>
    </font>
    <font>
      <sz val="12"/>
      <name val="Times New Roman"/>
      <family val="1"/>
      <charset val="204"/>
    </font>
    <font>
      <b/>
      <sz val="12"/>
      <name val="Times New Roman"/>
      <family val="1"/>
      <charset val="204"/>
    </font>
    <font>
      <i/>
      <sz val="12"/>
      <name val="Times New Roman"/>
      <family val="1"/>
      <charset val="204"/>
    </font>
    <font>
      <sz val="12"/>
      <name val="Arial Cyr"/>
      <charset val="204"/>
    </font>
    <font>
      <sz val="12"/>
      <color indexed="8"/>
      <name val="Times New Roman"/>
      <family val="1"/>
    </font>
    <font>
      <b/>
      <sz val="12"/>
      <color indexed="8"/>
      <name val="Times New Roman"/>
      <family val="1"/>
    </font>
    <font>
      <b/>
      <sz val="12"/>
      <name val="Times New Roman"/>
      <family val="1"/>
    </font>
    <font>
      <sz val="12"/>
      <name val="Times New Roman"/>
      <family val="1"/>
    </font>
    <font>
      <b/>
      <sz val="14"/>
      <name val="Times New Roman"/>
      <family val="1"/>
    </font>
    <font>
      <b/>
      <sz val="12"/>
      <name val="Arial Cyr"/>
      <charset val="204"/>
    </font>
    <font>
      <sz val="12"/>
      <name val="Times New Roman Cyr"/>
      <family val="1"/>
      <charset val="204"/>
    </font>
    <font>
      <b/>
      <sz val="14"/>
      <name val="Times New Roman Cyr"/>
      <family val="1"/>
      <charset val="204"/>
    </font>
    <font>
      <b/>
      <i/>
      <sz val="12"/>
      <name val="Times New Roman Cyr"/>
      <family val="1"/>
      <charset val="204"/>
    </font>
    <font>
      <b/>
      <sz val="12"/>
      <name val="Times New Roman Cyr"/>
      <family val="1"/>
      <charset val="204"/>
    </font>
    <font>
      <b/>
      <sz val="12"/>
      <name val="Times New Roman Cyr"/>
      <charset val="204"/>
    </font>
    <font>
      <i/>
      <sz val="12"/>
      <name val="Times New Roman Cyr"/>
      <family val="1"/>
      <charset val="204"/>
    </font>
    <font>
      <sz val="12"/>
      <name val="Times New Roman CYR"/>
      <charset val="204"/>
    </font>
    <font>
      <sz val="8"/>
      <name val="Times New Roman"/>
      <family val="1"/>
      <charset val="204"/>
    </font>
    <font>
      <b/>
      <sz val="10"/>
      <name val="Times New Roman"/>
      <family val="1"/>
      <charset val="204"/>
    </font>
    <font>
      <sz val="10"/>
      <name val="Times New Roman"/>
      <family val="1"/>
      <charset val="204"/>
    </font>
    <font>
      <i/>
      <sz val="10"/>
      <name val="Times New Roman"/>
      <family val="1"/>
      <charset val="204"/>
    </font>
    <font>
      <b/>
      <sz val="10"/>
      <color indexed="8"/>
      <name val="Times New Roman"/>
      <family val="1"/>
      <charset val="204"/>
    </font>
    <font>
      <sz val="10"/>
      <color indexed="8"/>
      <name val="Times New Roman"/>
      <family val="1"/>
      <charset val="204"/>
    </font>
    <font>
      <sz val="12"/>
      <color indexed="8"/>
      <name val="Times New Roman"/>
      <family val="1"/>
      <charset val="204"/>
    </font>
    <font>
      <sz val="10"/>
      <color indexed="72"/>
      <name val="Arial"/>
      <family val="2"/>
      <charset val="204"/>
    </font>
    <font>
      <b/>
      <sz val="10"/>
      <color indexed="72"/>
      <name val="Arial"/>
      <family val="2"/>
      <charset val="204"/>
    </font>
    <font>
      <i/>
      <sz val="12"/>
      <name val="Times New Roman CYR"/>
      <charset val="204"/>
    </font>
    <font>
      <b/>
      <sz val="12"/>
      <color indexed="8"/>
      <name val="Times New Roman"/>
      <family val="1"/>
      <charset val="204"/>
    </font>
    <font>
      <sz val="12"/>
      <name val="Times New Roman"/>
      <family val="1"/>
      <charset val="204"/>
    </font>
    <font>
      <sz val="14"/>
      <name val="Times New Roman"/>
      <family val="1"/>
      <charset val="204"/>
    </font>
    <font>
      <b/>
      <sz val="10"/>
      <name val="Arial Cyr"/>
      <charset val="204"/>
    </font>
    <font>
      <b/>
      <sz val="12"/>
      <color indexed="72"/>
      <name val="Times New Roman"/>
      <family val="1"/>
    </font>
    <font>
      <sz val="12"/>
      <color indexed="72"/>
      <name val="Times New Roman"/>
      <family val="1"/>
    </font>
    <font>
      <sz val="8"/>
      <name val="Arial Cyr"/>
      <charset val="204"/>
    </font>
    <font>
      <sz val="10"/>
      <color indexed="8"/>
      <name val="Times New Roman"/>
      <family val="1"/>
      <charset val="204"/>
    </font>
    <font>
      <sz val="14"/>
      <name val="Times New Roman"/>
      <family val="1"/>
    </font>
    <font>
      <b/>
      <sz val="14"/>
      <name val="Times New Roman"/>
      <family val="1"/>
      <charset val="204"/>
    </font>
    <font>
      <b/>
      <sz val="13"/>
      <name val="Times New Roman"/>
      <family val="1"/>
    </font>
    <font>
      <sz val="11"/>
      <name val="Times New Roman"/>
      <family val="1"/>
    </font>
    <font>
      <b/>
      <sz val="11"/>
      <name val="Times New Roman"/>
      <family val="1"/>
      <charset val="204"/>
    </font>
    <font>
      <sz val="11"/>
      <name val="Times New Roman"/>
      <family val="1"/>
      <charset val="204"/>
    </font>
    <font>
      <sz val="10"/>
      <name val="Arial"/>
      <family val="2"/>
      <charset val="204"/>
    </font>
    <font>
      <sz val="10"/>
      <name val="Times New Roman"/>
      <family val="1"/>
    </font>
    <font>
      <sz val="11"/>
      <color rgb="FF000000"/>
      <name val="Times New Roman"/>
      <family val="1"/>
      <charset val="204"/>
    </font>
    <font>
      <b/>
      <sz val="12"/>
      <color rgb="FF000000"/>
      <name val="Times New Roman"/>
      <family val="1"/>
      <charset val="204"/>
    </font>
    <font>
      <sz val="12"/>
      <color rgb="FF000000"/>
      <name val="Times New Roman"/>
      <family val="1"/>
      <charset val="204"/>
    </font>
    <font>
      <b/>
      <sz val="10"/>
      <name val="Arial"/>
      <family val="2"/>
      <charset val="204"/>
    </font>
    <font>
      <sz val="11"/>
      <color rgb="FFFF0000"/>
      <name val="Times New Roman"/>
      <family val="1"/>
      <charset val="204"/>
    </font>
    <font>
      <sz val="12"/>
      <color indexed="72"/>
      <name val="Times New Roman"/>
      <family val="1"/>
      <charset val="204"/>
    </font>
    <font>
      <b/>
      <sz val="12"/>
      <color indexed="72"/>
      <name val="Times New Roman"/>
      <family val="1"/>
      <charset val="204"/>
    </font>
    <font>
      <sz val="9"/>
      <name val="Times New Roman"/>
      <family val="1"/>
      <charset val="204"/>
    </font>
    <font>
      <sz val="10"/>
      <name val="Times New Roman Cyr"/>
      <family val="1"/>
      <charset val="204"/>
    </font>
    <font>
      <sz val="12"/>
      <color rgb="FFFF0000"/>
      <name val="Times New Roman"/>
      <family val="1"/>
      <charset val="204"/>
    </font>
    <font>
      <sz val="10"/>
      <color rgb="FFFF0000"/>
      <name val="Times New Roman"/>
      <family val="1"/>
      <charset val="204"/>
    </font>
    <font>
      <i/>
      <sz val="12"/>
      <color rgb="FF000000"/>
      <name val="Times New Roman"/>
      <family val="1"/>
      <charset val="204"/>
    </font>
    <font>
      <b/>
      <sz val="12"/>
      <color theme="1"/>
      <name val="Times New Roman"/>
      <family val="1"/>
      <charset val="204"/>
    </font>
    <font>
      <i/>
      <sz val="10"/>
      <name val="Arial Cyr"/>
      <charset val="204"/>
    </font>
    <font>
      <sz val="9"/>
      <color indexed="81"/>
      <name val="Tahoma"/>
      <family val="2"/>
      <charset val="204"/>
    </font>
    <font>
      <b/>
      <sz val="9"/>
      <color indexed="81"/>
      <name val="Tahoma"/>
      <family val="2"/>
      <charset val="204"/>
    </font>
    <font>
      <sz val="12"/>
      <color rgb="FFFF0000"/>
      <name val="Times New Roman Cyr"/>
      <family val="1"/>
      <charset val="204"/>
    </font>
    <font>
      <sz val="12"/>
      <color rgb="FFFF0000"/>
      <name val="Times New Roman CYR"/>
      <charset val="204"/>
    </font>
    <font>
      <sz val="12"/>
      <name val="Arial"/>
      <family val="2"/>
      <charset val="204"/>
    </font>
    <font>
      <sz val="10"/>
      <name val="Arial"/>
      <family val="2"/>
      <charset val="204"/>
    </font>
    <font>
      <sz val="10"/>
      <name val="Arial"/>
      <charset val="204"/>
    </font>
  </fonts>
  <fills count="18">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theme="0" tint="-0.249977111117893"/>
        <bgColor indexed="64"/>
      </patternFill>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2" tint="-9.9948118533890809E-2"/>
        <bgColor indexed="64"/>
      </patternFill>
    </fill>
    <fill>
      <patternFill patternType="solid">
        <fgColor theme="0" tint="-0.14996795556505021"/>
        <bgColor indexed="64"/>
      </patternFill>
    </fill>
    <fill>
      <patternFill patternType="solid">
        <fgColor theme="3" tint="0.59996337778862885"/>
        <bgColor indexed="64"/>
      </patternFill>
    </fill>
    <fill>
      <patternFill patternType="solid">
        <fgColor theme="0" tint="-0.34998626667073579"/>
        <bgColor indexed="64"/>
      </patternFill>
    </fill>
    <fill>
      <patternFill patternType="solid">
        <fgColor theme="0" tint="-0.24994659260841701"/>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59999389629810485"/>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8"/>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8"/>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s>
  <cellStyleXfs count="8">
    <xf numFmtId="0" fontId="0" fillId="0" borderId="0"/>
    <xf numFmtId="44" fontId="2" fillId="0" borderId="0" applyFont="0" applyFill="0" applyBorder="0" applyAlignment="0" applyProtection="0"/>
    <xf numFmtId="0" fontId="31" fillId="0" borderId="0"/>
    <xf numFmtId="0" fontId="1" fillId="0" borderId="0"/>
    <xf numFmtId="43" fontId="2" fillId="0" borderId="0" applyFont="0" applyFill="0" applyBorder="0" applyAlignment="0" applyProtection="0"/>
    <xf numFmtId="0" fontId="44" fillId="0" borderId="0"/>
    <xf numFmtId="0" fontId="65" fillId="0" borderId="0"/>
    <xf numFmtId="0" fontId="66" fillId="0" borderId="0"/>
  </cellStyleXfs>
  <cellXfs count="982">
    <xf numFmtId="0" fontId="0" fillId="0" borderId="0" xfId="0"/>
    <xf numFmtId="0" fontId="6" fillId="0" borderId="0" xfId="0" applyFont="1"/>
    <xf numFmtId="0" fontId="8" fillId="0" borderId="1" xfId="0" applyFont="1" applyBorder="1" applyAlignment="1">
      <alignment horizontal="left" vertical="top" wrapText="1"/>
    </xf>
    <xf numFmtId="0" fontId="7" fillId="0" borderId="1" xfId="0" applyFont="1" applyBorder="1" applyAlignment="1">
      <alignment horizontal="left" vertical="top" wrapText="1"/>
    </xf>
    <xf numFmtId="0" fontId="10" fillId="0" borderId="0" xfId="0" applyFont="1"/>
    <xf numFmtId="0" fontId="9" fillId="0" borderId="0" xfId="0" applyFont="1"/>
    <xf numFmtId="0" fontId="11" fillId="0" borderId="0" xfId="0" applyFont="1" applyFill="1" applyAlignment="1">
      <alignment horizontal="center" vertical="center" wrapText="1"/>
    </xf>
    <xf numFmtId="0" fontId="12" fillId="0" borderId="0" xfId="0" applyFont="1"/>
    <xf numFmtId="0" fontId="3" fillId="0" borderId="1" xfId="0" applyFont="1" applyBorder="1" applyAlignment="1">
      <alignment horizontal="left" vertical="top" wrapText="1"/>
    </xf>
    <xf numFmtId="0" fontId="10" fillId="0" borderId="0" xfId="0" applyFont="1" applyAlignment="1">
      <alignment horizontal="right" wrapText="1"/>
    </xf>
    <xf numFmtId="0" fontId="10" fillId="0" borderId="0" xfId="0" applyFont="1" applyAlignment="1">
      <alignment wrapText="1"/>
    </xf>
    <xf numFmtId="49" fontId="10" fillId="0" borderId="0" xfId="0" applyNumberFormat="1" applyFont="1" applyAlignment="1">
      <alignment horizontal="right" wrapText="1"/>
    </xf>
    <xf numFmtId="49" fontId="10" fillId="0" borderId="0" xfId="0" applyNumberFormat="1" applyFont="1" applyAlignment="1">
      <alignment horizontal="justify" wrapText="1"/>
    </xf>
    <xf numFmtId="0" fontId="9" fillId="0" borderId="0" xfId="0" applyFont="1" applyAlignment="1">
      <alignment horizontal="center" wrapText="1"/>
    </xf>
    <xf numFmtId="49" fontId="10" fillId="0" borderId="0" xfId="0" applyNumberFormat="1" applyFont="1"/>
    <xf numFmtId="0" fontId="13" fillId="0" borderId="0" xfId="0" applyFont="1" applyProtection="1"/>
    <xf numFmtId="0" fontId="13" fillId="0" borderId="0" xfId="0" applyFont="1" applyAlignment="1" applyProtection="1">
      <alignment wrapText="1"/>
    </xf>
    <xf numFmtId="49" fontId="13" fillId="0" borderId="0" xfId="0" applyNumberFormat="1" applyFont="1" applyAlignment="1" applyProtection="1">
      <alignment horizontal="center"/>
    </xf>
    <xf numFmtId="0" fontId="13" fillId="0" borderId="0" xfId="0" applyFont="1" applyAlignment="1" applyProtection="1">
      <alignment horizontal="center" vertical="center" wrapText="1"/>
    </xf>
    <xf numFmtId="0" fontId="15" fillId="0" borderId="0" xfId="0" applyFont="1" applyProtection="1"/>
    <xf numFmtId="0" fontId="16" fillId="0" borderId="0" xfId="0" applyFont="1" applyProtection="1"/>
    <xf numFmtId="0" fontId="18" fillId="0" borderId="0" xfId="0" applyFont="1" applyProtection="1"/>
    <xf numFmtId="0" fontId="6" fillId="0" borderId="0" xfId="0" applyFont="1" applyAlignment="1">
      <alignment horizontal="center"/>
    </xf>
    <xf numFmtId="0" fontId="11" fillId="0" borderId="0" xfId="0" applyFont="1" applyFill="1" applyAlignment="1">
      <alignment horizontal="left" vertical="center" wrapText="1"/>
    </xf>
    <xf numFmtId="0" fontId="6" fillId="0" borderId="0" xfId="0" applyFont="1" applyAlignment="1">
      <alignment horizontal="left"/>
    </xf>
    <xf numFmtId="49" fontId="20" fillId="0" borderId="1" xfId="0" applyNumberFormat="1" applyFont="1" applyBorder="1" applyAlignment="1">
      <alignment horizontal="center" vertical="center" textRotation="90"/>
    </xf>
    <xf numFmtId="49" fontId="20" fillId="0" borderId="1" xfId="0" applyNumberFormat="1" applyFont="1" applyBorder="1" applyAlignment="1">
      <alignment horizontal="center" vertical="center" textRotation="90" wrapText="1"/>
    </xf>
    <xf numFmtId="49" fontId="20" fillId="0" borderId="1" xfId="0" applyNumberFormat="1" applyFont="1" applyBorder="1" applyAlignment="1">
      <alignment horizontal="left" vertical="center" textRotation="90"/>
    </xf>
    <xf numFmtId="0" fontId="4" fillId="0" borderId="1" xfId="0" applyFont="1" applyBorder="1" applyAlignment="1">
      <alignment horizontal="left" vertical="top" wrapText="1"/>
    </xf>
    <xf numFmtId="0" fontId="9" fillId="0" borderId="1" xfId="0" applyFont="1" applyBorder="1" applyAlignment="1">
      <alignment horizontal="left" vertical="top" wrapText="1"/>
    </xf>
    <xf numFmtId="0" fontId="5" fillId="0" borderId="1" xfId="0" applyFont="1" applyBorder="1" applyAlignment="1">
      <alignment horizontal="left" vertical="top" wrapText="1"/>
    </xf>
    <xf numFmtId="49" fontId="21" fillId="0" borderId="1" xfId="0" applyNumberFormat="1" applyFont="1" applyBorder="1" applyAlignment="1">
      <alignment horizontal="center" vertical="justify" wrapText="1"/>
    </xf>
    <xf numFmtId="49" fontId="22" fillId="0" borderId="1" xfId="0" applyNumberFormat="1" applyFont="1" applyBorder="1" applyAlignment="1">
      <alignment horizontal="center" vertical="justify" wrapText="1"/>
    </xf>
    <xf numFmtId="49" fontId="23" fillId="0" borderId="1" xfId="0" applyNumberFormat="1" applyFont="1" applyBorder="1" applyAlignment="1">
      <alignment horizontal="center" vertical="justify" wrapText="1"/>
    </xf>
    <xf numFmtId="49" fontId="21" fillId="0" borderId="1" xfId="0" applyNumberFormat="1" applyFont="1" applyBorder="1" applyAlignment="1">
      <alignment horizontal="center" vertical="justify"/>
    </xf>
    <xf numFmtId="49" fontId="22" fillId="0" borderId="1" xfId="0" applyNumberFormat="1" applyFont="1" applyBorder="1" applyAlignment="1">
      <alignment horizontal="center" vertical="justify"/>
    </xf>
    <xf numFmtId="49" fontId="24" fillId="0" borderId="1" xfId="0" applyNumberFormat="1" applyFont="1" applyBorder="1" applyAlignment="1">
      <alignment horizontal="center" vertical="justify" wrapText="1"/>
    </xf>
    <xf numFmtId="49" fontId="25" fillId="0" borderId="1" xfId="0" applyNumberFormat="1" applyFont="1" applyBorder="1" applyAlignment="1">
      <alignment horizontal="center" vertical="justify" wrapText="1"/>
    </xf>
    <xf numFmtId="49" fontId="23" fillId="0" borderId="1" xfId="0" applyNumberFormat="1" applyFont="1" applyBorder="1" applyAlignment="1">
      <alignment horizontal="center" vertical="justify"/>
    </xf>
    <xf numFmtId="0" fontId="26" fillId="0" borderId="1" xfId="0" applyFont="1" applyBorder="1" applyAlignment="1">
      <alignment horizontal="left" vertical="top" wrapText="1"/>
    </xf>
    <xf numFmtId="0" fontId="10" fillId="0" borderId="0" xfId="0" applyFont="1" applyFill="1" applyAlignment="1">
      <alignment horizontal="left"/>
    </xf>
    <xf numFmtId="0" fontId="10" fillId="0" borderId="0" xfId="0" applyFont="1" applyFill="1" applyAlignment="1">
      <alignment horizontal="center"/>
    </xf>
    <xf numFmtId="0" fontId="9" fillId="0" borderId="0" xfId="0" applyFont="1" applyFill="1" applyAlignment="1">
      <alignment horizontal="center"/>
    </xf>
    <xf numFmtId="0" fontId="0" fillId="0" borderId="0" xfId="0" applyAlignment="1">
      <alignment wrapText="1"/>
    </xf>
    <xf numFmtId="165" fontId="27" fillId="0" borderId="0" xfId="0" applyNumberFormat="1" applyFont="1" applyAlignment="1">
      <alignment wrapText="1"/>
    </xf>
    <xf numFmtId="165" fontId="28" fillId="0" borderId="0" xfId="0" applyNumberFormat="1" applyFont="1" applyAlignment="1">
      <alignment wrapText="1"/>
    </xf>
    <xf numFmtId="167" fontId="0" fillId="0" borderId="0" xfId="0" applyNumberFormat="1" applyAlignment="1">
      <alignment horizontal="center"/>
    </xf>
    <xf numFmtId="167" fontId="28" fillId="0" borderId="0" xfId="0" applyNumberFormat="1" applyFont="1" applyAlignment="1">
      <alignment horizontal="center"/>
    </xf>
    <xf numFmtId="167" fontId="27" fillId="0" borderId="0" xfId="0" applyNumberFormat="1" applyFont="1" applyAlignment="1">
      <alignment horizontal="center"/>
    </xf>
    <xf numFmtId="0" fontId="19" fillId="0" borderId="1" xfId="0" applyFont="1" applyFill="1" applyBorder="1" applyAlignment="1" applyProtection="1">
      <alignment horizontal="left" vertical="top" wrapText="1" indent="2"/>
      <protection hidden="1"/>
    </xf>
    <xf numFmtId="3" fontId="19" fillId="0" borderId="1" xfId="0" applyNumberFormat="1" applyFont="1" applyFill="1" applyBorder="1" applyAlignment="1" applyProtection="1">
      <alignment horizontal="right" vertical="center"/>
    </xf>
    <xf numFmtId="3" fontId="13" fillId="0" borderId="1" xfId="0" applyNumberFormat="1" applyFont="1" applyBorder="1" applyAlignment="1" applyProtection="1">
      <alignment horizontal="right" vertical="center"/>
    </xf>
    <xf numFmtId="3" fontId="19" fillId="0" borderId="1" xfId="0" applyNumberFormat="1" applyFont="1" applyBorder="1" applyAlignment="1" applyProtection="1">
      <alignment horizontal="right" vertical="center"/>
    </xf>
    <xf numFmtId="0" fontId="3" fillId="0" borderId="1" xfId="0" applyFont="1" applyBorder="1" applyAlignment="1">
      <alignment wrapText="1"/>
    </xf>
    <xf numFmtId="0" fontId="17" fillId="0" borderId="1" xfId="0" applyFont="1" applyFill="1" applyBorder="1" applyAlignment="1" applyProtection="1">
      <alignment horizontal="left" vertical="top" wrapText="1"/>
      <protection hidden="1"/>
    </xf>
    <xf numFmtId="3" fontId="16" fillId="0" borderId="1" xfId="0" applyNumberFormat="1" applyFont="1" applyFill="1" applyBorder="1" applyAlignment="1" applyProtection="1">
      <alignment horizontal="right" vertical="center"/>
    </xf>
    <xf numFmtId="3" fontId="17" fillId="0" borderId="1" xfId="0" applyNumberFormat="1" applyFont="1" applyBorder="1" applyAlignment="1" applyProtection="1">
      <alignment horizontal="right" vertical="center"/>
    </xf>
    <xf numFmtId="0" fontId="30" fillId="0" borderId="1" xfId="0" applyFont="1" applyBorder="1" applyAlignment="1">
      <alignment horizontal="left" vertical="top" wrapText="1"/>
    </xf>
    <xf numFmtId="0" fontId="22" fillId="0" borderId="0" xfId="0" applyFont="1"/>
    <xf numFmtId="0" fontId="22" fillId="0" borderId="0" xfId="0" applyFont="1" applyAlignment="1">
      <alignment wrapText="1"/>
    </xf>
    <xf numFmtId="166" fontId="22" fillId="0" borderId="0" xfId="0" applyNumberFormat="1" applyFont="1" applyAlignment="1">
      <alignment horizontal="center"/>
    </xf>
    <xf numFmtId="0" fontId="22" fillId="0" borderId="0" xfId="0" applyFont="1" applyAlignment="1">
      <alignment horizontal="center" wrapText="1"/>
    </xf>
    <xf numFmtId="0" fontId="22" fillId="0" borderId="0" xfId="0" applyFont="1" applyAlignment="1">
      <alignment horizontal="center"/>
    </xf>
    <xf numFmtId="166" fontId="21" fillId="0" borderId="1" xfId="0" applyNumberFormat="1" applyFont="1" applyBorder="1" applyAlignment="1">
      <alignment horizontal="center" vertical="top" wrapText="1"/>
    </xf>
    <xf numFmtId="0" fontId="21" fillId="0" borderId="1" xfId="0" applyFont="1" applyBorder="1" applyAlignment="1">
      <alignment vertical="top" wrapText="1"/>
    </xf>
    <xf numFmtId="166" fontId="22" fillId="0" borderId="1" xfId="0" applyNumberFormat="1" applyFont="1" applyBorder="1" applyAlignment="1">
      <alignment horizontal="center" vertical="top" wrapText="1"/>
    </xf>
    <xf numFmtId="0" fontId="22" fillId="0" borderId="1" xfId="0" applyFont="1" applyBorder="1" applyAlignment="1">
      <alignment vertical="top" wrapText="1"/>
    </xf>
    <xf numFmtId="0" fontId="22" fillId="0" borderId="1" xfId="0" applyFont="1" applyBorder="1" applyAlignment="1">
      <alignment horizontal="left" vertical="top" wrapText="1"/>
    </xf>
    <xf numFmtId="0" fontId="24" fillId="0" borderId="1" xfId="0" applyFont="1" applyBorder="1" applyAlignment="1">
      <alignment horizontal="left" vertical="top" wrapText="1"/>
    </xf>
    <xf numFmtId="0" fontId="25" fillId="0" borderId="1" xfId="0" applyFont="1" applyBorder="1" applyAlignment="1">
      <alignment horizontal="left" vertical="top" wrapText="1"/>
    </xf>
    <xf numFmtId="0" fontId="21" fillId="0" borderId="1" xfId="0" applyFont="1" applyBorder="1" applyAlignment="1">
      <alignment horizontal="left" vertical="top" wrapText="1"/>
    </xf>
    <xf numFmtId="166" fontId="25" fillId="0" borderId="1" xfId="0" applyNumberFormat="1" applyFont="1" applyBorder="1" applyAlignment="1">
      <alignment horizontal="center" vertical="top" wrapText="1"/>
    </xf>
    <xf numFmtId="0" fontId="25" fillId="0" borderId="1" xfId="0" applyFont="1" applyBorder="1" applyAlignment="1">
      <alignment vertical="top" wrapText="1"/>
    </xf>
    <xf numFmtId="0" fontId="22" fillId="0" borderId="1" xfId="0" applyFont="1" applyBorder="1" applyAlignment="1">
      <alignment horizontal="justify" vertical="top" wrapText="1"/>
    </xf>
    <xf numFmtId="167" fontId="22" fillId="0" borderId="0" xfId="0" applyNumberFormat="1" applyFont="1" applyAlignment="1">
      <alignment horizontal="center"/>
    </xf>
    <xf numFmtId="168" fontId="22" fillId="0" borderId="0" xfId="0" applyNumberFormat="1" applyFont="1" applyAlignment="1">
      <alignment horizontal="center"/>
    </xf>
    <xf numFmtId="0" fontId="22" fillId="0" borderId="0" xfId="0" applyFont="1" applyAlignment="1">
      <alignment horizontal="left" wrapText="1"/>
    </xf>
    <xf numFmtId="49" fontId="13" fillId="0" borderId="1" xfId="0" applyNumberFormat="1" applyFont="1" applyFill="1" applyBorder="1" applyAlignment="1" applyProtection="1">
      <alignment horizontal="center" vertical="center"/>
    </xf>
    <xf numFmtId="0" fontId="13" fillId="0" borderId="0" xfId="0" applyFont="1" applyAlignment="1" applyProtection="1">
      <alignment horizontal="right" wrapText="1"/>
    </xf>
    <xf numFmtId="49" fontId="13" fillId="0" borderId="0" xfId="0" applyNumberFormat="1" applyFont="1" applyAlignment="1" applyProtection="1">
      <alignment horizontal="right"/>
    </xf>
    <xf numFmtId="3" fontId="4" fillId="0" borderId="1" xfId="1" applyNumberFormat="1" applyFont="1" applyBorder="1" applyAlignment="1">
      <alignment horizontal="right" vertical="center" wrapText="1"/>
    </xf>
    <xf numFmtId="3" fontId="4" fillId="0" borderId="1" xfId="0" applyNumberFormat="1" applyFont="1" applyBorder="1" applyAlignment="1">
      <alignment horizontal="right" vertical="center"/>
    </xf>
    <xf numFmtId="3" fontId="3" fillId="0" borderId="1" xfId="0" applyNumberFormat="1" applyFont="1" applyBorder="1" applyAlignment="1">
      <alignment horizontal="right" vertical="center"/>
    </xf>
    <xf numFmtId="3" fontId="13" fillId="0" borderId="1" xfId="0" applyNumberFormat="1" applyFont="1" applyFill="1" applyBorder="1" applyAlignment="1" applyProtection="1">
      <alignment horizontal="right" vertical="center"/>
    </xf>
    <xf numFmtId="166" fontId="13" fillId="0" borderId="1" xfId="0" applyNumberFormat="1" applyFont="1" applyBorder="1" applyAlignment="1" applyProtection="1">
      <alignment horizontal="center" vertical="center"/>
    </xf>
    <xf numFmtId="167" fontId="13" fillId="0" borderId="1" xfId="0" applyNumberFormat="1" applyFont="1" applyBorder="1" applyAlignment="1" applyProtection="1">
      <alignment horizontal="center" vertical="center"/>
    </xf>
    <xf numFmtId="3" fontId="17" fillId="0" borderId="1" xfId="0" applyNumberFormat="1" applyFont="1" applyFill="1" applyBorder="1" applyAlignment="1" applyProtection="1">
      <alignment horizontal="right" vertical="center"/>
    </xf>
    <xf numFmtId="1" fontId="17" fillId="0" borderId="1" xfId="0" applyNumberFormat="1" applyFont="1" applyFill="1" applyBorder="1" applyAlignment="1" applyProtection="1">
      <alignment horizontal="center" vertical="center"/>
    </xf>
    <xf numFmtId="166" fontId="13" fillId="0" borderId="1" xfId="0" applyNumberFormat="1" applyFont="1" applyFill="1" applyBorder="1" applyAlignment="1" applyProtection="1">
      <alignment horizontal="center" vertical="center"/>
    </xf>
    <xf numFmtId="167" fontId="13" fillId="0" borderId="1" xfId="0" applyNumberFormat="1" applyFont="1" applyFill="1" applyBorder="1" applyAlignment="1" applyProtection="1">
      <alignment horizontal="center" vertical="center"/>
    </xf>
    <xf numFmtId="1" fontId="13" fillId="0" borderId="1" xfId="0" applyNumberFormat="1" applyFont="1" applyFill="1" applyBorder="1" applyAlignment="1" applyProtection="1">
      <alignment horizontal="center" vertical="center"/>
    </xf>
    <xf numFmtId="1" fontId="13" fillId="0" borderId="1" xfId="0" applyNumberFormat="1" applyFont="1" applyBorder="1" applyAlignment="1" applyProtection="1">
      <alignment horizontal="center" vertical="center"/>
    </xf>
    <xf numFmtId="1" fontId="10" fillId="0" borderId="1" xfId="0" applyNumberFormat="1" applyFont="1" applyBorder="1" applyAlignment="1" applyProtection="1">
      <alignment horizontal="center" vertical="center" wrapText="1"/>
    </xf>
    <xf numFmtId="166" fontId="10" fillId="0" borderId="1" xfId="0" applyNumberFormat="1" applyFont="1" applyBorder="1" applyAlignment="1" applyProtection="1">
      <alignment horizontal="center" vertical="center" wrapText="1"/>
    </xf>
    <xf numFmtId="167" fontId="10" fillId="0" borderId="1" xfId="0" applyNumberFormat="1" applyFont="1" applyBorder="1" applyAlignment="1" applyProtection="1">
      <alignment horizontal="center" vertical="center" wrapText="1"/>
    </xf>
    <xf numFmtId="166" fontId="17" fillId="0" borderId="1" xfId="0" applyNumberFormat="1" applyFont="1" applyFill="1" applyBorder="1" applyAlignment="1" applyProtection="1">
      <alignment horizontal="center" vertical="center"/>
    </xf>
    <xf numFmtId="1" fontId="19" fillId="0" borderId="1" xfId="0" applyNumberFormat="1" applyFont="1" applyFill="1" applyBorder="1" applyAlignment="1" applyProtection="1">
      <alignment horizontal="center" vertical="center"/>
    </xf>
    <xf numFmtId="166" fontId="19" fillId="0" borderId="1" xfId="0" applyNumberFormat="1" applyFont="1" applyFill="1" applyBorder="1" applyAlignment="1" applyProtection="1">
      <alignment horizontal="center" vertical="center"/>
    </xf>
    <xf numFmtId="167" fontId="19" fillId="0" borderId="1" xfId="0" applyNumberFormat="1" applyFont="1" applyFill="1" applyBorder="1" applyAlignment="1" applyProtection="1">
      <alignment horizontal="center" vertical="center"/>
    </xf>
    <xf numFmtId="167" fontId="17" fillId="0" borderId="1" xfId="0" applyNumberFormat="1" applyFont="1" applyFill="1" applyBorder="1" applyAlignment="1" applyProtection="1">
      <alignment horizontal="center" vertical="center"/>
    </xf>
    <xf numFmtId="0" fontId="2" fillId="0" borderId="0" xfId="0" applyFont="1"/>
    <xf numFmtId="3" fontId="13" fillId="0" borderId="1" xfId="0" applyNumberFormat="1" applyFont="1" applyFill="1" applyBorder="1" applyAlignment="1" applyProtection="1">
      <alignment horizontal="right" vertical="center"/>
      <protection locked="0"/>
    </xf>
    <xf numFmtId="0" fontId="19" fillId="0" borderId="1" xfId="0" applyFont="1" applyFill="1" applyBorder="1" applyAlignment="1" applyProtection="1">
      <alignment horizontal="center" vertical="center" wrapText="1"/>
    </xf>
    <xf numFmtId="0" fontId="3" fillId="0" borderId="1" xfId="0" applyFont="1" applyBorder="1" applyAlignment="1">
      <alignment vertical="top" wrapText="1"/>
    </xf>
    <xf numFmtId="3" fontId="3" fillId="0" borderId="1" xfId="0" applyNumberFormat="1" applyFont="1" applyBorder="1" applyAlignment="1" applyProtection="1">
      <alignment horizontal="right" vertical="center"/>
      <protection locked="0"/>
    </xf>
    <xf numFmtId="3" fontId="3" fillId="0" borderId="1" xfId="0" applyNumberFormat="1" applyFont="1" applyBorder="1" applyAlignment="1" applyProtection="1">
      <alignment vertical="center"/>
      <protection locked="0"/>
    </xf>
    <xf numFmtId="3" fontId="4" fillId="0" borderId="1" xfId="0" applyNumberFormat="1" applyFont="1" applyBorder="1" applyAlignment="1" applyProtection="1">
      <alignment horizontal="right" vertical="center"/>
      <protection locked="0"/>
    </xf>
    <xf numFmtId="0" fontId="13" fillId="0" borderId="1" xfId="0" applyFont="1" applyFill="1" applyBorder="1" applyAlignment="1" applyProtection="1">
      <alignment horizontal="center" vertical="center" wrapText="1"/>
    </xf>
    <xf numFmtId="0" fontId="3" fillId="0" borderId="1" xfId="0" applyFont="1" applyBorder="1" applyAlignment="1">
      <alignment horizontal="center" vertical="center" wrapText="1"/>
    </xf>
    <xf numFmtId="0" fontId="0" fillId="0" borderId="0" xfId="0" applyFill="1"/>
    <xf numFmtId="0" fontId="32" fillId="0" borderId="1" xfId="0" applyFont="1" applyBorder="1" applyAlignment="1">
      <alignment horizontal="center" vertical="top" wrapText="1"/>
    </xf>
    <xf numFmtId="0" fontId="10" fillId="0" borderId="9" xfId="0" applyFont="1" applyBorder="1" applyAlignment="1">
      <alignment vertical="top" wrapText="1"/>
    </xf>
    <xf numFmtId="0" fontId="10" fillId="0" borderId="1" xfId="0" applyFont="1" applyBorder="1" applyAlignment="1">
      <alignment vertical="top" wrapText="1"/>
    </xf>
    <xf numFmtId="0" fontId="0" fillId="0" borderId="0" xfId="0" applyAlignment="1">
      <alignment horizontal="center"/>
    </xf>
    <xf numFmtId="3" fontId="3" fillId="0" borderId="1" xfId="0" applyNumberFormat="1" applyFont="1" applyFill="1" applyBorder="1" applyAlignment="1">
      <alignment horizontal="center" wrapText="1"/>
    </xf>
    <xf numFmtId="0" fontId="3" fillId="0" borderId="0" xfId="0" applyFont="1" applyAlignment="1">
      <alignment horizontal="right" wrapText="1"/>
    </xf>
    <xf numFmtId="0" fontId="3" fillId="0" borderId="0" xfId="0" applyFont="1" applyAlignment="1">
      <alignment horizontal="center" wrapText="1"/>
    </xf>
    <xf numFmtId="0" fontId="22" fillId="0" borderId="1" xfId="0" applyFont="1" applyBorder="1" applyAlignment="1">
      <alignment vertical="center"/>
    </xf>
    <xf numFmtId="49" fontId="22" fillId="0" borderId="0" xfId="0" applyNumberFormat="1" applyFont="1" applyAlignment="1">
      <alignment horizontal="center" wrapText="1"/>
    </xf>
    <xf numFmtId="49" fontId="22" fillId="0" borderId="0" xfId="0" applyNumberFormat="1" applyFont="1" applyAlignment="1">
      <alignment wrapText="1"/>
    </xf>
    <xf numFmtId="49" fontId="37" fillId="0" borderId="1" xfId="0" applyNumberFormat="1" applyFont="1" applyBorder="1" applyAlignment="1">
      <alignment vertical="center" wrapText="1"/>
    </xf>
    <xf numFmtId="0" fontId="37" fillId="0" borderId="1" xfId="0" applyNumberFormat="1" applyFont="1" applyBorder="1" applyAlignment="1">
      <alignment vertical="center" wrapText="1"/>
    </xf>
    <xf numFmtId="3" fontId="5" fillId="0" borderId="1" xfId="1" applyNumberFormat="1" applyFont="1" applyBorder="1" applyAlignment="1">
      <alignment horizontal="right" vertical="center" wrapText="1"/>
    </xf>
    <xf numFmtId="3" fontId="3" fillId="0" borderId="1" xfId="1" applyNumberFormat="1" applyFont="1" applyBorder="1" applyAlignment="1">
      <alignment horizontal="right" vertical="center" wrapText="1"/>
    </xf>
    <xf numFmtId="1" fontId="0" fillId="0" borderId="0" xfId="0" applyNumberFormat="1"/>
    <xf numFmtId="0" fontId="0" fillId="0" borderId="1" xfId="0" applyBorder="1" applyAlignment="1">
      <alignment wrapText="1"/>
    </xf>
    <xf numFmtId="0" fontId="0" fillId="0" borderId="1" xfId="0" applyNumberFormat="1" applyBorder="1" applyAlignment="1">
      <alignment wrapText="1"/>
    </xf>
    <xf numFmtId="168" fontId="0" fillId="0" borderId="1" xfId="0" applyNumberFormat="1" applyBorder="1"/>
    <xf numFmtId="0" fontId="11" fillId="0" borderId="0" xfId="0" applyFont="1" applyAlignment="1">
      <alignment horizontal="center"/>
    </xf>
    <xf numFmtId="0" fontId="9" fillId="0" borderId="2" xfId="0" applyFont="1" applyBorder="1" applyAlignment="1">
      <alignment horizontal="center" vertical="top" wrapText="1"/>
    </xf>
    <xf numFmtId="0" fontId="9" fillId="0" borderId="10" xfId="0" applyFont="1" applyBorder="1" applyAlignment="1">
      <alignment horizontal="center" vertical="top" wrapText="1"/>
    </xf>
    <xf numFmtId="0" fontId="9" fillId="0" borderId="8" xfId="0" applyFont="1" applyBorder="1" applyAlignment="1">
      <alignment horizontal="center" vertical="top" wrapText="1"/>
    </xf>
    <xf numFmtId="0" fontId="9" fillId="0" borderId="9" xfId="0" applyFont="1" applyBorder="1" applyAlignment="1">
      <alignment horizontal="center" vertical="top" wrapText="1"/>
    </xf>
    <xf numFmtId="0" fontId="10" fillId="0" borderId="8" xfId="0" applyFont="1" applyBorder="1" applyAlignment="1">
      <alignment horizontal="center" vertical="center" wrapText="1"/>
    </xf>
    <xf numFmtId="0" fontId="38" fillId="0" borderId="9" xfId="0" applyFont="1" applyBorder="1" applyAlignment="1">
      <alignment horizontal="center" vertical="center" wrapText="1"/>
    </xf>
    <xf numFmtId="0" fontId="38" fillId="0" borderId="1" xfId="0" applyFont="1" applyBorder="1" applyAlignment="1">
      <alignment horizontal="center" vertical="center" wrapText="1"/>
    </xf>
    <xf numFmtId="0" fontId="10" fillId="0" borderId="0" xfId="0" applyFont="1" applyFill="1" applyAlignment="1"/>
    <xf numFmtId="0" fontId="3" fillId="0" borderId="0" xfId="0" applyFont="1" applyAlignment="1">
      <alignment horizontal="center"/>
    </xf>
    <xf numFmtId="0" fontId="3" fillId="0" borderId="1" xfId="0" applyFont="1" applyBorder="1" applyAlignment="1">
      <alignment horizontal="center" vertical="top" wrapText="1"/>
    </xf>
    <xf numFmtId="0" fontId="3" fillId="0" borderId="1" xfId="0" applyFont="1" applyBorder="1" applyAlignment="1">
      <alignment horizontal="center" vertical="top"/>
    </xf>
    <xf numFmtId="167" fontId="3" fillId="0" borderId="1" xfId="0" applyNumberFormat="1" applyFont="1" applyFill="1" applyBorder="1" applyAlignment="1">
      <alignment horizontal="center" vertical="top" wrapText="1"/>
    </xf>
    <xf numFmtId="0" fontId="0" fillId="0" borderId="0" xfId="0" applyBorder="1"/>
    <xf numFmtId="3" fontId="0" fillId="0" borderId="1" xfId="0" applyNumberFormat="1" applyBorder="1" applyAlignment="1">
      <alignment horizontal="right"/>
    </xf>
    <xf numFmtId="0" fontId="3" fillId="0" borderId="0" xfId="0" applyFont="1" applyBorder="1" applyAlignment="1">
      <alignment horizontal="center" vertical="center" wrapText="1"/>
    </xf>
    <xf numFmtId="165" fontId="35" fillId="0" borderId="0" xfId="0" applyNumberFormat="1" applyFont="1" applyBorder="1" applyAlignment="1">
      <alignment wrapText="1"/>
    </xf>
    <xf numFmtId="3" fontId="3" fillId="0" borderId="0" xfId="0" applyNumberFormat="1" applyFont="1" applyFill="1" applyBorder="1" applyAlignment="1">
      <alignment horizontal="center" wrapText="1"/>
    </xf>
    <xf numFmtId="164" fontId="33" fillId="0" borderId="0" xfId="0" applyNumberFormat="1" applyFont="1" applyBorder="1" applyAlignment="1">
      <alignment horizontal="center" vertical="center"/>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165" fontId="35" fillId="0" borderId="6" xfId="0" applyNumberFormat="1" applyFont="1" applyBorder="1" applyAlignment="1">
      <alignment wrapText="1"/>
    </xf>
    <xf numFmtId="165" fontId="34" fillId="0" borderId="16" xfId="0" applyNumberFormat="1" applyFont="1" applyFill="1" applyBorder="1" applyAlignment="1">
      <alignment wrapText="1"/>
    </xf>
    <xf numFmtId="0" fontId="20" fillId="0" borderId="0" xfId="0" applyFont="1" applyAlignment="1">
      <alignment horizontal="center"/>
    </xf>
    <xf numFmtId="0" fontId="3" fillId="0" borderId="21" xfId="0" applyFont="1" applyBorder="1" applyAlignment="1">
      <alignment wrapText="1"/>
    </xf>
    <xf numFmtId="0" fontId="3" fillId="0" borderId="21" xfId="0" applyFont="1" applyBorder="1" applyAlignment="1">
      <alignment horizontal="center" wrapText="1"/>
    </xf>
    <xf numFmtId="0" fontId="0" fillId="3" borderId="0" xfId="0" applyFill="1"/>
    <xf numFmtId="0" fontId="0" fillId="2" borderId="0" xfId="0" applyFill="1"/>
    <xf numFmtId="0" fontId="3" fillId="0" borderId="21" xfId="0" applyFont="1" applyBorder="1" applyAlignment="1">
      <alignment horizontal="left" vertical="center" wrapText="1"/>
    </xf>
    <xf numFmtId="0" fontId="0" fillId="4" borderId="0" xfId="0" applyFill="1"/>
    <xf numFmtId="0" fontId="0" fillId="5" borderId="0" xfId="0" applyFill="1"/>
    <xf numFmtId="3" fontId="0" fillId="0" borderId="0" xfId="0" applyNumberFormat="1" applyBorder="1" applyAlignment="1">
      <alignment horizontal="right"/>
    </xf>
    <xf numFmtId="0" fontId="32" fillId="0" borderId="0" xfId="0" applyFont="1" applyAlignment="1">
      <alignment horizontal="justify"/>
    </xf>
    <xf numFmtId="3" fontId="4" fillId="0" borderId="22" xfId="0" applyNumberFormat="1" applyFont="1" applyBorder="1" applyAlignment="1">
      <alignment horizontal="right"/>
    </xf>
    <xf numFmtId="0" fontId="0" fillId="7" borderId="0" xfId="0" applyFill="1"/>
    <xf numFmtId="0" fontId="32" fillId="0" borderId="0" xfId="0" applyFont="1"/>
    <xf numFmtId="0" fontId="44" fillId="0" borderId="0" xfId="0" applyFont="1"/>
    <xf numFmtId="0" fontId="4" fillId="0" borderId="25" xfId="0" applyFont="1" applyBorder="1" applyAlignment="1">
      <alignment horizontal="center" wrapText="1"/>
    </xf>
    <xf numFmtId="0" fontId="4" fillId="0" borderId="26" xfId="0" applyFont="1" applyBorder="1" applyAlignment="1">
      <alignment horizontal="center" wrapText="1"/>
    </xf>
    <xf numFmtId="0" fontId="4" fillId="0" borderId="27" xfId="0" applyFont="1" applyBorder="1" applyAlignment="1">
      <alignment wrapText="1"/>
    </xf>
    <xf numFmtId="3" fontId="4" fillId="0" borderId="25" xfId="0" applyNumberFormat="1" applyFont="1" applyBorder="1" applyAlignment="1">
      <alignment horizontal="right" wrapText="1"/>
    </xf>
    <xf numFmtId="0" fontId="3" fillId="0" borderId="25" xfId="0" applyFont="1" applyBorder="1" applyAlignment="1">
      <alignment horizontal="center" wrapText="1"/>
    </xf>
    <xf numFmtId="3" fontId="3" fillId="0" borderId="25" xfId="0" applyNumberFormat="1" applyFont="1" applyBorder="1" applyAlignment="1">
      <alignment horizontal="right" wrapText="1"/>
    </xf>
    <xf numFmtId="0" fontId="4" fillId="0" borderId="23" xfId="0" applyFont="1" applyBorder="1" applyAlignment="1">
      <alignment horizontal="justify" wrapText="1"/>
    </xf>
    <xf numFmtId="3" fontId="4" fillId="0" borderId="23" xfId="0" applyNumberFormat="1" applyFont="1" applyBorder="1" applyAlignment="1">
      <alignment horizontal="right"/>
    </xf>
    <xf numFmtId="0" fontId="3" fillId="0" borderId="21" xfId="0" applyFont="1" applyBorder="1" applyAlignment="1">
      <alignment horizontal="center"/>
    </xf>
    <xf numFmtId="0" fontId="3" fillId="0" borderId="22" xfId="0" applyFont="1" applyBorder="1" applyAlignment="1">
      <alignment horizontal="justify" wrapText="1"/>
    </xf>
    <xf numFmtId="3" fontId="3" fillId="0" borderId="22" xfId="0" applyNumberFormat="1" applyFont="1" applyBorder="1" applyAlignment="1">
      <alignment horizontal="right"/>
    </xf>
    <xf numFmtId="0" fontId="4" fillId="0" borderId="21" xfId="0" applyFont="1" applyBorder="1" applyAlignment="1">
      <alignment horizontal="center"/>
    </xf>
    <xf numFmtId="0" fontId="4" fillId="0" borderId="22" xfId="0" applyFont="1" applyBorder="1" applyAlignment="1">
      <alignment horizontal="justify" wrapText="1"/>
    </xf>
    <xf numFmtId="0" fontId="45" fillId="0" borderId="1" xfId="0" applyFont="1" applyBorder="1" applyAlignment="1">
      <alignment horizontal="center" vertical="top"/>
    </xf>
    <xf numFmtId="49" fontId="45" fillId="0" borderId="1" xfId="0" applyNumberFormat="1" applyFont="1" applyBorder="1" applyAlignment="1">
      <alignment horizontal="center" vertical="top"/>
    </xf>
    <xf numFmtId="0" fontId="3" fillId="0" borderId="1" xfId="2" applyFont="1" applyFill="1" applyBorder="1" applyAlignment="1">
      <alignment horizontal="left" vertical="top" wrapText="1"/>
    </xf>
    <xf numFmtId="0" fontId="3" fillId="0" borderId="1" xfId="0" applyNumberFormat="1" applyFont="1" applyBorder="1" applyAlignment="1">
      <alignment horizontal="left" vertical="top" wrapText="1"/>
    </xf>
    <xf numFmtId="0" fontId="10" fillId="0" borderId="1" xfId="0" applyFont="1" applyBorder="1" applyAlignment="1">
      <alignment horizontal="left" vertical="top" wrapText="1"/>
    </xf>
    <xf numFmtId="0" fontId="3" fillId="0" borderId="1" xfId="2" applyNumberFormat="1" applyFont="1" applyFill="1" applyBorder="1" applyAlignment="1">
      <alignment horizontal="left" vertical="top" wrapText="1"/>
    </xf>
    <xf numFmtId="49" fontId="22" fillId="0" borderId="0" xfId="0" applyNumberFormat="1" applyFont="1" applyBorder="1" applyAlignment="1">
      <alignment horizontal="center" vertical="justify"/>
    </xf>
    <xf numFmtId="49" fontId="25" fillId="0" borderId="0" xfId="0" applyNumberFormat="1" applyFont="1" applyBorder="1" applyAlignment="1">
      <alignment horizontal="center" vertical="justify" wrapText="1"/>
    </xf>
    <xf numFmtId="0" fontId="3" fillId="0" borderId="0" xfId="0" applyFont="1" applyBorder="1" applyAlignment="1">
      <alignment horizontal="left" vertical="top" wrapText="1"/>
    </xf>
    <xf numFmtId="0" fontId="0" fillId="5" borderId="0" xfId="0" applyFill="1" applyBorder="1"/>
    <xf numFmtId="49" fontId="21" fillId="0" borderId="0" xfId="0" applyNumberFormat="1" applyFont="1" applyBorder="1" applyAlignment="1">
      <alignment horizontal="center" vertical="justify"/>
    </xf>
    <xf numFmtId="49" fontId="24" fillId="0" borderId="0" xfId="0" applyNumberFormat="1" applyFont="1" applyBorder="1" applyAlignment="1">
      <alignment horizontal="center" vertical="justify" wrapText="1"/>
    </xf>
    <xf numFmtId="0" fontId="30" fillId="0" borderId="0" xfId="0" applyFont="1" applyBorder="1" applyAlignment="1">
      <alignment horizontal="left" vertical="top" wrapText="1"/>
    </xf>
    <xf numFmtId="0" fontId="3" fillId="0" borderId="0" xfId="2" applyNumberFormat="1" applyFont="1" applyFill="1" applyBorder="1" applyAlignment="1">
      <alignment horizontal="left" vertical="top" wrapText="1"/>
    </xf>
    <xf numFmtId="0" fontId="3" fillId="5" borderId="0" xfId="0" applyFont="1" applyFill="1" applyBorder="1"/>
    <xf numFmtId="0" fontId="3" fillId="0" borderId="1" xfId="0" applyFont="1" applyBorder="1" applyAlignment="1">
      <alignment horizontal="center" vertical="center" wrapText="1"/>
    </xf>
    <xf numFmtId="0" fontId="11" fillId="0" borderId="0" xfId="0" applyFont="1" applyFill="1" applyAlignment="1">
      <alignment horizontal="center" vertical="center" wrapText="1"/>
    </xf>
    <xf numFmtId="0" fontId="4" fillId="0" borderId="10" xfId="0" applyFont="1" applyBorder="1" applyAlignment="1">
      <alignment horizontal="left"/>
    </xf>
    <xf numFmtId="3" fontId="5" fillId="0" borderId="1" xfId="0" applyNumberFormat="1" applyFont="1" applyBorder="1" applyAlignment="1">
      <alignment horizontal="right" vertical="center"/>
    </xf>
    <xf numFmtId="49" fontId="25" fillId="0" borderId="1" xfId="0" applyNumberFormat="1" applyFont="1" applyBorder="1" applyAlignment="1">
      <alignment vertical="center" wrapText="1"/>
    </xf>
    <xf numFmtId="3" fontId="19" fillId="5" borderId="1" xfId="0" applyNumberFormat="1" applyFont="1" applyFill="1" applyBorder="1" applyAlignment="1" applyProtection="1">
      <alignment horizontal="right" vertical="center"/>
      <protection locked="0"/>
    </xf>
    <xf numFmtId="0" fontId="44" fillId="0" borderId="0" xfId="0" applyFont="1" applyAlignment="1">
      <alignment wrapText="1"/>
    </xf>
    <xf numFmtId="0" fontId="3" fillId="0" borderId="19" xfId="0" applyFont="1" applyBorder="1" applyAlignment="1">
      <alignment horizontal="center" wrapText="1"/>
    </xf>
    <xf numFmtId="0" fontId="43" fillId="0" borderId="1" xfId="0" applyFont="1" applyBorder="1" applyAlignment="1">
      <alignment horizontal="center" wrapText="1"/>
    </xf>
    <xf numFmtId="0" fontId="43" fillId="6" borderId="1" xfId="0" applyFont="1" applyFill="1" applyBorder="1" applyAlignment="1">
      <alignment horizontal="center" wrapText="1"/>
    </xf>
    <xf numFmtId="0" fontId="43" fillId="0" borderId="1" xfId="0" applyFont="1" applyBorder="1" applyAlignment="1">
      <alignment horizontal="right" wrapText="1"/>
    </xf>
    <xf numFmtId="0" fontId="43" fillId="0" borderId="2" xfId="0" applyFont="1" applyBorder="1" applyAlignment="1">
      <alignment horizontal="center" wrapText="1"/>
    </xf>
    <xf numFmtId="0" fontId="46" fillId="0" borderId="2" xfId="0" applyFont="1" applyBorder="1" applyAlignment="1">
      <alignment wrapText="1"/>
    </xf>
    <xf numFmtId="0" fontId="3" fillId="0" borderId="3" xfId="0" applyFont="1" applyBorder="1" applyAlignment="1">
      <alignment horizontal="center" wrapText="1"/>
    </xf>
    <xf numFmtId="0" fontId="47" fillId="0" borderId="4" xfId="0" applyFont="1" applyBorder="1" applyAlignment="1">
      <alignment horizontal="center" wrapText="1"/>
    </xf>
    <xf numFmtId="3" fontId="4" fillId="0" borderId="5" xfId="0" applyNumberFormat="1" applyFont="1" applyBorder="1" applyAlignment="1">
      <alignment horizontal="right"/>
    </xf>
    <xf numFmtId="0" fontId="43" fillId="0" borderId="8" xfId="0" applyFont="1" applyBorder="1" applyAlignment="1">
      <alignment horizontal="center" wrapText="1"/>
    </xf>
    <xf numFmtId="3" fontId="43" fillId="0" borderId="1" xfId="0" applyNumberFormat="1" applyFont="1" applyBorder="1" applyAlignment="1">
      <alignment horizontal="right" wrapText="1"/>
    </xf>
    <xf numFmtId="0" fontId="47" fillId="0" borderId="23" xfId="0" applyFont="1" applyBorder="1" applyAlignment="1">
      <alignment horizontal="center" wrapText="1"/>
    </xf>
    <xf numFmtId="0" fontId="3" fillId="0" borderId="8" xfId="0" applyFont="1" applyBorder="1" applyAlignment="1">
      <alignment horizontal="left" wrapText="1"/>
    </xf>
    <xf numFmtId="0" fontId="48" fillId="0" borderId="1" xfId="0" applyFont="1" applyBorder="1" applyAlignment="1">
      <alignment wrapText="1"/>
    </xf>
    <xf numFmtId="4" fontId="43" fillId="0" borderId="2" xfId="0" applyNumberFormat="1" applyFont="1" applyBorder="1" applyAlignment="1">
      <alignment horizontal="right" wrapText="1"/>
    </xf>
    <xf numFmtId="3" fontId="43" fillId="0" borderId="8" xfId="0" applyNumberFormat="1" applyFont="1" applyBorder="1" applyAlignment="1">
      <alignment horizontal="right" wrapText="1"/>
    </xf>
    <xf numFmtId="3" fontId="43" fillId="6" borderId="1" xfId="0" applyNumberFormat="1" applyFont="1" applyFill="1" applyBorder="1" applyAlignment="1">
      <alignment horizontal="right" wrapText="1"/>
    </xf>
    <xf numFmtId="0" fontId="44" fillId="0" borderId="1" xfId="0" applyFont="1" applyBorder="1" applyAlignment="1">
      <alignment wrapText="1"/>
    </xf>
    <xf numFmtId="0" fontId="4" fillId="0" borderId="19" xfId="0" applyFont="1" applyBorder="1" applyAlignment="1">
      <alignment horizontal="center"/>
    </xf>
    <xf numFmtId="0" fontId="4" fillId="0" borderId="25" xfId="0" applyFont="1" applyBorder="1" applyAlignment="1">
      <alignment horizontal="center" wrapText="1"/>
    </xf>
    <xf numFmtId="0" fontId="3" fillId="0" borderId="27" xfId="0" applyFont="1" applyBorder="1" applyAlignment="1">
      <alignment horizontal="justify" vertical="center" wrapText="1"/>
    </xf>
    <xf numFmtId="0" fontId="33" fillId="7" borderId="0" xfId="0" applyFont="1" applyFill="1"/>
    <xf numFmtId="0" fontId="4" fillId="0" borderId="19" xfId="0" applyFont="1" applyBorder="1" applyAlignment="1">
      <alignment horizontal="center"/>
    </xf>
    <xf numFmtId="0" fontId="4" fillId="0" borderId="19" xfId="0" applyFont="1" applyBorder="1" applyAlignment="1">
      <alignment horizontal="center" wrapText="1"/>
    </xf>
    <xf numFmtId="0" fontId="4" fillId="0" borderId="25" xfId="0" applyFont="1" applyBorder="1" applyAlignment="1">
      <alignment horizontal="center" wrapText="1"/>
    </xf>
    <xf numFmtId="0" fontId="0" fillId="0" borderId="0" xfId="0" applyFill="1" applyBorder="1"/>
    <xf numFmtId="0" fontId="4" fillId="0" borderId="1" xfId="0" applyFont="1" applyFill="1" applyBorder="1"/>
    <xf numFmtId="0" fontId="33" fillId="3" borderId="0" xfId="0" applyFont="1" applyFill="1"/>
    <xf numFmtId="0" fontId="4" fillId="0" borderId="1" xfId="0" applyFont="1" applyBorder="1" applyAlignment="1" applyProtection="1">
      <alignment vertical="top" wrapText="1"/>
    </xf>
    <xf numFmtId="49" fontId="3" fillId="0" borderId="1" xfId="0" applyNumberFormat="1" applyFont="1" applyFill="1" applyBorder="1" applyAlignment="1" applyProtection="1">
      <alignment horizontal="center" vertical="center"/>
    </xf>
    <xf numFmtId="3" fontId="4" fillId="0" borderId="1" xfId="0" applyNumberFormat="1" applyFont="1" applyFill="1" applyBorder="1" applyAlignment="1" applyProtection="1">
      <alignment horizontal="right" vertical="center"/>
    </xf>
    <xf numFmtId="0" fontId="26" fillId="0" borderId="19" xfId="0" applyFont="1" applyBorder="1" applyAlignment="1">
      <alignment horizontal="center" wrapText="1"/>
    </xf>
    <xf numFmtId="0" fontId="26" fillId="0" borderId="20" xfId="0" applyFont="1" applyBorder="1" applyAlignment="1">
      <alignment horizontal="center" wrapText="1"/>
    </xf>
    <xf numFmtId="0" fontId="30" fillId="0" borderId="20" xfId="0" applyFont="1" applyBorder="1" applyAlignment="1">
      <alignment wrapText="1"/>
    </xf>
    <xf numFmtId="0" fontId="3" fillId="0" borderId="20" xfId="0" applyFont="1" applyBorder="1" applyAlignment="1">
      <alignment horizontal="left" vertical="top" wrapText="1" indent="3"/>
    </xf>
    <xf numFmtId="0" fontId="3" fillId="0" borderId="21" xfId="0" applyFont="1" applyBorder="1" applyAlignment="1">
      <alignment horizontal="left" vertical="top" wrapText="1" indent="3"/>
    </xf>
    <xf numFmtId="0" fontId="3" fillId="0" borderId="20" xfId="0" applyFont="1" applyBorder="1" applyAlignment="1">
      <alignment horizontal="right" vertical="center" wrapText="1"/>
    </xf>
    <xf numFmtId="0" fontId="30" fillId="0" borderId="20" xfId="0" applyFont="1" applyBorder="1" applyAlignment="1">
      <alignment vertical="top" wrapText="1"/>
    </xf>
    <xf numFmtId="0" fontId="26" fillId="0" borderId="20" xfId="0" applyFont="1" applyBorder="1" applyAlignment="1">
      <alignment horizontal="left" vertical="top" wrapText="1" indent="1"/>
    </xf>
    <xf numFmtId="0" fontId="30" fillId="0" borderId="20" xfId="0" applyFont="1" applyBorder="1" applyAlignment="1">
      <alignment horizontal="left" vertical="top" wrapText="1" indent="1"/>
    </xf>
    <xf numFmtId="0" fontId="26" fillId="0" borderId="22" xfId="0" applyFont="1" applyBorder="1" applyAlignment="1">
      <alignment horizontal="center" wrapText="1"/>
    </xf>
    <xf numFmtId="0" fontId="26" fillId="0" borderId="23" xfId="0" applyFont="1" applyBorder="1" applyAlignment="1">
      <alignment horizontal="center" wrapText="1"/>
    </xf>
    <xf numFmtId="0" fontId="26" fillId="0" borderId="21" xfId="0" applyFont="1" applyBorder="1" applyAlignment="1">
      <alignment horizontal="center" wrapText="1"/>
    </xf>
    <xf numFmtId="0" fontId="26" fillId="0" borderId="21" xfId="0" applyFont="1" applyBorder="1" applyAlignment="1">
      <alignment wrapText="1"/>
    </xf>
    <xf numFmtId="0" fontId="26" fillId="0" borderId="20" xfId="0" applyFont="1" applyBorder="1" applyAlignment="1">
      <alignment wrapText="1"/>
    </xf>
    <xf numFmtId="0" fontId="20" fillId="3" borderId="0" xfId="0" applyFont="1" applyFill="1"/>
    <xf numFmtId="169" fontId="26" fillId="0" borderId="22" xfId="0" applyNumberFormat="1" applyFont="1" applyBorder="1" applyAlignment="1">
      <alignment horizontal="right" wrapText="1"/>
    </xf>
    <xf numFmtId="0" fontId="3" fillId="0" borderId="26" xfId="0" applyFont="1" applyBorder="1" applyAlignment="1">
      <alignment vertical="top" wrapText="1"/>
    </xf>
    <xf numFmtId="0" fontId="3" fillId="0" borderId="26" xfId="0" applyFont="1" applyBorder="1" applyAlignment="1">
      <alignment horizontal="left" vertical="center" wrapText="1"/>
    </xf>
    <xf numFmtId="3" fontId="26" fillId="0" borderId="22" xfId="0" applyNumberFormat="1" applyFont="1" applyBorder="1" applyAlignment="1">
      <alignment horizontal="right" wrapText="1"/>
    </xf>
    <xf numFmtId="3" fontId="26" fillId="0" borderId="24" xfId="0" applyNumberFormat="1" applyFont="1" applyBorder="1" applyAlignment="1">
      <alignment horizontal="right" wrapText="1"/>
    </xf>
    <xf numFmtId="3" fontId="3" fillId="0" borderId="22" xfId="0" applyNumberFormat="1" applyFont="1" applyBorder="1" applyAlignment="1">
      <alignment horizontal="right" wrapText="1"/>
    </xf>
    <xf numFmtId="3" fontId="44" fillId="0" borderId="7" xfId="0" applyNumberFormat="1" applyFont="1" applyBorder="1" applyAlignment="1">
      <alignment horizontal="right" vertical="center"/>
    </xf>
    <xf numFmtId="3" fontId="49" fillId="0" borderId="17" xfId="0" applyNumberFormat="1" applyFont="1" applyBorder="1" applyAlignment="1">
      <alignment horizontal="right" vertical="center"/>
    </xf>
    <xf numFmtId="3" fontId="44" fillId="0" borderId="1" xfId="0" applyNumberFormat="1" applyFont="1" applyFill="1" applyBorder="1" applyAlignment="1">
      <alignment horizontal="right" vertical="center" wrapText="1"/>
    </xf>
    <xf numFmtId="3" fontId="43" fillId="8" borderId="8" xfId="0" applyNumberFormat="1" applyFont="1" applyFill="1" applyBorder="1" applyAlignment="1">
      <alignment horizontal="right" wrapText="1"/>
    </xf>
    <xf numFmtId="3" fontId="43" fillId="8" borderId="1" xfId="0" applyNumberFormat="1" applyFont="1" applyFill="1" applyBorder="1" applyAlignment="1">
      <alignment horizontal="right" wrapText="1"/>
    </xf>
    <xf numFmtId="4" fontId="43" fillId="8" borderId="2" xfId="0" applyNumberFormat="1" applyFont="1" applyFill="1" applyBorder="1" applyAlignment="1">
      <alignment horizontal="right" wrapText="1"/>
    </xf>
    <xf numFmtId="0" fontId="3" fillId="0" borderId="1" xfId="0" applyFont="1" applyBorder="1" applyAlignment="1">
      <alignment horizontal="left" vertical="top"/>
    </xf>
    <xf numFmtId="167" fontId="3" fillId="0" borderId="1" xfId="0" applyNumberFormat="1" applyFont="1" applyBorder="1" applyAlignment="1">
      <alignment horizontal="left" vertical="top"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6" fillId="0" borderId="0" xfId="0" applyFont="1" applyFill="1"/>
    <xf numFmtId="0" fontId="0" fillId="5" borderId="1" xfId="0" applyFill="1" applyBorder="1"/>
    <xf numFmtId="167" fontId="0" fillId="4" borderId="0" xfId="0" applyNumberFormat="1" applyFill="1"/>
    <xf numFmtId="167" fontId="13" fillId="0" borderId="0" xfId="0" applyNumberFormat="1" applyFont="1" applyAlignment="1" applyProtection="1">
      <alignment horizontal="right"/>
    </xf>
    <xf numFmtId="167" fontId="13" fillId="0" borderId="0" xfId="0" applyNumberFormat="1" applyFont="1" applyAlignment="1" applyProtection="1">
      <alignment horizontal="center"/>
    </xf>
    <xf numFmtId="167" fontId="29" fillId="0" borderId="1" xfId="0" applyNumberFormat="1" applyFont="1" applyBorder="1" applyAlignment="1" applyProtection="1">
      <alignment horizontal="center" vertical="center"/>
    </xf>
    <xf numFmtId="167" fontId="19" fillId="0" borderId="1" xfId="0" applyNumberFormat="1" applyFont="1" applyBorder="1" applyAlignment="1" applyProtection="1">
      <alignment horizontal="center" vertical="center"/>
    </xf>
    <xf numFmtId="166" fontId="13" fillId="0" borderId="0" xfId="0" applyNumberFormat="1" applyFont="1" applyAlignment="1" applyProtection="1">
      <alignment horizontal="right"/>
    </xf>
    <xf numFmtId="166" fontId="13" fillId="0" borderId="0" xfId="0" applyNumberFormat="1" applyFont="1" applyAlignment="1" applyProtection="1">
      <alignment horizontal="center"/>
    </xf>
    <xf numFmtId="166" fontId="29" fillId="0" borderId="1" xfId="0" applyNumberFormat="1" applyFont="1" applyBorder="1" applyAlignment="1" applyProtection="1">
      <alignment horizontal="center" vertical="center"/>
    </xf>
    <xf numFmtId="166" fontId="19" fillId="0" borderId="1" xfId="0" applyNumberFormat="1" applyFont="1" applyBorder="1" applyAlignment="1" applyProtection="1">
      <alignment horizontal="center" vertical="center"/>
    </xf>
    <xf numFmtId="166" fontId="13" fillId="0" borderId="1" xfId="0" applyNumberFormat="1" applyFont="1" applyBorder="1" applyProtection="1"/>
    <xf numFmtId="167" fontId="0" fillId="0" borderId="0" xfId="0" applyNumberFormat="1" applyFill="1" applyBorder="1"/>
    <xf numFmtId="167" fontId="0" fillId="3" borderId="0" xfId="0" applyNumberFormat="1" applyFill="1"/>
    <xf numFmtId="166" fontId="3" fillId="0" borderId="1" xfId="0" applyNumberFormat="1" applyFont="1" applyFill="1" applyBorder="1" applyAlignment="1" applyProtection="1">
      <alignment horizontal="center" vertical="center"/>
    </xf>
    <xf numFmtId="166" fontId="4" fillId="0" borderId="1" xfId="0" applyNumberFormat="1" applyFont="1" applyFill="1" applyBorder="1"/>
    <xf numFmtId="166" fontId="0" fillId="0" borderId="0" xfId="0" applyNumberFormat="1" applyFill="1" applyBorder="1"/>
    <xf numFmtId="166" fontId="0" fillId="3" borderId="0" xfId="0" applyNumberFormat="1" applyFill="1"/>
    <xf numFmtId="0" fontId="3" fillId="0" borderId="1" xfId="0" applyFont="1" applyBorder="1" applyAlignment="1">
      <alignment horizontal="center" vertical="center" wrapText="1"/>
    </xf>
    <xf numFmtId="0" fontId="3" fillId="0" borderId="0" xfId="0" applyFont="1" applyAlignment="1">
      <alignment horizontal="center"/>
    </xf>
    <xf numFmtId="0" fontId="6" fillId="0" borderId="0" xfId="0" applyFont="1" applyAlignment="1">
      <alignment horizontal="center"/>
    </xf>
    <xf numFmtId="3" fontId="3" fillId="0" borderId="1" xfId="0" applyNumberFormat="1" applyFont="1" applyFill="1" applyBorder="1" applyAlignment="1">
      <alignment horizontal="right" wrapText="1"/>
    </xf>
    <xf numFmtId="0" fontId="3" fillId="0" borderId="0" xfId="0" applyFont="1"/>
    <xf numFmtId="0" fontId="4" fillId="0" borderId="0" xfId="0" applyFont="1" applyFill="1" applyAlignment="1">
      <alignment horizontal="center" vertical="center" wrapText="1"/>
    </xf>
    <xf numFmtId="165" fontId="51" fillId="0" borderId="1" xfId="0" applyNumberFormat="1" applyFont="1" applyBorder="1" applyAlignment="1">
      <alignment wrapText="1"/>
    </xf>
    <xf numFmtId="3" fontId="3" fillId="0" borderId="1" xfId="0" applyNumberFormat="1" applyFont="1" applyBorder="1" applyAlignment="1">
      <alignment horizontal="right"/>
    </xf>
    <xf numFmtId="3" fontId="3" fillId="0" borderId="0" xfId="0" applyNumberFormat="1" applyFont="1" applyBorder="1" applyAlignment="1">
      <alignment horizontal="right"/>
    </xf>
    <xf numFmtId="165" fontId="52" fillId="0" borderId="1" xfId="0" applyNumberFormat="1" applyFont="1" applyFill="1" applyBorder="1" applyAlignment="1">
      <alignment wrapText="1"/>
    </xf>
    <xf numFmtId="164" fontId="4" fillId="0" borderId="1" xfId="0" applyNumberFormat="1" applyFont="1" applyBorder="1" applyAlignment="1">
      <alignment vertical="center"/>
    </xf>
    <xf numFmtId="164" fontId="4" fillId="0" borderId="0" xfId="0" applyNumberFormat="1" applyFont="1" applyBorder="1" applyAlignment="1">
      <alignment vertical="center"/>
    </xf>
    <xf numFmtId="0" fontId="3" fillId="0" borderId="0" xfId="0" applyFont="1" applyBorder="1"/>
    <xf numFmtId="0" fontId="3" fillId="0" borderId="0" xfId="0" applyFont="1" applyFill="1"/>
    <xf numFmtId="0" fontId="6" fillId="3" borderId="0" xfId="0" applyFont="1" applyFill="1"/>
    <xf numFmtId="0" fontId="6" fillId="2" borderId="0" xfId="0" applyFont="1" applyFill="1"/>
    <xf numFmtId="0" fontId="3" fillId="2" borderId="0" xfId="0" applyFont="1" applyFill="1"/>
    <xf numFmtId="3" fontId="4" fillId="0" borderId="1" xfId="0" applyNumberFormat="1" applyFont="1" applyBorder="1" applyAlignment="1">
      <alignment vertical="center"/>
    </xf>
    <xf numFmtId="0" fontId="3" fillId="5" borderId="0" xfId="0" applyFont="1" applyFill="1"/>
    <xf numFmtId="0" fontId="14" fillId="0" borderId="0" xfId="0" applyFont="1" applyAlignment="1" applyProtection="1">
      <alignment horizontal="center" wrapText="1"/>
    </xf>
    <xf numFmtId="0" fontId="17" fillId="0" borderId="1" xfId="0" applyFont="1" applyFill="1" applyBorder="1" applyAlignment="1" applyProtection="1">
      <alignment horizontal="left" vertical="top" wrapText="1" indent="2"/>
      <protection hidden="1"/>
    </xf>
    <xf numFmtId="166" fontId="16" fillId="0" borderId="1" xfId="0" applyNumberFormat="1" applyFont="1" applyFill="1" applyBorder="1" applyAlignment="1" applyProtection="1">
      <alignment horizontal="center" vertical="center"/>
    </xf>
    <xf numFmtId="167" fontId="16" fillId="0" borderId="1" xfId="0" applyNumberFormat="1" applyFont="1" applyFill="1" applyBorder="1" applyAlignment="1" applyProtection="1">
      <alignment horizontal="center" vertical="center"/>
    </xf>
    <xf numFmtId="0" fontId="3" fillId="0" borderId="0" xfId="0" applyFont="1" applyAlignment="1">
      <alignment horizontal="center"/>
    </xf>
    <xf numFmtId="0" fontId="4" fillId="0" borderId="0" xfId="0" applyFont="1" applyFill="1" applyAlignment="1">
      <alignment horizontal="center" vertical="center" wrapText="1"/>
    </xf>
    <xf numFmtId="49" fontId="53" fillId="0" borderId="1" xfId="0" applyNumberFormat="1" applyFont="1" applyBorder="1" applyAlignment="1">
      <alignment horizontal="center" vertical="center" textRotation="90"/>
    </xf>
    <xf numFmtId="49" fontId="53" fillId="0" borderId="1" xfId="0" applyNumberFormat="1" applyFont="1" applyBorder="1" applyAlignment="1">
      <alignment horizontal="center" vertical="center" textRotation="90" wrapText="1"/>
    </xf>
    <xf numFmtId="49" fontId="53" fillId="0" borderId="1" xfId="0" applyNumberFormat="1" applyFont="1" applyBorder="1" applyAlignment="1">
      <alignment horizontal="left" vertical="center" textRotation="90"/>
    </xf>
    <xf numFmtId="0" fontId="4" fillId="0" borderId="37" xfId="0" applyFont="1" applyFill="1" applyBorder="1" applyAlignment="1">
      <alignment horizontal="center" vertical="center" wrapText="1"/>
    </xf>
    <xf numFmtId="0" fontId="3" fillId="3" borderId="0" xfId="0" applyFont="1" applyFill="1"/>
    <xf numFmtId="3" fontId="4" fillId="0" borderId="1" xfId="0" applyNumberFormat="1" applyFont="1" applyBorder="1" applyAlignment="1">
      <alignment horizontal="right"/>
    </xf>
    <xf numFmtId="3" fontId="3" fillId="0" borderId="1" xfId="0" applyNumberFormat="1" applyFont="1" applyBorder="1" applyAlignment="1">
      <alignment horizontal="right" vertical="center" wrapText="1"/>
    </xf>
    <xf numFmtId="0" fontId="3" fillId="0" borderId="37" xfId="0" applyFont="1" applyBorder="1" applyAlignment="1"/>
    <xf numFmtId="3" fontId="4" fillId="0" borderId="0" xfId="0" applyNumberFormat="1" applyFont="1" applyBorder="1" applyAlignment="1">
      <alignment horizontal="right"/>
    </xf>
    <xf numFmtId="1" fontId="3" fillId="0" borderId="0" xfId="0" applyNumberFormat="1" applyFont="1"/>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165" fontId="51" fillId="0" borderId="6" xfId="0" applyNumberFormat="1" applyFont="1" applyBorder="1" applyAlignment="1">
      <alignment wrapText="1"/>
    </xf>
    <xf numFmtId="165" fontId="52" fillId="0" borderId="16" xfId="0" applyNumberFormat="1" applyFont="1" applyFill="1" applyBorder="1" applyAlignment="1">
      <alignment wrapText="1"/>
    </xf>
    <xf numFmtId="0" fontId="3" fillId="4" borderId="0" xfId="0" applyFont="1" applyFill="1"/>
    <xf numFmtId="0" fontId="4" fillId="0" borderId="0" xfId="0" applyFont="1" applyFill="1" applyAlignment="1">
      <alignment horizontal="left" vertical="center" wrapText="1"/>
    </xf>
    <xf numFmtId="3" fontId="3" fillId="0" borderId="7" xfId="0" applyNumberFormat="1" applyFont="1" applyBorder="1" applyAlignment="1">
      <alignment horizontal="right"/>
    </xf>
    <xf numFmtId="164" fontId="4" fillId="0" borderId="17" xfId="0" applyNumberFormat="1" applyFont="1" applyBorder="1" applyAlignment="1">
      <alignment horizontal="center" vertical="center"/>
    </xf>
    <xf numFmtId="3" fontId="4" fillId="0" borderId="18" xfId="0" applyNumberFormat="1" applyFont="1" applyBorder="1" applyAlignment="1">
      <alignment horizontal="right" vertical="center"/>
    </xf>
    <xf numFmtId="0" fontId="3" fillId="0" borderId="1" xfId="0" applyFont="1" applyBorder="1" applyAlignment="1">
      <alignment horizontal="center" vertical="center" wrapText="1"/>
    </xf>
    <xf numFmtId="0" fontId="6" fillId="0" borderId="0" xfId="0" applyFont="1" applyAlignment="1">
      <alignment wrapText="1"/>
    </xf>
    <xf numFmtId="167" fontId="54" fillId="0" borderId="1" xfId="0" applyNumberFormat="1" applyFont="1" applyBorder="1" applyAlignment="1" applyProtection="1">
      <alignment horizontal="center" vertical="center" wrapText="1"/>
    </xf>
    <xf numFmtId="166" fontId="54" fillId="0" borderId="1" xfId="0" applyNumberFormat="1" applyFont="1" applyBorder="1" applyAlignment="1" applyProtection="1">
      <alignment horizontal="center" vertical="center" wrapText="1"/>
    </xf>
    <xf numFmtId="0" fontId="3" fillId="0" borderId="0" xfId="0" applyFont="1" applyAlignment="1">
      <alignment horizontal="justify" wrapText="1"/>
    </xf>
    <xf numFmtId="0" fontId="6" fillId="0" borderId="0" xfId="0" applyFont="1" applyFill="1" applyAlignment="1">
      <alignment wrapText="1"/>
    </xf>
    <xf numFmtId="49" fontId="9" fillId="0" borderId="19" xfId="0" applyNumberFormat="1" applyFont="1" applyBorder="1" applyAlignment="1">
      <alignment horizontal="center" vertical="center" wrapText="1"/>
    </xf>
    <xf numFmtId="0" fontId="9" fillId="0" borderId="19" xfId="0" applyFont="1" applyBorder="1" applyAlignment="1">
      <alignment horizontal="center" vertical="center" wrapText="1"/>
    </xf>
    <xf numFmtId="166" fontId="4" fillId="0" borderId="19" xfId="0" applyNumberFormat="1" applyFont="1" applyBorder="1" applyAlignment="1">
      <alignment horizontal="left" vertical="center" wrapText="1"/>
    </xf>
    <xf numFmtId="0" fontId="4" fillId="0" borderId="19" xfId="0" applyFont="1" applyBorder="1" applyAlignment="1">
      <alignment vertical="top" wrapText="1"/>
    </xf>
    <xf numFmtId="3" fontId="9" fillId="0" borderId="19" xfId="0" applyNumberFormat="1" applyFont="1" applyBorder="1" applyProtection="1"/>
    <xf numFmtId="166" fontId="3" fillId="0" borderId="19" xfId="0" applyNumberFormat="1" applyFont="1" applyBorder="1" applyAlignment="1">
      <alignment horizontal="center" vertical="center" wrapText="1"/>
    </xf>
    <xf numFmtId="0" fontId="3" fillId="0" borderId="19" xfId="0" applyFont="1" applyBorder="1" applyAlignment="1">
      <alignment vertical="top" wrapText="1"/>
    </xf>
    <xf numFmtId="3" fontId="3" fillId="0" borderId="19" xfId="0" applyNumberFormat="1" applyFont="1" applyBorder="1" applyProtection="1"/>
    <xf numFmtId="0" fontId="3" fillId="0" borderId="19" xfId="0" applyFont="1" applyBorder="1" applyAlignment="1">
      <alignment horizontal="left" vertical="top" wrapText="1"/>
    </xf>
    <xf numFmtId="0" fontId="30" fillId="0" borderId="19" xfId="0" applyFont="1" applyBorder="1" applyAlignment="1">
      <alignment horizontal="left" vertical="top" wrapText="1"/>
    </xf>
    <xf numFmtId="3" fontId="4" fillId="0" borderId="19" xfId="0" applyNumberFormat="1" applyFont="1" applyBorder="1" applyProtection="1"/>
    <xf numFmtId="0" fontId="26" fillId="0" borderId="19" xfId="0" applyFont="1" applyBorder="1" applyAlignment="1">
      <alignment horizontal="left" vertical="top" wrapText="1"/>
    </xf>
    <xf numFmtId="3" fontId="10" fillId="0" borderId="19" xfId="0" applyNumberFormat="1" applyFont="1" applyBorder="1" applyProtection="1"/>
    <xf numFmtId="0" fontId="4" fillId="0" borderId="19" xfId="0" applyFont="1" applyBorder="1" applyAlignment="1">
      <alignment horizontal="left" vertical="top" wrapText="1"/>
    </xf>
    <xf numFmtId="166" fontId="26" fillId="0" borderId="19" xfId="0" applyNumberFormat="1" applyFont="1" applyBorder="1" applyAlignment="1">
      <alignment horizontal="center" vertical="center" wrapText="1"/>
    </xf>
    <xf numFmtId="0" fontId="26" fillId="0" borderId="19" xfId="0" applyFont="1" applyBorder="1" applyAlignment="1">
      <alignment vertical="top" wrapText="1"/>
    </xf>
    <xf numFmtId="0" fontId="3" fillId="0" borderId="19" xfId="0" applyFont="1" applyBorder="1" applyAlignment="1">
      <alignment horizontal="justify" vertical="top" wrapText="1"/>
    </xf>
    <xf numFmtId="3" fontId="9" fillId="0" borderId="19" xfId="0" applyNumberFormat="1" applyFont="1" applyBorder="1" applyProtection="1">
      <protection locked="0"/>
    </xf>
    <xf numFmtId="3" fontId="16" fillId="0" borderId="19" xfId="0" applyNumberFormat="1" applyFont="1" applyFill="1" applyBorder="1" applyAlignment="1" applyProtection="1">
      <alignment horizontal="right" vertical="center"/>
    </xf>
    <xf numFmtId="0" fontId="10" fillId="0" borderId="19" xfId="0" applyFont="1" applyFill="1" applyBorder="1" applyAlignment="1">
      <alignment horizontal="center" vertical="center" wrapText="1"/>
    </xf>
    <xf numFmtId="49" fontId="4" fillId="0" borderId="19" xfId="0" applyNumberFormat="1" applyFont="1" applyFill="1" applyBorder="1" applyAlignment="1">
      <alignment vertical="center" wrapText="1"/>
    </xf>
    <xf numFmtId="0" fontId="4" fillId="0" borderId="19" xfId="0" applyFont="1" applyFill="1" applyBorder="1" applyAlignment="1">
      <alignment vertical="top" wrapText="1"/>
    </xf>
    <xf numFmtId="3" fontId="4" fillId="0" borderId="19" xfId="1" applyNumberFormat="1" applyFont="1" applyFill="1" applyBorder="1" applyAlignment="1">
      <alignment vertical="center" wrapText="1"/>
    </xf>
    <xf numFmtId="49" fontId="10" fillId="0" borderId="19" xfId="0" applyNumberFormat="1" applyFont="1" applyFill="1" applyBorder="1" applyAlignment="1">
      <alignment vertical="center" wrapText="1"/>
    </xf>
    <xf numFmtId="0" fontId="10" fillId="0" borderId="19" xfId="0" applyFont="1" applyFill="1" applyBorder="1" applyAlignment="1">
      <alignment vertical="top" wrapText="1"/>
    </xf>
    <xf numFmtId="3" fontId="10" fillId="0" borderId="19" xfId="1" applyNumberFormat="1" applyFont="1" applyFill="1" applyBorder="1" applyAlignment="1">
      <alignment vertical="center" wrapText="1"/>
    </xf>
    <xf numFmtId="3" fontId="4" fillId="0" borderId="19" xfId="0" applyNumberFormat="1" applyFont="1" applyFill="1" applyBorder="1" applyAlignment="1">
      <alignment vertical="center"/>
    </xf>
    <xf numFmtId="49" fontId="41" fillId="0" borderId="19" xfId="0" applyNumberFormat="1" applyFont="1" applyFill="1" applyBorder="1" applyAlignment="1">
      <alignment vertical="center" wrapText="1"/>
    </xf>
    <xf numFmtId="0" fontId="4" fillId="0" borderId="19" xfId="0" applyFont="1" applyFill="1" applyBorder="1" applyAlignment="1">
      <alignment horizontal="justify" vertical="justify" wrapText="1"/>
    </xf>
    <xf numFmtId="0" fontId="10" fillId="0" borderId="19" xfId="0" applyFont="1" applyFill="1" applyBorder="1" applyAlignment="1">
      <alignment horizontal="justify" vertical="justify" wrapText="1"/>
    </xf>
    <xf numFmtId="3" fontId="3" fillId="0" borderId="19" xfId="1" applyNumberFormat="1" applyFont="1" applyFill="1" applyBorder="1" applyAlignment="1">
      <alignment vertical="center" wrapText="1"/>
    </xf>
    <xf numFmtId="3" fontId="3" fillId="5" borderId="19" xfId="1" applyNumberFormat="1" applyFont="1" applyFill="1" applyBorder="1" applyAlignment="1">
      <alignment vertical="center" wrapText="1"/>
    </xf>
    <xf numFmtId="3" fontId="10" fillId="5" borderId="19" xfId="1" applyNumberFormat="1" applyFont="1" applyFill="1" applyBorder="1" applyAlignment="1">
      <alignment vertical="center" wrapText="1"/>
    </xf>
    <xf numFmtId="3" fontId="4" fillId="5" borderId="19" xfId="1" applyNumberFormat="1" applyFont="1" applyFill="1" applyBorder="1" applyAlignment="1">
      <alignment vertical="center" wrapText="1"/>
    </xf>
    <xf numFmtId="0" fontId="3" fillId="0" borderId="2" xfId="0" applyFont="1" applyBorder="1" applyAlignment="1">
      <alignment horizontal="left" vertical="center" wrapText="1"/>
    </xf>
    <xf numFmtId="0" fontId="3" fillId="0" borderId="19" xfId="0" applyFont="1" applyBorder="1" applyAlignment="1">
      <alignment horizontal="left" vertical="center" wrapText="1"/>
    </xf>
    <xf numFmtId="0" fontId="3" fillId="0" borderId="19" xfId="0" applyFont="1" applyBorder="1" applyAlignment="1">
      <alignment wrapText="1"/>
    </xf>
    <xf numFmtId="0" fontId="48" fillId="0" borderId="19" xfId="0" applyFont="1" applyBorder="1" applyAlignment="1">
      <alignment horizontal="left" vertical="top" wrapText="1"/>
    </xf>
    <xf numFmtId="167" fontId="3" fillId="0" borderId="19" xfId="0" applyNumberFormat="1" applyFont="1" applyFill="1" applyBorder="1" applyAlignment="1">
      <alignment horizontal="center" vertical="top" wrapText="1"/>
    </xf>
    <xf numFmtId="3" fontId="3" fillId="0" borderId="19" xfId="0" applyNumberFormat="1" applyFont="1" applyBorder="1" applyAlignment="1">
      <alignment horizontal="right" vertical="top" wrapText="1"/>
    </xf>
    <xf numFmtId="0" fontId="47" fillId="0" borderId="19" xfId="0" applyFont="1" applyBorder="1" applyAlignment="1">
      <alignment horizontal="left" vertical="top" wrapText="1"/>
    </xf>
    <xf numFmtId="167" fontId="4" fillId="0" borderId="19" xfId="0" applyNumberFormat="1" applyFont="1" applyBorder="1" applyAlignment="1">
      <alignment horizontal="right" vertical="top" wrapText="1"/>
    </xf>
    <xf numFmtId="3" fontId="4" fillId="0" borderId="19" xfId="0" applyNumberFormat="1" applyFont="1" applyBorder="1" applyAlignment="1">
      <alignment horizontal="right" vertical="top" wrapText="1"/>
    </xf>
    <xf numFmtId="167" fontId="13" fillId="0" borderId="19" xfId="0" applyNumberFormat="1" applyFont="1" applyFill="1" applyBorder="1" applyAlignment="1" applyProtection="1">
      <alignment horizontal="center" vertical="center" wrapText="1"/>
    </xf>
    <xf numFmtId="49" fontId="3" fillId="0" borderId="19" xfId="0" applyNumberFormat="1" applyFont="1" applyBorder="1" applyAlignment="1">
      <alignment horizontal="left" vertical="top" wrapText="1"/>
    </xf>
    <xf numFmtId="49" fontId="0" fillId="4" borderId="0" xfId="0" applyNumberFormat="1" applyFill="1"/>
    <xf numFmtId="49" fontId="3" fillId="0" borderId="19" xfId="0" applyNumberFormat="1" applyFont="1" applyBorder="1" applyAlignment="1">
      <alignment horizontal="right" vertical="top" wrapText="1"/>
    </xf>
    <xf numFmtId="49" fontId="3" fillId="6" borderId="19" xfId="0" applyNumberFormat="1" applyFont="1" applyFill="1" applyBorder="1" applyAlignment="1">
      <alignment horizontal="right" vertical="top" wrapText="1"/>
    </xf>
    <xf numFmtId="0" fontId="6" fillId="0" borderId="0" xfId="0" applyFont="1" applyAlignment="1">
      <alignment vertical="distributed"/>
    </xf>
    <xf numFmtId="3" fontId="4" fillId="0" borderId="1" xfId="1" applyNumberFormat="1" applyFont="1" applyBorder="1" applyAlignment="1">
      <alignment horizontal="right" vertical="center"/>
    </xf>
    <xf numFmtId="3" fontId="4" fillId="5" borderId="1" xfId="0" applyNumberFormat="1" applyFont="1" applyFill="1" applyBorder="1"/>
    <xf numFmtId="167" fontId="4" fillId="0" borderId="19" xfId="0" applyNumberFormat="1" applyFont="1" applyFill="1" applyBorder="1" applyAlignment="1">
      <alignment horizontal="center" vertical="top" wrapText="1"/>
    </xf>
    <xf numFmtId="3" fontId="19" fillId="7" borderId="1" xfId="0" applyNumberFormat="1" applyFont="1" applyFill="1" applyBorder="1" applyAlignment="1" applyProtection="1">
      <alignment horizontal="right" vertical="center"/>
    </xf>
    <xf numFmtId="3" fontId="13" fillId="7" borderId="1" xfId="0" applyNumberFormat="1" applyFont="1" applyFill="1" applyBorder="1" applyAlignment="1" applyProtection="1">
      <alignment horizontal="right" vertical="center"/>
    </xf>
    <xf numFmtId="3" fontId="13" fillId="7" borderId="1" xfId="0" applyNumberFormat="1" applyFont="1" applyFill="1" applyBorder="1" applyAlignment="1" applyProtection="1">
      <alignment horizontal="right" vertical="center"/>
      <protection locked="0"/>
    </xf>
    <xf numFmtId="3" fontId="19" fillId="9" borderId="1" xfId="0" applyNumberFormat="1" applyFont="1" applyFill="1" applyBorder="1" applyAlignment="1" applyProtection="1">
      <alignment horizontal="right" vertical="center"/>
    </xf>
    <xf numFmtId="3" fontId="49" fillId="0" borderId="7" xfId="0" applyNumberFormat="1" applyFont="1" applyBorder="1" applyAlignment="1">
      <alignment horizontal="right" vertical="center"/>
    </xf>
    <xf numFmtId="3" fontId="19" fillId="5" borderId="1" xfId="0" applyNumberFormat="1" applyFont="1" applyFill="1" applyBorder="1" applyAlignment="1" applyProtection="1">
      <alignment horizontal="right" vertical="center"/>
    </xf>
    <xf numFmtId="0" fontId="3" fillId="0" borderId="0" xfId="0" applyFont="1" applyAlignment="1">
      <alignment horizontal="left" vertical="top" wrapText="1"/>
    </xf>
    <xf numFmtId="3" fontId="13" fillId="10" borderId="1" xfId="0" applyNumberFormat="1" applyFont="1" applyFill="1" applyBorder="1" applyAlignment="1" applyProtection="1">
      <alignment horizontal="right" vertical="center"/>
      <protection locked="0"/>
    </xf>
    <xf numFmtId="3" fontId="13" fillId="11" borderId="1" xfId="0" applyNumberFormat="1" applyFont="1" applyFill="1" applyBorder="1" applyAlignment="1" applyProtection="1">
      <alignment horizontal="right" vertical="center"/>
    </xf>
    <xf numFmtId="3" fontId="19" fillId="11" borderId="1" xfId="0" applyNumberFormat="1" applyFont="1" applyFill="1" applyBorder="1" applyAlignment="1" applyProtection="1">
      <alignment horizontal="right" vertical="center"/>
    </xf>
    <xf numFmtId="3" fontId="19" fillId="12" borderId="1" xfId="0" applyNumberFormat="1" applyFont="1" applyFill="1" applyBorder="1" applyAlignment="1" applyProtection="1">
      <alignment horizontal="right" vertical="center"/>
    </xf>
    <xf numFmtId="3" fontId="13" fillId="5" borderId="1" xfId="0" applyNumberFormat="1" applyFont="1" applyFill="1" applyBorder="1" applyAlignment="1" applyProtection="1">
      <alignment horizontal="right" vertical="center"/>
    </xf>
    <xf numFmtId="0" fontId="3" fillId="0" borderId="1" xfId="0" applyFont="1" applyBorder="1" applyAlignment="1">
      <alignment horizontal="center" vertical="center" wrapText="1"/>
    </xf>
    <xf numFmtId="0" fontId="11" fillId="0" borderId="0" xfId="0" applyFont="1" applyFill="1" applyAlignment="1">
      <alignment horizontal="center" vertical="center" wrapText="1"/>
    </xf>
    <xf numFmtId="0" fontId="0" fillId="0" borderId="0" xfId="0" applyAlignment="1">
      <alignment horizontal="center"/>
    </xf>
    <xf numFmtId="0" fontId="3" fillId="0" borderId="0" xfId="0" applyFont="1" applyAlignment="1">
      <alignment horizontal="center"/>
    </xf>
    <xf numFmtId="0" fontId="4" fillId="0" borderId="0" xfId="0" applyFont="1" applyFill="1" applyAlignment="1">
      <alignment horizontal="center" vertical="center" wrapText="1"/>
    </xf>
    <xf numFmtId="3" fontId="49" fillId="0" borderId="18" xfId="0" applyNumberFormat="1" applyFont="1" applyBorder="1" applyAlignment="1">
      <alignment horizontal="right" vertical="center"/>
    </xf>
    <xf numFmtId="49" fontId="21" fillId="0" borderId="1" xfId="0" applyNumberFormat="1" applyFont="1" applyBorder="1" applyAlignment="1">
      <alignment horizontal="center" vertical="distributed"/>
    </xf>
    <xf numFmtId="49" fontId="22" fillId="0" borderId="1" xfId="0" applyNumberFormat="1" applyFont="1" applyBorder="1" applyAlignment="1">
      <alignment horizontal="center" vertical="distributed"/>
    </xf>
    <xf numFmtId="0" fontId="3" fillId="0" borderId="1" xfId="0" applyFont="1" applyBorder="1" applyAlignment="1">
      <alignment horizontal="center" vertical="center" wrapText="1"/>
    </xf>
    <xf numFmtId="0" fontId="3" fillId="0" borderId="0" xfId="0" applyFont="1" applyAlignment="1">
      <alignment horizontal="center"/>
    </xf>
    <xf numFmtId="0" fontId="4" fillId="0" borderId="0" xfId="0" applyFont="1" applyFill="1" applyAlignment="1">
      <alignment horizontal="center" vertical="center"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Border="1" applyAlignment="1">
      <alignment horizontal="center" vertical="center" wrapText="1"/>
    </xf>
    <xf numFmtId="165" fontId="52" fillId="0" borderId="0" xfId="0" applyNumberFormat="1" applyFont="1" applyFill="1" applyBorder="1" applyAlignment="1">
      <alignment wrapText="1"/>
    </xf>
    <xf numFmtId="3" fontId="4" fillId="0" borderId="17" xfId="0" applyNumberFormat="1" applyFont="1" applyBorder="1" applyAlignment="1">
      <alignment horizontal="right"/>
    </xf>
    <xf numFmtId="3" fontId="10" fillId="0" borderId="1" xfId="0" applyNumberFormat="1" applyFont="1" applyBorder="1" applyAlignment="1" applyProtection="1">
      <alignment horizontal="right" vertical="center"/>
      <protection locked="0"/>
    </xf>
    <xf numFmtId="49" fontId="10" fillId="0" borderId="6" xfId="3" applyNumberFormat="1" applyFont="1" applyFill="1" applyBorder="1" applyAlignment="1">
      <alignment vertical="center" wrapText="1"/>
    </xf>
    <xf numFmtId="0" fontId="3" fillId="0" borderId="19" xfId="0" applyFont="1" applyFill="1" applyBorder="1" applyAlignment="1">
      <alignment vertical="top" wrapText="1"/>
    </xf>
    <xf numFmtId="49" fontId="0" fillId="0" borderId="0" xfId="0" applyNumberFormat="1"/>
    <xf numFmtId="0" fontId="48" fillId="0" borderId="1" xfId="0" applyFont="1" applyBorder="1" applyAlignment="1">
      <alignment horizontal="left" wrapText="1"/>
    </xf>
    <xf numFmtId="3" fontId="13" fillId="0" borderId="0" xfId="0" applyNumberFormat="1" applyFont="1" applyProtection="1"/>
    <xf numFmtId="0" fontId="6" fillId="0" borderId="0" xfId="0" applyFont="1" applyFill="1" applyAlignment="1">
      <alignment horizontal="center"/>
    </xf>
    <xf numFmtId="3" fontId="3" fillId="0" borderId="1" xfId="2" applyNumberFormat="1" applyFont="1" applyFill="1" applyBorder="1" applyAlignment="1" applyProtection="1">
      <alignment horizontal="right" vertical="center" wrapText="1"/>
      <protection locked="0"/>
    </xf>
    <xf numFmtId="0" fontId="3" fillId="0" borderId="1" xfId="0" applyFont="1" applyBorder="1" applyAlignment="1">
      <alignment horizontal="center" vertical="center" wrapText="1"/>
    </xf>
    <xf numFmtId="0" fontId="11" fillId="0" borderId="0" xfId="0" applyFont="1" applyFill="1" applyAlignment="1">
      <alignment horizontal="center" vertical="center" wrapText="1"/>
    </xf>
    <xf numFmtId="0" fontId="6" fillId="0" borderId="0" xfId="0" applyFont="1" applyAlignment="1">
      <alignment horizontal="center"/>
    </xf>
    <xf numFmtId="0" fontId="0" fillId="0" borderId="0" xfId="0" applyAlignment="1">
      <alignment horizontal="center"/>
    </xf>
    <xf numFmtId="0" fontId="3" fillId="0" borderId="0" xfId="0" applyFont="1" applyAlignment="1">
      <alignment horizontal="center"/>
    </xf>
    <xf numFmtId="0" fontId="4" fillId="0" borderId="0" xfId="0" applyFont="1" applyFill="1" applyAlignment="1">
      <alignment horizontal="center" vertical="center" wrapText="1"/>
    </xf>
    <xf numFmtId="0" fontId="3" fillId="0" borderId="0" xfId="0" applyFont="1" applyBorder="1" applyAlignment="1">
      <alignment horizontal="center" vertical="center" wrapText="1"/>
    </xf>
    <xf numFmtId="0" fontId="0" fillId="13" borderId="0" xfId="0" applyFill="1"/>
    <xf numFmtId="0" fontId="3" fillId="0" borderId="0" xfId="0" applyFont="1" applyAlignment="1">
      <alignment wrapText="1"/>
    </xf>
    <xf numFmtId="0" fontId="55" fillId="0" borderId="1" xfId="0" applyFont="1" applyBorder="1" applyAlignment="1">
      <alignment horizontal="left" vertical="top" wrapText="1"/>
    </xf>
    <xf numFmtId="0" fontId="3" fillId="0" borderId="1" xfId="0" applyFont="1" applyBorder="1" applyAlignment="1">
      <alignment horizontal="left" vertical="center" wrapText="1"/>
    </xf>
    <xf numFmtId="0" fontId="3" fillId="0" borderId="0" xfId="0" applyFont="1" applyBorder="1" applyAlignment="1">
      <alignment horizontal="center" vertical="center" wrapText="1"/>
    </xf>
    <xf numFmtId="0" fontId="3" fillId="0" borderId="1" xfId="0" applyFont="1" applyBorder="1" applyAlignment="1">
      <alignment horizontal="right" vertical="center" wrapText="1"/>
    </xf>
    <xf numFmtId="170" fontId="3" fillId="0" borderId="1" xfId="4" applyNumberFormat="1" applyFont="1" applyBorder="1" applyAlignment="1">
      <alignment horizontal="right" vertical="center" wrapText="1"/>
    </xf>
    <xf numFmtId="0" fontId="10" fillId="0" borderId="19" xfId="0" applyFont="1" applyFill="1" applyBorder="1" applyAlignment="1">
      <alignment horizontal="justify" vertical="top" wrapText="1"/>
    </xf>
    <xf numFmtId="0" fontId="6" fillId="0" borderId="0" xfId="0" applyFont="1" applyAlignment="1">
      <alignment horizontal="center"/>
    </xf>
    <xf numFmtId="49" fontId="56" fillId="0" borderId="1" xfId="0" applyNumberFormat="1" applyFont="1" applyBorder="1" applyAlignment="1">
      <alignment horizontal="center" vertical="justify"/>
    </xf>
    <xf numFmtId="49" fontId="56" fillId="0" borderId="1" xfId="0" applyNumberFormat="1" applyFont="1" applyBorder="1" applyAlignment="1">
      <alignment horizontal="center" vertical="justify" wrapText="1"/>
    </xf>
    <xf numFmtId="0" fontId="0" fillId="0" borderId="0" xfId="0" applyBorder="1" applyAlignment="1">
      <alignment horizontal="center" vertical="top"/>
    </xf>
    <xf numFmtId="0" fontId="3" fillId="0" borderId="1" xfId="0" applyFont="1" applyBorder="1" applyAlignment="1">
      <alignment horizontal="center" vertical="center"/>
    </xf>
    <xf numFmtId="0" fontId="4" fillId="0" borderId="1" xfId="0" applyFont="1" applyBorder="1" applyAlignment="1">
      <alignment horizontal="center" wrapText="1"/>
    </xf>
    <xf numFmtId="0" fontId="4" fillId="0" borderId="0" xfId="0" applyFont="1" applyAlignment="1">
      <alignment wrapText="1"/>
    </xf>
    <xf numFmtId="0" fontId="4" fillId="0" borderId="1" xfId="0" applyFont="1" applyBorder="1" applyAlignment="1">
      <alignment wrapText="1"/>
    </xf>
    <xf numFmtId="0" fontId="3" fillId="0" borderId="0" xfId="0" applyFont="1" applyAlignment="1">
      <alignment vertical="top" wrapText="1"/>
    </xf>
    <xf numFmtId="0" fontId="3" fillId="0" borderId="2" xfId="0" applyFont="1" applyBorder="1" applyAlignment="1">
      <alignment horizontal="center" vertical="center"/>
    </xf>
    <xf numFmtId="0" fontId="6" fillId="0" borderId="1" xfId="0" applyFont="1" applyBorder="1" applyAlignment="1">
      <alignment horizontal="center" vertical="center"/>
    </xf>
    <xf numFmtId="49" fontId="13" fillId="0" borderId="1" xfId="0" applyNumberFormat="1" applyFont="1" applyBorder="1" applyAlignment="1" applyProtection="1">
      <alignment horizontal="center" vertical="center"/>
    </xf>
    <xf numFmtId="49" fontId="10" fillId="0" borderId="1" xfId="0" applyNumberFormat="1" applyFont="1" applyBorder="1" applyAlignment="1" applyProtection="1">
      <alignment horizontal="center" vertical="center" wrapText="1"/>
    </xf>
    <xf numFmtId="49" fontId="29" fillId="0" borderId="1" xfId="0" applyNumberFormat="1" applyFont="1" applyBorder="1" applyAlignment="1" applyProtection="1">
      <alignment horizontal="center" vertical="center"/>
    </xf>
    <xf numFmtId="49" fontId="19" fillId="0" borderId="1" xfId="0" applyNumberFormat="1" applyFont="1" applyBorder="1" applyAlignment="1" applyProtection="1">
      <alignment horizontal="center" vertical="center"/>
    </xf>
    <xf numFmtId="49" fontId="17" fillId="0" borderId="1" xfId="0" applyNumberFormat="1" applyFont="1" applyFill="1" applyBorder="1" applyAlignment="1" applyProtection="1">
      <alignment horizontal="center" vertical="center"/>
    </xf>
    <xf numFmtId="49" fontId="19" fillId="0" borderId="1" xfId="0" applyNumberFormat="1" applyFont="1" applyFill="1" applyBorder="1" applyAlignment="1" applyProtection="1">
      <alignment horizontal="center" vertical="center"/>
    </xf>
    <xf numFmtId="0" fontId="4" fillId="4" borderId="0" xfId="0" applyFont="1" applyFill="1" applyAlignment="1">
      <alignment horizontal="center"/>
    </xf>
    <xf numFmtId="0" fontId="3" fillId="4" borderId="0" xfId="0" applyFont="1" applyFill="1" applyAlignment="1">
      <alignment horizontal="center"/>
    </xf>
    <xf numFmtId="0" fontId="5" fillId="4" borderId="0" xfId="0" applyFont="1" applyFill="1" applyAlignment="1">
      <alignment horizontal="center"/>
    </xf>
    <xf numFmtId="49" fontId="4" fillId="0" borderId="3" xfId="0" applyNumberFormat="1" applyFont="1" applyBorder="1" applyAlignment="1">
      <alignment horizontal="center" wrapText="1"/>
    </xf>
    <xf numFmtId="0" fontId="4" fillId="0" borderId="5" xfId="0" applyFont="1" applyBorder="1" applyAlignment="1">
      <alignment horizontal="center" wrapText="1"/>
    </xf>
    <xf numFmtId="0" fontId="47" fillId="0" borderId="5" xfId="0" applyFont="1" applyBorder="1" applyAlignment="1">
      <alignment horizontal="center" wrapText="1"/>
    </xf>
    <xf numFmtId="49" fontId="4" fillId="5" borderId="3" xfId="0" applyNumberFormat="1" applyFont="1" applyFill="1" applyBorder="1" applyAlignment="1">
      <alignment horizontal="center" wrapText="1"/>
    </xf>
    <xf numFmtId="0" fontId="47" fillId="5" borderId="5" xfId="0" applyFont="1" applyFill="1" applyBorder="1" applyAlignment="1">
      <alignment horizontal="center" wrapText="1"/>
    </xf>
    <xf numFmtId="167" fontId="4" fillId="5" borderId="3" xfId="0" applyNumberFormat="1" applyFont="1" applyFill="1" applyBorder="1" applyAlignment="1">
      <alignment horizontal="center" wrapText="1"/>
    </xf>
    <xf numFmtId="0" fontId="4" fillId="5" borderId="5" xfId="0" applyFont="1" applyFill="1" applyBorder="1" applyAlignment="1">
      <alignment horizontal="center" wrapText="1"/>
    </xf>
    <xf numFmtId="0" fontId="58" fillId="5" borderId="5" xfId="0" applyFont="1" applyFill="1" applyBorder="1" applyAlignment="1">
      <alignment horizontal="center" wrapText="1"/>
    </xf>
    <xf numFmtId="49" fontId="4" fillId="0" borderId="42" xfId="0" applyNumberFormat="1" applyFont="1" applyBorder="1" applyAlignment="1">
      <alignment horizontal="center" wrapText="1"/>
    </xf>
    <xf numFmtId="0" fontId="4" fillId="5" borderId="44" xfId="0" applyFont="1" applyFill="1" applyBorder="1" applyAlignment="1">
      <alignment horizontal="center"/>
    </xf>
    <xf numFmtId="0" fontId="4" fillId="5" borderId="45" xfId="0" applyFont="1" applyFill="1" applyBorder="1" applyAlignment="1">
      <alignment horizontal="center"/>
    </xf>
    <xf numFmtId="49" fontId="5" fillId="0" borderId="46" xfId="0" applyNumberFormat="1" applyFont="1" applyBorder="1" applyAlignment="1">
      <alignment horizontal="center" wrapText="1"/>
    </xf>
    <xf numFmtId="0" fontId="57" fillId="0" borderId="47" xfId="0" applyFont="1" applyBorder="1" applyAlignment="1">
      <alignment horizontal="center" wrapText="1"/>
    </xf>
    <xf numFmtId="49" fontId="3" fillId="0" borderId="6" xfId="0" applyNumberFormat="1" applyFont="1" applyBorder="1" applyAlignment="1">
      <alignment horizontal="center" wrapText="1"/>
    </xf>
    <xf numFmtId="0" fontId="48" fillId="0" borderId="7" xfId="0" applyFont="1" applyBorder="1" applyAlignment="1">
      <alignment horizontal="left" wrapText="1"/>
    </xf>
    <xf numFmtId="49" fontId="5" fillId="0" borderId="6" xfId="0" applyNumberFormat="1" applyFont="1" applyBorder="1" applyAlignment="1">
      <alignment horizontal="center" wrapText="1"/>
    </xf>
    <xf numFmtId="0" fontId="57" fillId="0" borderId="7" xfId="0" applyFont="1" applyBorder="1" applyAlignment="1">
      <alignment horizontal="center" wrapText="1"/>
    </xf>
    <xf numFmtId="49" fontId="3" fillId="0" borderId="48" xfId="0" applyNumberFormat="1" applyFont="1" applyBorder="1" applyAlignment="1">
      <alignment horizontal="center" wrapText="1"/>
    </xf>
    <xf numFmtId="0" fontId="48" fillId="0" borderId="49" xfId="0" applyFont="1" applyBorder="1" applyAlignment="1">
      <alignment horizontal="center" wrapText="1"/>
    </xf>
    <xf numFmtId="0" fontId="48" fillId="0" borderId="7" xfId="0" applyFont="1" applyBorder="1" applyAlignment="1">
      <alignment horizontal="center" wrapText="1"/>
    </xf>
    <xf numFmtId="49" fontId="3" fillId="0" borderId="46" xfId="0" applyNumberFormat="1" applyFont="1" applyBorder="1" applyAlignment="1">
      <alignment horizontal="center" wrapText="1"/>
    </xf>
    <xf numFmtId="49" fontId="3" fillId="0" borderId="50" xfId="0" applyNumberFormat="1" applyFont="1" applyBorder="1" applyAlignment="1">
      <alignment horizontal="center" wrapText="1"/>
    </xf>
    <xf numFmtId="0" fontId="48" fillId="0" borderId="51" xfId="0" applyFont="1" applyBorder="1" applyAlignment="1">
      <alignment horizontal="center" wrapText="1"/>
    </xf>
    <xf numFmtId="49" fontId="5" fillId="5" borderId="46" xfId="0" applyNumberFormat="1" applyFont="1" applyFill="1" applyBorder="1" applyAlignment="1">
      <alignment horizontal="center" wrapText="1"/>
    </xf>
    <xf numFmtId="0" fontId="57" fillId="5" borderId="47" xfId="0" applyFont="1" applyFill="1" applyBorder="1" applyAlignment="1">
      <alignment horizontal="center" wrapText="1"/>
    </xf>
    <xf numFmtId="49" fontId="3" fillId="5" borderId="6" xfId="0" applyNumberFormat="1" applyFont="1" applyFill="1" applyBorder="1" applyAlignment="1">
      <alignment horizontal="center" wrapText="1"/>
    </xf>
    <xf numFmtId="0" fontId="48" fillId="5" borderId="7" xfId="0" applyFont="1" applyFill="1" applyBorder="1" applyAlignment="1">
      <alignment horizontal="left" wrapText="1"/>
    </xf>
    <xf numFmtId="49" fontId="5" fillId="5" borderId="6" xfId="0" applyNumberFormat="1" applyFont="1" applyFill="1" applyBorder="1" applyAlignment="1">
      <alignment horizontal="center" wrapText="1"/>
    </xf>
    <xf numFmtId="0" fontId="57" fillId="5" borderId="7" xfId="0" applyFont="1" applyFill="1" applyBorder="1" applyAlignment="1">
      <alignment horizontal="center" wrapText="1"/>
    </xf>
    <xf numFmtId="0" fontId="3" fillId="5" borderId="7" xfId="5" applyNumberFormat="1" applyFont="1" applyFill="1" applyBorder="1" applyAlignment="1" applyProtection="1">
      <alignment horizontal="left" wrapText="1"/>
      <protection hidden="1"/>
    </xf>
    <xf numFmtId="49" fontId="3" fillId="5" borderId="48" xfId="0" applyNumberFormat="1" applyFont="1" applyFill="1" applyBorder="1" applyAlignment="1">
      <alignment horizontal="center" wrapText="1"/>
    </xf>
    <xf numFmtId="0" fontId="48" fillId="5" borderId="49" xfId="0" applyFont="1" applyFill="1" applyBorder="1" applyAlignment="1">
      <alignment horizontal="left" wrapText="1"/>
    </xf>
    <xf numFmtId="0" fontId="48" fillId="0" borderId="49" xfId="0" applyFont="1" applyBorder="1" applyAlignment="1">
      <alignment horizontal="left" wrapText="1"/>
    </xf>
    <xf numFmtId="0" fontId="5" fillId="5" borderId="47" xfId="0" applyFont="1" applyFill="1" applyBorder="1" applyAlignment="1">
      <alignment horizontal="center" wrapText="1"/>
    </xf>
    <xf numFmtId="0" fontId="3" fillId="5" borderId="7" xfId="0" applyFont="1" applyFill="1" applyBorder="1" applyAlignment="1">
      <alignment horizontal="left" wrapText="1"/>
    </xf>
    <xf numFmtId="0" fontId="5" fillId="5" borderId="7" xfId="0" applyFont="1" applyFill="1" applyBorder="1" applyAlignment="1">
      <alignment horizontal="center" wrapText="1"/>
    </xf>
    <xf numFmtId="49" fontId="5" fillId="5" borderId="48" xfId="0" applyNumberFormat="1" applyFont="1" applyFill="1" applyBorder="1" applyAlignment="1">
      <alignment horizontal="center" wrapText="1"/>
    </xf>
    <xf numFmtId="0" fontId="3" fillId="5" borderId="49" xfId="0" applyFont="1" applyFill="1" applyBorder="1" applyAlignment="1">
      <alignment horizontal="left" wrapText="1"/>
    </xf>
    <xf numFmtId="0" fontId="57" fillId="0" borderId="47" xfId="0" applyFont="1" applyBorder="1" applyAlignment="1">
      <alignment horizontal="center" vertical="top" wrapText="1"/>
    </xf>
    <xf numFmtId="0" fontId="57" fillId="0" borderId="7" xfId="0" applyFont="1" applyBorder="1" applyAlignment="1">
      <alignment horizontal="center" vertical="top" wrapText="1"/>
    </xf>
    <xf numFmtId="0" fontId="3" fillId="5" borderId="47" xfId="5" applyNumberFormat="1" applyFont="1" applyFill="1" applyBorder="1" applyAlignment="1" applyProtection="1">
      <alignment horizontal="left" wrapText="1"/>
      <protection hidden="1"/>
    </xf>
    <xf numFmtId="167" fontId="3" fillId="5" borderId="46" xfId="0" applyNumberFormat="1" applyFont="1" applyFill="1" applyBorder="1" applyAlignment="1">
      <alignment horizontal="center"/>
    </xf>
    <xf numFmtId="0" fontId="3" fillId="5" borderId="47" xfId="0" applyFont="1" applyFill="1" applyBorder="1" applyAlignment="1">
      <alignment horizontal="center"/>
    </xf>
    <xf numFmtId="0" fontId="57" fillId="0" borderId="49" xfId="0" applyFont="1" applyBorder="1" applyAlignment="1">
      <alignment horizontal="center" wrapText="1"/>
    </xf>
    <xf numFmtId="49" fontId="3" fillId="0" borderId="16" xfId="0" applyNumberFormat="1" applyFont="1" applyBorder="1" applyAlignment="1">
      <alignment horizontal="center" wrapText="1"/>
    </xf>
    <xf numFmtId="0" fontId="48" fillId="0" borderId="18" xfId="0" applyFont="1" applyBorder="1" applyAlignment="1">
      <alignment horizontal="left" wrapText="1"/>
    </xf>
    <xf numFmtId="49" fontId="3" fillId="0" borderId="1" xfId="0" applyNumberFormat="1" applyFont="1" applyBorder="1" applyAlignment="1">
      <alignment horizontal="center" wrapText="1"/>
    </xf>
    <xf numFmtId="0" fontId="47" fillId="0" borderId="43" xfId="0" applyFont="1" applyBorder="1" applyAlignment="1">
      <alignment horizontal="center" vertical="top" wrapText="1"/>
    </xf>
    <xf numFmtId="0" fontId="48" fillId="0" borderId="51" xfId="0" applyFont="1" applyBorder="1" applyAlignment="1">
      <alignment horizontal="left" wrapText="1"/>
    </xf>
    <xf numFmtId="0" fontId="3" fillId="0" borderId="7" xfId="0" applyFont="1" applyBorder="1" applyAlignment="1">
      <alignment horizontal="left" vertical="top" wrapText="1"/>
    </xf>
    <xf numFmtId="0" fontId="48" fillId="0" borderId="49" xfId="0" applyFont="1" applyBorder="1" applyAlignment="1">
      <alignment horizontal="left" vertical="top" wrapText="1"/>
    </xf>
    <xf numFmtId="0" fontId="3" fillId="0" borderId="51" xfId="0" applyFont="1" applyBorder="1" applyAlignment="1">
      <alignment horizontal="left" wrapText="1"/>
    </xf>
    <xf numFmtId="49" fontId="3" fillId="0" borderId="13" xfId="0" applyNumberFormat="1" applyFont="1" applyBorder="1" applyAlignment="1">
      <alignment horizontal="center" wrapText="1"/>
    </xf>
    <xf numFmtId="0" fontId="3" fillId="0" borderId="15" xfId="0" applyFont="1" applyBorder="1" applyAlignment="1">
      <alignment horizontal="left" wrapText="1"/>
    </xf>
    <xf numFmtId="49" fontId="4" fillId="5" borderId="42" xfId="0" applyNumberFormat="1" applyFont="1" applyFill="1" applyBorder="1" applyAlignment="1">
      <alignment horizontal="center" wrapText="1"/>
    </xf>
    <xf numFmtId="0" fontId="47" fillId="5" borderId="43" xfId="0" applyFont="1" applyFill="1" applyBorder="1" applyAlignment="1">
      <alignment horizontal="center" wrapText="1"/>
    </xf>
    <xf numFmtId="49" fontId="3" fillId="5" borderId="1" xfId="0" applyNumberFormat="1" applyFont="1" applyFill="1" applyBorder="1" applyAlignment="1">
      <alignment horizontal="center" wrapText="1"/>
    </xf>
    <xf numFmtId="0" fontId="3" fillId="5" borderId="1" xfId="0" applyFont="1" applyFill="1" applyBorder="1" applyAlignment="1">
      <alignment horizontal="left" wrapText="1"/>
    </xf>
    <xf numFmtId="0" fontId="3" fillId="5" borderId="12" xfId="0" applyFont="1" applyFill="1" applyBorder="1" applyAlignment="1">
      <alignment horizontal="left" wrapText="1"/>
    </xf>
    <xf numFmtId="0" fontId="4" fillId="0" borderId="43" xfId="0" applyFont="1" applyBorder="1" applyAlignment="1">
      <alignment horizontal="center" wrapText="1"/>
    </xf>
    <xf numFmtId="0" fontId="3" fillId="5" borderId="1" xfId="0" applyFont="1" applyFill="1" applyBorder="1" applyAlignment="1">
      <alignment horizontal="left"/>
    </xf>
    <xf numFmtId="167" fontId="4" fillId="0" borderId="42" xfId="0" applyNumberFormat="1" applyFont="1" applyBorder="1" applyAlignment="1">
      <alignment horizontal="center" wrapText="1"/>
    </xf>
    <xf numFmtId="49" fontId="4" fillId="0" borderId="1" xfId="0" applyNumberFormat="1" applyFont="1" applyBorder="1" applyAlignment="1">
      <alignment horizontal="center" wrapText="1"/>
    </xf>
    <xf numFmtId="49" fontId="3" fillId="5" borderId="2" xfId="0" applyNumberFormat="1" applyFont="1" applyFill="1" applyBorder="1" applyAlignment="1">
      <alignment horizontal="center" wrapText="1"/>
    </xf>
    <xf numFmtId="0" fontId="3" fillId="5" borderId="2" xfId="0" applyFont="1" applyFill="1" applyBorder="1" applyAlignment="1">
      <alignment horizontal="left"/>
    </xf>
    <xf numFmtId="0" fontId="47" fillId="0" borderId="5" xfId="0" applyFont="1" applyBorder="1" applyAlignment="1">
      <alignment horizontal="center" vertical="top" wrapText="1"/>
    </xf>
    <xf numFmtId="0" fontId="55" fillId="0" borderId="1" xfId="0" applyFont="1" applyBorder="1" applyAlignment="1">
      <alignment wrapText="1"/>
    </xf>
    <xf numFmtId="0" fontId="3" fillId="0" borderId="1" xfId="0" applyFont="1" applyBorder="1" applyAlignment="1">
      <alignment horizontal="left"/>
    </xf>
    <xf numFmtId="0" fontId="3" fillId="0" borderId="1" xfId="0" applyFont="1" applyBorder="1" applyAlignment="1"/>
    <xf numFmtId="0" fontId="3" fillId="0" borderId="1" xfId="0" applyFont="1" applyBorder="1"/>
    <xf numFmtId="0" fontId="3" fillId="0" borderId="1" xfId="0" applyFont="1" applyBorder="1" applyAlignment="1">
      <alignment horizontal="left" wrapText="1"/>
    </xf>
    <xf numFmtId="0" fontId="0" fillId="4" borderId="0" xfId="0" applyFill="1" applyBorder="1"/>
    <xf numFmtId="0" fontId="5" fillId="0" borderId="49" xfId="0" applyFont="1" applyBorder="1" applyAlignment="1">
      <alignment horizontal="center" wrapText="1"/>
    </xf>
    <xf numFmtId="0" fontId="3" fillId="0" borderId="49" xfId="0" applyFont="1" applyBorder="1" applyAlignment="1">
      <alignment horizontal="left" wrapText="1"/>
    </xf>
    <xf numFmtId="0" fontId="33" fillId="4" borderId="0" xfId="0" applyFont="1" applyFill="1"/>
    <xf numFmtId="0" fontId="59" fillId="4" borderId="0" xfId="0" applyFont="1" applyFill="1"/>
    <xf numFmtId="3" fontId="13" fillId="14" borderId="1" xfId="0" applyNumberFormat="1" applyFont="1" applyFill="1" applyBorder="1" applyAlignment="1" applyProtection="1">
      <alignment horizontal="right" vertical="center"/>
      <protection locked="0"/>
    </xf>
    <xf numFmtId="3" fontId="13" fillId="11" borderId="1" xfId="0" applyNumberFormat="1" applyFont="1" applyFill="1" applyBorder="1" applyAlignment="1" applyProtection="1">
      <alignment horizontal="right" vertical="center"/>
      <protection locked="0"/>
    </xf>
    <xf numFmtId="0" fontId="3" fillId="5" borderId="1" xfId="0" applyFont="1" applyFill="1" applyBorder="1" applyAlignment="1">
      <alignment wrapText="1"/>
    </xf>
    <xf numFmtId="49" fontId="22" fillId="5" borderId="1" xfId="0" applyNumberFormat="1" applyFont="1" applyFill="1" applyBorder="1" applyAlignment="1">
      <alignment horizontal="center" vertical="justify"/>
    </xf>
    <xf numFmtId="49" fontId="22" fillId="5" borderId="1" xfId="0" applyNumberFormat="1" applyFont="1" applyFill="1" applyBorder="1" applyAlignment="1">
      <alignment horizontal="center" vertical="justify" wrapText="1"/>
    </xf>
    <xf numFmtId="0" fontId="3" fillId="5" borderId="1" xfId="0" applyNumberFormat="1" applyFont="1" applyFill="1" applyBorder="1" applyAlignment="1">
      <alignment horizontal="left" vertical="top" wrapText="1"/>
    </xf>
    <xf numFmtId="3" fontId="3" fillId="5" borderId="1" xfId="0" applyNumberFormat="1" applyFont="1" applyFill="1" applyBorder="1" applyAlignment="1">
      <alignment horizontal="right" vertical="center"/>
    </xf>
    <xf numFmtId="49" fontId="25" fillId="5" borderId="1" xfId="0" applyNumberFormat="1" applyFont="1" applyFill="1" applyBorder="1" applyAlignment="1">
      <alignment horizontal="center" vertical="justify" wrapText="1"/>
    </xf>
    <xf numFmtId="0" fontId="3" fillId="5" borderId="1" xfId="0" applyFont="1" applyFill="1" applyBorder="1" applyAlignment="1">
      <alignment horizontal="left" vertical="top" wrapText="1"/>
    </xf>
    <xf numFmtId="3" fontId="3" fillId="5" borderId="1" xfId="0" applyNumberFormat="1" applyFont="1" applyFill="1" applyBorder="1" applyAlignment="1" applyProtection="1">
      <alignment horizontal="right" vertical="center"/>
      <protection locked="0"/>
    </xf>
    <xf numFmtId="0" fontId="3" fillId="0" borderId="1" xfId="0" applyFont="1" applyBorder="1" applyAlignment="1">
      <alignment horizontal="left" vertical="center" wrapText="1"/>
    </xf>
    <xf numFmtId="49" fontId="3" fillId="0" borderId="29" xfId="0" applyNumberFormat="1" applyFont="1" applyBorder="1" applyAlignment="1">
      <alignment horizontal="right" vertical="top" wrapText="1"/>
    </xf>
    <xf numFmtId="49" fontId="3" fillId="6" borderId="29" xfId="0" applyNumberFormat="1" applyFont="1" applyFill="1" applyBorder="1" applyAlignment="1">
      <alignment horizontal="right" vertical="top" wrapText="1"/>
    </xf>
    <xf numFmtId="49" fontId="3" fillId="0" borderId="29" xfId="0" applyNumberFormat="1" applyFont="1" applyBorder="1" applyAlignment="1">
      <alignment horizontal="left" vertical="top" wrapText="1"/>
    </xf>
    <xf numFmtId="3" fontId="3" fillId="0" borderId="1" xfId="0" applyNumberFormat="1" applyFont="1" applyBorder="1" applyAlignment="1">
      <alignment horizontal="right" vertical="top" wrapText="1"/>
    </xf>
    <xf numFmtId="49" fontId="5" fillId="5" borderId="1" xfId="0" applyNumberFormat="1" applyFont="1" applyFill="1" applyBorder="1" applyAlignment="1">
      <alignment horizontal="center" wrapText="1"/>
    </xf>
    <xf numFmtId="0" fontId="57" fillId="0" borderId="6" xfId="0" applyFont="1" applyBorder="1" applyAlignment="1">
      <alignment horizontal="left" vertical="top" wrapText="1"/>
    </xf>
    <xf numFmtId="0" fontId="48" fillId="0" borderId="6" xfId="0" applyFont="1" applyBorder="1" applyAlignment="1">
      <alignment horizontal="left" vertical="top" wrapText="1"/>
    </xf>
    <xf numFmtId="0" fontId="57" fillId="0" borderId="46" xfId="0" applyFont="1" applyBorder="1" applyAlignment="1">
      <alignment horizontal="left" vertical="top" wrapText="1"/>
    </xf>
    <xf numFmtId="49" fontId="18" fillId="0" borderId="8" xfId="0" applyNumberFormat="1" applyFont="1" applyFill="1" applyBorder="1" applyAlignment="1" applyProtection="1">
      <alignment horizontal="center" vertical="center"/>
    </xf>
    <xf numFmtId="0" fontId="47" fillId="0" borderId="3" xfId="0" applyFont="1" applyBorder="1" applyAlignment="1">
      <alignment horizontal="left" vertical="top" wrapText="1"/>
    </xf>
    <xf numFmtId="49" fontId="4" fillId="0" borderId="4" xfId="0" applyNumberFormat="1" applyFont="1" applyFill="1" applyBorder="1" applyAlignment="1">
      <alignment horizontal="center" vertical="top" wrapText="1"/>
    </xf>
    <xf numFmtId="0" fontId="48" fillId="0" borderId="46" xfId="0" applyFont="1" applyBorder="1" applyAlignment="1">
      <alignment horizontal="left" vertical="top" wrapText="1"/>
    </xf>
    <xf numFmtId="0" fontId="48" fillId="0" borderId="48" xfId="0" applyFont="1" applyBorder="1" applyAlignment="1">
      <alignment horizontal="left" vertical="top" wrapText="1"/>
    </xf>
    <xf numFmtId="0" fontId="48" fillId="0" borderId="50" xfId="0" applyFont="1" applyBorder="1" applyAlignment="1">
      <alignment horizontal="left" vertical="top" wrapText="1"/>
    </xf>
    <xf numFmtId="49" fontId="4" fillId="0" borderId="4" xfId="0" applyNumberFormat="1" applyFont="1" applyBorder="1" applyAlignment="1">
      <alignment horizontal="center" wrapText="1"/>
    </xf>
    <xf numFmtId="49" fontId="5" fillId="5" borderId="8" xfId="0" applyNumberFormat="1" applyFont="1" applyFill="1" applyBorder="1" applyAlignment="1">
      <alignment horizontal="center" wrapText="1"/>
    </xf>
    <xf numFmtId="49" fontId="4" fillId="5" borderId="4" xfId="0" applyNumberFormat="1" applyFont="1" applyFill="1" applyBorder="1" applyAlignment="1">
      <alignment horizontal="center" wrapText="1"/>
    </xf>
    <xf numFmtId="3" fontId="13" fillId="5" borderId="1" xfId="0" applyNumberFormat="1" applyFont="1" applyFill="1" applyBorder="1" applyAlignment="1" applyProtection="1">
      <alignment horizontal="right" vertical="center"/>
      <protection locked="0"/>
    </xf>
    <xf numFmtId="3" fontId="13" fillId="4" borderId="1" xfId="0" applyNumberFormat="1" applyFont="1" applyFill="1" applyBorder="1" applyAlignment="1" applyProtection="1">
      <alignment horizontal="right" vertical="center"/>
      <protection locked="0"/>
    </xf>
    <xf numFmtId="3" fontId="19" fillId="4" borderId="1" xfId="0" applyNumberFormat="1" applyFont="1" applyFill="1" applyBorder="1" applyAlignment="1" applyProtection="1">
      <alignment horizontal="right" vertical="center"/>
    </xf>
    <xf numFmtId="3" fontId="3" fillId="0" borderId="2" xfId="0" applyNumberFormat="1" applyFont="1" applyBorder="1" applyAlignment="1">
      <alignment horizontal="right"/>
    </xf>
    <xf numFmtId="0" fontId="3" fillId="0" borderId="1" xfId="5" applyNumberFormat="1" applyFont="1" applyFill="1" applyBorder="1" applyAlignment="1" applyProtection="1">
      <alignment vertical="top" wrapText="1"/>
      <protection hidden="1"/>
    </xf>
    <xf numFmtId="3" fontId="13" fillId="15" borderId="1" xfId="0" applyNumberFormat="1" applyFont="1" applyFill="1" applyBorder="1" applyAlignment="1" applyProtection="1">
      <alignment horizontal="right" vertical="center"/>
      <protection locked="0"/>
    </xf>
    <xf numFmtId="49" fontId="3" fillId="5" borderId="1" xfId="0" applyNumberFormat="1" applyFont="1" applyFill="1" applyBorder="1" applyAlignment="1">
      <alignment horizontal="center" vertical="top" wrapText="1"/>
    </xf>
    <xf numFmtId="1" fontId="19" fillId="0" borderId="1" xfId="0" applyNumberFormat="1" applyFont="1" applyBorder="1" applyAlignment="1" applyProtection="1">
      <alignment horizontal="center" vertical="center"/>
    </xf>
    <xf numFmtId="0" fontId="17" fillId="0" borderId="0" xfId="0" applyFont="1" applyProtection="1"/>
    <xf numFmtId="3" fontId="19" fillId="0" borderId="1" xfId="0" applyNumberFormat="1" applyFont="1" applyFill="1" applyBorder="1" applyAlignment="1" applyProtection="1">
      <alignment horizontal="right" vertical="center"/>
      <protection locked="0"/>
    </xf>
    <xf numFmtId="49" fontId="16" fillId="0" borderId="1" xfId="0" applyNumberFormat="1" applyFont="1" applyFill="1" applyBorder="1" applyAlignment="1" applyProtection="1">
      <alignment horizontal="center" vertical="center"/>
    </xf>
    <xf numFmtId="49" fontId="13" fillId="0" borderId="1" xfId="0" applyNumberFormat="1" applyFont="1" applyBorder="1" applyProtection="1"/>
    <xf numFmtId="49" fontId="4" fillId="0" borderId="1" xfId="0" applyNumberFormat="1" applyFont="1" applyFill="1" applyBorder="1"/>
    <xf numFmtId="3" fontId="19" fillId="16" borderId="1" xfId="0" applyNumberFormat="1" applyFont="1" applyFill="1" applyBorder="1" applyAlignment="1" applyProtection="1">
      <alignment horizontal="right" vertical="center"/>
    </xf>
    <xf numFmtId="49" fontId="4" fillId="0" borderId="29" xfId="0" applyNumberFormat="1" applyFont="1" applyBorder="1" applyAlignment="1">
      <alignment horizontal="right" vertical="top" wrapText="1"/>
    </xf>
    <xf numFmtId="0" fontId="47" fillId="0" borderId="44" xfId="0" applyFont="1" applyBorder="1" applyAlignment="1">
      <alignment horizontal="left" vertical="top" wrapText="1"/>
    </xf>
    <xf numFmtId="49" fontId="4" fillId="0" borderId="53" xfId="0" applyNumberFormat="1" applyFont="1" applyFill="1" applyBorder="1" applyAlignment="1">
      <alignment horizontal="center" vertical="top" wrapText="1"/>
    </xf>
    <xf numFmtId="0" fontId="47" fillId="0" borderId="42" xfId="0" applyFont="1" applyBorder="1" applyAlignment="1">
      <alignment horizontal="left" vertical="top" wrapText="1"/>
    </xf>
    <xf numFmtId="167" fontId="4" fillId="0" borderId="54" xfId="0" applyNumberFormat="1" applyFont="1" applyBorder="1" applyAlignment="1">
      <alignment horizontal="right" vertical="top" wrapText="1"/>
    </xf>
    <xf numFmtId="49" fontId="4" fillId="0" borderId="4"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49" fontId="5" fillId="0" borderId="8" xfId="0" applyNumberFormat="1" applyFont="1" applyFill="1" applyBorder="1" applyAlignment="1">
      <alignment horizontal="center" vertical="center" wrapText="1"/>
    </xf>
    <xf numFmtId="49" fontId="3" fillId="0" borderId="52" xfId="0" applyNumberFormat="1" applyFont="1" applyFill="1" applyBorder="1" applyAlignment="1">
      <alignment horizontal="center" vertical="center" wrapText="1"/>
    </xf>
    <xf numFmtId="49" fontId="5" fillId="0" borderId="8"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49" fontId="3" fillId="0" borderId="2" xfId="0" applyNumberFormat="1" applyFont="1" applyBorder="1" applyAlignment="1">
      <alignment horizontal="center" vertical="center" wrapText="1"/>
    </xf>
    <xf numFmtId="49" fontId="3" fillId="0" borderId="8" xfId="0" applyNumberFormat="1" applyFont="1" applyBorder="1" applyAlignment="1">
      <alignment horizontal="center" vertical="center" wrapText="1"/>
    </xf>
    <xf numFmtId="49" fontId="4" fillId="0" borderId="4" xfId="0" applyNumberFormat="1" applyFont="1" applyBorder="1" applyAlignment="1">
      <alignment horizontal="center" vertical="center" wrapText="1"/>
    </xf>
    <xf numFmtId="49" fontId="3" fillId="0" borderId="52" xfId="0" applyNumberFormat="1" applyFont="1" applyBorder="1" applyAlignment="1">
      <alignment horizontal="center" vertical="center" wrapText="1"/>
    </xf>
    <xf numFmtId="49" fontId="5" fillId="0" borderId="29" xfId="0" applyNumberFormat="1" applyFont="1" applyBorder="1" applyAlignment="1">
      <alignment horizontal="right" vertical="top" wrapText="1"/>
    </xf>
    <xf numFmtId="0" fontId="3" fillId="0" borderId="1" xfId="0" applyFont="1" applyBorder="1" applyAlignment="1">
      <alignment horizontal="center" vertical="center" wrapText="1"/>
    </xf>
    <xf numFmtId="0" fontId="0" fillId="0" borderId="0" xfId="0" applyAlignment="1">
      <alignment horizontal="center"/>
    </xf>
    <xf numFmtId="0" fontId="3" fillId="0" borderId="14" xfId="0" applyFont="1" applyBorder="1" applyAlignment="1">
      <alignment horizontal="center" vertical="center" wrapText="1"/>
    </xf>
    <xf numFmtId="0" fontId="0" fillId="5" borderId="0" xfId="0" applyFill="1" applyAlignment="1"/>
    <xf numFmtId="0" fontId="0" fillId="0" borderId="0" xfId="0" applyFont="1"/>
    <xf numFmtId="3" fontId="17" fillId="5" borderId="1" xfId="0" applyNumberFormat="1" applyFont="1" applyFill="1" applyBorder="1" applyAlignment="1" applyProtection="1">
      <alignment horizontal="right" vertical="center"/>
    </xf>
    <xf numFmtId="3" fontId="4" fillId="5" borderId="1" xfId="0" applyNumberFormat="1" applyFont="1" applyFill="1" applyBorder="1" applyAlignment="1" applyProtection="1">
      <alignment horizontal="right" vertical="center"/>
    </xf>
    <xf numFmtId="3" fontId="16" fillId="5" borderId="1" xfId="0" applyNumberFormat="1" applyFont="1" applyFill="1" applyBorder="1" applyAlignment="1" applyProtection="1">
      <alignment horizontal="right" vertical="center"/>
    </xf>
    <xf numFmtId="0" fontId="6" fillId="0" borderId="28" xfId="0" applyFont="1" applyFill="1" applyBorder="1" applyAlignment="1">
      <alignment wrapText="1"/>
    </xf>
    <xf numFmtId="3" fontId="4" fillId="0" borderId="1" xfId="0" applyNumberFormat="1" applyFont="1" applyBorder="1" applyAlignment="1">
      <alignment horizontal="right" vertical="center" wrapText="1"/>
    </xf>
    <xf numFmtId="3" fontId="3" fillId="0" borderId="1" xfId="1" applyNumberFormat="1" applyFont="1" applyBorder="1" applyAlignment="1">
      <alignment horizontal="right" vertical="center"/>
    </xf>
    <xf numFmtId="0" fontId="0" fillId="3" borderId="0" xfId="0" applyFont="1" applyFill="1"/>
    <xf numFmtId="0" fontId="3" fillId="0" borderId="5" xfId="0" applyFont="1" applyBorder="1" applyAlignment="1">
      <alignment horizontal="center" wrapText="1"/>
    </xf>
    <xf numFmtId="3" fontId="19" fillId="15" borderId="1" xfId="0" applyNumberFormat="1" applyFont="1" applyFill="1" applyBorder="1" applyAlignment="1" applyProtection="1">
      <alignment horizontal="right" vertical="center"/>
    </xf>
    <xf numFmtId="3" fontId="19" fillId="17" borderId="1" xfId="0" applyNumberFormat="1" applyFont="1" applyFill="1" applyBorder="1" applyAlignment="1" applyProtection="1">
      <alignment horizontal="right" vertical="center"/>
    </xf>
    <xf numFmtId="0" fontId="11" fillId="0" borderId="0" xfId="0" applyFont="1" applyFill="1" applyAlignment="1">
      <alignment horizontal="center" vertical="center" wrapText="1"/>
    </xf>
    <xf numFmtId="0" fontId="3" fillId="0" borderId="0" xfId="0" applyFont="1" applyAlignment="1">
      <alignment horizontal="center"/>
    </xf>
    <xf numFmtId="0" fontId="3" fillId="0" borderId="14" xfId="0" applyFont="1" applyBorder="1" applyAlignment="1">
      <alignment horizontal="center" vertical="center" wrapText="1"/>
    </xf>
    <xf numFmtId="0" fontId="3" fillId="0" borderId="1" xfId="5" applyNumberFormat="1" applyFont="1" applyFill="1" applyBorder="1" applyAlignment="1" applyProtection="1">
      <alignment horizontal="left" vertical="center" wrapText="1"/>
      <protection hidden="1"/>
    </xf>
    <xf numFmtId="0" fontId="3" fillId="0" borderId="15" xfId="0" applyFont="1" applyBorder="1" applyAlignment="1">
      <alignment horizontal="center" vertical="center" wrapText="1"/>
    </xf>
    <xf numFmtId="3" fontId="3" fillId="0" borderId="1" xfId="0" applyNumberFormat="1" applyFont="1" applyBorder="1"/>
    <xf numFmtId="3" fontId="3" fillId="0" borderId="7" xfId="0" applyNumberFormat="1" applyFont="1" applyBorder="1"/>
    <xf numFmtId="3" fontId="4" fillId="0" borderId="18" xfId="0" applyNumberFormat="1" applyFont="1" applyBorder="1"/>
    <xf numFmtId="0" fontId="4" fillId="0" borderId="0" xfId="0" applyFont="1"/>
    <xf numFmtId="3" fontId="4" fillId="0" borderId="0" xfId="0" applyNumberFormat="1" applyFont="1"/>
    <xf numFmtId="165" fontId="35" fillId="0" borderId="48" xfId="0" applyNumberFormat="1" applyFont="1" applyBorder="1" applyAlignment="1">
      <alignment wrapText="1"/>
    </xf>
    <xf numFmtId="3" fontId="44" fillId="0" borderId="49" xfId="0" applyNumberFormat="1" applyFont="1" applyBorder="1" applyAlignment="1">
      <alignment horizontal="right" vertical="center"/>
    </xf>
    <xf numFmtId="3" fontId="44" fillId="0" borderId="2" xfId="0" applyNumberFormat="1" applyFont="1" applyFill="1" applyBorder="1" applyAlignment="1">
      <alignment horizontal="right" vertical="center" wrapText="1"/>
    </xf>
    <xf numFmtId="3" fontId="44" fillId="0" borderId="11" xfId="0" applyNumberFormat="1" applyFont="1" applyFill="1" applyBorder="1" applyAlignment="1">
      <alignment horizontal="right" vertical="center" wrapText="1"/>
    </xf>
    <xf numFmtId="3" fontId="44" fillId="0" borderId="38" xfId="0" applyNumberFormat="1" applyFont="1" applyFill="1" applyBorder="1" applyAlignment="1">
      <alignment horizontal="right" vertical="center" wrapText="1"/>
    </xf>
    <xf numFmtId="3" fontId="49" fillId="0" borderId="55" xfId="0" applyNumberFormat="1" applyFont="1" applyBorder="1" applyAlignment="1">
      <alignment horizontal="right" vertical="center"/>
    </xf>
    <xf numFmtId="0" fontId="18" fillId="15" borderId="0" xfId="0" applyFont="1" applyFill="1" applyAlignment="1" applyProtection="1">
      <alignment horizontal="center"/>
    </xf>
    <xf numFmtId="0" fontId="3" fillId="5" borderId="51" xfId="5" applyNumberFormat="1" applyFont="1" applyFill="1" applyBorder="1" applyAlignment="1" applyProtection="1">
      <alignment horizontal="left" wrapText="1"/>
      <protection hidden="1"/>
    </xf>
    <xf numFmtId="0" fontId="63" fillId="0" borderId="0" xfId="0" applyFont="1" applyProtection="1"/>
    <xf numFmtId="3" fontId="17" fillId="9" borderId="1" xfId="0" applyNumberFormat="1" applyFont="1" applyFill="1" applyBorder="1" applyAlignment="1" applyProtection="1">
      <alignment horizontal="right" vertical="center"/>
    </xf>
    <xf numFmtId="3" fontId="3" fillId="0" borderId="2" xfId="0" applyNumberFormat="1" applyFont="1" applyBorder="1" applyAlignment="1">
      <alignment horizontal="right" vertical="top" wrapText="1"/>
    </xf>
    <xf numFmtId="0" fontId="48" fillId="0" borderId="1" xfId="0" applyFont="1" applyBorder="1" applyAlignment="1">
      <alignment horizontal="left" vertical="top" wrapText="1"/>
    </xf>
    <xf numFmtId="49" fontId="4" fillId="0" borderId="29" xfId="0" applyNumberFormat="1" applyFont="1" applyBorder="1" applyAlignment="1">
      <alignment horizontal="left" vertical="top" wrapText="1"/>
    </xf>
    <xf numFmtId="49" fontId="5" fillId="6" borderId="29" xfId="0" applyNumberFormat="1" applyFont="1" applyFill="1" applyBorder="1" applyAlignment="1">
      <alignment horizontal="right" vertical="top" wrapText="1"/>
    </xf>
    <xf numFmtId="49" fontId="5" fillId="0" borderId="29" xfId="0" applyNumberFormat="1" applyFont="1" applyBorder="1" applyAlignment="1">
      <alignment horizontal="left" vertical="top" wrapText="1"/>
    </xf>
    <xf numFmtId="0" fontId="47" fillId="0" borderId="1" xfId="0" applyFont="1" applyBorder="1" applyAlignment="1">
      <alignment horizontal="left" vertical="top" wrapText="1"/>
    </xf>
    <xf numFmtId="49" fontId="4" fillId="0" borderId="1" xfId="0" applyNumberFormat="1" applyFont="1" applyFill="1" applyBorder="1" applyAlignment="1">
      <alignment horizontal="center" vertical="top" wrapText="1"/>
    </xf>
    <xf numFmtId="3" fontId="4" fillId="0" borderId="1" xfId="0" applyNumberFormat="1" applyFont="1" applyBorder="1" applyAlignment="1">
      <alignment horizontal="right" vertical="top" wrapText="1"/>
    </xf>
    <xf numFmtId="49" fontId="18" fillId="0" borderId="1" xfId="0" applyNumberFormat="1" applyFont="1" applyFill="1" applyBorder="1" applyAlignment="1" applyProtection="1">
      <alignment horizontal="center" vertical="top"/>
    </xf>
    <xf numFmtId="3" fontId="5" fillId="0" borderId="1" xfId="0" applyNumberFormat="1" applyFont="1" applyBorder="1" applyAlignment="1">
      <alignment horizontal="right" vertical="top" wrapText="1"/>
    </xf>
    <xf numFmtId="49" fontId="13" fillId="0" borderId="1" xfId="0" applyNumberFormat="1" applyFont="1" applyFill="1" applyBorder="1" applyAlignment="1" applyProtection="1">
      <alignment horizontal="center" vertical="top"/>
    </xf>
    <xf numFmtId="49" fontId="5" fillId="0" borderId="1" xfId="0" applyNumberFormat="1" applyFont="1" applyFill="1" applyBorder="1" applyAlignment="1">
      <alignment horizontal="center" vertical="top" wrapText="1"/>
    </xf>
    <xf numFmtId="49" fontId="3" fillId="0" borderId="1" xfId="0" applyNumberFormat="1" applyFont="1" applyFill="1" applyBorder="1" applyAlignment="1">
      <alignment horizontal="center" vertical="top" wrapText="1"/>
    </xf>
    <xf numFmtId="49" fontId="5" fillId="0" borderId="1" xfId="0" applyNumberFormat="1" applyFont="1" applyBorder="1" applyAlignment="1">
      <alignment horizontal="center" vertical="top" wrapText="1"/>
    </xf>
    <xf numFmtId="49" fontId="3" fillId="0" borderId="1" xfId="0" applyNumberFormat="1" applyFont="1" applyBorder="1" applyAlignment="1">
      <alignment horizontal="center" vertical="top" wrapText="1"/>
    </xf>
    <xf numFmtId="49" fontId="5" fillId="5" borderId="1" xfId="0" applyNumberFormat="1" applyFont="1" applyFill="1" applyBorder="1" applyAlignment="1">
      <alignment horizontal="center" vertical="top" wrapText="1"/>
    </xf>
    <xf numFmtId="167" fontId="4" fillId="0" borderId="1" xfId="0" applyNumberFormat="1" applyFont="1" applyBorder="1" applyAlignment="1">
      <alignment horizontal="right" vertical="top" wrapText="1"/>
    </xf>
    <xf numFmtId="0" fontId="47" fillId="0" borderId="8" xfId="0" applyFont="1" applyBorder="1" applyAlignment="1">
      <alignment horizontal="left" vertical="top" wrapText="1"/>
    </xf>
    <xf numFmtId="49" fontId="4" fillId="0" borderId="8" xfId="0" applyNumberFormat="1" applyFont="1" applyFill="1" applyBorder="1" applyAlignment="1">
      <alignment horizontal="center" vertical="top" wrapText="1"/>
    </xf>
    <xf numFmtId="3" fontId="4" fillId="0" borderId="8" xfId="0" applyNumberFormat="1" applyFont="1" applyBorder="1" applyAlignment="1">
      <alignment horizontal="right" vertical="top" wrapText="1"/>
    </xf>
    <xf numFmtId="0" fontId="47" fillId="0" borderId="13" xfId="0" applyFont="1" applyBorder="1" applyAlignment="1">
      <alignment horizontal="left" vertical="top" wrapText="1"/>
    </xf>
    <xf numFmtId="49" fontId="4" fillId="0" borderId="14" xfId="0" applyNumberFormat="1" applyFont="1" applyFill="1" applyBorder="1" applyAlignment="1">
      <alignment horizontal="center" vertical="top" wrapText="1"/>
    </xf>
    <xf numFmtId="3" fontId="4" fillId="0" borderId="14" xfId="0" applyNumberFormat="1" applyFont="1" applyBorder="1" applyAlignment="1">
      <alignment horizontal="right" vertical="top" wrapText="1"/>
    </xf>
    <xf numFmtId="3" fontId="4" fillId="0" borderId="15" xfId="0" applyNumberFormat="1" applyFont="1" applyBorder="1" applyAlignment="1">
      <alignment horizontal="right" vertical="top" wrapText="1"/>
    </xf>
    <xf numFmtId="3" fontId="3" fillId="0" borderId="7" xfId="0" applyNumberFormat="1" applyFont="1" applyBorder="1" applyAlignment="1">
      <alignment horizontal="right" vertical="top" wrapText="1"/>
    </xf>
    <xf numFmtId="0" fontId="48" fillId="0" borderId="16" xfId="0" applyFont="1" applyBorder="1" applyAlignment="1">
      <alignment horizontal="left" vertical="top" wrapText="1"/>
    </xf>
    <xf numFmtId="49" fontId="3" fillId="0" borderId="17" xfId="0" applyNumberFormat="1" applyFont="1" applyFill="1" applyBorder="1" applyAlignment="1">
      <alignment horizontal="center" vertical="top" wrapText="1"/>
    </xf>
    <xf numFmtId="3" fontId="3" fillId="0" borderId="17" xfId="0" applyNumberFormat="1" applyFont="1" applyBorder="1" applyAlignment="1">
      <alignment horizontal="right" vertical="top" wrapText="1"/>
    </xf>
    <xf numFmtId="3" fontId="3" fillId="0" borderId="18" xfId="0" applyNumberFormat="1" applyFont="1" applyBorder="1" applyAlignment="1">
      <alignment horizontal="right" vertical="top" wrapText="1"/>
    </xf>
    <xf numFmtId="0" fontId="48" fillId="0" borderId="2" xfId="0" applyFont="1" applyBorder="1" applyAlignment="1">
      <alignment horizontal="left" vertical="top" wrapText="1"/>
    </xf>
    <xf numFmtId="49" fontId="3" fillId="0" borderId="2" xfId="0" applyNumberFormat="1" applyFont="1" applyFill="1" applyBorder="1" applyAlignment="1">
      <alignment horizontal="center" vertical="top" wrapText="1"/>
    </xf>
    <xf numFmtId="0" fontId="47" fillId="0" borderId="6" xfId="0" applyFont="1" applyBorder="1" applyAlignment="1">
      <alignment horizontal="left" vertical="top" wrapText="1"/>
    </xf>
    <xf numFmtId="3" fontId="4" fillId="0" borderId="7" xfId="0" applyNumberFormat="1" applyFont="1" applyBorder="1" applyAlignment="1">
      <alignment horizontal="right" vertical="top" wrapText="1"/>
    </xf>
    <xf numFmtId="49" fontId="3" fillId="0" borderId="17" xfId="0" applyNumberFormat="1" applyFont="1" applyBorder="1" applyAlignment="1">
      <alignment horizontal="center" vertical="top" wrapText="1"/>
    </xf>
    <xf numFmtId="49" fontId="4" fillId="0" borderId="14" xfId="0" applyNumberFormat="1" applyFont="1" applyBorder="1" applyAlignment="1">
      <alignment horizontal="center" vertical="top" wrapText="1"/>
    </xf>
    <xf numFmtId="0" fontId="48" fillId="0" borderId="52" xfId="0" applyFont="1" applyBorder="1" applyAlignment="1">
      <alignment horizontal="left" vertical="top" wrapText="1"/>
    </xf>
    <xf numFmtId="49" fontId="3" fillId="0" borderId="52" xfId="0" applyNumberFormat="1" applyFont="1" applyBorder="1" applyAlignment="1">
      <alignment horizontal="center" vertical="top" wrapText="1"/>
    </xf>
    <xf numFmtId="3" fontId="3" fillId="0" borderId="52" xfId="0" applyNumberFormat="1" applyFont="1" applyBorder="1" applyAlignment="1">
      <alignment horizontal="right" vertical="top" wrapText="1"/>
    </xf>
    <xf numFmtId="49" fontId="4" fillId="5" borderId="14" xfId="0" applyNumberFormat="1" applyFont="1" applyFill="1" applyBorder="1" applyAlignment="1">
      <alignment horizontal="center" vertical="top" wrapText="1"/>
    </xf>
    <xf numFmtId="49" fontId="3" fillId="5" borderId="17" xfId="0" applyNumberFormat="1" applyFont="1" applyFill="1" applyBorder="1" applyAlignment="1">
      <alignment horizontal="center" vertical="top" wrapText="1"/>
    </xf>
    <xf numFmtId="0" fontId="47" fillId="0" borderId="8" xfId="0" applyFont="1" applyBorder="1" applyAlignment="1">
      <alignment horizontal="left" vertical="center" wrapText="1"/>
    </xf>
    <xf numFmtId="49" fontId="4" fillId="0" borderId="8" xfId="0" applyNumberFormat="1" applyFont="1" applyFill="1" applyBorder="1" applyAlignment="1">
      <alignment horizontal="center" vertical="center" wrapText="1"/>
    </xf>
    <xf numFmtId="3" fontId="4" fillId="0" borderId="8" xfId="0" applyNumberFormat="1" applyFont="1" applyBorder="1" applyAlignment="1">
      <alignment horizontal="right" vertical="center" wrapText="1"/>
    </xf>
    <xf numFmtId="0" fontId="3" fillId="0" borderId="14" xfId="0" applyFont="1" applyBorder="1" applyAlignment="1">
      <alignment horizontal="center" vertical="center" wrapText="1"/>
    </xf>
    <xf numFmtId="3" fontId="4" fillId="0" borderId="18" xfId="0" applyNumberFormat="1" applyFont="1" applyBorder="1" applyAlignment="1">
      <alignment horizontal="right"/>
    </xf>
    <xf numFmtId="0" fontId="3" fillId="0" borderId="14" xfId="0" applyFont="1" applyBorder="1" applyAlignment="1">
      <alignment horizontal="center" vertical="center" wrapText="1"/>
    </xf>
    <xf numFmtId="4" fontId="3" fillId="0" borderId="1" xfId="0" applyNumberFormat="1" applyFont="1" applyBorder="1"/>
    <xf numFmtId="4" fontId="3" fillId="0" borderId="7" xfId="0" applyNumberFormat="1" applyFont="1" applyBorder="1"/>
    <xf numFmtId="4" fontId="3" fillId="0" borderId="2" xfId="0" applyNumberFormat="1" applyFont="1" applyBorder="1"/>
    <xf numFmtId="4" fontId="4" fillId="0" borderId="17" xfId="0" applyNumberFormat="1" applyFont="1" applyBorder="1" applyAlignment="1">
      <alignment horizontal="right"/>
    </xf>
    <xf numFmtId="165" fontId="52" fillId="0" borderId="0" xfId="0" applyNumberFormat="1" applyFont="1" applyBorder="1" applyAlignment="1">
      <alignment horizontal="left" wrapText="1"/>
    </xf>
    <xf numFmtId="4" fontId="4" fillId="0" borderId="18" xfId="0" applyNumberFormat="1" applyFont="1" applyBorder="1"/>
    <xf numFmtId="0" fontId="3" fillId="0" borderId="14" xfId="0" applyFont="1" applyBorder="1" applyAlignment="1">
      <alignment horizontal="center" vertical="center" wrapText="1"/>
    </xf>
    <xf numFmtId="3" fontId="3" fillId="0" borderId="2" xfId="0" applyNumberFormat="1" applyFont="1" applyBorder="1"/>
    <xf numFmtId="0" fontId="48" fillId="5" borderId="51" xfId="0" applyFont="1" applyFill="1" applyBorder="1" applyAlignment="1">
      <alignment horizontal="left" wrapText="1"/>
    </xf>
    <xf numFmtId="3" fontId="3" fillId="0" borderId="1" xfId="0" applyNumberFormat="1" applyFont="1" applyBorder="1" applyAlignment="1">
      <alignment vertical="center" wrapText="1"/>
    </xf>
    <xf numFmtId="3" fontId="3" fillId="0" borderId="2" xfId="0" applyNumberFormat="1" applyFont="1" applyBorder="1" applyAlignment="1">
      <alignment vertical="center" wrapText="1"/>
    </xf>
    <xf numFmtId="3" fontId="3" fillId="0" borderId="8" xfId="0" applyNumberFormat="1" applyFont="1" applyBorder="1" applyAlignment="1">
      <alignment vertical="center" wrapText="1"/>
    </xf>
    <xf numFmtId="3" fontId="4" fillId="0" borderId="53" xfId="0" applyNumberFormat="1" applyFont="1" applyBorder="1" applyAlignment="1">
      <alignment vertical="center" wrapText="1"/>
    </xf>
    <xf numFmtId="3" fontId="4" fillId="0" borderId="52" xfId="0" applyNumberFormat="1" applyFont="1" applyBorder="1" applyAlignment="1">
      <alignment vertical="center" wrapText="1"/>
    </xf>
    <xf numFmtId="3" fontId="4" fillId="0" borderId="45" xfId="0" applyNumberFormat="1" applyFont="1" applyBorder="1" applyAlignment="1">
      <alignment vertical="center" wrapText="1"/>
    </xf>
    <xf numFmtId="3" fontId="4" fillId="0" borderId="4" xfId="0" applyNumberFormat="1" applyFont="1" applyBorder="1" applyAlignment="1">
      <alignment vertical="center" wrapText="1"/>
    </xf>
    <xf numFmtId="3" fontId="4" fillId="5" borderId="54" xfId="0" applyNumberFormat="1" applyFont="1" applyFill="1" applyBorder="1" applyAlignment="1">
      <alignment vertical="center"/>
    </xf>
    <xf numFmtId="3" fontId="4" fillId="5" borderId="43" xfId="0" applyNumberFormat="1" applyFont="1" applyFill="1" applyBorder="1" applyAlignment="1">
      <alignment vertical="center"/>
    </xf>
    <xf numFmtId="3" fontId="4" fillId="0" borderId="5" xfId="0" applyNumberFormat="1" applyFont="1" applyBorder="1" applyAlignment="1">
      <alignment vertical="center" wrapText="1"/>
    </xf>
    <xf numFmtId="3" fontId="3" fillId="0" borderId="52" xfId="0" applyNumberFormat="1" applyFont="1" applyBorder="1" applyAlignment="1">
      <alignment vertical="center" wrapText="1"/>
    </xf>
    <xf numFmtId="0" fontId="48" fillId="0" borderId="44" xfId="0" applyFont="1" applyBorder="1" applyAlignment="1">
      <alignment horizontal="left" vertical="top" wrapText="1"/>
    </xf>
    <xf numFmtId="49" fontId="3" fillId="0" borderId="25" xfId="0" applyNumberFormat="1" applyFont="1" applyBorder="1" applyAlignment="1">
      <alignment horizontal="center" vertical="center" wrapText="1"/>
    </xf>
    <xf numFmtId="0" fontId="48" fillId="0" borderId="8" xfId="0" applyFont="1" applyBorder="1" applyAlignment="1">
      <alignment horizontal="left" vertical="top" wrapText="1"/>
    </xf>
    <xf numFmtId="49" fontId="3" fillId="0" borderId="2" xfId="0" applyNumberFormat="1" applyFont="1" applyBorder="1" applyAlignment="1">
      <alignment horizontal="center" wrapText="1"/>
    </xf>
    <xf numFmtId="49" fontId="13" fillId="0" borderId="8" xfId="0" applyNumberFormat="1" applyFont="1" applyFill="1" applyBorder="1" applyAlignment="1" applyProtection="1">
      <alignment horizontal="center" vertical="center"/>
    </xf>
    <xf numFmtId="49" fontId="3" fillId="5" borderId="0" xfId="0" applyNumberFormat="1" applyFont="1" applyFill="1" applyAlignment="1">
      <alignment horizontal="justify"/>
    </xf>
    <xf numFmtId="0" fontId="6" fillId="5" borderId="0" xfId="0" applyFont="1" applyFill="1"/>
    <xf numFmtId="0" fontId="6" fillId="5" borderId="0" xfId="0" applyFont="1" applyFill="1" applyBorder="1" applyAlignment="1">
      <alignment horizontal="center"/>
    </xf>
    <xf numFmtId="49" fontId="3" fillId="0" borderId="0" xfId="0" applyNumberFormat="1" applyFont="1" applyFill="1" applyAlignment="1">
      <alignment horizontal="justify"/>
    </xf>
    <xf numFmtId="3" fontId="3" fillId="0" borderId="49" xfId="0" applyNumberFormat="1" applyFont="1" applyBorder="1" applyAlignment="1">
      <alignment horizontal="right" vertical="top" wrapText="1"/>
    </xf>
    <xf numFmtId="0" fontId="11" fillId="0" borderId="0" xfId="0" applyFont="1" applyFill="1" applyAlignment="1">
      <alignment horizontal="center" vertical="center" wrapText="1"/>
    </xf>
    <xf numFmtId="0" fontId="3" fillId="0" borderId="14" xfId="0" applyFont="1" applyBorder="1" applyAlignment="1">
      <alignment horizontal="center" vertical="center" wrapText="1"/>
    </xf>
    <xf numFmtId="3" fontId="10" fillId="0" borderId="1" xfId="0" applyNumberFormat="1" applyFont="1" applyBorder="1" applyAlignment="1" applyProtection="1">
      <alignment vertical="center"/>
      <protection locked="0"/>
    </xf>
    <xf numFmtId="3" fontId="3" fillId="0" borderId="38" xfId="0" applyNumberFormat="1" applyFont="1" applyBorder="1"/>
    <xf numFmtId="0" fontId="3" fillId="0" borderId="0" xfId="0" applyFont="1" applyBorder="1" applyAlignment="1">
      <alignment wrapText="1"/>
    </xf>
    <xf numFmtId="0" fontId="3" fillId="0" borderId="14" xfId="0" applyFont="1" applyBorder="1" applyAlignment="1">
      <alignment horizontal="center" vertical="center" wrapText="1"/>
    </xf>
    <xf numFmtId="0" fontId="3" fillId="0" borderId="14" xfId="0" applyFont="1" applyBorder="1" applyAlignment="1">
      <alignment horizontal="center" vertical="center" wrapText="1"/>
    </xf>
    <xf numFmtId="3" fontId="19" fillId="8" borderId="1" xfId="0" applyNumberFormat="1" applyFont="1" applyFill="1" applyBorder="1" applyAlignment="1" applyProtection="1">
      <alignment horizontal="right" vertical="center"/>
    </xf>
    <xf numFmtId="165" fontId="51" fillId="0" borderId="6" xfId="0" applyNumberFormat="1" applyFont="1" applyBorder="1" applyAlignment="1">
      <alignment horizontal="left" wrapText="1"/>
    </xf>
    <xf numFmtId="165" fontId="51" fillId="0" borderId="1" xfId="0" applyNumberFormat="1" applyFont="1" applyBorder="1" applyAlignment="1">
      <alignment horizontal="left" wrapText="1"/>
    </xf>
    <xf numFmtId="0" fontId="64" fillId="0" borderId="8" xfId="0" applyFont="1" applyBorder="1" applyAlignment="1">
      <alignment horizontal="center" vertical="center" wrapText="1"/>
    </xf>
    <xf numFmtId="3" fontId="44" fillId="0" borderId="12" xfId="0" applyNumberFormat="1" applyFont="1" applyBorder="1" applyAlignment="1">
      <alignment horizontal="right" vertical="center" wrapText="1"/>
    </xf>
    <xf numFmtId="3" fontId="44" fillId="0" borderId="47" xfId="0" applyNumberFormat="1" applyFont="1" applyBorder="1" applyAlignment="1">
      <alignment horizontal="right" vertical="center" wrapText="1"/>
    </xf>
    <xf numFmtId="0" fontId="3" fillId="0" borderId="11" xfId="5" applyNumberFormat="1" applyFont="1" applyFill="1" applyBorder="1" applyAlignment="1" applyProtection="1">
      <alignment vertical="center" wrapText="1"/>
      <protection hidden="1"/>
    </xf>
    <xf numFmtId="1" fontId="29" fillId="0" borderId="1" xfId="0" applyNumberFormat="1" applyFont="1" applyBorder="1" applyAlignment="1" applyProtection="1">
      <alignment horizontal="center" vertical="center"/>
    </xf>
    <xf numFmtId="1" fontId="62" fillId="0" borderId="1" xfId="0" applyNumberFormat="1" applyFont="1" applyBorder="1" applyAlignment="1" applyProtection="1">
      <alignment horizontal="center" vertical="center"/>
    </xf>
    <xf numFmtId="1" fontId="13" fillId="0" borderId="0" xfId="0" applyNumberFormat="1" applyFont="1" applyAlignment="1" applyProtection="1">
      <alignment horizontal="center"/>
    </xf>
    <xf numFmtId="1" fontId="3" fillId="0" borderId="1" xfId="0" applyNumberFormat="1" applyFont="1" applyBorder="1" applyAlignment="1">
      <alignment horizontal="center"/>
    </xf>
    <xf numFmtId="165" fontId="52" fillId="0" borderId="48" xfId="0" applyNumberFormat="1" applyFont="1" applyFill="1" applyBorder="1" applyAlignment="1">
      <alignment wrapText="1"/>
    </xf>
    <xf numFmtId="3" fontId="21" fillId="0" borderId="49" xfId="0" applyNumberFormat="1" applyFont="1" applyBorder="1" applyAlignment="1">
      <alignment horizontal="right" vertical="center"/>
    </xf>
    <xf numFmtId="3" fontId="49" fillId="0" borderId="2" xfId="0" applyNumberFormat="1" applyFont="1" applyBorder="1" applyAlignment="1">
      <alignment horizontal="right" vertical="center"/>
    </xf>
    <xf numFmtId="3" fontId="49" fillId="0" borderId="38" xfId="0" applyNumberFormat="1" applyFont="1" applyBorder="1" applyAlignment="1">
      <alignment horizontal="right" vertical="center"/>
    </xf>
    <xf numFmtId="0" fontId="33" fillId="5" borderId="1" xfId="0" applyFont="1" applyFill="1" applyBorder="1" applyAlignment="1">
      <alignment horizontal="right"/>
    </xf>
    <xf numFmtId="0" fontId="33" fillId="5" borderId="1" xfId="0" applyFont="1" applyFill="1" applyBorder="1"/>
    <xf numFmtId="3" fontId="33" fillId="5" borderId="1" xfId="0" applyNumberFormat="1" applyFont="1" applyFill="1" applyBorder="1"/>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1" fontId="0" fillId="5" borderId="1" xfId="0" applyNumberFormat="1" applyFill="1" applyBorder="1"/>
    <xf numFmtId="1" fontId="3" fillId="0" borderId="0" xfId="0" applyNumberFormat="1" applyFont="1" applyFill="1" applyBorder="1" applyAlignment="1">
      <alignment horizontal="center"/>
    </xf>
    <xf numFmtId="1" fontId="3" fillId="0" borderId="1" xfId="0" applyNumberFormat="1" applyFont="1" applyFill="1" applyBorder="1" applyAlignment="1">
      <alignment horizontal="center"/>
    </xf>
    <xf numFmtId="1" fontId="50" fillId="0" borderId="0" xfId="0" applyNumberFormat="1" applyFont="1" applyBorder="1" applyAlignment="1">
      <alignment horizontal="justify"/>
    </xf>
    <xf numFmtId="1" fontId="0" fillId="0" borderId="0" xfId="0" applyNumberFormat="1" applyBorder="1"/>
    <xf numFmtId="1" fontId="0" fillId="4" borderId="0" xfId="0" applyNumberFormat="1" applyFill="1" applyBorder="1"/>
    <xf numFmtId="165" fontId="51" fillId="0" borderId="48" xfId="0" applyNumberFormat="1" applyFont="1" applyBorder="1" applyAlignment="1">
      <alignment wrapText="1"/>
    </xf>
    <xf numFmtId="3" fontId="3" fillId="0" borderId="7" xfId="0" applyNumberFormat="1" applyFont="1" applyBorder="1" applyAlignment="1">
      <alignment horizontal="right" vertical="center"/>
    </xf>
    <xf numFmtId="3" fontId="3" fillId="0" borderId="1" xfId="0" applyNumberFormat="1" applyFont="1" applyFill="1" applyBorder="1" applyAlignment="1">
      <alignment horizontal="right" vertical="center" wrapText="1"/>
    </xf>
    <xf numFmtId="3" fontId="3" fillId="0" borderId="49" xfId="0" applyNumberFormat="1" applyFont="1" applyBorder="1" applyAlignment="1">
      <alignment horizontal="right" vertical="center"/>
    </xf>
    <xf numFmtId="3" fontId="3" fillId="0" borderId="2" xfId="0" applyNumberFormat="1" applyFont="1" applyFill="1" applyBorder="1" applyAlignment="1">
      <alignment horizontal="right" vertical="center" wrapText="1"/>
    </xf>
    <xf numFmtId="3" fontId="4" fillId="0" borderId="17" xfId="0" applyNumberFormat="1" applyFont="1" applyBorder="1" applyAlignment="1">
      <alignment horizontal="right" vertical="center"/>
    </xf>
    <xf numFmtId="0" fontId="4" fillId="5" borderId="0" xfId="0" applyFont="1" applyFill="1" applyBorder="1" applyAlignment="1">
      <alignment horizont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5" borderId="46" xfId="0" applyFont="1" applyFill="1" applyBorder="1"/>
    <xf numFmtId="0" fontId="3" fillId="5" borderId="6" xfId="0" applyFont="1" applyFill="1" applyBorder="1"/>
    <xf numFmtId="0" fontId="4" fillId="5" borderId="1" xfId="0" applyFont="1" applyFill="1" applyBorder="1"/>
    <xf numFmtId="4" fontId="3" fillId="5" borderId="8" xfId="0" applyNumberFormat="1" applyFont="1" applyFill="1" applyBorder="1"/>
    <xf numFmtId="4" fontId="3" fillId="5" borderId="47" xfId="0" applyNumberFormat="1" applyFont="1" applyFill="1" applyBorder="1"/>
    <xf numFmtId="4" fontId="3" fillId="5" borderId="1" xfId="0" applyNumberFormat="1" applyFont="1" applyFill="1" applyBorder="1"/>
    <xf numFmtId="4" fontId="4" fillId="5" borderId="1" xfId="0" applyNumberFormat="1" applyFont="1" applyFill="1" applyBorder="1"/>
    <xf numFmtId="171" fontId="13" fillId="0" borderId="1" xfId="0" applyNumberFormat="1" applyFont="1" applyBorder="1" applyAlignment="1" applyProtection="1">
      <alignment horizontal="center" vertical="center"/>
    </xf>
    <xf numFmtId="0" fontId="13" fillId="0" borderId="1" xfId="0" applyNumberFormat="1" applyFont="1" applyBorder="1" applyAlignment="1" applyProtection="1">
      <alignment horizontal="center" vertical="center"/>
    </xf>
    <xf numFmtId="0" fontId="3" fillId="0" borderId="14" xfId="0" applyFont="1" applyBorder="1" applyAlignment="1">
      <alignment horizontal="center" vertical="center" wrapText="1"/>
    </xf>
    <xf numFmtId="165" fontId="51" fillId="0" borderId="39" xfId="0" applyNumberFormat="1" applyFont="1" applyBorder="1" applyAlignment="1">
      <alignment horizontal="left" wrapText="1"/>
    </xf>
    <xf numFmtId="165" fontId="51" fillId="0" borderId="39" xfId="0" applyNumberFormat="1" applyFont="1" applyBorder="1" applyAlignment="1">
      <alignment wrapText="1"/>
    </xf>
    <xf numFmtId="165" fontId="51" fillId="0" borderId="36" xfId="0" applyNumberFormat="1" applyFont="1" applyBorder="1" applyAlignment="1">
      <alignment wrapText="1"/>
    </xf>
    <xf numFmtId="0" fontId="3" fillId="0" borderId="0" xfId="0" applyFont="1" applyAlignment="1">
      <alignment horizontal="center"/>
    </xf>
    <xf numFmtId="0" fontId="3" fillId="0" borderId="14" xfId="0" applyFont="1" applyBorder="1" applyAlignment="1">
      <alignment horizontal="center" vertical="center" wrapText="1"/>
    </xf>
    <xf numFmtId="0" fontId="0" fillId="0" borderId="0" xfId="0" applyAlignment="1">
      <alignment horizontal="center"/>
    </xf>
    <xf numFmtId="0" fontId="13" fillId="5" borderId="1" xfId="0" applyNumberFormat="1" applyFont="1" applyFill="1" applyBorder="1" applyAlignment="1" applyProtection="1">
      <alignment horizontal="center" vertical="center"/>
    </xf>
    <xf numFmtId="1" fontId="13" fillId="5" borderId="1" xfId="0" applyNumberFormat="1" applyFont="1" applyFill="1" applyBorder="1" applyAlignment="1" applyProtection="1">
      <alignment horizontal="center" vertical="center"/>
    </xf>
    <xf numFmtId="3" fontId="21" fillId="0" borderId="38" xfId="0" applyNumberFormat="1" applyFont="1" applyBorder="1" applyAlignment="1">
      <alignment horizontal="right" vertical="center"/>
    </xf>
    <xf numFmtId="3" fontId="4" fillId="0" borderId="2" xfId="0" applyNumberFormat="1" applyFont="1" applyBorder="1" applyAlignment="1">
      <alignment horizontal="right"/>
    </xf>
    <xf numFmtId="0" fontId="3" fillId="5" borderId="1" xfId="0" applyNumberFormat="1" applyFont="1" applyFill="1" applyBorder="1" applyAlignment="1">
      <alignment horizontal="center"/>
    </xf>
    <xf numFmtId="165" fontId="9" fillId="0" borderId="16" xfId="0" applyNumberFormat="1" applyFont="1" applyFill="1" applyBorder="1" applyAlignment="1">
      <alignment wrapText="1"/>
    </xf>
    <xf numFmtId="165" fontId="3" fillId="0" borderId="6" xfId="0" applyNumberFormat="1" applyFont="1" applyBorder="1" applyAlignment="1">
      <alignment horizontal="left" wrapText="1"/>
    </xf>
    <xf numFmtId="165" fontId="3" fillId="0" borderId="1" xfId="0" applyNumberFormat="1" applyFont="1" applyBorder="1" applyAlignment="1">
      <alignment horizontal="left" wrapText="1"/>
    </xf>
    <xf numFmtId="165" fontId="4" fillId="0" borderId="48" xfId="0" applyNumberFormat="1" applyFont="1" applyFill="1" applyBorder="1" applyAlignment="1">
      <alignment wrapText="1"/>
    </xf>
    <xf numFmtId="165" fontId="4" fillId="0" borderId="10" xfId="0" applyNumberFormat="1" applyFont="1" applyFill="1" applyBorder="1" applyAlignment="1">
      <alignment wrapText="1"/>
    </xf>
    <xf numFmtId="165" fontId="4" fillId="0" borderId="10" xfId="0" applyNumberFormat="1" applyFont="1" applyBorder="1" applyAlignment="1">
      <alignment horizontal="left" wrapText="1"/>
    </xf>
    <xf numFmtId="165" fontId="4" fillId="0" borderId="2" xfId="0" applyNumberFormat="1" applyFont="1" applyBorder="1" applyAlignment="1">
      <alignment horizontal="left" wrapText="1"/>
    </xf>
    <xf numFmtId="0" fontId="3" fillId="0" borderId="11" xfId="6" applyNumberFormat="1" applyFont="1" applyFill="1" applyBorder="1" applyAlignment="1" applyProtection="1">
      <alignment vertical="top" wrapText="1"/>
      <protection hidden="1"/>
    </xf>
    <xf numFmtId="0" fontId="3" fillId="0" borderId="11" xfId="5" applyNumberFormat="1" applyFont="1" applyFill="1" applyBorder="1" applyAlignment="1" applyProtection="1">
      <alignment vertical="top" wrapText="1"/>
      <protection hidden="1"/>
    </xf>
    <xf numFmtId="0" fontId="10" fillId="0" borderId="46" xfId="0" applyFont="1" applyBorder="1" applyAlignment="1">
      <alignment vertical="center" wrapText="1"/>
    </xf>
    <xf numFmtId="0" fontId="10" fillId="0" borderId="8" xfId="0" applyFont="1" applyBorder="1" applyAlignment="1">
      <alignment vertical="center" wrapText="1"/>
    </xf>
    <xf numFmtId="3" fontId="3" fillId="0" borderId="12" xfId="0" applyNumberFormat="1" applyFont="1" applyBorder="1" applyAlignment="1">
      <alignment horizontal="right" vertical="center" wrapText="1"/>
    </xf>
    <xf numFmtId="3" fontId="3" fillId="0" borderId="47" xfId="0" applyNumberFormat="1" applyFont="1" applyBorder="1" applyAlignment="1">
      <alignment horizontal="right" vertical="center" wrapText="1"/>
    </xf>
    <xf numFmtId="0" fontId="3" fillId="0" borderId="11" xfId="7" applyNumberFormat="1" applyFont="1" applyFill="1" applyBorder="1" applyAlignment="1" applyProtection="1">
      <alignment vertical="top" wrapText="1"/>
      <protection hidden="1"/>
    </xf>
    <xf numFmtId="170" fontId="10" fillId="0" borderId="1" xfId="4" applyNumberFormat="1" applyFont="1" applyBorder="1" applyAlignment="1" applyProtection="1">
      <alignment vertical="center"/>
      <protection locked="0"/>
    </xf>
    <xf numFmtId="49" fontId="3" fillId="0" borderId="1" xfId="0" applyNumberFormat="1" applyFont="1" applyBorder="1" applyAlignment="1">
      <alignment horizontal="center"/>
    </xf>
    <xf numFmtId="0" fontId="3" fillId="0" borderId="1" xfId="0" applyFont="1" applyBorder="1" applyAlignment="1">
      <alignment horizontal="center" vertical="center" wrapText="1"/>
    </xf>
    <xf numFmtId="0" fontId="10" fillId="0" borderId="0" xfId="0" applyFont="1" applyFill="1" applyAlignment="1">
      <alignment horizontal="right"/>
    </xf>
    <xf numFmtId="0" fontId="9" fillId="0" borderId="0" xfId="0" applyFont="1" applyFill="1" applyAlignment="1">
      <alignment horizontal="center" vertical="center" wrapText="1"/>
    </xf>
    <xf numFmtId="0" fontId="3" fillId="0" borderId="1" xfId="0" applyFont="1" applyBorder="1" applyAlignment="1">
      <alignment horizontal="center" wrapText="1"/>
    </xf>
    <xf numFmtId="0" fontId="6" fillId="0" borderId="0" xfId="0" applyFont="1" applyAlignment="1">
      <alignment horizontal="center"/>
    </xf>
    <xf numFmtId="0" fontId="11" fillId="0" borderId="0" xfId="0" applyFont="1" applyFill="1" applyAlignment="1">
      <alignment horizontal="center" vertical="center" wrapText="1"/>
    </xf>
    <xf numFmtId="0" fontId="11" fillId="0" borderId="34" xfId="0" applyFont="1" applyFill="1" applyBorder="1" applyAlignment="1">
      <alignment horizontal="center" vertical="center" wrapText="1"/>
    </xf>
    <xf numFmtId="0" fontId="2" fillId="0" borderId="1" xfId="0" applyFont="1" applyBorder="1" applyAlignment="1">
      <alignment horizontal="center" wrapText="1"/>
    </xf>
    <xf numFmtId="0" fontId="9" fillId="0" borderId="19" xfId="0" applyFont="1" applyBorder="1" applyAlignment="1">
      <alignment horizontal="left"/>
    </xf>
    <xf numFmtId="0" fontId="9" fillId="0" borderId="0" xfId="0" applyFont="1" applyAlignment="1">
      <alignment horizontal="center" wrapText="1"/>
    </xf>
    <xf numFmtId="0" fontId="0" fillId="5" borderId="0" xfId="0" applyFill="1" applyAlignment="1">
      <alignment horizontal="center"/>
    </xf>
    <xf numFmtId="0" fontId="0" fillId="5" borderId="28" xfId="0" applyFill="1" applyBorder="1" applyAlignment="1">
      <alignment horizontal="center"/>
    </xf>
    <xf numFmtId="0" fontId="10" fillId="0" borderId="19" xfId="0" applyFont="1" applyFill="1" applyBorder="1" applyAlignment="1">
      <alignment horizontal="left" vertical="top" wrapText="1"/>
    </xf>
    <xf numFmtId="0" fontId="40" fillId="0" borderId="0" xfId="0" applyFont="1" applyFill="1" applyAlignment="1">
      <alignment horizontal="center" vertical="center" wrapText="1"/>
    </xf>
    <xf numFmtId="0" fontId="26" fillId="0" borderId="32" xfId="0" applyFont="1" applyBorder="1" applyAlignment="1">
      <alignment horizontal="center" wrapText="1"/>
    </xf>
    <xf numFmtId="0" fontId="26" fillId="0" borderId="22" xfId="0" applyFont="1" applyBorder="1" applyAlignment="1">
      <alignment horizontal="center" wrapText="1"/>
    </xf>
    <xf numFmtId="3" fontId="3" fillId="0" borderId="19" xfId="0" applyNumberFormat="1" applyFont="1" applyBorder="1" applyAlignment="1">
      <alignment horizontal="right" vertical="center" wrapText="1"/>
    </xf>
    <xf numFmtId="3" fontId="6" fillId="0" borderId="19" xfId="0" applyNumberFormat="1" applyFont="1" applyBorder="1" applyAlignment="1">
      <alignment horizontal="right" vertical="center"/>
    </xf>
    <xf numFmtId="0" fontId="3" fillId="0" borderId="28" xfId="0" applyFont="1" applyBorder="1" applyAlignment="1">
      <alignment horizontal="center" wrapText="1"/>
    </xf>
    <xf numFmtId="3" fontId="4" fillId="0" borderId="29" xfId="0" applyNumberFormat="1" applyFont="1" applyBorder="1" applyAlignment="1">
      <alignment horizontal="right" wrapText="1"/>
    </xf>
    <xf numFmtId="3" fontId="6" fillId="0" borderId="33" xfId="0" applyNumberFormat="1" applyFont="1" applyBorder="1" applyAlignment="1">
      <alignment horizontal="right"/>
    </xf>
    <xf numFmtId="3" fontId="6" fillId="0" borderId="23" xfId="0" applyNumberFormat="1" applyFont="1" applyBorder="1" applyAlignment="1">
      <alignment horizontal="right"/>
    </xf>
    <xf numFmtId="3" fontId="30" fillId="0" borderId="29" xfId="0" applyNumberFormat="1" applyFont="1" applyBorder="1" applyAlignment="1">
      <alignment horizontal="right" wrapText="1"/>
    </xf>
    <xf numFmtId="3" fontId="26" fillId="0" borderId="29" xfId="0" applyNumberFormat="1" applyFont="1" applyBorder="1" applyAlignment="1">
      <alignment horizontal="right" wrapText="1"/>
    </xf>
    <xf numFmtId="3" fontId="3" fillId="0" borderId="29" xfId="0" applyNumberFormat="1" applyFont="1" applyBorder="1" applyAlignment="1">
      <alignment horizontal="right" wrapText="1"/>
    </xf>
    <xf numFmtId="3" fontId="30" fillId="0" borderId="38" xfId="0" applyNumberFormat="1" applyFont="1" applyBorder="1" applyAlignment="1">
      <alignment horizontal="center" vertical="center" wrapText="1"/>
    </xf>
    <xf numFmtId="3" fontId="26" fillId="0" borderId="37" xfId="0" applyNumberFormat="1" applyFont="1" applyBorder="1" applyAlignment="1">
      <alignment horizontal="center" vertical="center" wrapText="1"/>
    </xf>
    <xf numFmtId="3" fontId="26" fillId="0" borderId="10" xfId="0" applyNumberFormat="1" applyFont="1" applyBorder="1" applyAlignment="1">
      <alignment horizontal="center" vertical="center" wrapText="1"/>
    </xf>
    <xf numFmtId="0" fontId="3" fillId="0" borderId="0" xfId="0" applyFont="1" applyAlignment="1">
      <alignment horizontal="right"/>
    </xf>
    <xf numFmtId="0" fontId="6" fillId="0" borderId="0" xfId="0" applyFont="1" applyAlignment="1">
      <alignment horizontal="right"/>
    </xf>
    <xf numFmtId="0" fontId="3" fillId="0" borderId="27" xfId="0" applyFont="1" applyBorder="1" applyAlignment="1">
      <alignment horizontal="justify" shrinkToFit="1"/>
    </xf>
    <xf numFmtId="0" fontId="6" fillId="0" borderId="27" xfId="0" applyFont="1" applyBorder="1" applyAlignment="1">
      <alignment shrinkToFit="1"/>
    </xf>
    <xf numFmtId="0" fontId="3" fillId="0" borderId="0" xfId="0" applyFont="1" applyAlignment="1">
      <alignment horizontal="center"/>
    </xf>
    <xf numFmtId="0" fontId="4" fillId="0" borderId="29" xfId="0" applyFont="1" applyBorder="1" applyAlignment="1">
      <alignment horizontal="center" wrapText="1"/>
    </xf>
    <xf numFmtId="0" fontId="6" fillId="0" borderId="33" xfId="0" applyFont="1" applyBorder="1" applyAlignment="1"/>
    <xf numFmtId="0" fontId="6" fillId="0" borderId="23" xfId="0" applyFont="1" applyBorder="1" applyAlignment="1"/>
    <xf numFmtId="0" fontId="26" fillId="0" borderId="29" xfId="0" applyFont="1" applyBorder="1" applyAlignment="1">
      <alignment horizontal="center" wrapText="1"/>
    </xf>
    <xf numFmtId="0" fontId="6" fillId="0" borderId="33" xfId="0" applyFont="1" applyBorder="1" applyAlignment="1">
      <alignment horizontal="center"/>
    </xf>
    <xf numFmtId="0" fontId="6" fillId="0" borderId="23" xfId="0" applyFont="1" applyBorder="1" applyAlignment="1">
      <alignment horizontal="center"/>
    </xf>
    <xf numFmtId="0" fontId="26" fillId="0" borderId="25" xfId="0" applyFont="1" applyBorder="1" applyAlignment="1">
      <alignment horizontal="center" wrapText="1"/>
    </xf>
    <xf numFmtId="0" fontId="26" fillId="0" borderId="26" xfId="0" applyFont="1" applyBorder="1" applyAlignment="1">
      <alignment horizontal="center" wrapText="1"/>
    </xf>
    <xf numFmtId="0" fontId="26" fillId="0" borderId="21" xfId="0" applyFont="1" applyBorder="1" applyAlignment="1">
      <alignment horizontal="center" wrapText="1"/>
    </xf>
    <xf numFmtId="0" fontId="26" fillId="0" borderId="33" xfId="0" applyFont="1" applyBorder="1" applyAlignment="1">
      <alignment horizontal="center" wrapText="1"/>
    </xf>
    <xf numFmtId="0" fontId="26" fillId="0" borderId="23" xfId="0" applyFont="1" applyBorder="1" applyAlignment="1">
      <alignment horizontal="center" wrapText="1"/>
    </xf>
    <xf numFmtId="0" fontId="26" fillId="0" borderId="30" xfId="0" applyFont="1" applyBorder="1" applyAlignment="1">
      <alignment horizontal="center" wrapText="1"/>
    </xf>
    <xf numFmtId="0" fontId="26" fillId="0" borderId="31" xfId="0" applyFont="1" applyBorder="1" applyAlignment="1">
      <alignment horizontal="center" wrapText="1"/>
    </xf>
    <xf numFmtId="0" fontId="3" fillId="0" borderId="27" xfId="0" applyFont="1" applyBorder="1" applyAlignment="1">
      <alignment horizontal="left" vertical="top" wrapText="1"/>
    </xf>
    <xf numFmtId="3" fontId="3" fillId="0" borderId="29" xfId="0" applyNumberFormat="1" applyFont="1" applyBorder="1" applyAlignment="1">
      <alignment horizontal="right" vertical="center" wrapText="1"/>
    </xf>
    <xf numFmtId="3" fontId="6" fillId="0" borderId="33" xfId="0" applyNumberFormat="1" applyFont="1" applyBorder="1" applyAlignment="1">
      <alignment horizontal="right" vertical="center"/>
    </xf>
    <xf numFmtId="3" fontId="6" fillId="0" borderId="23" xfId="0" applyNumberFormat="1" applyFont="1" applyBorder="1" applyAlignment="1">
      <alignment horizontal="right" vertical="center"/>
    </xf>
    <xf numFmtId="3" fontId="26" fillId="0" borderId="30" xfId="0" applyNumberFormat="1" applyFont="1" applyBorder="1" applyAlignment="1">
      <alignment horizontal="right" vertical="center" wrapText="1"/>
    </xf>
    <xf numFmtId="3" fontId="6" fillId="0" borderId="27" xfId="0" applyNumberFormat="1" applyFont="1" applyBorder="1" applyAlignment="1">
      <alignment horizontal="right" vertical="center"/>
    </xf>
    <xf numFmtId="3" fontId="6" fillId="0" borderId="31" xfId="0" applyNumberFormat="1" applyFont="1" applyBorder="1" applyAlignment="1">
      <alignment horizontal="right" vertical="center"/>
    </xf>
    <xf numFmtId="0" fontId="3" fillId="0" borderId="28" xfId="0" applyFont="1" applyBorder="1" applyAlignment="1">
      <alignment horizontal="right"/>
    </xf>
    <xf numFmtId="0" fontId="6" fillId="0" borderId="28" xfId="0" applyFont="1" applyBorder="1" applyAlignment="1">
      <alignment horizontal="right"/>
    </xf>
    <xf numFmtId="0" fontId="4" fillId="0" borderId="0" xfId="0" applyFont="1" applyAlignment="1">
      <alignment horizontal="center"/>
    </xf>
    <xf numFmtId="0" fontId="4" fillId="0" borderId="0" xfId="0" applyFont="1" applyAlignment="1">
      <alignment horizontal="center" vertical="justify"/>
    </xf>
    <xf numFmtId="0" fontId="6" fillId="0" borderId="0" xfId="0" applyFont="1" applyAlignment="1">
      <alignment horizontal="center" vertical="justify"/>
    </xf>
    <xf numFmtId="0" fontId="3" fillId="0" borderId="0" xfId="0" applyFont="1" applyAlignment="1">
      <alignment horizontal="center" vertical="justify"/>
    </xf>
    <xf numFmtId="0" fontId="4" fillId="0" borderId="11" xfId="0" applyFont="1" applyBorder="1" applyAlignment="1">
      <alignment horizontal="center"/>
    </xf>
    <xf numFmtId="0" fontId="33" fillId="0" borderId="35" xfId="0" applyFont="1" applyBorder="1" applyAlignment="1">
      <alignment horizontal="center"/>
    </xf>
    <xf numFmtId="0" fontId="33" fillId="0" borderId="36" xfId="0" applyFont="1" applyBorder="1" applyAlignment="1">
      <alignment horizontal="center"/>
    </xf>
    <xf numFmtId="0" fontId="4" fillId="0" borderId="0" xfId="0" applyFont="1" applyAlignment="1">
      <alignment horizontal="center" wrapText="1"/>
    </xf>
    <xf numFmtId="0" fontId="4" fillId="0" borderId="1" xfId="0" applyFont="1" applyBorder="1" applyAlignment="1">
      <alignment horizontal="center" vertical="top" wrapText="1"/>
    </xf>
    <xf numFmtId="0" fontId="4" fillId="0" borderId="12" xfId="0" applyFont="1" applyBorder="1" applyAlignment="1">
      <alignment horizontal="center" vertical="top" wrapText="1"/>
    </xf>
    <xf numFmtId="0" fontId="4" fillId="0" borderId="34" xfId="0" applyFont="1" applyBorder="1" applyAlignment="1">
      <alignment horizontal="center" vertical="top" wrapText="1"/>
    </xf>
    <xf numFmtId="0" fontId="4" fillId="0" borderId="9" xfId="0" applyFont="1" applyBorder="1" applyAlignment="1">
      <alignment horizontal="center" vertical="top" wrapText="1"/>
    </xf>
    <xf numFmtId="0" fontId="4" fillId="0" borderId="11" xfId="0" applyFont="1" applyBorder="1" applyAlignment="1">
      <alignment horizontal="center" wrapText="1"/>
    </xf>
    <xf numFmtId="0" fontId="4" fillId="0" borderId="35" xfId="0" applyFont="1" applyBorder="1" applyAlignment="1">
      <alignment horizontal="center" wrapText="1"/>
    </xf>
    <xf numFmtId="0" fontId="4" fillId="0" borderId="36" xfId="0" applyFont="1" applyBorder="1" applyAlignment="1">
      <alignment horizontal="center" wrapText="1"/>
    </xf>
    <xf numFmtId="0" fontId="4" fillId="0" borderId="11" xfId="0" applyFont="1" applyBorder="1" applyAlignment="1">
      <alignment horizontal="center" vertical="top" wrapText="1"/>
    </xf>
    <xf numFmtId="0" fontId="4" fillId="0" borderId="35" xfId="0" applyFont="1" applyBorder="1" applyAlignment="1">
      <alignment horizontal="center" vertical="top" wrapText="1"/>
    </xf>
    <xf numFmtId="0" fontId="4" fillId="0" borderId="36" xfId="0" applyFont="1" applyBorder="1" applyAlignment="1">
      <alignment horizontal="center" vertical="top" wrapText="1"/>
    </xf>
    <xf numFmtId="167" fontId="4" fillId="0" borderId="11" xfId="0" applyNumberFormat="1" applyFont="1" applyBorder="1" applyAlignment="1">
      <alignment horizontal="center" vertical="top" wrapText="1"/>
    </xf>
    <xf numFmtId="167" fontId="4" fillId="0" borderId="35" xfId="0" applyNumberFormat="1" applyFont="1" applyBorder="1" applyAlignment="1">
      <alignment horizontal="center" vertical="top" wrapText="1"/>
    </xf>
    <xf numFmtId="167" fontId="4" fillId="0" borderId="36" xfId="0" applyNumberFormat="1" applyFont="1" applyBorder="1" applyAlignment="1">
      <alignment horizontal="center" vertical="top" wrapText="1"/>
    </xf>
    <xf numFmtId="0" fontId="39" fillId="0" borderId="0" xfId="0" applyFont="1" applyAlignment="1">
      <alignment horizontal="center"/>
    </xf>
    <xf numFmtId="3" fontId="3" fillId="0" borderId="19" xfId="0" applyNumberFormat="1" applyFont="1" applyBorder="1" applyAlignment="1">
      <alignment horizontal="right" wrapText="1"/>
    </xf>
    <xf numFmtId="3" fontId="6" fillId="0" borderId="19" xfId="0" applyNumberFormat="1" applyFont="1" applyBorder="1" applyAlignment="1">
      <alignment horizontal="right"/>
    </xf>
    <xf numFmtId="0" fontId="26" fillId="0" borderId="25" xfId="0" applyFont="1" applyBorder="1" applyAlignment="1">
      <alignment horizontal="right" wrapText="1"/>
    </xf>
    <xf numFmtId="0" fontId="6" fillId="0" borderId="25" xfId="0" applyFont="1" applyBorder="1" applyAlignment="1">
      <alignment horizontal="right"/>
    </xf>
    <xf numFmtId="0" fontId="3" fillId="0" borderId="36" xfId="0" applyFont="1" applyBorder="1" applyAlignment="1">
      <alignment horizontal="center" vertical="top" wrapText="1"/>
    </xf>
    <xf numFmtId="3" fontId="3" fillId="0" borderId="21" xfId="0" applyNumberFormat="1" applyFont="1" applyBorder="1" applyAlignment="1">
      <alignment horizontal="right" wrapText="1"/>
    </xf>
    <xf numFmtId="3" fontId="6" fillId="0" borderId="21" xfId="0" applyNumberFormat="1" applyFont="1" applyBorder="1" applyAlignment="1">
      <alignment horizontal="right"/>
    </xf>
    <xf numFmtId="0" fontId="30" fillId="0" borderId="19" xfId="0" applyFont="1" applyBorder="1" applyAlignment="1">
      <alignment horizontal="center" wrapText="1"/>
    </xf>
    <xf numFmtId="0" fontId="4" fillId="0" borderId="19" xfId="0" applyFont="1" applyBorder="1" applyAlignment="1">
      <alignment horizontal="center"/>
    </xf>
    <xf numFmtId="0" fontId="26" fillId="0" borderId="19" xfId="0" applyFont="1" applyBorder="1" applyAlignment="1">
      <alignment horizontal="center" wrapText="1"/>
    </xf>
    <xf numFmtId="0" fontId="3" fillId="0" borderId="19" xfId="0" applyFont="1" applyBorder="1" applyAlignment="1">
      <alignment horizontal="center"/>
    </xf>
    <xf numFmtId="3" fontId="4" fillId="0" borderId="19" xfId="0" applyNumberFormat="1" applyFont="1" applyBorder="1" applyAlignment="1">
      <alignment horizontal="right" wrapText="1"/>
    </xf>
    <xf numFmtId="3" fontId="3" fillId="0" borderId="19" xfId="0" applyNumberFormat="1" applyFont="1" applyBorder="1" applyAlignment="1">
      <alignment horizontal="right"/>
    </xf>
    <xf numFmtId="3" fontId="26" fillId="0" borderId="19" xfId="0" applyNumberFormat="1" applyFont="1" applyBorder="1" applyAlignment="1">
      <alignment horizontal="right" wrapText="1"/>
    </xf>
    <xf numFmtId="0" fontId="3" fillId="0" borderId="28" xfId="0" applyFont="1" applyBorder="1" applyAlignment="1">
      <alignment horizontal="center" vertical="justify"/>
    </xf>
    <xf numFmtId="0" fontId="6" fillId="0" borderId="28" xfId="0" applyFont="1" applyBorder="1" applyAlignment="1">
      <alignment horizontal="center" vertical="justify"/>
    </xf>
    <xf numFmtId="3" fontId="30" fillId="0" borderId="19" xfId="0" applyNumberFormat="1" applyFont="1" applyBorder="1" applyAlignment="1">
      <alignment horizontal="right" wrapText="1"/>
    </xf>
    <xf numFmtId="0" fontId="4" fillId="0" borderId="19" xfId="0" applyFont="1" applyBorder="1" applyAlignment="1">
      <alignment horizontal="center" wrapText="1"/>
    </xf>
    <xf numFmtId="0" fontId="6" fillId="0" borderId="19" xfId="0" applyFont="1" applyBorder="1" applyAlignment="1">
      <alignment horizontal="center"/>
    </xf>
    <xf numFmtId="0" fontId="19" fillId="0" borderId="1" xfId="0" applyFont="1" applyBorder="1" applyAlignment="1" applyProtection="1">
      <alignment horizontal="center" vertical="center" wrapText="1"/>
    </xf>
    <xf numFmtId="0" fontId="13" fillId="0" borderId="1" xfId="0" applyFont="1" applyBorder="1" applyAlignment="1" applyProtection="1">
      <alignment horizontal="center" vertical="center" wrapText="1"/>
      <protection hidden="1"/>
    </xf>
    <xf numFmtId="49" fontId="13" fillId="0" borderId="1" xfId="0" applyNumberFormat="1" applyFont="1" applyBorder="1" applyAlignment="1" applyProtection="1">
      <alignment horizontal="center" vertical="center" wrapText="1"/>
    </xf>
    <xf numFmtId="167" fontId="54" fillId="0" borderId="1" xfId="0" applyNumberFormat="1" applyFont="1" applyBorder="1" applyAlignment="1" applyProtection="1">
      <alignment horizontal="center"/>
    </xf>
    <xf numFmtId="0" fontId="10" fillId="0" borderId="0" xfId="0" applyFont="1" applyFill="1" applyAlignment="1" applyProtection="1">
      <alignment horizontal="right"/>
    </xf>
    <xf numFmtId="0" fontId="16" fillId="0" borderId="0" xfId="0" applyFont="1" applyAlignment="1" applyProtection="1">
      <alignment horizontal="center" wrapText="1"/>
    </xf>
    <xf numFmtId="0" fontId="0" fillId="5" borderId="34" xfId="0" applyFill="1" applyBorder="1" applyAlignment="1">
      <alignment horizontal="center"/>
    </xf>
    <xf numFmtId="0" fontId="19" fillId="5" borderId="1" xfId="0" applyFont="1" applyFill="1" applyBorder="1" applyAlignment="1" applyProtection="1">
      <alignment horizontal="center" vertical="center" wrapText="1"/>
    </xf>
    <xf numFmtId="0" fontId="14" fillId="0" borderId="0" xfId="0" applyFont="1" applyAlignment="1" applyProtection="1">
      <alignment horizontal="center" wrapText="1"/>
    </xf>
    <xf numFmtId="0" fontId="3" fillId="5" borderId="0" xfId="0" applyFont="1" applyFill="1" applyAlignment="1">
      <alignment horizontal="right"/>
    </xf>
    <xf numFmtId="0" fontId="4" fillId="0" borderId="14" xfId="0" applyFont="1" applyBorder="1" applyAlignment="1">
      <alignment horizontal="center" wrapText="1"/>
    </xf>
    <xf numFmtId="0" fontId="4" fillId="0" borderId="17" xfId="0" applyFont="1" applyBorder="1" applyAlignment="1">
      <alignment horizontal="center" wrapText="1"/>
    </xf>
    <xf numFmtId="0" fontId="4" fillId="0" borderId="15" xfId="0" applyFont="1" applyBorder="1" applyAlignment="1">
      <alignment horizontal="center" wrapText="1"/>
    </xf>
    <xf numFmtId="0" fontId="4" fillId="0" borderId="18" xfId="0" applyFont="1" applyBorder="1" applyAlignment="1">
      <alignment horizontal="center" wrapText="1"/>
    </xf>
    <xf numFmtId="0" fontId="4" fillId="5" borderId="0" xfId="0" applyFont="1" applyFill="1" applyAlignment="1">
      <alignment horizontal="center" wrapText="1"/>
    </xf>
    <xf numFmtId="0" fontId="3" fillId="0" borderId="0" xfId="0" applyFont="1" applyFill="1" applyAlignment="1">
      <alignment horizontal="right"/>
    </xf>
    <xf numFmtId="49" fontId="4" fillId="0" borderId="30" xfId="0" applyNumberFormat="1" applyFont="1" applyBorder="1" applyAlignment="1">
      <alignment horizontal="center" wrapText="1"/>
    </xf>
    <xf numFmtId="49" fontId="4" fillId="0" borderId="32" xfId="0" applyNumberFormat="1" applyFont="1" applyBorder="1" applyAlignment="1">
      <alignment horizontal="center" wrapText="1"/>
    </xf>
    <xf numFmtId="0" fontId="4" fillId="0" borderId="13" xfId="0" applyFont="1" applyBorder="1" applyAlignment="1">
      <alignment horizontal="center" wrapText="1"/>
    </xf>
    <xf numFmtId="0" fontId="4" fillId="0" borderId="16" xfId="0" applyFont="1" applyBorder="1" applyAlignment="1">
      <alignment horizontal="center" wrapText="1"/>
    </xf>
    <xf numFmtId="0" fontId="3" fillId="0" borderId="0" xfId="0" applyFont="1" applyAlignment="1">
      <alignment horizontal="right" wrapText="1"/>
    </xf>
    <xf numFmtId="0" fontId="6" fillId="0" borderId="0" xfId="0" applyFont="1" applyFill="1" applyAlignment="1">
      <alignment horizontal="center" wrapText="1"/>
    </xf>
    <xf numFmtId="0" fontId="6" fillId="0" borderId="28" xfId="0" applyFont="1" applyFill="1" applyBorder="1" applyAlignment="1">
      <alignment horizontal="center" wrapText="1"/>
    </xf>
    <xf numFmtId="0" fontId="0" fillId="0" borderId="19" xfId="0" applyBorder="1" applyAlignment="1">
      <alignment horizontal="center" wrapText="1"/>
    </xf>
    <xf numFmtId="0" fontId="4" fillId="0" borderId="0" xfId="0" applyFont="1" applyFill="1" applyAlignment="1">
      <alignment horizontal="center" vertical="center" wrapText="1"/>
    </xf>
    <xf numFmtId="0" fontId="4" fillId="0" borderId="3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6" fillId="3" borderId="0" xfId="0" applyFont="1" applyFill="1" applyAlignment="1">
      <alignment horizontal="right"/>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36" xfId="0" applyFont="1" applyBorder="1" applyAlignment="1">
      <alignment horizontal="center" vertical="center" wrapText="1"/>
    </xf>
    <xf numFmtId="0" fontId="11" fillId="0" borderId="0" xfId="0" applyFont="1" applyAlignment="1">
      <alignment horizontal="center" wrapText="1"/>
    </xf>
    <xf numFmtId="0" fontId="9" fillId="0" borderId="2" xfId="0" applyFont="1" applyBorder="1" applyAlignment="1">
      <alignment horizontal="center" vertical="top" wrapText="1"/>
    </xf>
    <xf numFmtId="0" fontId="9" fillId="0" borderId="8" xfId="0" applyFont="1" applyBorder="1" applyAlignment="1">
      <alignment horizontal="center" vertical="top" wrapText="1"/>
    </xf>
    <xf numFmtId="0" fontId="4" fillId="0" borderId="49" xfId="0" applyFont="1" applyBorder="1" applyAlignment="1">
      <alignment horizontal="center" wrapText="1"/>
    </xf>
    <xf numFmtId="0" fontId="4" fillId="0" borderId="2" xfId="0" applyFont="1" applyBorder="1" applyAlignment="1">
      <alignment horizontal="center" wrapText="1"/>
    </xf>
    <xf numFmtId="0" fontId="4" fillId="0" borderId="48" xfId="0" applyFont="1" applyBorder="1" applyAlignment="1">
      <alignment horizontal="center" wrapText="1"/>
    </xf>
    <xf numFmtId="0" fontId="0" fillId="0" borderId="2" xfId="0" applyBorder="1" applyAlignment="1">
      <alignment horizontal="center" wrapText="1"/>
    </xf>
    <xf numFmtId="3" fontId="3" fillId="0" borderId="11" xfId="0" applyNumberFormat="1" applyFont="1" applyBorder="1" applyAlignment="1">
      <alignment horizontal="center"/>
    </xf>
    <xf numFmtId="3" fontId="3" fillId="0" borderId="36" xfId="0" applyNumberFormat="1" applyFont="1" applyBorder="1" applyAlignment="1">
      <alignment horizontal="center"/>
    </xf>
    <xf numFmtId="164" fontId="4" fillId="0" borderId="11" xfId="0" applyNumberFormat="1" applyFont="1" applyBorder="1" applyAlignment="1">
      <alignment horizontal="center" vertical="center"/>
    </xf>
    <xf numFmtId="164" fontId="4" fillId="0" borderId="36" xfId="0" applyNumberFormat="1" applyFont="1" applyBorder="1" applyAlignment="1">
      <alignment horizontal="center" vertical="center"/>
    </xf>
    <xf numFmtId="165" fontId="52" fillId="0" borderId="1" xfId="0" applyNumberFormat="1" applyFont="1" applyFill="1" applyBorder="1" applyAlignment="1">
      <alignment horizontal="left" wrapText="1"/>
    </xf>
    <xf numFmtId="165" fontId="51" fillId="0" borderId="11" xfId="0" applyNumberFormat="1" applyFont="1" applyBorder="1" applyAlignment="1">
      <alignment horizontal="left" wrapText="1"/>
    </xf>
    <xf numFmtId="165" fontId="51" fillId="0" borderId="36" xfId="0" applyNumberFormat="1" applyFont="1" applyBorder="1" applyAlignment="1">
      <alignment horizontal="left" wrapText="1"/>
    </xf>
    <xf numFmtId="165" fontId="52" fillId="0" borderId="11" xfId="0" applyNumberFormat="1" applyFont="1" applyFill="1" applyBorder="1" applyAlignment="1">
      <alignment horizontal="left" wrapText="1"/>
    </xf>
    <xf numFmtId="165" fontId="52" fillId="0" borderId="36" xfId="0" applyNumberFormat="1" applyFont="1" applyFill="1" applyBorder="1" applyAlignment="1">
      <alignment horizontal="left" wrapText="1"/>
    </xf>
    <xf numFmtId="0" fontId="4" fillId="0" borderId="37" xfId="0" applyFont="1" applyFill="1" applyBorder="1" applyAlignment="1">
      <alignment horizontal="center" vertical="center" wrapText="1"/>
    </xf>
    <xf numFmtId="0" fontId="3" fillId="0" borderId="37" xfId="0" applyFont="1" applyBorder="1" applyAlignment="1"/>
    <xf numFmtId="0" fontId="3" fillId="0" borderId="0" xfId="0" applyFont="1" applyAlignment="1"/>
    <xf numFmtId="0" fontId="42" fillId="0" borderId="15" xfId="0" applyFont="1" applyBorder="1" applyAlignment="1">
      <alignment horizontal="center" wrapText="1"/>
    </xf>
    <xf numFmtId="0" fontId="42" fillId="0" borderId="18" xfId="0" applyFont="1" applyBorder="1" applyAlignment="1">
      <alignment horizontal="center" wrapText="1"/>
    </xf>
    <xf numFmtId="0" fontId="32" fillId="0" borderId="0" xfId="0" applyFont="1" applyAlignment="1">
      <alignment horizontal="right"/>
    </xf>
    <xf numFmtId="0" fontId="0" fillId="0" borderId="0" xfId="0" applyAlignment="1">
      <alignment horizontal="right"/>
    </xf>
    <xf numFmtId="0" fontId="0" fillId="0" borderId="0" xfId="0" applyAlignment="1"/>
    <xf numFmtId="0" fontId="39" fillId="0" borderId="0" xfId="0" applyFont="1" applyAlignment="1">
      <alignment horizontal="center" wrapText="1"/>
    </xf>
    <xf numFmtId="0" fontId="0" fillId="0" borderId="0" xfId="0" applyAlignment="1">
      <alignment horizontal="center" wrapText="1"/>
    </xf>
    <xf numFmtId="0" fontId="0" fillId="0" borderId="0" xfId="0" applyAlignment="1">
      <alignment wrapText="1"/>
    </xf>
    <xf numFmtId="0" fontId="42" fillId="0" borderId="13" xfId="0" applyFont="1" applyBorder="1" applyAlignment="1">
      <alignment horizontal="center" wrapText="1"/>
    </xf>
    <xf numFmtId="0" fontId="42" fillId="0" borderId="16" xfId="0" applyFont="1" applyBorder="1" applyAlignment="1">
      <alignment horizontal="center" wrapText="1"/>
    </xf>
    <xf numFmtId="0" fontId="42" fillId="0" borderId="14" xfId="0" applyFont="1" applyBorder="1" applyAlignment="1">
      <alignment horizontal="center" wrapText="1"/>
    </xf>
    <xf numFmtId="0" fontId="42" fillId="0" borderId="17" xfId="0" applyFont="1" applyBorder="1" applyAlignment="1">
      <alignment horizontal="center" wrapText="1"/>
    </xf>
    <xf numFmtId="0" fontId="42" fillId="0" borderId="25" xfId="0" applyFont="1" applyBorder="1" applyAlignment="1">
      <alignment horizontal="center" wrapText="1"/>
    </xf>
    <xf numFmtId="0" fontId="42" fillId="0" borderId="21" xfId="0" applyFont="1" applyBorder="1" applyAlignment="1">
      <alignment horizontal="center" wrapText="1"/>
    </xf>
    <xf numFmtId="0" fontId="4" fillId="0" borderId="29" xfId="0" applyFont="1" applyBorder="1" applyAlignment="1">
      <alignment horizontal="center"/>
    </xf>
    <xf numFmtId="0" fontId="4" fillId="0" borderId="23" xfId="0" applyFont="1" applyBorder="1" applyAlignment="1">
      <alignment horizontal="center"/>
    </xf>
    <xf numFmtId="0" fontId="4" fillId="0" borderId="25" xfId="0" applyFont="1" applyBorder="1" applyAlignment="1">
      <alignment horizontal="center" wrapText="1"/>
    </xf>
    <xf numFmtId="0" fontId="4" fillId="0" borderId="21" xfId="0" applyFont="1" applyBorder="1" applyAlignment="1">
      <alignment horizontal="center" wrapText="1"/>
    </xf>
    <xf numFmtId="165" fontId="34" fillId="0" borderId="0" xfId="0" applyNumberFormat="1" applyFont="1" applyFill="1" applyBorder="1" applyAlignment="1">
      <alignment horizontal="left" wrapText="1"/>
    </xf>
    <xf numFmtId="0" fontId="5" fillId="0" borderId="0" xfId="0" applyFont="1" applyAlignment="1">
      <alignment horizontal="left" vertical="center" wrapText="1"/>
    </xf>
    <xf numFmtId="0" fontId="3" fillId="0" borderId="0" xfId="0" applyFont="1" applyAlignment="1">
      <alignment vertical="center" wrapText="1"/>
    </xf>
    <xf numFmtId="165" fontId="35" fillId="0" borderId="11" xfId="0" applyNumberFormat="1" applyFont="1" applyBorder="1" applyAlignment="1">
      <alignment horizontal="left" wrapText="1"/>
    </xf>
    <xf numFmtId="165" fontId="35" fillId="0" borderId="36" xfId="0" applyNumberFormat="1" applyFont="1" applyBorder="1" applyAlignment="1">
      <alignment horizontal="left" wrapText="1"/>
    </xf>
    <xf numFmtId="0" fontId="4" fillId="0" borderId="37" xfId="0" applyFont="1" applyBorder="1" applyAlignment="1">
      <alignment horizontal="left"/>
    </xf>
    <xf numFmtId="0" fontId="4" fillId="0" borderId="10" xfId="0" applyFont="1" applyBorder="1" applyAlignment="1">
      <alignment horizontal="left"/>
    </xf>
    <xf numFmtId="0" fontId="10" fillId="0" borderId="1" xfId="0" applyFont="1" applyBorder="1" applyAlignment="1">
      <alignment horizontal="center" vertical="center" wrapText="1"/>
    </xf>
    <xf numFmtId="0" fontId="9" fillId="0" borderId="34" xfId="0" applyFont="1" applyFill="1" applyBorder="1" applyAlignment="1">
      <alignment horizontal="center" vertical="center" wrapText="1"/>
    </xf>
    <xf numFmtId="0" fontId="0" fillId="0" borderId="34" xfId="0" applyBorder="1" applyAlignment="1"/>
    <xf numFmtId="0" fontId="4" fillId="0" borderId="28" xfId="0" applyFont="1" applyFill="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165" fontId="51" fillId="0" borderId="6" xfId="0" applyNumberFormat="1" applyFont="1" applyBorder="1" applyAlignment="1">
      <alignment horizontal="left" wrapText="1"/>
    </xf>
    <xf numFmtId="165" fontId="51" fillId="0" borderId="1" xfId="0" applyNumberFormat="1" applyFont="1" applyBorder="1" applyAlignment="1">
      <alignment horizontal="left" wrapText="1"/>
    </xf>
    <xf numFmtId="165" fontId="52" fillId="0" borderId="16" xfId="0" applyNumberFormat="1" applyFont="1" applyBorder="1" applyAlignment="1">
      <alignment horizontal="left" wrapText="1"/>
    </xf>
    <xf numFmtId="165" fontId="52" fillId="0" borderId="17" xfId="0" applyNumberFormat="1" applyFont="1" applyBorder="1" applyAlignment="1">
      <alignment horizontal="left" wrapText="1"/>
    </xf>
    <xf numFmtId="165" fontId="51" fillId="0" borderId="39" xfId="0" applyNumberFormat="1" applyFont="1" applyBorder="1" applyAlignment="1">
      <alignment horizontal="left" wrapText="1"/>
    </xf>
    <xf numFmtId="0" fontId="4" fillId="0" borderId="33" xfId="0" applyFont="1" applyFill="1" applyBorder="1" applyAlignment="1">
      <alignment horizontal="center" vertical="center" wrapText="1"/>
    </xf>
    <xf numFmtId="165" fontId="52" fillId="0" borderId="0" xfId="0" applyNumberFormat="1" applyFont="1" applyFill="1" applyBorder="1" applyAlignment="1">
      <alignment horizontal="left" wrapText="1"/>
    </xf>
    <xf numFmtId="165" fontId="52" fillId="0" borderId="40" xfId="0" applyNumberFormat="1" applyFont="1" applyBorder="1" applyAlignment="1">
      <alignment horizontal="left" wrapText="1"/>
    </xf>
    <xf numFmtId="165" fontId="52" fillId="0" borderId="41" xfId="0" applyNumberFormat="1" applyFont="1" applyBorder="1" applyAlignment="1">
      <alignment horizontal="left" wrapText="1"/>
    </xf>
    <xf numFmtId="0" fontId="4" fillId="0" borderId="1" xfId="0" applyFont="1" applyFill="1" applyBorder="1" applyAlignment="1">
      <alignment horizontal="center" vertical="center" wrapText="1"/>
    </xf>
    <xf numFmtId="0" fontId="3" fillId="0" borderId="1" xfId="0" applyFont="1" applyBorder="1" applyAlignment="1"/>
    <xf numFmtId="0" fontId="0" fillId="0" borderId="0" xfId="0" applyAlignment="1">
      <alignment horizontal="center"/>
    </xf>
    <xf numFmtId="0" fontId="0" fillId="0" borderId="28" xfId="0" applyBorder="1" applyAlignment="1">
      <alignment horizontal="center"/>
    </xf>
    <xf numFmtId="0" fontId="9" fillId="0" borderId="0" xfId="0" applyFont="1" applyFill="1" applyBorder="1" applyAlignment="1">
      <alignment horizontal="center" vertical="center" wrapText="1"/>
    </xf>
    <xf numFmtId="0" fontId="11" fillId="0" borderId="28" xfId="0" applyFont="1" applyFill="1" applyBorder="1" applyAlignment="1">
      <alignment horizontal="center" vertical="center" wrapText="1"/>
    </xf>
    <xf numFmtId="0" fontId="4" fillId="5" borderId="0" xfId="0" applyFont="1" applyFill="1" applyBorder="1" applyAlignment="1">
      <alignment horizontal="center" wrapText="1"/>
    </xf>
    <xf numFmtId="165" fontId="52" fillId="0" borderId="0" xfId="0" applyNumberFormat="1" applyFont="1" applyBorder="1" applyAlignment="1">
      <alignment horizontal="center" wrapText="1"/>
    </xf>
    <xf numFmtId="165" fontId="3" fillId="0" borderId="6" xfId="0" applyNumberFormat="1" applyFont="1" applyBorder="1" applyAlignment="1">
      <alignment horizontal="left" wrapText="1"/>
    </xf>
    <xf numFmtId="165" fontId="3" fillId="0" borderId="1" xfId="0" applyNumberFormat="1" applyFont="1" applyBorder="1" applyAlignment="1">
      <alignment horizontal="left" wrapText="1"/>
    </xf>
    <xf numFmtId="165" fontId="4" fillId="0" borderId="16" xfId="0" applyNumberFormat="1" applyFont="1" applyBorder="1" applyAlignment="1">
      <alignment horizontal="left" wrapText="1"/>
    </xf>
    <xf numFmtId="165" fontId="4" fillId="0" borderId="17" xfId="0" applyNumberFormat="1" applyFont="1" applyBorder="1" applyAlignment="1">
      <alignment horizontal="left" wrapText="1"/>
    </xf>
    <xf numFmtId="165" fontId="3" fillId="0" borderId="6" xfId="0" applyNumberFormat="1" applyFont="1" applyBorder="1" applyAlignment="1">
      <alignment wrapText="1"/>
    </xf>
    <xf numFmtId="165" fontId="3" fillId="0" borderId="1" xfId="0" applyNumberFormat="1" applyFont="1" applyBorder="1" applyAlignment="1">
      <alignment wrapText="1"/>
    </xf>
  </cellXfs>
  <cellStyles count="8">
    <cellStyle name="Денежный" xfId="1" builtinId="4"/>
    <cellStyle name="Обычный" xfId="0" builtinId="0"/>
    <cellStyle name="Обычный 11" xfId="3"/>
    <cellStyle name="Обычный 2" xfId="5"/>
    <cellStyle name="Обычный 2 2" xfId="6"/>
    <cellStyle name="Обычный 2 3" xfId="7"/>
    <cellStyle name="Обычный_Пр_1" xfId="2"/>
    <cellStyle name="Финансовый" xfId="4" builtinId="3"/>
  </cellStyles>
  <dxfs count="2">
    <dxf>
      <font>
        <b val="0"/>
        <i val="0"/>
        <strike val="0"/>
        <condense val="0"/>
        <extend val="0"/>
        <outline val="0"/>
        <shadow val="0"/>
        <u val="none"/>
        <vertAlign val="baseline"/>
        <sz val="10"/>
        <color indexed="72"/>
        <name val="Arial"/>
        <scheme val="none"/>
      </font>
      <numFmt numFmtId="165" formatCode=";;"/>
      <alignment horizontal="general" vertical="bottom" textRotation="0" wrapText="1" indent="0" relativeIndent="0" justifyLastLine="0" shrinkToFit="0" readingOrder="0"/>
    </dxf>
    <dxf>
      <font>
        <b val="0"/>
        <i val="0"/>
        <strike val="0"/>
        <condense val="0"/>
        <extend val="0"/>
        <outline val="0"/>
        <shadow val="0"/>
        <u val="none"/>
        <vertAlign val="baseline"/>
        <sz val="10"/>
        <color indexed="72"/>
        <name val="Arial"/>
        <scheme val="none"/>
      </font>
      <numFmt numFmtId="167" formatCode="000"/>
      <alignment horizontal="center" vertical="bottom" textRotation="0" wrapText="0" indent="0" relativeIndent="0" justifyLastLine="0" shrinkToFit="0" readingOrder="0"/>
    </dxf>
  </dxfs>
  <tableStyles count="0" defaultTableStyle="TableStyleMedium9" defaultPivotStyle="PivotStyleLight16"/>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s>
</file>

<file path=xl/tables/table1.xml><?xml version="1.0" encoding="utf-8"?>
<table xmlns="http://schemas.openxmlformats.org/spreadsheetml/2006/main" id="1" name="Список2" displayName="Список2" ref="A2:B169" insertRowShift="1" totalsRowShown="0">
  <tableColumns count="2">
    <tableColumn id="1" name="Столбец1" dataDxfId="1"/>
    <tableColumn id="2" name="Столбец2" dataDxfId="0"/>
  </tableColumns>
  <tableStyleInfo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7" Type="http://schemas.openxmlformats.org/officeDocument/2006/relationships/printerSettings" Target="../printerSettings/printerSettings15.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printerSettings" Target="../printerSettings/printerSettings14.bin"/><Relationship Id="rId5" Type="http://schemas.openxmlformats.org/officeDocument/2006/relationships/printerSettings" Target="../printerSettings/printerSettings13.bin"/><Relationship Id="rId4" Type="http://schemas.openxmlformats.org/officeDocument/2006/relationships/printerSettings" Target="../printerSettings/printerSettings1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3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2.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5" Type="http://schemas.openxmlformats.org/officeDocument/2006/relationships/printerSettings" Target="../printerSettings/printerSettings21.bin"/><Relationship Id="rId4" Type="http://schemas.openxmlformats.org/officeDocument/2006/relationships/printerSettings" Target="../printerSettings/printerSettings20.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6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sheetPr codeName="Лист1">
    <pageSetUpPr fitToPage="1"/>
  </sheetPr>
  <dimension ref="A1:L170"/>
  <sheetViews>
    <sheetView showGridLines="0" view="pageBreakPreview" zoomScaleSheetLayoutView="100" workbookViewId="0">
      <selection activeCell="I9" sqref="I9:I10"/>
    </sheetView>
  </sheetViews>
  <sheetFormatPr defaultColWidth="8.88671875" defaultRowHeight="15"/>
  <cols>
    <col min="1" max="1" width="5.109375" style="22" bestFit="1" customWidth="1"/>
    <col min="2" max="2" width="3" style="22" bestFit="1" customWidth="1"/>
    <col min="3" max="3" width="3.44140625" style="22" customWidth="1"/>
    <col min="4" max="4" width="3.44140625" style="433" customWidth="1"/>
    <col min="5" max="5" width="6.88671875" style="22" customWidth="1"/>
    <col min="6" max="6" width="3" style="22" customWidth="1"/>
    <col min="7" max="7" width="5.88671875" style="24" customWidth="1"/>
    <col min="8" max="8" width="4.88671875" style="22" bestFit="1" customWidth="1"/>
    <col min="9" max="9" width="43.88671875" style="1" customWidth="1"/>
    <col min="10" max="11" width="20.88671875" style="1" hidden="1" customWidth="1"/>
    <col min="12" max="12" width="15.88671875" style="1" customWidth="1"/>
    <col min="13" max="16384" width="8.88671875" style="1"/>
  </cols>
  <sheetData>
    <row r="1" spans="1:12" ht="15.6">
      <c r="G1" s="782" t="s">
        <v>648</v>
      </c>
      <c r="H1" s="782"/>
      <c r="I1" s="782"/>
      <c r="J1" s="782"/>
      <c r="K1" s="782"/>
      <c r="L1" s="782"/>
    </row>
    <row r="2" spans="1:12" ht="15.6">
      <c r="G2" s="782" t="s">
        <v>1069</v>
      </c>
      <c r="H2" s="782"/>
      <c r="I2" s="782"/>
      <c r="J2" s="782"/>
      <c r="K2" s="782"/>
      <c r="L2" s="782"/>
    </row>
    <row r="3" spans="1:12" ht="15.6">
      <c r="G3" s="782" t="s">
        <v>720</v>
      </c>
      <c r="H3" s="782"/>
      <c r="I3" s="782"/>
      <c r="J3" s="782"/>
      <c r="K3" s="782"/>
      <c r="L3" s="782"/>
    </row>
    <row r="4" spans="1:12" ht="15.6">
      <c r="G4" s="782" t="s">
        <v>3149</v>
      </c>
      <c r="H4" s="782"/>
      <c r="I4" s="782"/>
      <c r="J4" s="782"/>
      <c r="K4" s="782"/>
      <c r="L4" s="782"/>
    </row>
    <row r="5" spans="1:12" ht="10.5" customHeight="1">
      <c r="G5" s="40"/>
      <c r="H5" s="41"/>
    </row>
    <row r="6" spans="1:12" ht="42.75" customHeight="1">
      <c r="A6" s="783" t="s">
        <v>2629</v>
      </c>
      <c r="B6" s="783"/>
      <c r="C6" s="783"/>
      <c r="D6" s="783"/>
      <c r="E6" s="783"/>
      <c r="F6" s="783"/>
      <c r="G6" s="783"/>
      <c r="H6" s="783"/>
      <c r="I6" s="783"/>
      <c r="J6" s="783"/>
      <c r="K6" s="783"/>
      <c r="L6" s="783"/>
    </row>
    <row r="7" spans="1:12" ht="4.5" customHeight="1">
      <c r="G7" s="23"/>
      <c r="H7" s="6"/>
      <c r="I7" s="6"/>
    </row>
    <row r="8" spans="1:12" ht="17.399999999999999" hidden="1">
      <c r="G8" s="23"/>
      <c r="H8" s="6"/>
      <c r="I8" s="6"/>
    </row>
    <row r="9" spans="1:12" ht="15.75" customHeight="1">
      <c r="A9" s="784" t="s">
        <v>1312</v>
      </c>
      <c r="B9" s="784"/>
      <c r="C9" s="784"/>
      <c r="D9" s="784"/>
      <c r="E9" s="784"/>
      <c r="F9" s="784"/>
      <c r="G9" s="784"/>
      <c r="H9" s="784"/>
      <c r="I9" s="781" t="s">
        <v>968</v>
      </c>
      <c r="J9" s="781" t="s">
        <v>3235</v>
      </c>
      <c r="K9" s="781" t="s">
        <v>1140</v>
      </c>
      <c r="L9" s="781" t="s">
        <v>2523</v>
      </c>
    </row>
    <row r="10" spans="1:12" ht="131.25" customHeight="1">
      <c r="A10" s="305" t="s">
        <v>17</v>
      </c>
      <c r="B10" s="305" t="s">
        <v>18</v>
      </c>
      <c r="C10" s="305" t="s">
        <v>63</v>
      </c>
      <c r="D10" s="305" t="s">
        <v>2641</v>
      </c>
      <c r="E10" s="306" t="s">
        <v>2642</v>
      </c>
      <c r="F10" s="305" t="s">
        <v>2643</v>
      </c>
      <c r="G10" s="307" t="s">
        <v>2644</v>
      </c>
      <c r="H10" s="306" t="s">
        <v>2645</v>
      </c>
      <c r="I10" s="781"/>
      <c r="J10" s="781"/>
      <c r="K10" s="781"/>
      <c r="L10" s="781"/>
    </row>
    <row r="11" spans="1:12" s="378" customFormat="1" ht="18.75" customHeight="1">
      <c r="A11" s="400" t="s">
        <v>96</v>
      </c>
      <c r="B11" s="400" t="s">
        <v>97</v>
      </c>
      <c r="C11" s="400" t="s">
        <v>98</v>
      </c>
      <c r="D11" s="400" t="s">
        <v>98</v>
      </c>
      <c r="E11" s="400" t="s">
        <v>96</v>
      </c>
      <c r="F11" s="400" t="s">
        <v>98</v>
      </c>
      <c r="G11" s="400" t="s">
        <v>100</v>
      </c>
      <c r="H11" s="400" t="s">
        <v>96</v>
      </c>
      <c r="I11" s="28" t="s">
        <v>468</v>
      </c>
      <c r="J11" s="379">
        <v>167772000</v>
      </c>
      <c r="K11" s="379">
        <f>K12+K14+K16+K20+K24+K30+K33+K36+K42</f>
        <v>2500000</v>
      </c>
      <c r="L11" s="379">
        <f>SUM(J11:K11)</f>
        <v>170272000</v>
      </c>
    </row>
    <row r="12" spans="1:12" s="378" customFormat="1" ht="19.5" customHeight="1">
      <c r="A12" s="400" t="s">
        <v>96</v>
      </c>
      <c r="B12" s="400" t="s">
        <v>97</v>
      </c>
      <c r="C12" s="400" t="s">
        <v>290</v>
      </c>
      <c r="D12" s="400" t="s">
        <v>98</v>
      </c>
      <c r="E12" s="400" t="s">
        <v>96</v>
      </c>
      <c r="F12" s="400" t="s">
        <v>98</v>
      </c>
      <c r="G12" s="400" t="s">
        <v>100</v>
      </c>
      <c r="H12" s="400" t="s">
        <v>96</v>
      </c>
      <c r="I12" s="28" t="s">
        <v>469</v>
      </c>
      <c r="J12" s="80">
        <v>94989000</v>
      </c>
      <c r="K12" s="80">
        <f t="shared" ref="K12" si="0">K13</f>
        <v>1000000</v>
      </c>
      <c r="L12" s="379">
        <f t="shared" ref="L12:L106" si="1">SUM(J12:K12)</f>
        <v>95989000</v>
      </c>
    </row>
    <row r="13" spans="1:12" s="378" customFormat="1" ht="18.75" customHeight="1">
      <c r="A13" s="401" t="s">
        <v>101</v>
      </c>
      <c r="B13" s="401" t="s">
        <v>97</v>
      </c>
      <c r="C13" s="401" t="s">
        <v>290</v>
      </c>
      <c r="D13" s="401" t="s">
        <v>297</v>
      </c>
      <c r="E13" s="401" t="s">
        <v>96</v>
      </c>
      <c r="F13" s="401" t="s">
        <v>290</v>
      </c>
      <c r="G13" s="401" t="s">
        <v>100</v>
      </c>
      <c r="H13" s="401" t="s">
        <v>298</v>
      </c>
      <c r="I13" s="8" t="s">
        <v>1527</v>
      </c>
      <c r="J13" s="104">
        <v>94989000</v>
      </c>
      <c r="K13" s="104">
        <v>1000000</v>
      </c>
      <c r="L13" s="600">
        <f t="shared" si="1"/>
        <v>95989000</v>
      </c>
    </row>
    <row r="14" spans="1:12" s="378" customFormat="1" ht="46.8">
      <c r="A14" s="400" t="s">
        <v>96</v>
      </c>
      <c r="B14" s="400" t="s">
        <v>97</v>
      </c>
      <c r="C14" s="400" t="s">
        <v>2238</v>
      </c>
      <c r="D14" s="400" t="s">
        <v>98</v>
      </c>
      <c r="E14" s="400" t="s">
        <v>96</v>
      </c>
      <c r="F14" s="400" t="s">
        <v>98</v>
      </c>
      <c r="G14" s="400" t="s">
        <v>100</v>
      </c>
      <c r="H14" s="400" t="s">
        <v>96</v>
      </c>
      <c r="I14" s="28" t="s">
        <v>2240</v>
      </c>
      <c r="J14" s="80">
        <v>9241000</v>
      </c>
      <c r="K14" s="80">
        <f t="shared" ref="K14" si="2">K15</f>
        <v>0</v>
      </c>
      <c r="L14" s="379">
        <f t="shared" si="1"/>
        <v>9241000</v>
      </c>
    </row>
    <row r="15" spans="1:12" s="378" customFormat="1" ht="46.8">
      <c r="A15" s="401" t="s">
        <v>2469</v>
      </c>
      <c r="B15" s="401" t="s">
        <v>97</v>
      </c>
      <c r="C15" s="401" t="s">
        <v>2238</v>
      </c>
      <c r="D15" s="401" t="s">
        <v>297</v>
      </c>
      <c r="E15" s="401" t="s">
        <v>96</v>
      </c>
      <c r="F15" s="401" t="s">
        <v>290</v>
      </c>
      <c r="G15" s="401" t="s">
        <v>100</v>
      </c>
      <c r="H15" s="401" t="s">
        <v>298</v>
      </c>
      <c r="I15" s="8" t="s">
        <v>2239</v>
      </c>
      <c r="J15" s="82">
        <v>9241000</v>
      </c>
      <c r="K15" s="82"/>
      <c r="L15" s="600">
        <f t="shared" si="1"/>
        <v>9241000</v>
      </c>
    </row>
    <row r="16" spans="1:12" ht="21.75" customHeight="1">
      <c r="A16" s="34" t="s">
        <v>96</v>
      </c>
      <c r="B16" s="34" t="s">
        <v>97</v>
      </c>
      <c r="C16" s="34" t="s">
        <v>291</v>
      </c>
      <c r="D16" s="34" t="s">
        <v>98</v>
      </c>
      <c r="E16" s="34" t="s">
        <v>96</v>
      </c>
      <c r="F16" s="34" t="s">
        <v>98</v>
      </c>
      <c r="G16" s="31" t="s">
        <v>100</v>
      </c>
      <c r="H16" s="31" t="s">
        <v>96</v>
      </c>
      <c r="I16" s="28" t="s">
        <v>900</v>
      </c>
      <c r="J16" s="106">
        <v>15483000</v>
      </c>
      <c r="K16" s="106">
        <f t="shared" ref="K16" si="3">K17+K18+K19</f>
        <v>0</v>
      </c>
      <c r="L16" s="379">
        <f t="shared" si="1"/>
        <v>15483000</v>
      </c>
    </row>
    <row r="17" spans="1:12" ht="31.2">
      <c r="A17" s="35" t="s">
        <v>101</v>
      </c>
      <c r="B17" s="35" t="s">
        <v>97</v>
      </c>
      <c r="C17" s="35" t="s">
        <v>291</v>
      </c>
      <c r="D17" s="35" t="s">
        <v>297</v>
      </c>
      <c r="E17" s="35" t="s">
        <v>96</v>
      </c>
      <c r="F17" s="35" t="s">
        <v>297</v>
      </c>
      <c r="G17" s="32" t="s">
        <v>100</v>
      </c>
      <c r="H17" s="32" t="s">
        <v>298</v>
      </c>
      <c r="I17" s="8" t="s">
        <v>256</v>
      </c>
      <c r="J17" s="104">
        <v>14915000</v>
      </c>
      <c r="K17" s="104"/>
      <c r="L17" s="600">
        <f t="shared" si="1"/>
        <v>14915000</v>
      </c>
    </row>
    <row r="18" spans="1:12" ht="22.5" customHeight="1">
      <c r="A18" s="35" t="s">
        <v>101</v>
      </c>
      <c r="B18" s="35" t="s">
        <v>97</v>
      </c>
      <c r="C18" s="35" t="s">
        <v>291</v>
      </c>
      <c r="D18" s="35" t="s">
        <v>2238</v>
      </c>
      <c r="E18" s="35" t="s">
        <v>96</v>
      </c>
      <c r="F18" s="35" t="s">
        <v>290</v>
      </c>
      <c r="G18" s="32" t="s">
        <v>100</v>
      </c>
      <c r="H18" s="32" t="s">
        <v>298</v>
      </c>
      <c r="I18" s="8" t="s">
        <v>650</v>
      </c>
      <c r="J18" s="104">
        <v>503000</v>
      </c>
      <c r="K18" s="104"/>
      <c r="L18" s="600">
        <f t="shared" si="1"/>
        <v>503000</v>
      </c>
    </row>
    <row r="19" spans="1:12" ht="31.2">
      <c r="A19" s="35" t="s">
        <v>101</v>
      </c>
      <c r="B19" s="35" t="s">
        <v>97</v>
      </c>
      <c r="C19" s="35" t="s">
        <v>291</v>
      </c>
      <c r="D19" s="35" t="s">
        <v>2659</v>
      </c>
      <c r="E19" s="35" t="s">
        <v>96</v>
      </c>
      <c r="F19" s="35" t="s">
        <v>297</v>
      </c>
      <c r="G19" s="32" t="s">
        <v>100</v>
      </c>
      <c r="H19" s="32" t="s">
        <v>298</v>
      </c>
      <c r="I19" s="8" t="s">
        <v>2241</v>
      </c>
      <c r="J19" s="123">
        <v>65000</v>
      </c>
      <c r="K19" s="123"/>
      <c r="L19" s="600">
        <f t="shared" si="1"/>
        <v>65000</v>
      </c>
    </row>
    <row r="20" spans="1:12" ht="20.25" customHeight="1">
      <c r="A20" s="34" t="s">
        <v>96</v>
      </c>
      <c r="B20" s="34" t="s">
        <v>97</v>
      </c>
      <c r="C20" s="34" t="s">
        <v>292</v>
      </c>
      <c r="D20" s="34" t="s">
        <v>98</v>
      </c>
      <c r="E20" s="34" t="s">
        <v>96</v>
      </c>
      <c r="F20" s="34" t="s">
        <v>98</v>
      </c>
      <c r="G20" s="31" t="s">
        <v>100</v>
      </c>
      <c r="H20" s="31" t="s">
        <v>96</v>
      </c>
      <c r="I20" s="28" t="s">
        <v>263</v>
      </c>
      <c r="J20" s="106">
        <v>7600000</v>
      </c>
      <c r="K20" s="106">
        <f t="shared" ref="K20" si="4">K21+K22</f>
        <v>0</v>
      </c>
      <c r="L20" s="379">
        <f t="shared" si="1"/>
        <v>7600000</v>
      </c>
    </row>
    <row r="21" spans="1:12" ht="46.8">
      <c r="A21" s="35" t="s">
        <v>101</v>
      </c>
      <c r="B21" s="35" t="s">
        <v>97</v>
      </c>
      <c r="C21" s="35" t="s">
        <v>292</v>
      </c>
      <c r="D21" s="35" t="s">
        <v>2238</v>
      </c>
      <c r="E21" s="35" t="s">
        <v>96</v>
      </c>
      <c r="F21" s="35" t="s">
        <v>290</v>
      </c>
      <c r="G21" s="32" t="s">
        <v>100</v>
      </c>
      <c r="H21" s="32" t="s">
        <v>298</v>
      </c>
      <c r="I21" s="8" t="s">
        <v>1258</v>
      </c>
      <c r="J21" s="104">
        <v>7540000</v>
      </c>
      <c r="K21" s="104"/>
      <c r="L21" s="600">
        <f t="shared" si="1"/>
        <v>7540000</v>
      </c>
    </row>
    <row r="22" spans="1:12" ht="61.5" customHeight="1">
      <c r="A22" s="35" t="s">
        <v>2081</v>
      </c>
      <c r="B22" s="35" t="s">
        <v>97</v>
      </c>
      <c r="C22" s="35" t="s">
        <v>292</v>
      </c>
      <c r="D22" s="35" t="s">
        <v>2660</v>
      </c>
      <c r="E22" s="35" t="s">
        <v>96</v>
      </c>
      <c r="F22" s="35" t="s">
        <v>290</v>
      </c>
      <c r="G22" s="32" t="s">
        <v>100</v>
      </c>
      <c r="H22" s="32" t="s">
        <v>298</v>
      </c>
      <c r="I22" s="8" t="s">
        <v>587</v>
      </c>
      <c r="J22" s="82">
        <v>60000</v>
      </c>
      <c r="K22" s="82"/>
      <c r="L22" s="600">
        <f t="shared" si="1"/>
        <v>60000</v>
      </c>
    </row>
    <row r="23" spans="1:12" ht="46.8" hidden="1">
      <c r="A23" s="34" t="s">
        <v>101</v>
      </c>
      <c r="B23" s="34" t="s">
        <v>97</v>
      </c>
      <c r="C23" s="34" t="s">
        <v>528</v>
      </c>
      <c r="D23" s="34"/>
      <c r="E23" s="34" t="s">
        <v>99</v>
      </c>
      <c r="F23" s="34" t="s">
        <v>98</v>
      </c>
      <c r="G23" s="31" t="s">
        <v>100</v>
      </c>
      <c r="H23" s="31" t="s">
        <v>96</v>
      </c>
      <c r="I23" s="28" t="s">
        <v>107</v>
      </c>
      <c r="J23" s="81">
        <v>0</v>
      </c>
      <c r="K23" s="81">
        <f t="shared" ref="K23" si="5">K24+K26</f>
        <v>0</v>
      </c>
      <c r="L23" s="600">
        <f t="shared" si="1"/>
        <v>0</v>
      </c>
    </row>
    <row r="24" spans="1:12" ht="46.8">
      <c r="A24" s="34" t="s">
        <v>96</v>
      </c>
      <c r="B24" s="34" t="s">
        <v>97</v>
      </c>
      <c r="C24" s="34" t="s">
        <v>293</v>
      </c>
      <c r="D24" s="34" t="s">
        <v>98</v>
      </c>
      <c r="E24" s="34" t="s">
        <v>96</v>
      </c>
      <c r="F24" s="34" t="s">
        <v>98</v>
      </c>
      <c r="G24" s="31" t="s">
        <v>100</v>
      </c>
      <c r="H24" s="31" t="s">
        <v>96</v>
      </c>
      <c r="I24" s="28" t="s">
        <v>817</v>
      </c>
      <c r="J24" s="81">
        <v>12843000</v>
      </c>
      <c r="K24" s="81">
        <f t="shared" ref="K24" si="6">K25+K27</f>
        <v>0</v>
      </c>
      <c r="L24" s="379">
        <f t="shared" si="1"/>
        <v>12843000</v>
      </c>
    </row>
    <row r="25" spans="1:12" ht="117" customHeight="1">
      <c r="A25" s="35" t="s">
        <v>96</v>
      </c>
      <c r="B25" s="35" t="s">
        <v>97</v>
      </c>
      <c r="C25" s="35" t="s">
        <v>293</v>
      </c>
      <c r="D25" s="35" t="s">
        <v>290</v>
      </c>
      <c r="E25" s="35" t="s">
        <v>96</v>
      </c>
      <c r="F25" s="35" t="s">
        <v>98</v>
      </c>
      <c r="G25" s="32" t="s">
        <v>100</v>
      </c>
      <c r="H25" s="32" t="s">
        <v>299</v>
      </c>
      <c r="I25" s="8" t="s">
        <v>1063</v>
      </c>
      <c r="J25" s="82">
        <v>3000</v>
      </c>
      <c r="K25" s="82">
        <f t="shared" ref="K25" si="7">K26</f>
        <v>0</v>
      </c>
      <c r="L25" s="600">
        <f t="shared" si="1"/>
        <v>3000</v>
      </c>
    </row>
    <row r="26" spans="1:12" ht="85.5" customHeight="1">
      <c r="A26" s="35" t="s">
        <v>386</v>
      </c>
      <c r="B26" s="35" t="s">
        <v>97</v>
      </c>
      <c r="C26" s="35" t="s">
        <v>293</v>
      </c>
      <c r="D26" s="35" t="s">
        <v>290</v>
      </c>
      <c r="E26" s="35" t="s">
        <v>2661</v>
      </c>
      <c r="F26" s="35" t="s">
        <v>291</v>
      </c>
      <c r="G26" s="32" t="s">
        <v>100</v>
      </c>
      <c r="H26" s="32" t="s">
        <v>299</v>
      </c>
      <c r="I26" s="181" t="s">
        <v>2473</v>
      </c>
      <c r="J26" s="123">
        <v>3000</v>
      </c>
      <c r="K26" s="123"/>
      <c r="L26" s="600">
        <f t="shared" si="1"/>
        <v>3000</v>
      </c>
    </row>
    <row r="27" spans="1:12" s="7" customFormat="1" ht="147" customHeight="1">
      <c r="A27" s="35" t="s">
        <v>96</v>
      </c>
      <c r="B27" s="35" t="s">
        <v>97</v>
      </c>
      <c r="C27" s="35" t="s">
        <v>293</v>
      </c>
      <c r="D27" s="35" t="s">
        <v>291</v>
      </c>
      <c r="E27" s="35" t="s">
        <v>96</v>
      </c>
      <c r="F27" s="35" t="s">
        <v>98</v>
      </c>
      <c r="G27" s="32" t="s">
        <v>100</v>
      </c>
      <c r="H27" s="32" t="s">
        <v>299</v>
      </c>
      <c r="I27" s="8" t="s">
        <v>457</v>
      </c>
      <c r="J27" s="80">
        <v>12840000</v>
      </c>
      <c r="K27" s="80">
        <f t="shared" ref="K27" si="8">K28+K29</f>
        <v>0</v>
      </c>
      <c r="L27" s="379">
        <f t="shared" si="1"/>
        <v>12840000</v>
      </c>
    </row>
    <row r="28" spans="1:12" s="7" customFormat="1" ht="102.75" customHeight="1">
      <c r="A28" s="35" t="s">
        <v>96</v>
      </c>
      <c r="B28" s="35" t="s">
        <v>97</v>
      </c>
      <c r="C28" s="35" t="s">
        <v>293</v>
      </c>
      <c r="D28" s="35" t="s">
        <v>291</v>
      </c>
      <c r="E28" s="35" t="s">
        <v>2976</v>
      </c>
      <c r="F28" s="35" t="s">
        <v>98</v>
      </c>
      <c r="G28" s="32" t="s">
        <v>100</v>
      </c>
      <c r="H28" s="32" t="s">
        <v>299</v>
      </c>
      <c r="I28" s="8" t="s">
        <v>2977</v>
      </c>
      <c r="J28" s="123">
        <v>9840000</v>
      </c>
      <c r="K28" s="123"/>
      <c r="L28" s="600">
        <f t="shared" si="1"/>
        <v>9840000</v>
      </c>
    </row>
    <row r="29" spans="1:12" s="7" customFormat="1" ht="62.4">
      <c r="A29" s="35" t="s">
        <v>386</v>
      </c>
      <c r="B29" s="35" t="s">
        <v>97</v>
      </c>
      <c r="C29" s="35" t="s">
        <v>293</v>
      </c>
      <c r="D29" s="35" t="s">
        <v>291</v>
      </c>
      <c r="E29" s="35" t="s">
        <v>2663</v>
      </c>
      <c r="F29" s="35" t="s">
        <v>291</v>
      </c>
      <c r="G29" s="32" t="s">
        <v>100</v>
      </c>
      <c r="H29" s="32" t="s">
        <v>299</v>
      </c>
      <c r="I29" s="8" t="s">
        <v>2242</v>
      </c>
      <c r="J29" s="123">
        <v>3000000</v>
      </c>
      <c r="K29" s="123"/>
      <c r="L29" s="600">
        <f t="shared" si="1"/>
        <v>3000000</v>
      </c>
    </row>
    <row r="30" spans="1:12" s="7" customFormat="1" ht="31.2">
      <c r="A30" s="34" t="s">
        <v>96</v>
      </c>
      <c r="B30" s="34" t="s">
        <v>97</v>
      </c>
      <c r="C30" s="34" t="s">
        <v>294</v>
      </c>
      <c r="D30" s="34" t="s">
        <v>98</v>
      </c>
      <c r="E30" s="34" t="s">
        <v>96</v>
      </c>
      <c r="F30" s="34" t="s">
        <v>98</v>
      </c>
      <c r="G30" s="31" t="s">
        <v>100</v>
      </c>
      <c r="H30" s="31" t="s">
        <v>96</v>
      </c>
      <c r="I30" s="28" t="s">
        <v>1108</v>
      </c>
      <c r="J30" s="81">
        <v>2042000</v>
      </c>
      <c r="K30" s="81">
        <f t="shared" ref="K30" si="9">K31+K32</f>
        <v>500000</v>
      </c>
      <c r="L30" s="379">
        <f t="shared" si="1"/>
        <v>2542000</v>
      </c>
    </row>
    <row r="31" spans="1:12" ht="31.2">
      <c r="A31" s="35" t="s">
        <v>96</v>
      </c>
      <c r="B31" s="35" t="s">
        <v>97</v>
      </c>
      <c r="C31" s="35" t="s">
        <v>294</v>
      </c>
      <c r="D31" s="35" t="s">
        <v>290</v>
      </c>
      <c r="E31" s="35" t="s">
        <v>96</v>
      </c>
      <c r="F31" s="35" t="s">
        <v>290</v>
      </c>
      <c r="G31" s="32" t="s">
        <v>100</v>
      </c>
      <c r="H31" s="32" t="s">
        <v>299</v>
      </c>
      <c r="I31" s="8" t="s">
        <v>88</v>
      </c>
      <c r="J31" s="104">
        <v>2042000</v>
      </c>
      <c r="K31" s="104">
        <v>500000</v>
      </c>
      <c r="L31" s="600">
        <f t="shared" si="1"/>
        <v>2542000</v>
      </c>
    </row>
    <row r="32" spans="1:12" ht="51" hidden="1" customHeight="1">
      <c r="A32" s="35" t="s">
        <v>101</v>
      </c>
      <c r="B32" s="35" t="s">
        <v>97</v>
      </c>
      <c r="C32" s="35" t="s">
        <v>294</v>
      </c>
      <c r="D32" s="35"/>
      <c r="E32" s="35" t="s">
        <v>83</v>
      </c>
      <c r="F32" s="35" t="s">
        <v>290</v>
      </c>
      <c r="G32" s="32" t="s">
        <v>100</v>
      </c>
      <c r="H32" s="32" t="s">
        <v>299</v>
      </c>
      <c r="I32" s="8" t="s">
        <v>2474</v>
      </c>
      <c r="J32" s="82">
        <v>0</v>
      </c>
      <c r="K32" s="82"/>
      <c r="L32" s="600">
        <f t="shared" si="1"/>
        <v>0</v>
      </c>
    </row>
    <row r="33" spans="1:12" ht="39" customHeight="1">
      <c r="A33" s="34" t="s">
        <v>96</v>
      </c>
      <c r="B33" s="34" t="s">
        <v>97</v>
      </c>
      <c r="C33" s="34" t="s">
        <v>2445</v>
      </c>
      <c r="D33" s="34" t="s">
        <v>98</v>
      </c>
      <c r="E33" s="34" t="s">
        <v>96</v>
      </c>
      <c r="F33" s="34" t="s">
        <v>98</v>
      </c>
      <c r="G33" s="31" t="s">
        <v>100</v>
      </c>
      <c r="H33" s="31" t="s">
        <v>2530</v>
      </c>
      <c r="I33" s="28" t="s">
        <v>2531</v>
      </c>
      <c r="J33" s="81">
        <v>7441000</v>
      </c>
      <c r="K33" s="81">
        <f>K34+K35</f>
        <v>1000000</v>
      </c>
      <c r="L33" s="379">
        <f t="shared" si="1"/>
        <v>8441000</v>
      </c>
    </row>
    <row r="34" spans="1:12" ht="51" customHeight="1">
      <c r="A34" s="35" t="s">
        <v>96</v>
      </c>
      <c r="B34" s="35" t="s">
        <v>97</v>
      </c>
      <c r="C34" s="35" t="s">
        <v>2445</v>
      </c>
      <c r="D34" s="35" t="s">
        <v>290</v>
      </c>
      <c r="E34" s="35" t="s">
        <v>2664</v>
      </c>
      <c r="F34" s="35" t="s">
        <v>291</v>
      </c>
      <c r="G34" s="32" t="s">
        <v>100</v>
      </c>
      <c r="H34" s="32" t="s">
        <v>2530</v>
      </c>
      <c r="I34" s="8" t="s">
        <v>2107</v>
      </c>
      <c r="J34" s="82">
        <v>5321000</v>
      </c>
      <c r="K34" s="82"/>
      <c r="L34" s="600">
        <f t="shared" si="1"/>
        <v>5321000</v>
      </c>
    </row>
    <row r="35" spans="1:12" ht="35.25" customHeight="1">
      <c r="A35" s="35" t="s">
        <v>96</v>
      </c>
      <c r="B35" s="35" t="s">
        <v>97</v>
      </c>
      <c r="C35" s="35" t="s">
        <v>2445</v>
      </c>
      <c r="D35" s="35" t="s">
        <v>297</v>
      </c>
      <c r="E35" s="35" t="s">
        <v>2664</v>
      </c>
      <c r="F35" s="35" t="s">
        <v>291</v>
      </c>
      <c r="G35" s="32" t="s">
        <v>100</v>
      </c>
      <c r="H35" s="32" t="s">
        <v>2530</v>
      </c>
      <c r="I35" s="8" t="s">
        <v>2700</v>
      </c>
      <c r="J35" s="82">
        <v>2120000</v>
      </c>
      <c r="K35" s="82">
        <v>1000000</v>
      </c>
      <c r="L35" s="600">
        <f t="shared" si="1"/>
        <v>3120000</v>
      </c>
    </row>
    <row r="36" spans="1:12" ht="31.2">
      <c r="A36" s="34" t="s">
        <v>96</v>
      </c>
      <c r="B36" s="34" t="s">
        <v>97</v>
      </c>
      <c r="C36" s="34" t="s">
        <v>295</v>
      </c>
      <c r="D36" s="34" t="s">
        <v>98</v>
      </c>
      <c r="E36" s="34" t="s">
        <v>96</v>
      </c>
      <c r="F36" s="34" t="s">
        <v>98</v>
      </c>
      <c r="G36" s="31" t="s">
        <v>100</v>
      </c>
      <c r="H36" s="31" t="s">
        <v>96</v>
      </c>
      <c r="I36" s="28" t="s">
        <v>1530</v>
      </c>
      <c r="J36" s="81">
        <v>13870000</v>
      </c>
      <c r="K36" s="81">
        <f t="shared" ref="K36" si="10">K37+K38</f>
        <v>0</v>
      </c>
      <c r="L36" s="379">
        <f t="shared" si="1"/>
        <v>13870000</v>
      </c>
    </row>
    <row r="37" spans="1:12" ht="124.8">
      <c r="A37" s="35" t="s">
        <v>96</v>
      </c>
      <c r="B37" s="35" t="s">
        <v>97</v>
      </c>
      <c r="C37" s="35" t="s">
        <v>295</v>
      </c>
      <c r="D37" s="35" t="s">
        <v>297</v>
      </c>
      <c r="E37" s="35" t="s">
        <v>96</v>
      </c>
      <c r="F37" s="35" t="s">
        <v>98</v>
      </c>
      <c r="G37" s="32" t="s">
        <v>100</v>
      </c>
      <c r="H37" s="32" t="s">
        <v>96</v>
      </c>
      <c r="I37" s="8" t="s">
        <v>1542</v>
      </c>
      <c r="J37" s="82">
        <v>8000000</v>
      </c>
      <c r="K37" s="82"/>
      <c r="L37" s="600">
        <f t="shared" si="1"/>
        <v>8000000</v>
      </c>
    </row>
    <row r="38" spans="1:12" ht="46.8">
      <c r="A38" s="35" t="s">
        <v>96</v>
      </c>
      <c r="B38" s="35" t="s">
        <v>97</v>
      </c>
      <c r="C38" s="35" t="s">
        <v>295</v>
      </c>
      <c r="D38" s="35" t="s">
        <v>2665</v>
      </c>
      <c r="E38" s="35" t="s">
        <v>96</v>
      </c>
      <c r="F38" s="35" t="s">
        <v>98</v>
      </c>
      <c r="G38" s="32" t="s">
        <v>100</v>
      </c>
      <c r="H38" s="32" t="s">
        <v>1423</v>
      </c>
      <c r="I38" s="8" t="s">
        <v>2978</v>
      </c>
      <c r="J38" s="104">
        <v>5870000</v>
      </c>
      <c r="K38" s="104"/>
      <c r="L38" s="600">
        <f t="shared" si="1"/>
        <v>5870000</v>
      </c>
    </row>
    <row r="39" spans="1:12" ht="66.75" customHeight="1">
      <c r="A39" s="35" t="s">
        <v>96</v>
      </c>
      <c r="B39" s="35" t="s">
        <v>97</v>
      </c>
      <c r="C39" s="35" t="s">
        <v>295</v>
      </c>
      <c r="D39" s="35" t="s">
        <v>2665</v>
      </c>
      <c r="E39" s="35" t="s">
        <v>2662</v>
      </c>
      <c r="F39" s="35" t="s">
        <v>2085</v>
      </c>
      <c r="G39" s="32" t="s">
        <v>100</v>
      </c>
      <c r="H39" s="32" t="s">
        <v>1423</v>
      </c>
      <c r="I39" s="8" t="s">
        <v>2667</v>
      </c>
      <c r="J39" s="104">
        <v>2570000</v>
      </c>
      <c r="K39" s="104"/>
      <c r="L39" s="600">
        <f t="shared" si="1"/>
        <v>2570000</v>
      </c>
    </row>
    <row r="40" spans="1:12" ht="66.75" customHeight="1">
      <c r="A40" s="35" t="s">
        <v>96</v>
      </c>
      <c r="B40" s="35" t="s">
        <v>97</v>
      </c>
      <c r="C40" s="35" t="s">
        <v>295</v>
      </c>
      <c r="D40" s="35" t="s">
        <v>2665</v>
      </c>
      <c r="E40" s="35" t="s">
        <v>2662</v>
      </c>
      <c r="F40" s="35" t="s">
        <v>2445</v>
      </c>
      <c r="G40" s="32" t="s">
        <v>100</v>
      </c>
      <c r="H40" s="32" t="s">
        <v>1423</v>
      </c>
      <c r="I40" s="8" t="s">
        <v>2668</v>
      </c>
      <c r="J40" s="104">
        <v>1800000</v>
      </c>
      <c r="K40" s="104"/>
      <c r="L40" s="600">
        <f t="shared" si="1"/>
        <v>1800000</v>
      </c>
    </row>
    <row r="41" spans="1:12" ht="81.75" customHeight="1">
      <c r="A41" s="35" t="s">
        <v>386</v>
      </c>
      <c r="B41" s="35" t="s">
        <v>97</v>
      </c>
      <c r="C41" s="35" t="s">
        <v>295</v>
      </c>
      <c r="D41" s="35" t="s">
        <v>2665</v>
      </c>
      <c r="E41" s="35" t="s">
        <v>2666</v>
      </c>
      <c r="F41" s="35" t="s">
        <v>291</v>
      </c>
      <c r="G41" s="32" t="s">
        <v>100</v>
      </c>
      <c r="H41" s="32" t="s">
        <v>1423</v>
      </c>
      <c r="I41" s="8" t="s">
        <v>2106</v>
      </c>
      <c r="J41" s="104">
        <v>1500000</v>
      </c>
      <c r="K41" s="104"/>
      <c r="L41" s="600">
        <f t="shared" si="1"/>
        <v>1500000</v>
      </c>
    </row>
    <row r="42" spans="1:12" ht="15.6">
      <c r="A42" s="34" t="s">
        <v>96</v>
      </c>
      <c r="B42" s="34" t="s">
        <v>97</v>
      </c>
      <c r="C42" s="34" t="s">
        <v>296</v>
      </c>
      <c r="D42" s="34" t="s">
        <v>98</v>
      </c>
      <c r="E42" s="34" t="s">
        <v>96</v>
      </c>
      <c r="F42" s="34" t="s">
        <v>98</v>
      </c>
      <c r="G42" s="31" t="s">
        <v>100</v>
      </c>
      <c r="H42" s="31" t="s">
        <v>96</v>
      </c>
      <c r="I42" s="28" t="s">
        <v>89</v>
      </c>
      <c r="J42" s="106">
        <v>4263000</v>
      </c>
      <c r="K42" s="106"/>
      <c r="L42" s="379">
        <f t="shared" si="1"/>
        <v>4263000</v>
      </c>
    </row>
    <row r="43" spans="1:12" ht="22.5" customHeight="1">
      <c r="A43" s="34" t="s">
        <v>96</v>
      </c>
      <c r="B43" s="34" t="s">
        <v>289</v>
      </c>
      <c r="C43" s="34" t="s">
        <v>98</v>
      </c>
      <c r="D43" s="34" t="s">
        <v>98</v>
      </c>
      <c r="E43" s="34" t="s">
        <v>96</v>
      </c>
      <c r="F43" s="34" t="s">
        <v>98</v>
      </c>
      <c r="G43" s="36" t="s">
        <v>100</v>
      </c>
      <c r="H43" s="36" t="s">
        <v>96</v>
      </c>
      <c r="I43" s="57" t="s">
        <v>1947</v>
      </c>
      <c r="J43" s="81">
        <v>1720294847.8199999</v>
      </c>
      <c r="K43" s="81">
        <f t="shared" ref="K43" si="11">K44</f>
        <v>68621327.25</v>
      </c>
      <c r="L43" s="379">
        <f t="shared" si="1"/>
        <v>1788916175.0699999</v>
      </c>
    </row>
    <row r="44" spans="1:12" ht="46.8">
      <c r="A44" s="34" t="s">
        <v>96</v>
      </c>
      <c r="B44" s="34" t="s">
        <v>289</v>
      </c>
      <c r="C44" s="34" t="s">
        <v>297</v>
      </c>
      <c r="D44" s="34" t="s">
        <v>98</v>
      </c>
      <c r="E44" s="34" t="s">
        <v>96</v>
      </c>
      <c r="F44" s="34" t="s">
        <v>98</v>
      </c>
      <c r="G44" s="36" t="s">
        <v>100</v>
      </c>
      <c r="H44" s="36" t="s">
        <v>96</v>
      </c>
      <c r="I44" s="57" t="s">
        <v>322</v>
      </c>
      <c r="J44" s="81">
        <v>1720294847.8199999</v>
      </c>
      <c r="K44" s="81">
        <f>K45+K50+K77+K117</f>
        <v>68621327.25</v>
      </c>
      <c r="L44" s="379">
        <f t="shared" si="1"/>
        <v>1788916175.0699999</v>
      </c>
    </row>
    <row r="45" spans="1:12" ht="46.8">
      <c r="A45" s="34" t="s">
        <v>96</v>
      </c>
      <c r="B45" s="34" t="s">
        <v>289</v>
      </c>
      <c r="C45" s="34" t="s">
        <v>297</v>
      </c>
      <c r="D45" s="34" t="s">
        <v>290</v>
      </c>
      <c r="E45" s="34" t="s">
        <v>96</v>
      </c>
      <c r="F45" s="34" t="s">
        <v>98</v>
      </c>
      <c r="G45" s="36" t="s">
        <v>100</v>
      </c>
      <c r="H45" s="36" t="s">
        <v>300</v>
      </c>
      <c r="I45" s="57" t="s">
        <v>2243</v>
      </c>
      <c r="J45" s="81">
        <v>503794433</v>
      </c>
      <c r="K45" s="81">
        <f t="shared" ref="K45" si="12">K46+K47+K48+K49</f>
        <v>0</v>
      </c>
      <c r="L45" s="379">
        <f t="shared" si="1"/>
        <v>503794433</v>
      </c>
    </row>
    <row r="46" spans="1:12" ht="46.5" customHeight="1">
      <c r="A46" s="35" t="s">
        <v>1149</v>
      </c>
      <c r="B46" s="35" t="s">
        <v>289</v>
      </c>
      <c r="C46" s="35" t="s">
        <v>297</v>
      </c>
      <c r="D46" s="35" t="s">
        <v>290</v>
      </c>
      <c r="E46" s="35" t="s">
        <v>2669</v>
      </c>
      <c r="F46" s="35" t="s">
        <v>291</v>
      </c>
      <c r="G46" s="37" t="s">
        <v>100</v>
      </c>
      <c r="H46" s="37" t="s">
        <v>300</v>
      </c>
      <c r="I46" s="39" t="s">
        <v>2072</v>
      </c>
      <c r="J46" s="104">
        <v>401513000</v>
      </c>
      <c r="K46" s="104"/>
      <c r="L46" s="600">
        <f t="shared" si="1"/>
        <v>401513000</v>
      </c>
    </row>
    <row r="47" spans="1:12" ht="46.8">
      <c r="A47" s="35" t="s">
        <v>1149</v>
      </c>
      <c r="B47" s="35" t="s">
        <v>289</v>
      </c>
      <c r="C47" s="35" t="s">
        <v>297</v>
      </c>
      <c r="D47" s="35" t="s">
        <v>290</v>
      </c>
      <c r="E47" s="35" t="s">
        <v>2669</v>
      </c>
      <c r="F47" s="35" t="s">
        <v>291</v>
      </c>
      <c r="G47" s="37" t="s">
        <v>100</v>
      </c>
      <c r="H47" s="37" t="s">
        <v>300</v>
      </c>
      <c r="I47" s="39" t="s">
        <v>2071</v>
      </c>
      <c r="J47" s="104">
        <v>20348000</v>
      </c>
      <c r="K47" s="104"/>
      <c r="L47" s="600">
        <f t="shared" si="1"/>
        <v>20348000</v>
      </c>
    </row>
    <row r="48" spans="1:12" ht="62.4">
      <c r="A48" s="35" t="s">
        <v>1149</v>
      </c>
      <c r="B48" s="35" t="s">
        <v>289</v>
      </c>
      <c r="C48" s="35" t="s">
        <v>297</v>
      </c>
      <c r="D48" s="35" t="s">
        <v>290</v>
      </c>
      <c r="E48" s="35" t="s">
        <v>2670</v>
      </c>
      <c r="F48" s="35" t="s">
        <v>291</v>
      </c>
      <c r="G48" s="37" t="s">
        <v>100</v>
      </c>
      <c r="H48" s="37" t="s">
        <v>300</v>
      </c>
      <c r="I48" s="39" t="s">
        <v>2979</v>
      </c>
      <c r="J48" s="104">
        <v>81061000</v>
      </c>
      <c r="K48" s="104"/>
      <c r="L48" s="600">
        <f t="shared" si="1"/>
        <v>81061000</v>
      </c>
    </row>
    <row r="49" spans="1:12" ht="65.25" customHeight="1">
      <c r="A49" s="35" t="s">
        <v>1149</v>
      </c>
      <c r="B49" s="35" t="s">
        <v>289</v>
      </c>
      <c r="C49" s="35" t="s">
        <v>297</v>
      </c>
      <c r="D49" s="35" t="s">
        <v>290</v>
      </c>
      <c r="E49" s="35" t="s">
        <v>2674</v>
      </c>
      <c r="F49" s="35" t="s">
        <v>291</v>
      </c>
      <c r="G49" s="37" t="s">
        <v>3179</v>
      </c>
      <c r="H49" s="37" t="s">
        <v>300</v>
      </c>
      <c r="I49" s="39" t="s">
        <v>3178</v>
      </c>
      <c r="J49" s="104">
        <v>872433</v>
      </c>
      <c r="K49" s="104"/>
      <c r="L49" s="600">
        <f t="shared" si="1"/>
        <v>872433</v>
      </c>
    </row>
    <row r="50" spans="1:12" ht="66.75" customHeight="1">
      <c r="A50" s="34" t="s">
        <v>96</v>
      </c>
      <c r="B50" s="34" t="s">
        <v>289</v>
      </c>
      <c r="C50" s="34" t="s">
        <v>297</v>
      </c>
      <c r="D50" s="34" t="s">
        <v>297</v>
      </c>
      <c r="E50" s="34" t="s">
        <v>96</v>
      </c>
      <c r="F50" s="34" t="s">
        <v>98</v>
      </c>
      <c r="G50" s="36" t="s">
        <v>100</v>
      </c>
      <c r="H50" s="36" t="s">
        <v>300</v>
      </c>
      <c r="I50" s="57" t="s">
        <v>2075</v>
      </c>
      <c r="J50" s="106">
        <v>183848250.81999999</v>
      </c>
      <c r="K50" s="106">
        <f>SUM(K51:K76)</f>
        <v>29307765.25</v>
      </c>
      <c r="L50" s="379">
        <f>SUM(J50:K50)</f>
        <v>213156016.06999999</v>
      </c>
    </row>
    <row r="51" spans="1:12" ht="48" customHeight="1">
      <c r="A51" s="35" t="s">
        <v>2081</v>
      </c>
      <c r="B51" s="35" t="s">
        <v>289</v>
      </c>
      <c r="C51" s="35" t="s">
        <v>297</v>
      </c>
      <c r="D51" s="35" t="s">
        <v>297</v>
      </c>
      <c r="E51" s="35" t="s">
        <v>2671</v>
      </c>
      <c r="F51" s="35" t="s">
        <v>291</v>
      </c>
      <c r="G51" s="37" t="s">
        <v>100</v>
      </c>
      <c r="H51" s="37" t="s">
        <v>300</v>
      </c>
      <c r="I51" s="39" t="s">
        <v>2519</v>
      </c>
      <c r="J51" s="104">
        <v>1800000</v>
      </c>
      <c r="K51" s="104"/>
      <c r="L51" s="600">
        <f t="shared" si="1"/>
        <v>1800000</v>
      </c>
    </row>
    <row r="52" spans="1:12" ht="62.4" hidden="1" customHeight="1">
      <c r="A52" s="35" t="s">
        <v>2081</v>
      </c>
      <c r="B52" s="35" t="s">
        <v>2518</v>
      </c>
      <c r="C52" s="35" t="s">
        <v>297</v>
      </c>
      <c r="D52" s="35" t="s">
        <v>297</v>
      </c>
      <c r="E52" s="35" t="s">
        <v>2672</v>
      </c>
      <c r="F52" s="35" t="s">
        <v>291</v>
      </c>
      <c r="G52" s="37" t="s">
        <v>100</v>
      </c>
      <c r="H52" s="37" t="s">
        <v>300</v>
      </c>
      <c r="I52" s="39" t="s">
        <v>2520</v>
      </c>
      <c r="J52" s="104">
        <v>0</v>
      </c>
      <c r="K52" s="104"/>
      <c r="L52" s="600">
        <f t="shared" si="1"/>
        <v>0</v>
      </c>
    </row>
    <row r="53" spans="1:12" ht="64.2" customHeight="1">
      <c r="A53" s="35" t="s">
        <v>2081</v>
      </c>
      <c r="B53" s="35" t="s">
        <v>289</v>
      </c>
      <c r="C53" s="35" t="s">
        <v>297</v>
      </c>
      <c r="D53" s="35" t="s">
        <v>297</v>
      </c>
      <c r="E53" s="35" t="s">
        <v>3240</v>
      </c>
      <c r="F53" s="35" t="s">
        <v>291</v>
      </c>
      <c r="G53" s="37" t="s">
        <v>100</v>
      </c>
      <c r="H53" s="37" t="s">
        <v>300</v>
      </c>
      <c r="I53" s="772" t="s">
        <v>3241</v>
      </c>
      <c r="J53" s="104"/>
      <c r="K53" s="104">
        <v>257349</v>
      </c>
      <c r="L53" s="600">
        <f t="shared" si="1"/>
        <v>257349</v>
      </c>
    </row>
    <row r="54" spans="1:12" ht="36" customHeight="1">
      <c r="A54" s="35" t="s">
        <v>2077</v>
      </c>
      <c r="B54" s="35" t="s">
        <v>289</v>
      </c>
      <c r="C54" s="35" t="s">
        <v>297</v>
      </c>
      <c r="D54" s="35" t="s">
        <v>297</v>
      </c>
      <c r="E54" s="35" t="s">
        <v>2673</v>
      </c>
      <c r="F54" s="35" t="s">
        <v>291</v>
      </c>
      <c r="G54" s="37" t="s">
        <v>100</v>
      </c>
      <c r="H54" s="37" t="s">
        <v>300</v>
      </c>
      <c r="I54" s="3" t="s">
        <v>725</v>
      </c>
      <c r="J54" s="82">
        <v>20283000</v>
      </c>
      <c r="K54" s="82"/>
      <c r="L54" s="600">
        <f t="shared" si="1"/>
        <v>20283000</v>
      </c>
    </row>
    <row r="55" spans="1:12" ht="68.25" customHeight="1">
      <c r="A55" s="35" t="s">
        <v>2081</v>
      </c>
      <c r="B55" s="35" t="s">
        <v>289</v>
      </c>
      <c r="C55" s="35" t="s">
        <v>297</v>
      </c>
      <c r="D55" s="35" t="s">
        <v>297</v>
      </c>
      <c r="E55" s="35" t="s">
        <v>3166</v>
      </c>
      <c r="F55" s="35" t="s">
        <v>291</v>
      </c>
      <c r="G55" s="37" t="s">
        <v>100</v>
      </c>
      <c r="H55" s="37" t="s">
        <v>300</v>
      </c>
      <c r="I55" s="3" t="s">
        <v>3167</v>
      </c>
      <c r="J55" s="82">
        <v>1511366</v>
      </c>
      <c r="K55" s="82"/>
      <c r="L55" s="600">
        <f t="shared" si="1"/>
        <v>1511366</v>
      </c>
    </row>
    <row r="56" spans="1:12" ht="68.25" customHeight="1">
      <c r="A56" s="35" t="s">
        <v>2077</v>
      </c>
      <c r="B56" s="35" t="s">
        <v>289</v>
      </c>
      <c r="C56" s="35" t="s">
        <v>297</v>
      </c>
      <c r="D56" s="35" t="s">
        <v>297</v>
      </c>
      <c r="E56" s="35" t="s">
        <v>3183</v>
      </c>
      <c r="F56" s="35" t="s">
        <v>291</v>
      </c>
      <c r="G56" s="37" t="s">
        <v>100</v>
      </c>
      <c r="H56" s="37" t="s">
        <v>300</v>
      </c>
      <c r="I56" s="3" t="s">
        <v>3184</v>
      </c>
      <c r="J56" s="82">
        <v>15874326</v>
      </c>
      <c r="L56" s="600">
        <f t="shared" si="1"/>
        <v>15874326</v>
      </c>
    </row>
    <row r="57" spans="1:12" ht="68.25" customHeight="1">
      <c r="A57" s="35" t="s">
        <v>2077</v>
      </c>
      <c r="B57" s="35" t="s">
        <v>289</v>
      </c>
      <c r="C57" s="35" t="s">
        <v>297</v>
      </c>
      <c r="D57" s="35" t="s">
        <v>297</v>
      </c>
      <c r="E57" s="35" t="s">
        <v>3183</v>
      </c>
      <c r="F57" s="35" t="s">
        <v>291</v>
      </c>
      <c r="G57" s="37" t="s">
        <v>100</v>
      </c>
      <c r="H57" s="37" t="s">
        <v>300</v>
      </c>
      <c r="I57" s="3" t="s">
        <v>3254</v>
      </c>
      <c r="J57" s="82"/>
      <c r="K57" s="82">
        <v>2429944</v>
      </c>
      <c r="L57" s="600">
        <f>SUM(J57:K57)</f>
        <v>2429944</v>
      </c>
    </row>
    <row r="58" spans="1:12" ht="98.4" customHeight="1">
      <c r="A58" s="532" t="s">
        <v>2077</v>
      </c>
      <c r="B58" s="532" t="s">
        <v>289</v>
      </c>
      <c r="C58" s="532" t="s">
        <v>297</v>
      </c>
      <c r="D58" s="532" t="s">
        <v>297</v>
      </c>
      <c r="E58" s="532" t="s">
        <v>3083</v>
      </c>
      <c r="F58" s="532" t="s">
        <v>291</v>
      </c>
      <c r="G58" s="533" t="s">
        <v>100</v>
      </c>
      <c r="H58" s="533" t="s">
        <v>300</v>
      </c>
      <c r="I58" s="534" t="s">
        <v>3198</v>
      </c>
      <c r="J58" s="535">
        <v>10440000</v>
      </c>
      <c r="K58" s="535">
        <v>5072316</v>
      </c>
      <c r="L58" s="600">
        <f t="shared" si="1"/>
        <v>15512316</v>
      </c>
    </row>
    <row r="59" spans="1:12" ht="98.25" customHeight="1">
      <c r="A59" s="532" t="s">
        <v>2081</v>
      </c>
      <c r="B59" s="532" t="s">
        <v>289</v>
      </c>
      <c r="C59" s="532" t="s">
        <v>297</v>
      </c>
      <c r="D59" s="532" t="s">
        <v>297</v>
      </c>
      <c r="E59" s="532" t="s">
        <v>3182</v>
      </c>
      <c r="F59" s="532" t="s">
        <v>291</v>
      </c>
      <c r="G59" s="533" t="s">
        <v>100</v>
      </c>
      <c r="H59" s="533" t="s">
        <v>300</v>
      </c>
      <c r="I59" s="534" t="s">
        <v>3012</v>
      </c>
      <c r="J59" s="535">
        <v>8994676</v>
      </c>
      <c r="K59" s="535"/>
      <c r="L59" s="600">
        <f t="shared" si="1"/>
        <v>8994676</v>
      </c>
    </row>
    <row r="60" spans="1:12" ht="132.75" customHeight="1">
      <c r="A60" s="532" t="s">
        <v>2081</v>
      </c>
      <c r="B60" s="532" t="s">
        <v>289</v>
      </c>
      <c r="C60" s="532" t="s">
        <v>297</v>
      </c>
      <c r="D60" s="532" t="s">
        <v>297</v>
      </c>
      <c r="E60" s="532" t="s">
        <v>3077</v>
      </c>
      <c r="F60" s="532" t="s">
        <v>291</v>
      </c>
      <c r="G60" s="533" t="s">
        <v>3078</v>
      </c>
      <c r="H60" s="533" t="s">
        <v>300</v>
      </c>
      <c r="I60" s="534" t="s">
        <v>2521</v>
      </c>
      <c r="J60" s="535">
        <v>35734663.399999999</v>
      </c>
      <c r="K60" s="535"/>
      <c r="L60" s="600">
        <f t="shared" si="1"/>
        <v>35734663.399999999</v>
      </c>
    </row>
    <row r="61" spans="1:12" ht="64.95" customHeight="1">
      <c r="A61" s="532" t="s">
        <v>2081</v>
      </c>
      <c r="B61" s="532" t="s">
        <v>289</v>
      </c>
      <c r="C61" s="532" t="s">
        <v>297</v>
      </c>
      <c r="D61" s="532" t="s">
        <v>297</v>
      </c>
      <c r="E61" s="532" t="s">
        <v>3079</v>
      </c>
      <c r="F61" s="532" t="s">
        <v>291</v>
      </c>
      <c r="G61" s="533" t="s">
        <v>3078</v>
      </c>
      <c r="H61" s="533" t="s">
        <v>300</v>
      </c>
      <c r="I61" s="534" t="s">
        <v>3080</v>
      </c>
      <c r="J61" s="535">
        <v>2193041.7000000002</v>
      </c>
      <c r="K61" s="535">
        <v>10998633.25</v>
      </c>
      <c r="L61" s="600">
        <f t="shared" si="1"/>
        <v>13191674.949999999</v>
      </c>
    </row>
    <row r="62" spans="1:12" ht="80.400000000000006" customHeight="1">
      <c r="A62" s="532" t="s">
        <v>2082</v>
      </c>
      <c r="B62" s="532" t="s">
        <v>289</v>
      </c>
      <c r="C62" s="532" t="s">
        <v>297</v>
      </c>
      <c r="D62" s="532" t="s">
        <v>297</v>
      </c>
      <c r="E62" s="532" t="s">
        <v>3243</v>
      </c>
      <c r="F62" s="532" t="s">
        <v>291</v>
      </c>
      <c r="G62" s="533" t="s">
        <v>100</v>
      </c>
      <c r="H62" s="533" t="s">
        <v>300</v>
      </c>
      <c r="I62" s="773" t="s">
        <v>3244</v>
      </c>
      <c r="J62" s="535"/>
      <c r="K62" s="535">
        <v>1100000</v>
      </c>
      <c r="L62" s="600">
        <f t="shared" si="1"/>
        <v>1100000</v>
      </c>
    </row>
    <row r="63" spans="1:12" ht="123.6" customHeight="1">
      <c r="A63" s="532" t="s">
        <v>2077</v>
      </c>
      <c r="B63" s="532" t="s">
        <v>289</v>
      </c>
      <c r="C63" s="532" t="s">
        <v>297</v>
      </c>
      <c r="D63" s="532" t="s">
        <v>297</v>
      </c>
      <c r="E63" s="532" t="s">
        <v>2686</v>
      </c>
      <c r="F63" s="532" t="s">
        <v>291</v>
      </c>
      <c r="G63" s="533" t="s">
        <v>100</v>
      </c>
      <c r="H63" s="533" t="s">
        <v>300</v>
      </c>
      <c r="I63" s="534" t="s">
        <v>3056</v>
      </c>
      <c r="J63" s="535">
        <v>22247000</v>
      </c>
      <c r="K63" s="535"/>
      <c r="L63" s="600">
        <f>SUM(J63:K63)</f>
        <v>22247000</v>
      </c>
    </row>
    <row r="64" spans="1:12" ht="96.6" customHeight="1">
      <c r="A64" s="532" t="s">
        <v>2081</v>
      </c>
      <c r="B64" s="532" t="s">
        <v>289</v>
      </c>
      <c r="C64" s="532" t="s">
        <v>297</v>
      </c>
      <c r="D64" s="532" t="s">
        <v>297</v>
      </c>
      <c r="E64" s="532" t="s">
        <v>2674</v>
      </c>
      <c r="F64" s="532" t="s">
        <v>291</v>
      </c>
      <c r="G64" s="533" t="s">
        <v>3242</v>
      </c>
      <c r="H64" s="533" t="s">
        <v>300</v>
      </c>
      <c r="I64" s="773" t="s">
        <v>2387</v>
      </c>
      <c r="J64" s="535"/>
      <c r="K64" s="535">
        <v>64048</v>
      </c>
      <c r="L64" s="600">
        <f>SUM(J64:K64)</f>
        <v>64048</v>
      </c>
    </row>
    <row r="65" spans="1:12" ht="78.75" customHeight="1">
      <c r="A65" s="532" t="s">
        <v>2081</v>
      </c>
      <c r="B65" s="532" t="s">
        <v>289</v>
      </c>
      <c r="C65" s="532" t="s">
        <v>297</v>
      </c>
      <c r="D65" s="532" t="s">
        <v>297</v>
      </c>
      <c r="E65" s="532" t="s">
        <v>2674</v>
      </c>
      <c r="F65" s="532" t="s">
        <v>291</v>
      </c>
      <c r="G65" s="533" t="s">
        <v>3168</v>
      </c>
      <c r="H65" s="533" t="s">
        <v>300</v>
      </c>
      <c r="I65" s="534" t="s">
        <v>3169</v>
      </c>
      <c r="J65" s="535">
        <v>2000000</v>
      </c>
      <c r="K65" s="535"/>
      <c r="L65" s="600">
        <f t="shared" si="1"/>
        <v>2000000</v>
      </c>
    </row>
    <row r="66" spans="1:12" ht="50.4" customHeight="1">
      <c r="A66" s="35" t="s">
        <v>2078</v>
      </c>
      <c r="B66" s="35" t="s">
        <v>289</v>
      </c>
      <c r="C66" s="35" t="s">
        <v>297</v>
      </c>
      <c r="D66" s="35" t="s">
        <v>297</v>
      </c>
      <c r="E66" s="35" t="s">
        <v>2674</v>
      </c>
      <c r="F66" s="35" t="s">
        <v>291</v>
      </c>
      <c r="G66" s="37" t="s">
        <v>3024</v>
      </c>
      <c r="H66" s="37" t="s">
        <v>300</v>
      </c>
      <c r="I66" s="180" t="s">
        <v>2226</v>
      </c>
      <c r="J66" s="104">
        <v>16878211</v>
      </c>
      <c r="K66" s="104"/>
      <c r="L66" s="600">
        <f t="shared" si="1"/>
        <v>16878211</v>
      </c>
    </row>
    <row r="67" spans="1:12" ht="48" customHeight="1">
      <c r="A67" s="35" t="s">
        <v>2078</v>
      </c>
      <c r="B67" s="35" t="s">
        <v>289</v>
      </c>
      <c r="C67" s="35" t="s">
        <v>297</v>
      </c>
      <c r="D67" s="35" t="s">
        <v>297</v>
      </c>
      <c r="E67" s="35" t="s">
        <v>2674</v>
      </c>
      <c r="F67" s="35" t="s">
        <v>291</v>
      </c>
      <c r="G67" s="37" t="s">
        <v>3025</v>
      </c>
      <c r="H67" s="37" t="s">
        <v>300</v>
      </c>
      <c r="I67" s="39" t="s">
        <v>2222</v>
      </c>
      <c r="J67" s="104">
        <v>2166960</v>
      </c>
      <c r="K67" s="104"/>
      <c r="L67" s="600">
        <f t="shared" si="1"/>
        <v>2166960</v>
      </c>
    </row>
    <row r="68" spans="1:12" ht="35.4" customHeight="1">
      <c r="A68" s="35" t="s">
        <v>2078</v>
      </c>
      <c r="B68" s="35" t="s">
        <v>289</v>
      </c>
      <c r="C68" s="35" t="s">
        <v>297</v>
      </c>
      <c r="D68" s="35" t="s">
        <v>297</v>
      </c>
      <c r="E68" s="35" t="s">
        <v>2674</v>
      </c>
      <c r="F68" s="35" t="s">
        <v>291</v>
      </c>
      <c r="G68" s="37" t="s">
        <v>3248</v>
      </c>
      <c r="H68" s="37" t="s">
        <v>300</v>
      </c>
      <c r="I68" s="773" t="s">
        <v>3249</v>
      </c>
      <c r="J68" s="104"/>
      <c r="K68" s="104">
        <v>216475</v>
      </c>
      <c r="L68" s="600">
        <f t="shared" si="1"/>
        <v>216475</v>
      </c>
    </row>
    <row r="69" spans="1:12" ht="48" customHeight="1">
      <c r="A69" s="35" t="s">
        <v>2077</v>
      </c>
      <c r="B69" s="35" t="s">
        <v>289</v>
      </c>
      <c r="C69" s="35" t="s">
        <v>297</v>
      </c>
      <c r="D69" s="35" t="s">
        <v>297</v>
      </c>
      <c r="E69" s="35" t="s">
        <v>2674</v>
      </c>
      <c r="F69" s="35" t="s">
        <v>291</v>
      </c>
      <c r="G69" s="37" t="s">
        <v>3084</v>
      </c>
      <c r="H69" s="37" t="s">
        <v>300</v>
      </c>
      <c r="I69" s="39" t="s">
        <v>3085</v>
      </c>
      <c r="J69" s="104">
        <v>14467878</v>
      </c>
      <c r="K69" s="104"/>
      <c r="L69" s="600">
        <f t="shared" si="1"/>
        <v>14467878</v>
      </c>
    </row>
    <row r="70" spans="1:12" ht="66" customHeight="1">
      <c r="A70" s="35" t="s">
        <v>2080</v>
      </c>
      <c r="B70" s="35" t="s">
        <v>289</v>
      </c>
      <c r="C70" s="35" t="s">
        <v>297</v>
      </c>
      <c r="D70" s="35" t="s">
        <v>297</v>
      </c>
      <c r="E70" s="35" t="s">
        <v>2674</v>
      </c>
      <c r="F70" s="35" t="s">
        <v>291</v>
      </c>
      <c r="G70" s="37" t="s">
        <v>3026</v>
      </c>
      <c r="H70" s="37" t="s">
        <v>300</v>
      </c>
      <c r="I70" s="180" t="s">
        <v>2224</v>
      </c>
      <c r="J70" s="104">
        <v>805430</v>
      </c>
      <c r="K70" s="104"/>
      <c r="L70" s="600">
        <f t="shared" si="1"/>
        <v>805430</v>
      </c>
    </row>
    <row r="71" spans="1:12" ht="48" hidden="1" customHeight="1">
      <c r="A71" s="35" t="s">
        <v>1149</v>
      </c>
      <c r="B71" s="35" t="s">
        <v>289</v>
      </c>
      <c r="C71" s="35" t="s">
        <v>297</v>
      </c>
      <c r="D71" s="35" t="s">
        <v>297</v>
      </c>
      <c r="E71" s="35" t="s">
        <v>2674</v>
      </c>
      <c r="F71" s="35" t="s">
        <v>291</v>
      </c>
      <c r="G71" s="37" t="s">
        <v>3027</v>
      </c>
      <c r="H71" s="37" t="s">
        <v>300</v>
      </c>
      <c r="I71" s="3" t="s">
        <v>2223</v>
      </c>
      <c r="J71" s="104">
        <v>0</v>
      </c>
      <c r="K71" s="104"/>
      <c r="L71" s="600">
        <f t="shared" si="1"/>
        <v>0</v>
      </c>
    </row>
    <row r="72" spans="1:12" ht="48" customHeight="1">
      <c r="A72" s="35" t="s">
        <v>2080</v>
      </c>
      <c r="B72" s="35" t="s">
        <v>289</v>
      </c>
      <c r="C72" s="35" t="s">
        <v>297</v>
      </c>
      <c r="D72" s="35" t="s">
        <v>297</v>
      </c>
      <c r="E72" s="35" t="s">
        <v>2674</v>
      </c>
      <c r="F72" s="35" t="s">
        <v>291</v>
      </c>
      <c r="G72" s="37" t="s">
        <v>3174</v>
      </c>
      <c r="H72" s="37" t="s">
        <v>300</v>
      </c>
      <c r="I72" s="3" t="s">
        <v>3175</v>
      </c>
      <c r="J72" s="104">
        <v>10616156</v>
      </c>
      <c r="K72" s="104"/>
      <c r="L72" s="600">
        <f t="shared" si="1"/>
        <v>10616156</v>
      </c>
    </row>
    <row r="73" spans="1:12" ht="82.95" customHeight="1">
      <c r="A73" s="35" t="s">
        <v>2080</v>
      </c>
      <c r="B73" s="35" t="s">
        <v>289</v>
      </c>
      <c r="C73" s="35" t="s">
        <v>297</v>
      </c>
      <c r="D73" s="35" t="s">
        <v>297</v>
      </c>
      <c r="E73" s="35" t="s">
        <v>2674</v>
      </c>
      <c r="F73" s="35" t="s">
        <v>291</v>
      </c>
      <c r="G73" s="37" t="s">
        <v>3028</v>
      </c>
      <c r="H73" s="37" t="s">
        <v>300</v>
      </c>
      <c r="I73" s="180" t="s">
        <v>2225</v>
      </c>
      <c r="J73" s="104">
        <v>120643</v>
      </c>
      <c r="K73" s="104"/>
      <c r="L73" s="600">
        <f t="shared" si="1"/>
        <v>120643</v>
      </c>
    </row>
    <row r="74" spans="1:12" ht="51.6" customHeight="1">
      <c r="A74" s="35" t="s">
        <v>1149</v>
      </c>
      <c r="B74" s="35" t="s">
        <v>289</v>
      </c>
      <c r="C74" s="35" t="s">
        <v>297</v>
      </c>
      <c r="D74" s="35" t="s">
        <v>297</v>
      </c>
      <c r="E74" s="35" t="s">
        <v>2674</v>
      </c>
      <c r="F74" s="35" t="s">
        <v>291</v>
      </c>
      <c r="G74" s="37" t="s">
        <v>3081</v>
      </c>
      <c r="H74" s="37" t="s">
        <v>300</v>
      </c>
      <c r="I74" s="180" t="s">
        <v>3082</v>
      </c>
      <c r="J74" s="104">
        <v>1696999.72</v>
      </c>
      <c r="K74" s="104"/>
      <c r="L74" s="600">
        <f t="shared" si="1"/>
        <v>1696999.72</v>
      </c>
    </row>
    <row r="75" spans="1:12" ht="39" customHeight="1">
      <c r="A75" s="35" t="s">
        <v>2077</v>
      </c>
      <c r="B75" s="35" t="s">
        <v>289</v>
      </c>
      <c r="C75" s="35" t="s">
        <v>297</v>
      </c>
      <c r="D75" s="35" t="s">
        <v>297</v>
      </c>
      <c r="E75" s="35" t="s">
        <v>2674</v>
      </c>
      <c r="F75" s="35" t="s">
        <v>291</v>
      </c>
      <c r="G75" s="37" t="s">
        <v>3185</v>
      </c>
      <c r="H75" s="37" t="s">
        <v>300</v>
      </c>
      <c r="I75" s="180" t="s">
        <v>3186</v>
      </c>
      <c r="J75" s="104">
        <v>16017900</v>
      </c>
      <c r="K75" s="104">
        <v>360000</v>
      </c>
      <c r="L75" s="600">
        <f t="shared" si="1"/>
        <v>16377900</v>
      </c>
    </row>
    <row r="76" spans="1:12" ht="51.6" customHeight="1">
      <c r="A76" s="35" t="s">
        <v>2077</v>
      </c>
      <c r="B76" s="35" t="s">
        <v>289</v>
      </c>
      <c r="C76" s="35" t="s">
        <v>297</v>
      </c>
      <c r="D76" s="35" t="s">
        <v>297</v>
      </c>
      <c r="E76" s="35" t="s">
        <v>2674</v>
      </c>
      <c r="F76" s="35" t="s">
        <v>291</v>
      </c>
      <c r="G76" s="37" t="s">
        <v>3253</v>
      </c>
      <c r="H76" s="37" t="s">
        <v>300</v>
      </c>
      <c r="I76" s="773" t="s">
        <v>3221</v>
      </c>
      <c r="J76" s="104"/>
      <c r="K76" s="104">
        <v>8809000</v>
      </c>
      <c r="L76" s="600">
        <f t="shared" si="1"/>
        <v>8809000</v>
      </c>
    </row>
    <row r="77" spans="1:12" s="4" customFormat="1" ht="46.8">
      <c r="A77" s="34" t="s">
        <v>96</v>
      </c>
      <c r="B77" s="34" t="s">
        <v>289</v>
      </c>
      <c r="C77" s="34" t="s">
        <v>297</v>
      </c>
      <c r="D77" s="34" t="s">
        <v>2238</v>
      </c>
      <c r="E77" s="34" t="s">
        <v>96</v>
      </c>
      <c r="F77" s="34" t="s">
        <v>98</v>
      </c>
      <c r="G77" s="36" t="s">
        <v>100</v>
      </c>
      <c r="H77" s="36" t="s">
        <v>300</v>
      </c>
      <c r="I77" s="57" t="s">
        <v>336</v>
      </c>
      <c r="J77" s="106">
        <v>807631463</v>
      </c>
      <c r="K77" s="106">
        <f>SUM(K78:K116)</f>
        <v>22330998</v>
      </c>
      <c r="L77" s="379">
        <f t="shared" si="1"/>
        <v>829962461</v>
      </c>
    </row>
    <row r="78" spans="1:12" s="4" customFormat="1" ht="62.4">
      <c r="A78" s="35" t="s">
        <v>2082</v>
      </c>
      <c r="B78" s="35" t="s">
        <v>289</v>
      </c>
      <c r="C78" s="35" t="s">
        <v>297</v>
      </c>
      <c r="D78" s="35" t="s">
        <v>2238</v>
      </c>
      <c r="E78" s="35" t="s">
        <v>2669</v>
      </c>
      <c r="F78" s="35" t="s">
        <v>291</v>
      </c>
      <c r="G78" s="37" t="s">
        <v>100</v>
      </c>
      <c r="H78" s="37" t="s">
        <v>300</v>
      </c>
      <c r="I78" s="8" t="s">
        <v>2233</v>
      </c>
      <c r="J78" s="104">
        <v>35994000</v>
      </c>
      <c r="K78" s="104"/>
      <c r="L78" s="600">
        <f t="shared" si="1"/>
        <v>35994000</v>
      </c>
    </row>
    <row r="79" spans="1:12" s="4" customFormat="1" ht="54.75" customHeight="1">
      <c r="A79" s="35" t="s">
        <v>2081</v>
      </c>
      <c r="B79" s="35" t="s">
        <v>289</v>
      </c>
      <c r="C79" s="35" t="s">
        <v>297</v>
      </c>
      <c r="D79" s="35" t="s">
        <v>2238</v>
      </c>
      <c r="E79" s="35" t="s">
        <v>2670</v>
      </c>
      <c r="F79" s="35" t="s">
        <v>291</v>
      </c>
      <c r="G79" s="37" t="s">
        <v>100</v>
      </c>
      <c r="H79" s="37" t="s">
        <v>300</v>
      </c>
      <c r="I79" s="8" t="s">
        <v>3053</v>
      </c>
      <c r="J79" s="104">
        <v>2250714</v>
      </c>
      <c r="K79" s="104">
        <v>113905</v>
      </c>
      <c r="L79" s="600">
        <f t="shared" si="1"/>
        <v>2364619</v>
      </c>
    </row>
    <row r="80" spans="1:12" s="4" customFormat="1" ht="99.75" customHeight="1">
      <c r="A80" s="35" t="s">
        <v>2082</v>
      </c>
      <c r="B80" s="35" t="s">
        <v>289</v>
      </c>
      <c r="C80" s="35" t="s">
        <v>297</v>
      </c>
      <c r="D80" s="35" t="s">
        <v>2238</v>
      </c>
      <c r="E80" s="35" t="s">
        <v>2675</v>
      </c>
      <c r="F80" s="35" t="s">
        <v>291</v>
      </c>
      <c r="G80" s="37" t="s">
        <v>100</v>
      </c>
      <c r="H80" s="37" t="s">
        <v>300</v>
      </c>
      <c r="I80" s="8" t="s">
        <v>3055</v>
      </c>
      <c r="J80" s="417">
        <v>4818996</v>
      </c>
      <c r="K80" s="417">
        <v>3089</v>
      </c>
      <c r="L80" s="600">
        <f t="shared" si="1"/>
        <v>4822085</v>
      </c>
    </row>
    <row r="81" spans="1:12" s="4" customFormat="1" ht="82.2" customHeight="1">
      <c r="A81" s="35" t="s">
        <v>2081</v>
      </c>
      <c r="B81" s="35" t="s">
        <v>289</v>
      </c>
      <c r="C81" s="35" t="s">
        <v>297</v>
      </c>
      <c r="D81" s="35" t="s">
        <v>2238</v>
      </c>
      <c r="E81" s="35" t="s">
        <v>2676</v>
      </c>
      <c r="F81" s="35" t="s">
        <v>291</v>
      </c>
      <c r="G81" s="37" t="s">
        <v>100</v>
      </c>
      <c r="H81" s="37" t="s">
        <v>300</v>
      </c>
      <c r="I81" s="8" t="s">
        <v>3054</v>
      </c>
      <c r="J81" s="417">
        <v>32650</v>
      </c>
      <c r="K81" s="417"/>
      <c r="L81" s="600">
        <f t="shared" si="1"/>
        <v>32650</v>
      </c>
    </row>
    <row r="82" spans="1:12" s="4" customFormat="1" ht="46.8">
      <c r="A82" s="35" t="s">
        <v>1149</v>
      </c>
      <c r="B82" s="35" t="s">
        <v>289</v>
      </c>
      <c r="C82" s="35" t="s">
        <v>297</v>
      </c>
      <c r="D82" s="35" t="s">
        <v>2238</v>
      </c>
      <c r="E82" s="35" t="s">
        <v>2677</v>
      </c>
      <c r="F82" s="35" t="s">
        <v>291</v>
      </c>
      <c r="G82" s="37" t="s">
        <v>100</v>
      </c>
      <c r="H82" s="37" t="s">
        <v>300</v>
      </c>
      <c r="I82" s="8" t="s">
        <v>1050</v>
      </c>
      <c r="J82" s="417">
        <v>682902</v>
      </c>
      <c r="K82" s="417"/>
      <c r="L82" s="600">
        <f t="shared" si="1"/>
        <v>682902</v>
      </c>
    </row>
    <row r="83" spans="1:12" s="4" customFormat="1" ht="79.5" customHeight="1">
      <c r="A83" s="35" t="s">
        <v>2080</v>
      </c>
      <c r="B83" s="35" t="s">
        <v>289</v>
      </c>
      <c r="C83" s="35" t="s">
        <v>297</v>
      </c>
      <c r="D83" s="35" t="s">
        <v>2238</v>
      </c>
      <c r="E83" s="35" t="s">
        <v>2678</v>
      </c>
      <c r="F83" s="35" t="s">
        <v>291</v>
      </c>
      <c r="G83" s="37" t="s">
        <v>100</v>
      </c>
      <c r="H83" s="37" t="s">
        <v>300</v>
      </c>
      <c r="I83" s="8" t="s">
        <v>2227</v>
      </c>
      <c r="J83" s="104">
        <v>123884</v>
      </c>
      <c r="K83" s="104">
        <v>85692</v>
      </c>
      <c r="L83" s="600">
        <f t="shared" si="1"/>
        <v>209576</v>
      </c>
    </row>
    <row r="84" spans="1:12" s="4" customFormat="1" ht="46.8">
      <c r="A84" s="35" t="s">
        <v>2082</v>
      </c>
      <c r="B84" s="35" t="s">
        <v>289</v>
      </c>
      <c r="C84" s="35" t="s">
        <v>297</v>
      </c>
      <c r="D84" s="35" t="s">
        <v>2238</v>
      </c>
      <c r="E84" s="35" t="s">
        <v>2679</v>
      </c>
      <c r="F84" s="35" t="s">
        <v>291</v>
      </c>
      <c r="G84" s="37" t="s">
        <v>100</v>
      </c>
      <c r="H84" s="37" t="s">
        <v>300</v>
      </c>
      <c r="I84" s="8" t="s">
        <v>463</v>
      </c>
      <c r="J84" s="104">
        <v>18261000</v>
      </c>
      <c r="K84" s="104"/>
      <c r="L84" s="600">
        <f t="shared" si="1"/>
        <v>18261000</v>
      </c>
    </row>
    <row r="85" spans="1:12" s="4" customFormat="1" ht="67.5" hidden="1" customHeight="1">
      <c r="A85" s="434"/>
      <c r="B85" s="434"/>
      <c r="C85" s="434"/>
      <c r="D85" s="434"/>
      <c r="E85" s="434"/>
      <c r="F85" s="434"/>
      <c r="G85" s="435"/>
      <c r="H85" s="435"/>
      <c r="I85" s="427"/>
      <c r="J85" s="104">
        <v>0</v>
      </c>
      <c r="K85" s="104"/>
      <c r="L85" s="600">
        <f t="shared" si="1"/>
        <v>0</v>
      </c>
    </row>
    <row r="86" spans="1:12" s="4" customFormat="1" ht="70.95" customHeight="1">
      <c r="A86" s="35" t="s">
        <v>2077</v>
      </c>
      <c r="B86" s="35" t="s">
        <v>289</v>
      </c>
      <c r="C86" s="35" t="s">
        <v>297</v>
      </c>
      <c r="D86" s="35" t="s">
        <v>2238</v>
      </c>
      <c r="E86" s="35" t="s">
        <v>2680</v>
      </c>
      <c r="F86" s="35" t="s">
        <v>291</v>
      </c>
      <c r="G86" s="37" t="s">
        <v>3031</v>
      </c>
      <c r="H86" s="37" t="s">
        <v>300</v>
      </c>
      <c r="I86" s="181" t="s">
        <v>524</v>
      </c>
      <c r="J86" s="104">
        <v>42478</v>
      </c>
      <c r="K86" s="104"/>
      <c r="L86" s="600">
        <f t="shared" si="1"/>
        <v>42478</v>
      </c>
    </row>
    <row r="87" spans="1:12" s="4" customFormat="1" ht="62.4">
      <c r="A87" s="35" t="s">
        <v>2077</v>
      </c>
      <c r="B87" s="35" t="s">
        <v>289</v>
      </c>
      <c r="C87" s="35" t="s">
        <v>297</v>
      </c>
      <c r="D87" s="35" t="s">
        <v>2238</v>
      </c>
      <c r="E87" s="35" t="s">
        <v>2680</v>
      </c>
      <c r="F87" s="35" t="s">
        <v>291</v>
      </c>
      <c r="G87" s="37" t="s">
        <v>3032</v>
      </c>
      <c r="H87" s="37" t="s">
        <v>300</v>
      </c>
      <c r="I87" s="182" t="s">
        <v>2656</v>
      </c>
      <c r="J87" s="104">
        <v>195464</v>
      </c>
      <c r="K87" s="104"/>
      <c r="L87" s="600">
        <f t="shared" si="1"/>
        <v>195464</v>
      </c>
    </row>
    <row r="88" spans="1:12" s="4" customFormat="1" ht="83.4" customHeight="1">
      <c r="A88" s="35" t="s">
        <v>2082</v>
      </c>
      <c r="B88" s="35" t="s">
        <v>289</v>
      </c>
      <c r="C88" s="35" t="s">
        <v>297</v>
      </c>
      <c r="D88" s="35" t="s">
        <v>2238</v>
      </c>
      <c r="E88" s="35" t="s">
        <v>2680</v>
      </c>
      <c r="F88" s="35" t="s">
        <v>291</v>
      </c>
      <c r="G88" s="37" t="s">
        <v>3033</v>
      </c>
      <c r="H88" s="37" t="s">
        <v>300</v>
      </c>
      <c r="I88" s="8" t="s">
        <v>887</v>
      </c>
      <c r="J88" s="104">
        <v>40000000</v>
      </c>
      <c r="K88" s="104">
        <v>13600000</v>
      </c>
      <c r="L88" s="600">
        <f t="shared" si="1"/>
        <v>53600000</v>
      </c>
    </row>
    <row r="89" spans="1:12" s="4" customFormat="1" ht="99.75" customHeight="1">
      <c r="A89" s="35" t="s">
        <v>2080</v>
      </c>
      <c r="B89" s="35" t="s">
        <v>289</v>
      </c>
      <c r="C89" s="35" t="s">
        <v>297</v>
      </c>
      <c r="D89" s="35" t="s">
        <v>2238</v>
      </c>
      <c r="E89" s="35" t="s">
        <v>2680</v>
      </c>
      <c r="F89" s="35" t="s">
        <v>291</v>
      </c>
      <c r="G89" s="37" t="s">
        <v>3049</v>
      </c>
      <c r="H89" s="37" t="s">
        <v>300</v>
      </c>
      <c r="I89" s="8" t="s">
        <v>2653</v>
      </c>
      <c r="J89" s="104">
        <v>4407000</v>
      </c>
      <c r="K89" s="104"/>
      <c r="L89" s="600">
        <f t="shared" ref="L89:L105" si="13">SUM(J89:K89)</f>
        <v>4407000</v>
      </c>
    </row>
    <row r="90" spans="1:12" s="4" customFormat="1" ht="52.95" customHeight="1">
      <c r="A90" s="35" t="s">
        <v>2080</v>
      </c>
      <c r="B90" s="35" t="s">
        <v>289</v>
      </c>
      <c r="C90" s="35" t="s">
        <v>297</v>
      </c>
      <c r="D90" s="35" t="s">
        <v>2238</v>
      </c>
      <c r="E90" s="35" t="s">
        <v>2680</v>
      </c>
      <c r="F90" s="35" t="s">
        <v>291</v>
      </c>
      <c r="G90" s="37" t="s">
        <v>3047</v>
      </c>
      <c r="H90" s="37" t="s">
        <v>300</v>
      </c>
      <c r="I90" s="8" t="s">
        <v>2654</v>
      </c>
      <c r="J90" s="104">
        <v>980000</v>
      </c>
      <c r="K90" s="104"/>
      <c r="L90" s="600">
        <f t="shared" si="13"/>
        <v>980000</v>
      </c>
    </row>
    <row r="91" spans="1:12" s="4" customFormat="1" ht="83.25" customHeight="1">
      <c r="A91" s="35" t="s">
        <v>2080</v>
      </c>
      <c r="B91" s="35" t="s">
        <v>289</v>
      </c>
      <c r="C91" s="35" t="s">
        <v>297</v>
      </c>
      <c r="D91" s="35" t="s">
        <v>2238</v>
      </c>
      <c r="E91" s="35" t="s">
        <v>2680</v>
      </c>
      <c r="F91" s="35" t="s">
        <v>291</v>
      </c>
      <c r="G91" s="37" t="s">
        <v>3043</v>
      </c>
      <c r="H91" s="37" t="s">
        <v>300</v>
      </c>
      <c r="I91" s="8" t="s">
        <v>2466</v>
      </c>
      <c r="J91" s="104">
        <v>1902700</v>
      </c>
      <c r="K91" s="104"/>
      <c r="L91" s="600">
        <f t="shared" si="13"/>
        <v>1902700</v>
      </c>
    </row>
    <row r="92" spans="1:12" s="4" customFormat="1" ht="97.5" customHeight="1">
      <c r="A92" s="35" t="s">
        <v>2080</v>
      </c>
      <c r="B92" s="35" t="s">
        <v>289</v>
      </c>
      <c r="C92" s="35" t="s">
        <v>297</v>
      </c>
      <c r="D92" s="35" t="s">
        <v>2238</v>
      </c>
      <c r="E92" s="35" t="s">
        <v>2680</v>
      </c>
      <c r="F92" s="35" t="s">
        <v>291</v>
      </c>
      <c r="G92" s="37" t="s">
        <v>3045</v>
      </c>
      <c r="H92" s="37" t="s">
        <v>300</v>
      </c>
      <c r="I92" s="8" t="s">
        <v>2471</v>
      </c>
      <c r="J92" s="104">
        <v>10593925</v>
      </c>
      <c r="K92" s="104">
        <v>3259269</v>
      </c>
      <c r="L92" s="600">
        <f t="shared" si="13"/>
        <v>13853194</v>
      </c>
    </row>
    <row r="93" spans="1:12" s="4" customFormat="1" ht="36" customHeight="1">
      <c r="A93" s="35" t="s">
        <v>2080</v>
      </c>
      <c r="B93" s="35" t="s">
        <v>289</v>
      </c>
      <c r="C93" s="35" t="s">
        <v>297</v>
      </c>
      <c r="D93" s="35" t="s">
        <v>2238</v>
      </c>
      <c r="E93" s="35" t="s">
        <v>2680</v>
      </c>
      <c r="F93" s="35" t="s">
        <v>291</v>
      </c>
      <c r="G93" s="37" t="s">
        <v>3042</v>
      </c>
      <c r="H93" s="37" t="s">
        <v>300</v>
      </c>
      <c r="I93" s="8" t="s">
        <v>237</v>
      </c>
      <c r="J93" s="104">
        <v>1844836</v>
      </c>
      <c r="K93" s="104"/>
      <c r="L93" s="600">
        <f t="shared" si="13"/>
        <v>1844836</v>
      </c>
    </row>
    <row r="94" spans="1:12" s="4" customFormat="1" ht="51.75" customHeight="1">
      <c r="A94" s="35" t="s">
        <v>2080</v>
      </c>
      <c r="B94" s="35" t="s">
        <v>289</v>
      </c>
      <c r="C94" s="35" t="s">
        <v>297</v>
      </c>
      <c r="D94" s="35" t="s">
        <v>2238</v>
      </c>
      <c r="E94" s="35" t="s">
        <v>2680</v>
      </c>
      <c r="F94" s="35" t="s">
        <v>291</v>
      </c>
      <c r="G94" s="37" t="s">
        <v>3044</v>
      </c>
      <c r="H94" s="37" t="s">
        <v>300</v>
      </c>
      <c r="I94" s="8" t="s">
        <v>2467</v>
      </c>
      <c r="J94" s="104">
        <v>180568500</v>
      </c>
      <c r="K94" s="104"/>
      <c r="L94" s="600">
        <f t="shared" si="13"/>
        <v>180568500</v>
      </c>
    </row>
    <row r="95" spans="1:12" s="4" customFormat="1" ht="51.75" customHeight="1">
      <c r="A95" s="35" t="s">
        <v>2080</v>
      </c>
      <c r="B95" s="35" t="s">
        <v>289</v>
      </c>
      <c r="C95" s="35" t="s">
        <v>297</v>
      </c>
      <c r="D95" s="35" t="s">
        <v>2238</v>
      </c>
      <c r="E95" s="35" t="s">
        <v>2680</v>
      </c>
      <c r="F95" s="35" t="s">
        <v>291</v>
      </c>
      <c r="G95" s="37" t="s">
        <v>3029</v>
      </c>
      <c r="H95" s="37" t="s">
        <v>300</v>
      </c>
      <c r="I95" s="8" t="s">
        <v>2528</v>
      </c>
      <c r="J95" s="82">
        <v>255086100</v>
      </c>
      <c r="K95" s="82"/>
      <c r="L95" s="600">
        <f t="shared" si="13"/>
        <v>255086100</v>
      </c>
    </row>
    <row r="96" spans="1:12" s="4" customFormat="1" ht="39" customHeight="1">
      <c r="A96" s="35" t="s">
        <v>2080</v>
      </c>
      <c r="B96" s="35" t="s">
        <v>289</v>
      </c>
      <c r="C96" s="35" t="s">
        <v>297</v>
      </c>
      <c r="D96" s="35" t="s">
        <v>2238</v>
      </c>
      <c r="E96" s="35" t="s">
        <v>2680</v>
      </c>
      <c r="F96" s="35" t="s">
        <v>291</v>
      </c>
      <c r="G96" s="37" t="s">
        <v>3030</v>
      </c>
      <c r="H96" s="37" t="s">
        <v>300</v>
      </c>
      <c r="I96" s="8" t="s">
        <v>2649</v>
      </c>
      <c r="J96" s="104">
        <v>13620000</v>
      </c>
      <c r="K96" s="104">
        <v>6239800</v>
      </c>
      <c r="L96" s="600">
        <f t="shared" si="13"/>
        <v>19859800</v>
      </c>
    </row>
    <row r="97" spans="1:12" s="4" customFormat="1" ht="63" customHeight="1">
      <c r="A97" s="35" t="s">
        <v>2080</v>
      </c>
      <c r="B97" s="35" t="s">
        <v>289</v>
      </c>
      <c r="C97" s="35" t="s">
        <v>297</v>
      </c>
      <c r="D97" s="35" t="s">
        <v>2238</v>
      </c>
      <c r="E97" s="35" t="s">
        <v>2680</v>
      </c>
      <c r="F97" s="35" t="s">
        <v>291</v>
      </c>
      <c r="G97" s="37" t="s">
        <v>3048</v>
      </c>
      <c r="H97" s="37" t="s">
        <v>300</v>
      </c>
      <c r="I97" s="8" t="s">
        <v>1635</v>
      </c>
      <c r="J97" s="104">
        <v>23943268</v>
      </c>
      <c r="K97" s="104">
        <v>-753257</v>
      </c>
      <c r="L97" s="600">
        <f t="shared" si="13"/>
        <v>23190011</v>
      </c>
    </row>
    <row r="98" spans="1:12" s="4" customFormat="1" ht="23.25" customHeight="1">
      <c r="A98" s="35" t="s">
        <v>2082</v>
      </c>
      <c r="B98" s="35" t="s">
        <v>289</v>
      </c>
      <c r="C98" s="35" t="s">
        <v>297</v>
      </c>
      <c r="D98" s="35" t="s">
        <v>2238</v>
      </c>
      <c r="E98" s="35" t="s">
        <v>2680</v>
      </c>
      <c r="F98" s="35" t="s">
        <v>291</v>
      </c>
      <c r="G98" s="37" t="s">
        <v>3038</v>
      </c>
      <c r="H98" s="37" t="s">
        <v>300</v>
      </c>
      <c r="I98" s="8" t="s">
        <v>353</v>
      </c>
      <c r="J98" s="104">
        <v>19500000</v>
      </c>
      <c r="K98" s="104"/>
      <c r="L98" s="600">
        <f t="shared" si="13"/>
        <v>19500000</v>
      </c>
    </row>
    <row r="99" spans="1:12" s="4" customFormat="1" ht="114.75" customHeight="1">
      <c r="A99" s="35" t="s">
        <v>2082</v>
      </c>
      <c r="B99" s="35" t="s">
        <v>289</v>
      </c>
      <c r="C99" s="35" t="s">
        <v>297</v>
      </c>
      <c r="D99" s="35" t="s">
        <v>2238</v>
      </c>
      <c r="E99" s="35" t="s">
        <v>2680</v>
      </c>
      <c r="F99" s="35" t="s">
        <v>291</v>
      </c>
      <c r="G99" s="37" t="s">
        <v>3046</v>
      </c>
      <c r="H99" s="37" t="s">
        <v>300</v>
      </c>
      <c r="I99" s="8" t="s">
        <v>2083</v>
      </c>
      <c r="J99" s="104">
        <v>44976965</v>
      </c>
      <c r="K99" s="104"/>
      <c r="L99" s="600">
        <f t="shared" si="13"/>
        <v>44976965</v>
      </c>
    </row>
    <row r="100" spans="1:12" s="4" customFormat="1" ht="33" customHeight="1">
      <c r="A100" s="35" t="s">
        <v>2082</v>
      </c>
      <c r="B100" s="35" t="s">
        <v>289</v>
      </c>
      <c r="C100" s="35" t="s">
        <v>297</v>
      </c>
      <c r="D100" s="35" t="s">
        <v>2238</v>
      </c>
      <c r="E100" s="35" t="s">
        <v>2680</v>
      </c>
      <c r="F100" s="35" t="s">
        <v>291</v>
      </c>
      <c r="G100" s="37" t="s">
        <v>3039</v>
      </c>
      <c r="H100" s="37" t="s">
        <v>300</v>
      </c>
      <c r="I100" s="8" t="s">
        <v>307</v>
      </c>
      <c r="J100" s="104">
        <v>4204534</v>
      </c>
      <c r="K100" s="104"/>
      <c r="L100" s="600">
        <f t="shared" si="13"/>
        <v>4204534</v>
      </c>
    </row>
    <row r="101" spans="1:12" s="4" customFormat="1" ht="48.75" customHeight="1">
      <c r="A101" s="35" t="s">
        <v>2082</v>
      </c>
      <c r="B101" s="35" t="s">
        <v>289</v>
      </c>
      <c r="C101" s="35" t="s">
        <v>297</v>
      </c>
      <c r="D101" s="35" t="s">
        <v>2238</v>
      </c>
      <c r="E101" s="35" t="s">
        <v>2680</v>
      </c>
      <c r="F101" s="35" t="s">
        <v>291</v>
      </c>
      <c r="G101" s="37" t="s">
        <v>3040</v>
      </c>
      <c r="H101" s="37" t="s">
        <v>300</v>
      </c>
      <c r="I101" s="8" t="s">
        <v>1110</v>
      </c>
      <c r="J101" s="104">
        <v>34900000</v>
      </c>
      <c r="K101" s="104"/>
      <c r="L101" s="600">
        <f t="shared" si="13"/>
        <v>34900000</v>
      </c>
    </row>
    <row r="102" spans="1:12" s="4" customFormat="1" ht="84" customHeight="1">
      <c r="A102" s="35" t="s">
        <v>2082</v>
      </c>
      <c r="B102" s="35" t="s">
        <v>289</v>
      </c>
      <c r="C102" s="35" t="s">
        <v>297</v>
      </c>
      <c r="D102" s="35" t="s">
        <v>2238</v>
      </c>
      <c r="E102" s="35" t="s">
        <v>2680</v>
      </c>
      <c r="F102" s="35" t="s">
        <v>291</v>
      </c>
      <c r="G102" s="37" t="s">
        <v>3041</v>
      </c>
      <c r="H102" s="37" t="s">
        <v>300</v>
      </c>
      <c r="I102" s="8" t="s">
        <v>2229</v>
      </c>
      <c r="J102" s="104">
        <v>35700000</v>
      </c>
      <c r="K102" s="104"/>
      <c r="L102" s="600">
        <f t="shared" si="13"/>
        <v>35700000</v>
      </c>
    </row>
    <row r="103" spans="1:12" s="4" customFormat="1" ht="96.75" customHeight="1">
      <c r="A103" s="35" t="s">
        <v>2082</v>
      </c>
      <c r="B103" s="35" t="s">
        <v>289</v>
      </c>
      <c r="C103" s="35" t="s">
        <v>297</v>
      </c>
      <c r="D103" s="35" t="s">
        <v>2238</v>
      </c>
      <c r="E103" s="35" t="s">
        <v>2680</v>
      </c>
      <c r="F103" s="35" t="s">
        <v>291</v>
      </c>
      <c r="G103" s="37" t="s">
        <v>3052</v>
      </c>
      <c r="H103" s="37" t="s">
        <v>300</v>
      </c>
      <c r="I103" s="8" t="s">
        <v>2688</v>
      </c>
      <c r="J103" s="104">
        <v>21184000</v>
      </c>
      <c r="K103" s="104"/>
      <c r="L103" s="600">
        <f t="shared" si="13"/>
        <v>21184000</v>
      </c>
    </row>
    <row r="104" spans="1:12" s="4" customFormat="1" ht="83.25" customHeight="1">
      <c r="A104" s="35" t="s">
        <v>2081</v>
      </c>
      <c r="B104" s="35" t="s">
        <v>289</v>
      </c>
      <c r="C104" s="35" t="s">
        <v>297</v>
      </c>
      <c r="D104" s="35" t="s">
        <v>2238</v>
      </c>
      <c r="E104" s="35" t="s">
        <v>2680</v>
      </c>
      <c r="F104" s="35" t="s">
        <v>291</v>
      </c>
      <c r="G104" s="37" t="s">
        <v>3051</v>
      </c>
      <c r="H104" s="37" t="s">
        <v>300</v>
      </c>
      <c r="I104" s="8" t="s">
        <v>2657</v>
      </c>
      <c r="J104" s="104">
        <v>5100</v>
      </c>
      <c r="K104" s="104"/>
      <c r="L104" s="600">
        <f t="shared" si="13"/>
        <v>5100</v>
      </c>
    </row>
    <row r="105" spans="1:12" s="4" customFormat="1" ht="35.25" customHeight="1">
      <c r="A105" s="35" t="s">
        <v>2077</v>
      </c>
      <c r="B105" s="35" t="s">
        <v>289</v>
      </c>
      <c r="C105" s="35" t="s">
        <v>297</v>
      </c>
      <c r="D105" s="35" t="s">
        <v>2238</v>
      </c>
      <c r="E105" s="35" t="s">
        <v>2680</v>
      </c>
      <c r="F105" s="35" t="s">
        <v>291</v>
      </c>
      <c r="G105" s="37" t="s">
        <v>3050</v>
      </c>
      <c r="H105" s="37" t="s">
        <v>300</v>
      </c>
      <c r="I105" s="8" t="s">
        <v>2658</v>
      </c>
      <c r="J105" s="104">
        <v>826050</v>
      </c>
      <c r="K105" s="104"/>
      <c r="L105" s="600">
        <f t="shared" si="13"/>
        <v>826050</v>
      </c>
    </row>
    <row r="106" spans="1:12" s="4" customFormat="1" ht="46.8">
      <c r="A106" s="178">
        <v>950</v>
      </c>
      <c r="B106" s="179" t="s">
        <v>289</v>
      </c>
      <c r="C106" s="179" t="s">
        <v>297</v>
      </c>
      <c r="D106" s="179" t="s">
        <v>2238</v>
      </c>
      <c r="E106" s="179" t="s">
        <v>2680</v>
      </c>
      <c r="F106" s="179" t="s">
        <v>291</v>
      </c>
      <c r="G106" s="179" t="s">
        <v>3034</v>
      </c>
      <c r="H106" s="179" t="s">
        <v>300</v>
      </c>
      <c r="I106" s="8" t="s">
        <v>727</v>
      </c>
      <c r="J106" s="104">
        <v>2272875</v>
      </c>
      <c r="K106" s="104"/>
      <c r="L106" s="600">
        <f t="shared" si="1"/>
        <v>2272875</v>
      </c>
    </row>
    <row r="107" spans="1:12" s="4" customFormat="1" ht="46.8">
      <c r="A107" s="35" t="s">
        <v>2082</v>
      </c>
      <c r="B107" s="35" t="s">
        <v>289</v>
      </c>
      <c r="C107" s="35" t="s">
        <v>297</v>
      </c>
      <c r="D107" s="35" t="s">
        <v>2238</v>
      </c>
      <c r="E107" s="35" t="s">
        <v>2680</v>
      </c>
      <c r="F107" s="35" t="s">
        <v>291</v>
      </c>
      <c r="G107" s="37" t="s">
        <v>3035</v>
      </c>
      <c r="H107" s="37" t="s">
        <v>300</v>
      </c>
      <c r="I107" s="8" t="s">
        <v>1634</v>
      </c>
      <c r="J107" s="104">
        <v>12281100</v>
      </c>
      <c r="K107" s="104"/>
      <c r="L107" s="600">
        <f t="shared" ref="L107:L169" si="14">SUM(J107:K107)</f>
        <v>12281100</v>
      </c>
    </row>
    <row r="108" spans="1:12" s="4" customFormat="1" ht="31.2">
      <c r="A108" s="35" t="s">
        <v>2080</v>
      </c>
      <c r="B108" s="35" t="s">
        <v>289</v>
      </c>
      <c r="C108" s="35" t="s">
        <v>297</v>
      </c>
      <c r="D108" s="35" t="s">
        <v>2238</v>
      </c>
      <c r="E108" s="35" t="s">
        <v>2680</v>
      </c>
      <c r="F108" s="35" t="s">
        <v>291</v>
      </c>
      <c r="G108" s="37" t="s">
        <v>3036</v>
      </c>
      <c r="H108" s="37" t="s">
        <v>300</v>
      </c>
      <c r="I108" s="8" t="s">
        <v>1109</v>
      </c>
      <c r="J108" s="104">
        <v>3686489</v>
      </c>
      <c r="K108" s="104"/>
      <c r="L108" s="600">
        <f t="shared" si="14"/>
        <v>3686489</v>
      </c>
    </row>
    <row r="109" spans="1:12" s="4" customFormat="1" ht="48.6" customHeight="1">
      <c r="A109" s="35" t="s">
        <v>2081</v>
      </c>
      <c r="B109" s="35" t="s">
        <v>289</v>
      </c>
      <c r="C109" s="35" t="s">
        <v>297</v>
      </c>
      <c r="D109" s="35" t="s">
        <v>2238</v>
      </c>
      <c r="E109" s="35" t="s">
        <v>2680</v>
      </c>
      <c r="F109" s="35" t="s">
        <v>291</v>
      </c>
      <c r="G109" s="37" t="s">
        <v>3037</v>
      </c>
      <c r="H109" s="37" t="s">
        <v>300</v>
      </c>
      <c r="I109" s="8" t="s">
        <v>1497</v>
      </c>
      <c r="J109" s="104">
        <v>230714</v>
      </c>
      <c r="K109" s="104"/>
      <c r="L109" s="600">
        <f t="shared" si="14"/>
        <v>230714</v>
      </c>
    </row>
    <row r="110" spans="1:12" s="4" customFormat="1" ht="130.19999999999999" customHeight="1">
      <c r="A110" s="35" t="s">
        <v>2082</v>
      </c>
      <c r="B110" s="35" t="s">
        <v>289</v>
      </c>
      <c r="C110" s="35" t="s">
        <v>297</v>
      </c>
      <c r="D110" s="35" t="s">
        <v>2238</v>
      </c>
      <c r="E110" s="35" t="s">
        <v>2680</v>
      </c>
      <c r="F110" s="35" t="s">
        <v>291</v>
      </c>
      <c r="G110" s="37" t="s">
        <v>3086</v>
      </c>
      <c r="H110" s="37" t="s">
        <v>300</v>
      </c>
      <c r="I110" s="8" t="s">
        <v>3087</v>
      </c>
      <c r="J110" s="104">
        <v>1100000</v>
      </c>
      <c r="K110" s="104">
        <v>-49500</v>
      </c>
      <c r="L110" s="600">
        <f t="shared" si="14"/>
        <v>1050500</v>
      </c>
    </row>
    <row r="111" spans="1:12" s="4" customFormat="1" ht="111.6" customHeight="1">
      <c r="A111" s="35" t="s">
        <v>2082</v>
      </c>
      <c r="B111" s="35" t="s">
        <v>289</v>
      </c>
      <c r="C111" s="35" t="s">
        <v>297</v>
      </c>
      <c r="D111" s="35" t="s">
        <v>2238</v>
      </c>
      <c r="E111" s="35" t="s">
        <v>2681</v>
      </c>
      <c r="F111" s="35" t="s">
        <v>291</v>
      </c>
      <c r="G111" s="37" t="s">
        <v>100</v>
      </c>
      <c r="H111" s="37" t="s">
        <v>300</v>
      </c>
      <c r="I111" s="8" t="s">
        <v>2228</v>
      </c>
      <c r="J111" s="104">
        <v>679000</v>
      </c>
      <c r="K111" s="104">
        <v>-168000</v>
      </c>
      <c r="L111" s="600">
        <f t="shared" si="14"/>
        <v>511000</v>
      </c>
    </row>
    <row r="112" spans="1:12" s="4" customFormat="1" ht="95.4" customHeight="1">
      <c r="A112" s="35" t="s">
        <v>2082</v>
      </c>
      <c r="B112" s="35" t="s">
        <v>289</v>
      </c>
      <c r="C112" s="35" t="s">
        <v>297</v>
      </c>
      <c r="D112" s="35" t="s">
        <v>2238</v>
      </c>
      <c r="E112" s="35" t="s">
        <v>2682</v>
      </c>
      <c r="F112" s="35" t="s">
        <v>291</v>
      </c>
      <c r="G112" s="37" t="s">
        <v>100</v>
      </c>
      <c r="H112" s="37" t="s">
        <v>300</v>
      </c>
      <c r="I112" s="8" t="s">
        <v>2265</v>
      </c>
      <c r="J112" s="104">
        <v>10200000</v>
      </c>
      <c r="K112" s="104"/>
      <c r="L112" s="600">
        <f t="shared" si="14"/>
        <v>10200000</v>
      </c>
    </row>
    <row r="113" spans="1:12" s="4" customFormat="1" ht="49.2" customHeight="1">
      <c r="A113" s="532" t="s">
        <v>2081</v>
      </c>
      <c r="B113" s="532" t="s">
        <v>289</v>
      </c>
      <c r="C113" s="532" t="s">
        <v>297</v>
      </c>
      <c r="D113" s="532" t="s">
        <v>2238</v>
      </c>
      <c r="E113" s="532" t="s">
        <v>2683</v>
      </c>
      <c r="F113" s="532" t="s">
        <v>291</v>
      </c>
      <c r="G113" s="536" t="s">
        <v>100</v>
      </c>
      <c r="H113" s="536" t="s">
        <v>300</v>
      </c>
      <c r="I113" s="537" t="s">
        <v>2655</v>
      </c>
      <c r="J113" s="538">
        <v>1086219</v>
      </c>
      <c r="K113" s="538"/>
      <c r="L113" s="600">
        <f t="shared" si="14"/>
        <v>1086219</v>
      </c>
    </row>
    <row r="114" spans="1:12" s="4" customFormat="1" ht="113.4" customHeight="1">
      <c r="A114" s="35" t="s">
        <v>2082</v>
      </c>
      <c r="B114" s="35" t="s">
        <v>289</v>
      </c>
      <c r="C114" s="35" t="s">
        <v>297</v>
      </c>
      <c r="D114" s="35" t="s">
        <v>2238</v>
      </c>
      <c r="E114" s="35" t="s">
        <v>2684</v>
      </c>
      <c r="F114" s="35" t="s">
        <v>291</v>
      </c>
      <c r="G114" s="37" t="s">
        <v>100</v>
      </c>
      <c r="H114" s="37" t="s">
        <v>300</v>
      </c>
      <c r="I114" s="8" t="s">
        <v>2652</v>
      </c>
      <c r="J114" s="417">
        <v>15815000</v>
      </c>
      <c r="K114" s="417"/>
      <c r="L114" s="600">
        <f t="shared" si="14"/>
        <v>15815000</v>
      </c>
    </row>
    <row r="115" spans="1:12" s="4" customFormat="1" ht="113.4" customHeight="1">
      <c r="A115" s="35" t="s">
        <v>2082</v>
      </c>
      <c r="B115" s="35" t="s">
        <v>289</v>
      </c>
      <c r="C115" s="35" t="s">
        <v>297</v>
      </c>
      <c r="D115" s="35" t="s">
        <v>2238</v>
      </c>
      <c r="E115" s="35" t="s">
        <v>2684</v>
      </c>
      <c r="F115" s="35" t="s">
        <v>291</v>
      </c>
      <c r="G115" s="37" t="s">
        <v>100</v>
      </c>
      <c r="H115" s="37" t="s">
        <v>300</v>
      </c>
      <c r="I115" s="8" t="s">
        <v>2651</v>
      </c>
      <c r="J115" s="104">
        <v>2055000</v>
      </c>
      <c r="K115" s="104"/>
      <c r="L115" s="600">
        <f t="shared" si="14"/>
        <v>2055000</v>
      </c>
    </row>
    <row r="116" spans="1:12" s="4" customFormat="1" ht="95.4" customHeight="1">
      <c r="A116" s="35" t="s">
        <v>2082</v>
      </c>
      <c r="B116" s="35" t="s">
        <v>289</v>
      </c>
      <c r="C116" s="35" t="s">
        <v>297</v>
      </c>
      <c r="D116" s="35" t="s">
        <v>2238</v>
      </c>
      <c r="E116" s="35" t="s">
        <v>2685</v>
      </c>
      <c r="F116" s="35" t="s">
        <v>291</v>
      </c>
      <c r="G116" s="37" t="s">
        <v>100</v>
      </c>
      <c r="H116" s="37" t="s">
        <v>300</v>
      </c>
      <c r="I116" s="8" t="s">
        <v>2650</v>
      </c>
      <c r="J116" s="104">
        <v>1580000</v>
      </c>
      <c r="K116" s="104"/>
      <c r="L116" s="600">
        <f t="shared" si="14"/>
        <v>1580000</v>
      </c>
    </row>
    <row r="117" spans="1:12" s="4" customFormat="1" ht="16.2" customHeight="1">
      <c r="A117" s="34" t="s">
        <v>96</v>
      </c>
      <c r="B117" s="34" t="s">
        <v>289</v>
      </c>
      <c r="C117" s="34" t="s">
        <v>297</v>
      </c>
      <c r="D117" s="34" t="s">
        <v>2659</v>
      </c>
      <c r="E117" s="34" t="s">
        <v>96</v>
      </c>
      <c r="F117" s="34" t="s">
        <v>98</v>
      </c>
      <c r="G117" s="36" t="s">
        <v>100</v>
      </c>
      <c r="H117" s="36" t="s">
        <v>300</v>
      </c>
      <c r="I117" s="57" t="s">
        <v>337</v>
      </c>
      <c r="J117" s="106">
        <v>225020701</v>
      </c>
      <c r="K117" s="106">
        <f>SUM(K119:K168)</f>
        <v>16982564</v>
      </c>
      <c r="L117" s="379">
        <f t="shared" si="14"/>
        <v>242003265</v>
      </c>
    </row>
    <row r="118" spans="1:12" s="4" customFormat="1" ht="78.75" hidden="1" customHeight="1">
      <c r="A118" s="35" t="s">
        <v>1149</v>
      </c>
      <c r="B118" s="35" t="s">
        <v>289</v>
      </c>
      <c r="C118" s="35" t="s">
        <v>297</v>
      </c>
      <c r="D118" s="35"/>
      <c r="E118" s="35" t="s">
        <v>2484</v>
      </c>
      <c r="F118" s="35" t="s">
        <v>291</v>
      </c>
      <c r="G118" s="37" t="s">
        <v>2485</v>
      </c>
      <c r="H118" s="37" t="s">
        <v>300</v>
      </c>
      <c r="I118" s="8" t="s">
        <v>919</v>
      </c>
      <c r="J118" s="105">
        <v>0</v>
      </c>
      <c r="K118" s="105"/>
      <c r="L118" s="600">
        <f t="shared" si="14"/>
        <v>0</v>
      </c>
    </row>
    <row r="119" spans="1:12" s="4" customFormat="1" ht="100.95" customHeight="1">
      <c r="A119" s="35" t="s">
        <v>1149</v>
      </c>
      <c r="B119" s="35" t="s">
        <v>2518</v>
      </c>
      <c r="C119" s="35" t="s">
        <v>297</v>
      </c>
      <c r="D119" s="35" t="s">
        <v>2659</v>
      </c>
      <c r="E119" s="35" t="s">
        <v>2687</v>
      </c>
      <c r="F119" s="35" t="s">
        <v>291</v>
      </c>
      <c r="G119" s="37" t="s">
        <v>2542</v>
      </c>
      <c r="H119" s="37" t="s">
        <v>300</v>
      </c>
      <c r="I119" s="8" t="s">
        <v>2602</v>
      </c>
      <c r="J119" s="105">
        <v>18461947.280000001</v>
      </c>
      <c r="K119" s="105"/>
      <c r="L119" s="600">
        <f t="shared" si="14"/>
        <v>18461947.280000001</v>
      </c>
    </row>
    <row r="120" spans="1:12" s="4" customFormat="1" ht="96.6" customHeight="1">
      <c r="A120" s="35" t="s">
        <v>386</v>
      </c>
      <c r="B120" s="35" t="s">
        <v>289</v>
      </c>
      <c r="C120" s="35" t="s">
        <v>297</v>
      </c>
      <c r="D120" s="35" t="s">
        <v>2659</v>
      </c>
      <c r="E120" s="35" t="s">
        <v>2687</v>
      </c>
      <c r="F120" s="35" t="s">
        <v>291</v>
      </c>
      <c r="G120" s="37" t="s">
        <v>2587</v>
      </c>
      <c r="H120" s="37" t="s">
        <v>300</v>
      </c>
      <c r="I120" s="8" t="s">
        <v>2603</v>
      </c>
      <c r="J120" s="105">
        <v>100000</v>
      </c>
      <c r="K120" s="105"/>
      <c r="L120" s="600">
        <f t="shared" si="14"/>
        <v>100000</v>
      </c>
    </row>
    <row r="121" spans="1:12" s="4" customFormat="1" ht="65.400000000000006" customHeight="1">
      <c r="A121" s="35" t="s">
        <v>2077</v>
      </c>
      <c r="B121" s="35" t="s">
        <v>289</v>
      </c>
      <c r="C121" s="35" t="s">
        <v>297</v>
      </c>
      <c r="D121" s="35" t="s">
        <v>2659</v>
      </c>
      <c r="E121" s="35" t="s">
        <v>2687</v>
      </c>
      <c r="F121" s="35" t="s">
        <v>291</v>
      </c>
      <c r="G121" s="37" t="s">
        <v>3112</v>
      </c>
      <c r="H121" s="37" t="s">
        <v>300</v>
      </c>
      <c r="I121" s="8" t="s">
        <v>3113</v>
      </c>
      <c r="J121" s="105">
        <v>1000000</v>
      </c>
      <c r="K121" s="105">
        <v>-113000</v>
      </c>
      <c r="L121" s="600">
        <f t="shared" si="14"/>
        <v>887000</v>
      </c>
    </row>
    <row r="122" spans="1:12" s="4" customFormat="1" ht="65.25" customHeight="1">
      <c r="A122" s="35" t="s">
        <v>2077</v>
      </c>
      <c r="B122" s="35" t="s">
        <v>289</v>
      </c>
      <c r="C122" s="35" t="s">
        <v>297</v>
      </c>
      <c r="D122" s="35" t="s">
        <v>2659</v>
      </c>
      <c r="E122" s="35" t="s">
        <v>2687</v>
      </c>
      <c r="F122" s="35" t="s">
        <v>291</v>
      </c>
      <c r="G122" s="37" t="s">
        <v>3114</v>
      </c>
      <c r="H122" s="37" t="s">
        <v>300</v>
      </c>
      <c r="I122" s="8" t="s">
        <v>3115</v>
      </c>
      <c r="J122" s="105">
        <v>1631745</v>
      </c>
      <c r="K122" s="105"/>
      <c r="L122" s="600">
        <f t="shared" si="14"/>
        <v>1631745</v>
      </c>
    </row>
    <row r="123" spans="1:12" s="4" customFormat="1" ht="51.6" customHeight="1">
      <c r="A123" s="35" t="s">
        <v>2077</v>
      </c>
      <c r="B123" s="35" t="s">
        <v>289</v>
      </c>
      <c r="C123" s="35" t="s">
        <v>297</v>
      </c>
      <c r="D123" s="35" t="s">
        <v>2659</v>
      </c>
      <c r="E123" s="35" t="s">
        <v>2687</v>
      </c>
      <c r="F123" s="35" t="s">
        <v>291</v>
      </c>
      <c r="G123" s="37" t="s">
        <v>2588</v>
      </c>
      <c r="H123" s="37" t="s">
        <v>300</v>
      </c>
      <c r="I123" s="8" t="s">
        <v>2551</v>
      </c>
      <c r="J123" s="105">
        <v>692975</v>
      </c>
      <c r="K123" s="105">
        <v>2215105</v>
      </c>
      <c r="L123" s="600">
        <f t="shared" si="14"/>
        <v>2908080</v>
      </c>
    </row>
    <row r="124" spans="1:12" s="4" customFormat="1" ht="47.4" customHeight="1">
      <c r="A124" s="35" t="s">
        <v>2077</v>
      </c>
      <c r="B124" s="35" t="s">
        <v>289</v>
      </c>
      <c r="C124" s="35" t="s">
        <v>297</v>
      </c>
      <c r="D124" s="35" t="s">
        <v>2659</v>
      </c>
      <c r="E124" s="35" t="s">
        <v>2687</v>
      </c>
      <c r="F124" s="35" t="s">
        <v>291</v>
      </c>
      <c r="G124" s="37" t="s">
        <v>2472</v>
      </c>
      <c r="H124" s="37" t="s">
        <v>300</v>
      </c>
      <c r="I124" s="8" t="s">
        <v>2552</v>
      </c>
      <c r="J124" s="105">
        <v>15590000</v>
      </c>
      <c r="K124" s="105">
        <v>5072316</v>
      </c>
      <c r="L124" s="600">
        <f t="shared" si="14"/>
        <v>20662316</v>
      </c>
    </row>
    <row r="125" spans="1:12" s="4" customFormat="1" ht="67.2" customHeight="1">
      <c r="A125" s="35" t="s">
        <v>2077</v>
      </c>
      <c r="B125" s="35" t="s">
        <v>289</v>
      </c>
      <c r="C125" s="35" t="s">
        <v>297</v>
      </c>
      <c r="D125" s="35" t="s">
        <v>2659</v>
      </c>
      <c r="E125" s="35" t="s">
        <v>2687</v>
      </c>
      <c r="F125" s="35" t="s">
        <v>291</v>
      </c>
      <c r="G125" s="37" t="s">
        <v>2544</v>
      </c>
      <c r="H125" s="37" t="s">
        <v>300</v>
      </c>
      <c r="I125" s="8" t="s">
        <v>2599</v>
      </c>
      <c r="J125" s="105">
        <v>18944326</v>
      </c>
      <c r="K125" s="105">
        <v>-1142912</v>
      </c>
      <c r="L125" s="600">
        <f t="shared" si="14"/>
        <v>17801414</v>
      </c>
    </row>
    <row r="126" spans="1:12" s="4" customFormat="1" ht="61.95" customHeight="1">
      <c r="A126" s="35" t="s">
        <v>2077</v>
      </c>
      <c r="B126" s="35" t="s">
        <v>289</v>
      </c>
      <c r="C126" s="35" t="s">
        <v>297</v>
      </c>
      <c r="D126" s="35" t="s">
        <v>2659</v>
      </c>
      <c r="E126" s="35" t="s">
        <v>2687</v>
      </c>
      <c r="F126" s="35" t="s">
        <v>291</v>
      </c>
      <c r="G126" s="37" t="s">
        <v>2600</v>
      </c>
      <c r="H126" s="37" t="s">
        <v>300</v>
      </c>
      <c r="I126" s="8" t="s">
        <v>2601</v>
      </c>
      <c r="J126" s="105">
        <v>32618276</v>
      </c>
      <c r="K126" s="105">
        <v>1685824</v>
      </c>
      <c r="L126" s="600">
        <f t="shared" si="14"/>
        <v>34304100</v>
      </c>
    </row>
    <row r="127" spans="1:12" s="4" customFormat="1" ht="67.2" customHeight="1">
      <c r="A127" s="35" t="s">
        <v>2077</v>
      </c>
      <c r="B127" s="35" t="s">
        <v>289</v>
      </c>
      <c r="C127" s="35" t="s">
        <v>297</v>
      </c>
      <c r="D127" s="35" t="s">
        <v>2659</v>
      </c>
      <c r="E127" s="35" t="s">
        <v>2687</v>
      </c>
      <c r="F127" s="35" t="s">
        <v>291</v>
      </c>
      <c r="G127" s="37" t="s">
        <v>2589</v>
      </c>
      <c r="H127" s="37" t="s">
        <v>300</v>
      </c>
      <c r="I127" s="388" t="s">
        <v>2553</v>
      </c>
      <c r="J127" s="105">
        <v>1942855</v>
      </c>
      <c r="K127" s="105"/>
      <c r="L127" s="600">
        <f t="shared" si="14"/>
        <v>1942855</v>
      </c>
    </row>
    <row r="128" spans="1:12" s="4" customFormat="1" ht="51.6" customHeight="1">
      <c r="A128" s="35" t="s">
        <v>2077</v>
      </c>
      <c r="B128" s="35" t="s">
        <v>289</v>
      </c>
      <c r="C128" s="35" t="s">
        <v>297</v>
      </c>
      <c r="D128" s="35" t="s">
        <v>2659</v>
      </c>
      <c r="E128" s="35" t="s">
        <v>2687</v>
      </c>
      <c r="F128" s="35" t="s">
        <v>291</v>
      </c>
      <c r="G128" s="37" t="s">
        <v>2470</v>
      </c>
      <c r="H128" s="37" t="s">
        <v>300</v>
      </c>
      <c r="I128" s="8" t="s">
        <v>3116</v>
      </c>
      <c r="J128" s="105">
        <v>2600000</v>
      </c>
      <c r="K128" s="105"/>
      <c r="L128" s="600">
        <f t="shared" si="14"/>
        <v>2600000</v>
      </c>
    </row>
    <row r="129" spans="1:12" s="4" customFormat="1" ht="64.2" customHeight="1">
      <c r="A129" s="35" t="s">
        <v>2081</v>
      </c>
      <c r="B129" s="35" t="s">
        <v>289</v>
      </c>
      <c r="C129" s="35" t="s">
        <v>297</v>
      </c>
      <c r="D129" s="35" t="s">
        <v>2659</v>
      </c>
      <c r="E129" s="35" t="s">
        <v>2687</v>
      </c>
      <c r="F129" s="35" t="s">
        <v>291</v>
      </c>
      <c r="G129" s="37" t="s">
        <v>3088</v>
      </c>
      <c r="H129" s="37" t="s">
        <v>300</v>
      </c>
      <c r="I129" s="8" t="s">
        <v>3089</v>
      </c>
      <c r="J129" s="105">
        <v>4295456</v>
      </c>
      <c r="K129" s="105"/>
      <c r="L129" s="600">
        <f t="shared" si="14"/>
        <v>4295456</v>
      </c>
    </row>
    <row r="130" spans="1:12" s="4" customFormat="1" ht="67.2" customHeight="1">
      <c r="A130" s="35" t="s">
        <v>2081</v>
      </c>
      <c r="B130" s="35" t="s">
        <v>289</v>
      </c>
      <c r="C130" s="35" t="s">
        <v>297</v>
      </c>
      <c r="D130" s="35" t="s">
        <v>2659</v>
      </c>
      <c r="E130" s="35" t="s">
        <v>2687</v>
      </c>
      <c r="F130" s="35" t="s">
        <v>291</v>
      </c>
      <c r="G130" s="37" t="s">
        <v>3090</v>
      </c>
      <c r="H130" s="37" t="s">
        <v>300</v>
      </c>
      <c r="I130" s="8" t="s">
        <v>3091</v>
      </c>
      <c r="J130" s="105">
        <v>15125242.85</v>
      </c>
      <c r="K130" s="105">
        <v>4165086</v>
      </c>
      <c r="L130" s="600">
        <f t="shared" si="14"/>
        <v>19290328.850000001</v>
      </c>
    </row>
    <row r="131" spans="1:12" s="4" customFormat="1" ht="51.6" customHeight="1">
      <c r="A131" s="35" t="s">
        <v>2081</v>
      </c>
      <c r="B131" s="35" t="s">
        <v>289</v>
      </c>
      <c r="C131" s="35" t="s">
        <v>297</v>
      </c>
      <c r="D131" s="35" t="s">
        <v>2659</v>
      </c>
      <c r="E131" s="35" t="s">
        <v>2687</v>
      </c>
      <c r="F131" s="35" t="s">
        <v>291</v>
      </c>
      <c r="G131" s="37" t="s">
        <v>2547</v>
      </c>
      <c r="H131" s="37" t="s">
        <v>300</v>
      </c>
      <c r="I131" s="8" t="s">
        <v>2546</v>
      </c>
      <c r="J131" s="105">
        <v>3979616</v>
      </c>
      <c r="K131" s="105"/>
      <c r="L131" s="600">
        <f t="shared" si="14"/>
        <v>3979616</v>
      </c>
    </row>
    <row r="132" spans="1:12" s="4" customFormat="1" ht="66" customHeight="1">
      <c r="A132" s="35" t="s">
        <v>2077</v>
      </c>
      <c r="B132" s="35" t="s">
        <v>289</v>
      </c>
      <c r="C132" s="35" t="s">
        <v>297</v>
      </c>
      <c r="D132" s="35" t="s">
        <v>2659</v>
      </c>
      <c r="E132" s="35" t="s">
        <v>2687</v>
      </c>
      <c r="F132" s="35" t="s">
        <v>291</v>
      </c>
      <c r="G132" s="37" t="s">
        <v>2590</v>
      </c>
      <c r="H132" s="37" t="s">
        <v>300</v>
      </c>
      <c r="I132" s="8" t="s">
        <v>3117</v>
      </c>
      <c r="J132" s="105">
        <v>7173000</v>
      </c>
      <c r="K132" s="105"/>
      <c r="L132" s="600">
        <f t="shared" si="14"/>
        <v>7173000</v>
      </c>
    </row>
    <row r="133" spans="1:12" s="4" customFormat="1" ht="67.2" customHeight="1">
      <c r="A133" s="35" t="s">
        <v>2077</v>
      </c>
      <c r="B133" s="35" t="s">
        <v>289</v>
      </c>
      <c r="C133" s="35" t="s">
        <v>297</v>
      </c>
      <c r="D133" s="35" t="s">
        <v>2659</v>
      </c>
      <c r="E133" s="35" t="s">
        <v>2687</v>
      </c>
      <c r="F133" s="35" t="s">
        <v>291</v>
      </c>
      <c r="G133" s="37" t="s">
        <v>2486</v>
      </c>
      <c r="H133" s="37" t="s">
        <v>300</v>
      </c>
      <c r="I133" s="8" t="s">
        <v>3118</v>
      </c>
      <c r="J133" s="105">
        <v>710000</v>
      </c>
      <c r="K133" s="105">
        <v>-200000</v>
      </c>
      <c r="L133" s="600">
        <f t="shared" si="14"/>
        <v>510000</v>
      </c>
    </row>
    <row r="134" spans="1:12" s="4" customFormat="1" ht="61.2" customHeight="1">
      <c r="A134" s="35" t="s">
        <v>2081</v>
      </c>
      <c r="B134" s="35" t="s">
        <v>289</v>
      </c>
      <c r="C134" s="35" t="s">
        <v>297</v>
      </c>
      <c r="D134" s="35" t="s">
        <v>2659</v>
      </c>
      <c r="E134" s="35" t="s">
        <v>2687</v>
      </c>
      <c r="F134" s="35" t="s">
        <v>291</v>
      </c>
      <c r="G134" s="37" t="s">
        <v>2591</v>
      </c>
      <c r="H134" s="37" t="s">
        <v>300</v>
      </c>
      <c r="I134" s="8" t="s">
        <v>2543</v>
      </c>
      <c r="J134" s="105">
        <v>60000</v>
      </c>
      <c r="K134" s="105"/>
      <c r="L134" s="600">
        <f t="shared" si="14"/>
        <v>60000</v>
      </c>
    </row>
    <row r="135" spans="1:12" s="4" customFormat="1" ht="45.6" customHeight="1">
      <c r="A135" s="35" t="s">
        <v>2077</v>
      </c>
      <c r="B135" s="35" t="s">
        <v>289</v>
      </c>
      <c r="C135" s="35" t="s">
        <v>297</v>
      </c>
      <c r="D135" s="35" t="s">
        <v>2659</v>
      </c>
      <c r="E135" s="35" t="s">
        <v>2687</v>
      </c>
      <c r="F135" s="35" t="s">
        <v>291</v>
      </c>
      <c r="G135" s="37" t="s">
        <v>2522</v>
      </c>
      <c r="H135" s="37" t="s">
        <v>300</v>
      </c>
      <c r="I135" s="8" t="s">
        <v>2557</v>
      </c>
      <c r="J135" s="105">
        <v>6900000</v>
      </c>
      <c r="K135" s="105"/>
      <c r="L135" s="600">
        <f t="shared" si="14"/>
        <v>6900000</v>
      </c>
    </row>
    <row r="136" spans="1:12" s="4" customFormat="1" ht="39" customHeight="1">
      <c r="A136" s="35" t="s">
        <v>2078</v>
      </c>
      <c r="B136" s="35" t="s">
        <v>289</v>
      </c>
      <c r="C136" s="35" t="s">
        <v>297</v>
      </c>
      <c r="D136" s="35" t="s">
        <v>2659</v>
      </c>
      <c r="E136" s="35" t="s">
        <v>2687</v>
      </c>
      <c r="F136" s="35" t="s">
        <v>291</v>
      </c>
      <c r="G136" s="37" t="s">
        <v>3104</v>
      </c>
      <c r="H136" s="37" t="s">
        <v>300</v>
      </c>
      <c r="I136" s="8" t="s">
        <v>3105</v>
      </c>
      <c r="J136" s="105">
        <v>1400000</v>
      </c>
      <c r="K136" s="105"/>
      <c r="L136" s="600">
        <f t="shared" si="14"/>
        <v>1400000</v>
      </c>
    </row>
    <row r="137" spans="1:12" s="4" customFormat="1" ht="37.200000000000003" customHeight="1">
      <c r="A137" s="35" t="s">
        <v>2080</v>
      </c>
      <c r="B137" s="35" t="s">
        <v>289</v>
      </c>
      <c r="C137" s="35" t="s">
        <v>297</v>
      </c>
      <c r="D137" s="35" t="s">
        <v>2659</v>
      </c>
      <c r="E137" s="35" t="s">
        <v>2687</v>
      </c>
      <c r="F137" s="35" t="s">
        <v>291</v>
      </c>
      <c r="G137" s="37" t="s">
        <v>3102</v>
      </c>
      <c r="H137" s="37" t="s">
        <v>300</v>
      </c>
      <c r="I137" s="8" t="s">
        <v>3103</v>
      </c>
      <c r="J137" s="105">
        <v>200000</v>
      </c>
      <c r="K137" s="105"/>
      <c r="L137" s="600">
        <f t="shared" si="14"/>
        <v>200000</v>
      </c>
    </row>
    <row r="138" spans="1:12" s="4" customFormat="1" ht="37.950000000000003" customHeight="1">
      <c r="A138" s="35" t="s">
        <v>2077</v>
      </c>
      <c r="B138" s="35" t="s">
        <v>289</v>
      </c>
      <c r="C138" s="35" t="s">
        <v>297</v>
      </c>
      <c r="D138" s="35" t="s">
        <v>2659</v>
      </c>
      <c r="E138" s="35" t="s">
        <v>2687</v>
      </c>
      <c r="F138" s="35" t="s">
        <v>291</v>
      </c>
      <c r="G138" s="37" t="s">
        <v>2592</v>
      </c>
      <c r="H138" s="37" t="s">
        <v>300</v>
      </c>
      <c r="I138" s="8" t="s">
        <v>2554</v>
      </c>
      <c r="J138" s="105">
        <v>8000000</v>
      </c>
      <c r="K138" s="105"/>
      <c r="L138" s="600">
        <f t="shared" si="14"/>
        <v>8000000</v>
      </c>
    </row>
    <row r="139" spans="1:12" s="4" customFormat="1" ht="70.2" customHeight="1">
      <c r="A139" s="35" t="s">
        <v>2077</v>
      </c>
      <c r="B139" s="35" t="s">
        <v>289</v>
      </c>
      <c r="C139" s="35" t="s">
        <v>297</v>
      </c>
      <c r="D139" s="35" t="s">
        <v>2659</v>
      </c>
      <c r="E139" s="35" t="s">
        <v>2687</v>
      </c>
      <c r="F139" s="35" t="s">
        <v>291</v>
      </c>
      <c r="G139" s="37" t="s">
        <v>2593</v>
      </c>
      <c r="H139" s="37" t="s">
        <v>300</v>
      </c>
      <c r="I139" s="388" t="s">
        <v>2555</v>
      </c>
      <c r="J139" s="105">
        <v>2000000</v>
      </c>
      <c r="K139" s="105"/>
      <c r="L139" s="600">
        <f t="shared" si="14"/>
        <v>2000000</v>
      </c>
    </row>
    <row r="140" spans="1:12" s="4" customFormat="1" ht="37.200000000000003" customHeight="1">
      <c r="A140" s="35" t="s">
        <v>2077</v>
      </c>
      <c r="B140" s="35" t="s">
        <v>289</v>
      </c>
      <c r="C140" s="35" t="s">
        <v>297</v>
      </c>
      <c r="D140" s="35" t="s">
        <v>2659</v>
      </c>
      <c r="E140" s="35" t="s">
        <v>2687</v>
      </c>
      <c r="F140" s="35" t="s">
        <v>291</v>
      </c>
      <c r="G140" s="37" t="s">
        <v>2594</v>
      </c>
      <c r="H140" s="37" t="s">
        <v>300</v>
      </c>
      <c r="I140" s="8" t="s">
        <v>2556</v>
      </c>
      <c r="J140" s="105">
        <v>25184033.5</v>
      </c>
      <c r="K140" s="105">
        <v>-970659</v>
      </c>
      <c r="L140" s="600">
        <f t="shared" si="14"/>
        <v>24213374.5</v>
      </c>
    </row>
    <row r="141" spans="1:12" s="4" customFormat="1" ht="83.4" customHeight="1">
      <c r="A141" s="35" t="s">
        <v>386</v>
      </c>
      <c r="B141" s="35" t="s">
        <v>289</v>
      </c>
      <c r="C141" s="35" t="s">
        <v>297</v>
      </c>
      <c r="D141" s="35" t="s">
        <v>2659</v>
      </c>
      <c r="E141" s="35" t="s">
        <v>2687</v>
      </c>
      <c r="F141" s="35" t="s">
        <v>291</v>
      </c>
      <c r="G141" s="37" t="s">
        <v>2595</v>
      </c>
      <c r="H141" s="37" t="s">
        <v>300</v>
      </c>
      <c r="I141" s="8" t="s">
        <v>2596</v>
      </c>
      <c r="J141" s="105">
        <v>250000</v>
      </c>
      <c r="K141" s="105"/>
      <c r="L141" s="600">
        <f t="shared" si="14"/>
        <v>250000</v>
      </c>
    </row>
    <row r="142" spans="1:12" s="4" customFormat="1" ht="55.2" customHeight="1">
      <c r="A142" s="35" t="s">
        <v>2081</v>
      </c>
      <c r="B142" s="35" t="s">
        <v>289</v>
      </c>
      <c r="C142" s="35" t="s">
        <v>297</v>
      </c>
      <c r="D142" s="35" t="s">
        <v>2659</v>
      </c>
      <c r="E142" s="35" t="s">
        <v>2687</v>
      </c>
      <c r="F142" s="35" t="s">
        <v>291</v>
      </c>
      <c r="G142" s="37" t="s">
        <v>3092</v>
      </c>
      <c r="H142" s="37" t="s">
        <v>300</v>
      </c>
      <c r="I142" s="8" t="s">
        <v>3093</v>
      </c>
      <c r="J142" s="105">
        <v>100000</v>
      </c>
      <c r="K142" s="105"/>
      <c r="L142" s="600">
        <f t="shared" si="14"/>
        <v>100000</v>
      </c>
    </row>
    <row r="143" spans="1:12" s="4" customFormat="1" ht="54.75" customHeight="1">
      <c r="A143" s="35" t="s">
        <v>2077</v>
      </c>
      <c r="B143" s="35" t="s">
        <v>289</v>
      </c>
      <c r="C143" s="35" t="s">
        <v>297</v>
      </c>
      <c r="D143" s="35" t="s">
        <v>2659</v>
      </c>
      <c r="E143" s="35" t="s">
        <v>2687</v>
      </c>
      <c r="F143" s="35" t="s">
        <v>291</v>
      </c>
      <c r="G143" s="37" t="s">
        <v>2597</v>
      </c>
      <c r="H143" s="37" t="s">
        <v>300</v>
      </c>
      <c r="I143" s="8" t="s">
        <v>3119</v>
      </c>
      <c r="J143" s="105">
        <v>150000</v>
      </c>
      <c r="K143" s="105"/>
      <c r="L143" s="600">
        <f t="shared" si="14"/>
        <v>150000</v>
      </c>
    </row>
    <row r="144" spans="1:12" s="4" customFormat="1" ht="65.25" customHeight="1">
      <c r="A144" s="35" t="s">
        <v>2077</v>
      </c>
      <c r="B144" s="35" t="s">
        <v>2518</v>
      </c>
      <c r="C144" s="35" t="s">
        <v>297</v>
      </c>
      <c r="D144" s="35" t="s">
        <v>2659</v>
      </c>
      <c r="E144" s="35" t="s">
        <v>2687</v>
      </c>
      <c r="F144" s="35" t="s">
        <v>291</v>
      </c>
      <c r="G144" s="37" t="s">
        <v>2598</v>
      </c>
      <c r="H144" s="37" t="s">
        <v>300</v>
      </c>
      <c r="I144" s="8" t="s">
        <v>3120</v>
      </c>
      <c r="J144" s="105">
        <v>1100000</v>
      </c>
      <c r="K144" s="105"/>
      <c r="L144" s="600">
        <f t="shared" si="14"/>
        <v>1100000</v>
      </c>
    </row>
    <row r="145" spans="1:12" s="4" customFormat="1" ht="48.6" hidden="1" customHeight="1">
      <c r="A145" s="35" t="s">
        <v>2077</v>
      </c>
      <c r="B145" s="35" t="s">
        <v>289</v>
      </c>
      <c r="C145" s="35" t="s">
        <v>297</v>
      </c>
      <c r="D145" s="35"/>
      <c r="E145" s="35" t="s">
        <v>2122</v>
      </c>
      <c r="F145" s="35" t="s">
        <v>291</v>
      </c>
      <c r="G145" s="37" t="s">
        <v>2549</v>
      </c>
      <c r="H145" s="37" t="s">
        <v>300</v>
      </c>
      <c r="I145" s="8" t="s">
        <v>2548</v>
      </c>
      <c r="J145" s="105">
        <v>0</v>
      </c>
      <c r="K145" s="105"/>
      <c r="L145" s="600">
        <f t="shared" si="14"/>
        <v>0</v>
      </c>
    </row>
    <row r="146" spans="1:12" s="4" customFormat="1" ht="58.95" hidden="1" customHeight="1">
      <c r="A146" s="35" t="s">
        <v>2081</v>
      </c>
      <c r="B146" s="35" t="s">
        <v>289</v>
      </c>
      <c r="C146" s="35" t="s">
        <v>297</v>
      </c>
      <c r="D146" s="35"/>
      <c r="E146" s="35" t="s">
        <v>2122</v>
      </c>
      <c r="F146" s="35" t="s">
        <v>291</v>
      </c>
      <c r="G146" s="37" t="s">
        <v>2550</v>
      </c>
      <c r="H146" s="37" t="s">
        <v>300</v>
      </c>
      <c r="I146" s="8" t="s">
        <v>2545</v>
      </c>
      <c r="J146" s="105">
        <v>0</v>
      </c>
      <c r="K146" s="105"/>
      <c r="L146" s="600">
        <f t="shared" si="14"/>
        <v>0</v>
      </c>
    </row>
    <row r="147" spans="1:12" s="4" customFormat="1" ht="0.6" hidden="1" customHeight="1">
      <c r="A147" s="35" t="s">
        <v>2081</v>
      </c>
      <c r="B147" s="35" t="s">
        <v>289</v>
      </c>
      <c r="C147" s="35" t="s">
        <v>297</v>
      </c>
      <c r="D147" s="35" t="s">
        <v>2659</v>
      </c>
      <c r="E147" s="35" t="s">
        <v>2687</v>
      </c>
      <c r="F147" s="35" t="s">
        <v>291</v>
      </c>
      <c r="G147" s="37" t="s">
        <v>3094</v>
      </c>
      <c r="H147" s="37" t="s">
        <v>300</v>
      </c>
      <c r="I147" s="8" t="s">
        <v>3095</v>
      </c>
      <c r="J147" s="105">
        <v>0</v>
      </c>
      <c r="K147" s="105"/>
      <c r="L147" s="600">
        <f t="shared" si="14"/>
        <v>0</v>
      </c>
    </row>
    <row r="148" spans="1:12" s="4" customFormat="1" ht="40.200000000000003" customHeight="1">
      <c r="A148" s="35" t="s">
        <v>2078</v>
      </c>
      <c r="B148" s="35" t="s">
        <v>289</v>
      </c>
      <c r="C148" s="35" t="s">
        <v>297</v>
      </c>
      <c r="D148" s="35" t="s">
        <v>2659</v>
      </c>
      <c r="E148" s="35" t="s">
        <v>2687</v>
      </c>
      <c r="F148" s="35" t="s">
        <v>291</v>
      </c>
      <c r="G148" s="37" t="s">
        <v>3106</v>
      </c>
      <c r="H148" s="37" t="s">
        <v>300</v>
      </c>
      <c r="I148" s="8" t="s">
        <v>3107</v>
      </c>
      <c r="J148" s="105">
        <v>900000</v>
      </c>
      <c r="K148" s="105"/>
      <c r="L148" s="600">
        <f t="shared" si="14"/>
        <v>900000</v>
      </c>
    </row>
    <row r="149" spans="1:12" s="4" customFormat="1" ht="61.95" customHeight="1">
      <c r="A149" s="35" t="s">
        <v>2077</v>
      </c>
      <c r="B149" s="35" t="s">
        <v>289</v>
      </c>
      <c r="C149" s="35" t="s">
        <v>297</v>
      </c>
      <c r="D149" s="35" t="s">
        <v>2659</v>
      </c>
      <c r="E149" s="35" t="s">
        <v>2687</v>
      </c>
      <c r="F149" s="35" t="s">
        <v>291</v>
      </c>
      <c r="G149" s="37" t="s">
        <v>3121</v>
      </c>
      <c r="H149" s="37" t="s">
        <v>300</v>
      </c>
      <c r="I149" s="8" t="s">
        <v>3122</v>
      </c>
      <c r="J149" s="105">
        <v>9766600</v>
      </c>
      <c r="K149" s="105"/>
      <c r="L149" s="600">
        <f t="shared" si="14"/>
        <v>9766600</v>
      </c>
    </row>
    <row r="150" spans="1:12" s="4" customFormat="1" ht="78" customHeight="1">
      <c r="A150" s="35" t="s">
        <v>2081</v>
      </c>
      <c r="B150" s="35" t="s">
        <v>289</v>
      </c>
      <c r="C150" s="35" t="s">
        <v>297</v>
      </c>
      <c r="D150" s="35" t="s">
        <v>2659</v>
      </c>
      <c r="E150" s="35" t="s">
        <v>2687</v>
      </c>
      <c r="F150" s="35" t="s">
        <v>291</v>
      </c>
      <c r="G150" s="37" t="s">
        <v>3096</v>
      </c>
      <c r="H150" s="37" t="s">
        <v>300</v>
      </c>
      <c r="I150" s="8" t="s">
        <v>3097</v>
      </c>
      <c r="J150" s="105">
        <v>10337676</v>
      </c>
      <c r="K150" s="105"/>
      <c r="L150" s="600">
        <f t="shared" si="14"/>
        <v>10337676</v>
      </c>
    </row>
    <row r="151" spans="1:12" s="4" customFormat="1" ht="64.2" customHeight="1">
      <c r="A151" s="35" t="s">
        <v>2081</v>
      </c>
      <c r="B151" s="35" t="s">
        <v>289</v>
      </c>
      <c r="C151" s="35" t="s">
        <v>297</v>
      </c>
      <c r="D151" s="35" t="s">
        <v>2659</v>
      </c>
      <c r="E151" s="35" t="s">
        <v>2687</v>
      </c>
      <c r="F151" s="35" t="s">
        <v>291</v>
      </c>
      <c r="G151" s="37" t="s">
        <v>3098</v>
      </c>
      <c r="H151" s="37" t="s">
        <v>300</v>
      </c>
      <c r="I151" s="8" t="s">
        <v>3099</v>
      </c>
      <c r="J151" s="105">
        <v>40000</v>
      </c>
      <c r="K151" s="105"/>
      <c r="L151" s="600">
        <f t="shared" si="14"/>
        <v>40000</v>
      </c>
    </row>
    <row r="152" spans="1:12" s="4" customFormat="1" ht="64.2" customHeight="1">
      <c r="A152" s="35" t="s">
        <v>2078</v>
      </c>
      <c r="B152" s="35" t="s">
        <v>289</v>
      </c>
      <c r="C152" s="35" t="s">
        <v>297</v>
      </c>
      <c r="D152" s="35" t="s">
        <v>2659</v>
      </c>
      <c r="E152" s="35" t="s">
        <v>2687</v>
      </c>
      <c r="F152" s="35" t="s">
        <v>291</v>
      </c>
      <c r="G152" s="37" t="s">
        <v>3123</v>
      </c>
      <c r="H152" s="37" t="s">
        <v>300</v>
      </c>
      <c r="I152" s="8" t="s">
        <v>3124</v>
      </c>
      <c r="J152" s="105">
        <v>1500000</v>
      </c>
      <c r="K152" s="105">
        <v>-91530</v>
      </c>
      <c r="L152" s="600">
        <f t="shared" si="14"/>
        <v>1408470</v>
      </c>
    </row>
    <row r="153" spans="1:12" s="4" customFormat="1" ht="53.4" customHeight="1">
      <c r="A153" s="35" t="s">
        <v>2078</v>
      </c>
      <c r="B153" s="35" t="s">
        <v>289</v>
      </c>
      <c r="C153" s="35" t="s">
        <v>297</v>
      </c>
      <c r="D153" s="35" t="s">
        <v>2659</v>
      </c>
      <c r="E153" s="35" t="s">
        <v>2687</v>
      </c>
      <c r="F153" s="35" t="s">
        <v>291</v>
      </c>
      <c r="G153" s="37" t="s">
        <v>3108</v>
      </c>
      <c r="H153" s="37" t="s">
        <v>300</v>
      </c>
      <c r="I153" s="8" t="s">
        <v>3109</v>
      </c>
      <c r="J153" s="105">
        <v>150000</v>
      </c>
      <c r="K153" s="105"/>
      <c r="L153" s="600">
        <f t="shared" si="14"/>
        <v>150000</v>
      </c>
    </row>
    <row r="154" spans="1:12" s="4" customFormat="1" ht="50.4" customHeight="1">
      <c r="A154" s="35" t="s">
        <v>2077</v>
      </c>
      <c r="B154" s="35" t="s">
        <v>289</v>
      </c>
      <c r="C154" s="35" t="s">
        <v>297</v>
      </c>
      <c r="D154" s="35" t="s">
        <v>2659</v>
      </c>
      <c r="E154" s="35" t="s">
        <v>2687</v>
      </c>
      <c r="F154" s="35" t="s">
        <v>291</v>
      </c>
      <c r="G154" s="37" t="s">
        <v>3125</v>
      </c>
      <c r="H154" s="37" t="s">
        <v>300</v>
      </c>
      <c r="I154" s="8" t="s">
        <v>3126</v>
      </c>
      <c r="J154" s="105">
        <v>23812193</v>
      </c>
      <c r="K154" s="105">
        <v>-847841</v>
      </c>
      <c r="L154" s="600">
        <f t="shared" si="14"/>
        <v>22964352</v>
      </c>
    </row>
    <row r="155" spans="1:12" s="4" customFormat="1" ht="64.2" customHeight="1">
      <c r="A155" s="35" t="s">
        <v>2078</v>
      </c>
      <c r="B155" s="35" t="s">
        <v>289</v>
      </c>
      <c r="C155" s="35" t="s">
        <v>297</v>
      </c>
      <c r="D155" s="35" t="s">
        <v>2659</v>
      </c>
      <c r="E155" s="35" t="s">
        <v>2687</v>
      </c>
      <c r="F155" s="35" t="s">
        <v>291</v>
      </c>
      <c r="G155" s="37" t="s">
        <v>3110</v>
      </c>
      <c r="H155" s="37" t="s">
        <v>300</v>
      </c>
      <c r="I155" s="8" t="s">
        <v>3111</v>
      </c>
      <c r="J155" s="105">
        <v>600000</v>
      </c>
      <c r="K155" s="105"/>
      <c r="L155" s="600">
        <f t="shared" si="14"/>
        <v>600000</v>
      </c>
    </row>
    <row r="156" spans="1:12" s="4" customFormat="1" ht="51" customHeight="1">
      <c r="A156" s="35" t="s">
        <v>2081</v>
      </c>
      <c r="B156" s="35" t="s">
        <v>289</v>
      </c>
      <c r="C156" s="35" t="s">
        <v>297</v>
      </c>
      <c r="D156" s="35" t="s">
        <v>2659</v>
      </c>
      <c r="E156" s="35" t="s">
        <v>2687</v>
      </c>
      <c r="F156" s="35" t="s">
        <v>291</v>
      </c>
      <c r="G156" s="37" t="s">
        <v>3100</v>
      </c>
      <c r="H156" s="37" t="s">
        <v>300</v>
      </c>
      <c r="I156" s="8" t="s">
        <v>3101</v>
      </c>
      <c r="J156" s="105">
        <v>1104600</v>
      </c>
      <c r="K156" s="105"/>
      <c r="L156" s="600">
        <f t="shared" si="14"/>
        <v>1104600</v>
      </c>
    </row>
    <row r="157" spans="1:12" s="4" customFormat="1" ht="49.5" customHeight="1">
      <c r="A157" s="35" t="s">
        <v>2081</v>
      </c>
      <c r="B157" s="35" t="s">
        <v>289</v>
      </c>
      <c r="C157" s="35" t="s">
        <v>297</v>
      </c>
      <c r="D157" s="35" t="s">
        <v>2659</v>
      </c>
      <c r="E157" s="35" t="s">
        <v>2687</v>
      </c>
      <c r="F157" s="35" t="s">
        <v>291</v>
      </c>
      <c r="G157" s="37" t="s">
        <v>3170</v>
      </c>
      <c r="H157" s="37" t="s">
        <v>300</v>
      </c>
      <c r="I157" s="8" t="s">
        <v>3171</v>
      </c>
      <c r="J157" s="105">
        <v>28224</v>
      </c>
      <c r="K157" s="105">
        <v>19152</v>
      </c>
      <c r="L157" s="600">
        <f t="shared" si="14"/>
        <v>47376</v>
      </c>
    </row>
    <row r="158" spans="1:12" s="4" customFormat="1" ht="49.5" customHeight="1">
      <c r="A158" s="35" t="s">
        <v>2077</v>
      </c>
      <c r="B158" s="35" t="s">
        <v>289</v>
      </c>
      <c r="C158" s="35" t="s">
        <v>297</v>
      </c>
      <c r="D158" s="35" t="s">
        <v>2659</v>
      </c>
      <c r="E158" s="35" t="s">
        <v>2687</v>
      </c>
      <c r="F158" s="35" t="s">
        <v>291</v>
      </c>
      <c r="G158" s="37" t="s">
        <v>3187</v>
      </c>
      <c r="H158" s="37" t="s">
        <v>300</v>
      </c>
      <c r="I158" s="8" t="s">
        <v>3188</v>
      </c>
      <c r="J158" s="105">
        <v>600000</v>
      </c>
      <c r="K158" s="105"/>
      <c r="L158" s="600">
        <f t="shared" si="14"/>
        <v>600000</v>
      </c>
    </row>
    <row r="159" spans="1:12" s="4" customFormat="1" ht="60.6" customHeight="1">
      <c r="A159" s="35" t="s">
        <v>2077</v>
      </c>
      <c r="B159" s="35" t="s">
        <v>289</v>
      </c>
      <c r="C159" s="35" t="s">
        <v>297</v>
      </c>
      <c r="D159" s="35" t="s">
        <v>2659</v>
      </c>
      <c r="E159" s="35" t="s">
        <v>2687</v>
      </c>
      <c r="F159" s="35" t="s">
        <v>291</v>
      </c>
      <c r="G159" s="37" t="s">
        <v>3189</v>
      </c>
      <c r="H159" s="37" t="s">
        <v>300</v>
      </c>
      <c r="I159" s="8" t="s">
        <v>3190</v>
      </c>
      <c r="J159" s="105">
        <v>2303078</v>
      </c>
      <c r="K159" s="105"/>
      <c r="L159" s="600">
        <f t="shared" si="14"/>
        <v>2303078</v>
      </c>
    </row>
    <row r="160" spans="1:12" s="4" customFormat="1" ht="66.75" customHeight="1">
      <c r="A160" s="35" t="s">
        <v>386</v>
      </c>
      <c r="B160" s="35" t="s">
        <v>289</v>
      </c>
      <c r="C160" s="35" t="s">
        <v>297</v>
      </c>
      <c r="D160" s="35" t="s">
        <v>2659</v>
      </c>
      <c r="E160" s="35" t="s">
        <v>2687</v>
      </c>
      <c r="F160" s="35" t="s">
        <v>291</v>
      </c>
      <c r="G160" s="37" t="s">
        <v>3172</v>
      </c>
      <c r="H160" s="37" t="s">
        <v>300</v>
      </c>
      <c r="I160" s="8" t="s">
        <v>3173</v>
      </c>
      <c r="J160" s="105">
        <v>53880</v>
      </c>
      <c r="K160" s="105">
        <v>25000</v>
      </c>
      <c r="L160" s="600">
        <f t="shared" si="14"/>
        <v>78880</v>
      </c>
    </row>
    <row r="161" spans="1:12" s="4" customFormat="1" ht="66.75" customHeight="1">
      <c r="A161" s="35" t="s">
        <v>2078</v>
      </c>
      <c r="B161" s="35" t="s">
        <v>289</v>
      </c>
      <c r="C161" s="35" t="s">
        <v>297</v>
      </c>
      <c r="D161" s="35" t="s">
        <v>2659</v>
      </c>
      <c r="E161" s="35" t="s">
        <v>2666</v>
      </c>
      <c r="F161" s="35" t="s">
        <v>291</v>
      </c>
      <c r="G161" s="37" t="s">
        <v>100</v>
      </c>
      <c r="H161" s="37" t="s">
        <v>300</v>
      </c>
      <c r="I161" s="773" t="s">
        <v>1502</v>
      </c>
      <c r="J161" s="105"/>
      <c r="K161" s="105">
        <v>411993</v>
      </c>
      <c r="L161" s="600">
        <f t="shared" si="14"/>
        <v>411993</v>
      </c>
    </row>
    <row r="162" spans="1:12" s="4" customFormat="1" ht="112.95" customHeight="1">
      <c r="A162" s="35" t="s">
        <v>2078</v>
      </c>
      <c r="B162" s="35" t="s">
        <v>289</v>
      </c>
      <c r="C162" s="35" t="s">
        <v>297</v>
      </c>
      <c r="D162" s="35" t="s">
        <v>2659</v>
      </c>
      <c r="E162" s="35" t="s">
        <v>2673</v>
      </c>
      <c r="F162" s="35" t="s">
        <v>291</v>
      </c>
      <c r="G162" s="37" t="s">
        <v>100</v>
      </c>
      <c r="H162" s="37" t="s">
        <v>300</v>
      </c>
      <c r="I162" s="773" t="s">
        <v>2267</v>
      </c>
      <c r="J162" s="105"/>
      <c r="K162" s="105">
        <v>41045</v>
      </c>
      <c r="L162" s="600">
        <f t="shared" si="14"/>
        <v>41045</v>
      </c>
    </row>
    <row r="163" spans="1:12" s="4" customFormat="1" ht="80.400000000000006" customHeight="1">
      <c r="A163" s="35" t="s">
        <v>2078</v>
      </c>
      <c r="B163" s="35" t="s">
        <v>289</v>
      </c>
      <c r="C163" s="35" t="s">
        <v>297</v>
      </c>
      <c r="D163" s="35" t="s">
        <v>2659</v>
      </c>
      <c r="E163" s="35" t="s">
        <v>3250</v>
      </c>
      <c r="F163" s="35" t="s">
        <v>291</v>
      </c>
      <c r="G163" s="37" t="s">
        <v>100</v>
      </c>
      <c r="H163" s="37" t="s">
        <v>300</v>
      </c>
      <c r="I163" s="773" t="s">
        <v>3251</v>
      </c>
      <c r="J163" s="105"/>
      <c r="K163" s="105">
        <v>100000</v>
      </c>
      <c r="L163" s="600">
        <f t="shared" si="14"/>
        <v>100000</v>
      </c>
    </row>
    <row r="164" spans="1:12" s="4" customFormat="1" ht="97.2" customHeight="1">
      <c r="A164" s="35" t="s">
        <v>2078</v>
      </c>
      <c r="B164" s="35" t="s">
        <v>289</v>
      </c>
      <c r="C164" s="35" t="s">
        <v>297</v>
      </c>
      <c r="D164" s="35" t="s">
        <v>2659</v>
      </c>
      <c r="E164" s="35" t="s">
        <v>2681</v>
      </c>
      <c r="F164" s="35" t="s">
        <v>291</v>
      </c>
      <c r="G164" s="37" t="s">
        <v>100</v>
      </c>
      <c r="H164" s="37" t="s">
        <v>300</v>
      </c>
      <c r="I164" s="773" t="s">
        <v>3252</v>
      </c>
      <c r="J164" s="105"/>
      <c r="K164" s="105">
        <v>50000</v>
      </c>
      <c r="L164" s="600">
        <f t="shared" si="14"/>
        <v>50000</v>
      </c>
    </row>
    <row r="165" spans="1:12" s="4" customFormat="1" ht="99" customHeight="1">
      <c r="A165" s="35" t="s">
        <v>2080</v>
      </c>
      <c r="B165" s="35" t="s">
        <v>289</v>
      </c>
      <c r="C165" s="35" t="s">
        <v>297</v>
      </c>
      <c r="D165" s="35" t="s">
        <v>2659</v>
      </c>
      <c r="E165" s="35" t="s">
        <v>3176</v>
      </c>
      <c r="F165" s="35" t="s">
        <v>291</v>
      </c>
      <c r="G165" s="37" t="s">
        <v>100</v>
      </c>
      <c r="H165" s="37" t="s">
        <v>300</v>
      </c>
      <c r="I165" s="8" t="s">
        <v>3177</v>
      </c>
      <c r="J165" s="105">
        <v>550000</v>
      </c>
      <c r="K165" s="105"/>
      <c r="L165" s="600">
        <f t="shared" si="14"/>
        <v>550000</v>
      </c>
    </row>
    <row r="166" spans="1:12" s="4" customFormat="1" ht="99" customHeight="1">
      <c r="A166" s="35" t="s">
        <v>1149</v>
      </c>
      <c r="B166" s="35" t="s">
        <v>289</v>
      </c>
      <c r="C166" s="35" t="s">
        <v>297</v>
      </c>
      <c r="D166" s="35" t="s">
        <v>2659</v>
      </c>
      <c r="E166" s="35" t="s">
        <v>3245</v>
      </c>
      <c r="F166" s="35" t="s">
        <v>291</v>
      </c>
      <c r="G166" s="37" t="s">
        <v>3246</v>
      </c>
      <c r="H166" s="37" t="s">
        <v>300</v>
      </c>
      <c r="I166" s="773" t="s">
        <v>3247</v>
      </c>
      <c r="J166" s="105"/>
      <c r="K166" s="105">
        <v>6562985</v>
      </c>
      <c r="L166" s="600">
        <f t="shared" si="14"/>
        <v>6562985</v>
      </c>
    </row>
    <row r="167" spans="1:12" s="4" customFormat="1" ht="62.25" customHeight="1">
      <c r="A167" s="35" t="s">
        <v>1149</v>
      </c>
      <c r="B167" s="35" t="s">
        <v>289</v>
      </c>
      <c r="C167" s="35" t="s">
        <v>297</v>
      </c>
      <c r="D167" s="35" t="s">
        <v>2659</v>
      </c>
      <c r="E167" s="35" t="s">
        <v>2674</v>
      </c>
      <c r="F167" s="35" t="s">
        <v>291</v>
      </c>
      <c r="G167" s="37" t="s">
        <v>3180</v>
      </c>
      <c r="H167" s="37" t="s">
        <v>300</v>
      </c>
      <c r="I167" s="8" t="s">
        <v>3181</v>
      </c>
      <c r="J167" s="779">
        <v>3064977</v>
      </c>
      <c r="K167" s="703"/>
      <c r="L167" s="600">
        <f t="shared" si="14"/>
        <v>3064977</v>
      </c>
    </row>
    <row r="168" spans="1:12" s="4" customFormat="1" ht="1.5" hidden="1" customHeight="1">
      <c r="A168" s="35" t="s">
        <v>1149</v>
      </c>
      <c r="B168" s="35" t="s">
        <v>289</v>
      </c>
      <c r="C168" s="35" t="s">
        <v>297</v>
      </c>
      <c r="D168" s="35"/>
      <c r="E168" s="35" t="s">
        <v>2084</v>
      </c>
      <c r="F168" s="35" t="s">
        <v>291</v>
      </c>
      <c r="G168" s="37" t="s">
        <v>2503</v>
      </c>
      <c r="H168" s="37" t="s">
        <v>300</v>
      </c>
      <c r="I168" s="183" t="s">
        <v>2504</v>
      </c>
      <c r="J168" s="410">
        <v>0</v>
      </c>
      <c r="K168" s="410"/>
      <c r="L168" s="600">
        <f t="shared" si="14"/>
        <v>0</v>
      </c>
    </row>
    <row r="169" spans="1:12" s="4" customFormat="1" ht="15.6">
      <c r="A169" s="35"/>
      <c r="B169" s="35"/>
      <c r="C169" s="35"/>
      <c r="D169" s="35"/>
      <c r="E169" s="35"/>
      <c r="F169" s="35"/>
      <c r="G169" s="37"/>
      <c r="H169" s="37"/>
      <c r="I169" s="28" t="s">
        <v>1148</v>
      </c>
      <c r="J169" s="81">
        <v>1888066847.8199999</v>
      </c>
      <c r="K169" s="81">
        <f>K11+K43</f>
        <v>71121327.25</v>
      </c>
      <c r="L169" s="379">
        <f t="shared" si="14"/>
        <v>1959188175.0699999</v>
      </c>
    </row>
    <row r="170" spans="1:12">
      <c r="A170" s="35"/>
    </row>
  </sheetData>
  <sheetProtection selectLockedCells="1" selectUnlockedCells="1"/>
  <autoFilter ref="A9:L169">
    <filterColumn colId="0" showButton="0"/>
    <filterColumn colId="1" showButton="0"/>
    <filterColumn colId="2" showButton="0"/>
    <filterColumn colId="3" showButton="0"/>
    <filterColumn colId="4" showButton="0"/>
    <filterColumn colId="5" showButton="0"/>
    <filterColumn colId="6" showButton="0"/>
  </autoFilter>
  <customSheetViews>
    <customSheetView guid="{91923F83-3A6B-4204-9891-178562AB34F1}" showPageBreaks="1" fitToPage="1" printArea="1" view="pageBreakPreview" showRuler="0" topLeftCell="A39">
      <selection activeCell="I123" sqref="I123"/>
      <rowBreaks count="8" manualBreakCount="8">
        <brk id="27" max="8" man="1"/>
        <brk id="45" max="8" man="1"/>
        <brk id="61" max="8" man="1"/>
        <brk id="75" max="8" man="1"/>
        <brk id="87" max="8" man="1"/>
        <brk id="88" max="11" man="1"/>
        <brk id="101" max="8" man="1"/>
        <brk id="115" max="8" man="1"/>
      </rowBreaks>
      <pageMargins left="0.78740157480314965" right="0.19685039370078741" top="0.51181102362204722" bottom="0.51181102362204722" header="0.31496062992125984" footer="0.31496062992125984"/>
      <pageSetup paperSize="9" scale="98" fitToHeight="19" orientation="portrait" r:id="rId1"/>
      <headerFooter alignWithMargins="0">
        <oddFooter>&amp;C&amp;P</oddFooter>
      </headerFooter>
    </customSheetView>
    <customSheetView guid="{66DBF0AC-E9A0-482F-9E41-1928B6CA83DC}" showPageBreaks="1" fitToPage="1" view="pageBreakPreview" showRuler="0" topLeftCell="A117">
      <selection activeCell="I123" sqref="I123"/>
      <rowBreaks count="8" manualBreakCount="8">
        <brk id="27" max="8" man="1"/>
        <brk id="45" max="8" man="1"/>
        <brk id="61" max="8" man="1"/>
        <brk id="75" max="8" man="1"/>
        <brk id="87" max="8" man="1"/>
        <brk id="88" max="11" man="1"/>
        <brk id="101" max="8" man="1"/>
        <brk id="115" max="8" man="1"/>
      </rowBreaks>
      <pageMargins left="0.78740157480314965" right="0.19685039370078741" top="0.51181102362204722" bottom="0.51181102362204722" header="0.31496062992125984" footer="0.31496062992125984"/>
      <pageSetup paperSize="9" scale="98" fitToHeight="19" orientation="portrait" r:id="rId2"/>
      <headerFooter alignWithMargins="0">
        <oddFooter>&amp;C&amp;P</oddFooter>
      </headerFooter>
    </customSheetView>
    <customSheetView guid="{A5E41FC9-89B1-40D2-B587-57BC4C5E4715}" showPageBreaks="1" fitToPage="1" printArea="1" view="pageBreakPreview" showRuler="0" topLeftCell="A6">
      <selection activeCell="I123" sqref="I123"/>
      <rowBreaks count="8" manualBreakCount="8">
        <brk id="27" max="8" man="1"/>
        <brk id="45" max="8" man="1"/>
        <brk id="61" max="8" man="1"/>
        <brk id="75" max="8" man="1"/>
        <brk id="87" max="8" man="1"/>
        <brk id="88" max="11" man="1"/>
        <brk id="101" max="8" man="1"/>
        <brk id="115" max="8" man="1"/>
      </rowBreaks>
      <pageMargins left="0.78740157480314965" right="0.19685039370078741" top="0.51181102362204722" bottom="0.51181102362204722" header="0.31496062992125984" footer="0.31496062992125984"/>
      <pageSetup paperSize="9" scale="98" fitToHeight="19" orientation="portrait" r:id="rId3"/>
      <headerFooter alignWithMargins="0">
        <oddFooter>&amp;C&amp;P</oddFooter>
      </headerFooter>
    </customSheetView>
    <customSheetView guid="{F3607253-7816-4CF7-9CFD-2ADFFAD916F8}" showPageBreaks="1" fitToPage="1" printArea="1" view="pageBreakPreview" showRuler="0" topLeftCell="A6">
      <selection activeCell="I123" sqref="I123"/>
      <rowBreaks count="8" manualBreakCount="8">
        <brk id="27" max="8" man="1"/>
        <brk id="45" max="8" man="1"/>
        <brk id="61" max="8" man="1"/>
        <brk id="75" max="8" man="1"/>
        <brk id="87" max="8" man="1"/>
        <brk id="88" max="11" man="1"/>
        <brk id="101" max="8" man="1"/>
        <brk id="115" max="8" man="1"/>
      </rowBreaks>
      <pageMargins left="0.78740157480314965" right="0.19685039370078741" top="0.51181102362204722" bottom="0.51181102362204722" header="0.31496062992125984" footer="0.31496062992125984"/>
      <pageSetup paperSize="9" scale="98" fitToHeight="19" orientation="portrait" r:id="rId4"/>
      <headerFooter alignWithMargins="0">
        <oddFooter>&amp;C&amp;P</oddFooter>
      </headerFooter>
    </customSheetView>
    <customSheetView guid="{B3311466-F005-49F1-A579-3E6CECE305A8}" showPageBreaks="1" fitToPage="1" printArea="1" view="pageBreakPreview" showRuler="0" topLeftCell="A6">
      <selection activeCell="I123" sqref="I123"/>
      <rowBreaks count="8" manualBreakCount="8">
        <brk id="27" max="8" man="1"/>
        <brk id="45" max="8" man="1"/>
        <brk id="61" max="8" man="1"/>
        <brk id="75" max="8" man="1"/>
        <brk id="87" max="8" man="1"/>
        <brk id="88" max="11" man="1"/>
        <brk id="101" max="8" man="1"/>
        <brk id="115" max="8" man="1"/>
      </rowBreaks>
      <pageMargins left="0.78740157480314965" right="0.19685039370078741" top="0.51181102362204722" bottom="0.51181102362204722" header="0.31496062992125984" footer="0.31496062992125984"/>
      <pageSetup paperSize="9" scale="98" fitToHeight="19" orientation="portrait" r:id="rId5"/>
      <headerFooter alignWithMargins="0">
        <oddFooter>&amp;C&amp;P</oddFooter>
      </headerFooter>
    </customSheetView>
    <customSheetView guid="{E5662E33-D4B0-43EA-9B06-C8DA9DFDBEF6}" showPageBreaks="1" fitToPage="1" printArea="1" view="pageBreakPreview" showRuler="0">
      <selection activeCell="H42" sqref="H42"/>
      <rowBreaks count="8" manualBreakCount="8">
        <brk id="27" max="8" man="1"/>
        <brk id="45" max="8" man="1"/>
        <brk id="61" max="8" man="1"/>
        <brk id="75" max="8" man="1"/>
        <brk id="87" max="8" man="1"/>
        <brk id="88" max="11" man="1"/>
        <brk id="101" max="8" man="1"/>
        <brk id="115" max="8" man="1"/>
      </rowBreaks>
      <pageMargins left="0.78740157480314965" right="0.19685039370078741" top="0.51181102362204722" bottom="0.51181102362204722" header="0.31496062992125984" footer="0.31496062992125984"/>
      <pageSetup paperSize="9" scale="98" fitToHeight="19" orientation="portrait" r:id="rId6"/>
      <headerFooter alignWithMargins="0">
        <oddFooter>&amp;C&amp;P</oddFooter>
      </headerFooter>
    </customSheetView>
  </customSheetViews>
  <mergeCells count="10">
    <mergeCell ref="K9:K10"/>
    <mergeCell ref="L9:L10"/>
    <mergeCell ref="G1:L1"/>
    <mergeCell ref="G2:L2"/>
    <mergeCell ref="G3:L3"/>
    <mergeCell ref="G4:L4"/>
    <mergeCell ref="A6:L6"/>
    <mergeCell ref="J9:J10"/>
    <mergeCell ref="I9:I10"/>
    <mergeCell ref="A9:H9"/>
  </mergeCells>
  <phoneticPr fontId="0" type="noConversion"/>
  <pageMargins left="0.70866141732283472" right="0.70866141732283472" top="0.74803149606299213" bottom="0.74803149606299213" header="0.31496062992125984" footer="0.31496062992125984"/>
  <pageSetup paperSize="9" scale="93" fitToHeight="0" orientation="portrait" r:id="rId7"/>
  <headerFooter alignWithMargins="0">
    <oddFooter>&amp;C&amp;P</oddFooter>
  </headerFooter>
</worksheet>
</file>

<file path=xl/worksheets/sheet10.xml><?xml version="1.0" encoding="utf-8"?>
<worksheet xmlns="http://schemas.openxmlformats.org/spreadsheetml/2006/main" xmlns:r="http://schemas.openxmlformats.org/officeDocument/2006/relationships">
  <sheetPr codeName="Лист8">
    <pageSetUpPr fitToPage="1"/>
  </sheetPr>
  <dimension ref="A1:E48"/>
  <sheetViews>
    <sheetView showGridLines="0" view="pageBreakPreview" zoomScaleSheetLayoutView="100" workbookViewId="0">
      <selection activeCell="B22" sqref="B22:C22"/>
    </sheetView>
  </sheetViews>
  <sheetFormatPr defaultColWidth="9.109375" defaultRowHeight="13.2"/>
  <cols>
    <col min="1" max="1" width="27.6640625" style="154" customWidth="1"/>
    <col min="2" max="2" width="17.109375" style="154" customWidth="1"/>
    <col min="3" max="3" width="10.88671875" style="154" customWidth="1"/>
    <col min="4" max="4" width="22.44140625" style="154" customWidth="1"/>
    <col min="5" max="5" width="9" style="154" bestFit="1" customWidth="1"/>
    <col min="6" max="7" width="9.109375" style="154"/>
    <col min="8" max="8" width="43.44140625" style="154" customWidth="1"/>
    <col min="9" max="16384" width="9.109375" style="154"/>
  </cols>
  <sheetData>
    <row r="1" spans="1:5" ht="15.6">
      <c r="A1" s="782" t="s">
        <v>395</v>
      </c>
      <c r="B1" s="782"/>
      <c r="C1" s="782"/>
      <c r="D1" s="810"/>
      <c r="E1" s="810"/>
    </row>
    <row r="2" spans="1:5" ht="15.6">
      <c r="A2" s="782" t="s">
        <v>1069</v>
      </c>
      <c r="B2" s="782"/>
      <c r="C2" s="782"/>
      <c r="D2" s="810"/>
      <c r="E2" s="810"/>
    </row>
    <row r="3" spans="1:5" ht="15.6">
      <c r="A3" s="782" t="s">
        <v>720</v>
      </c>
      <c r="B3" s="782"/>
      <c r="C3" s="782"/>
      <c r="D3" s="810"/>
      <c r="E3" s="810"/>
    </row>
    <row r="4" spans="1:5" ht="15.6">
      <c r="A4" s="782" t="s">
        <v>3148</v>
      </c>
      <c r="B4" s="782"/>
      <c r="C4" s="782"/>
      <c r="D4" s="810"/>
      <c r="E4" s="810"/>
    </row>
    <row r="5" spans="1:5" ht="15.6">
      <c r="A5" s="809"/>
      <c r="B5" s="810"/>
      <c r="C5" s="810"/>
      <c r="D5" s="810"/>
      <c r="E5" s="810"/>
    </row>
    <row r="6" spans="1:5" ht="15.6">
      <c r="A6" s="836" t="s">
        <v>22</v>
      </c>
      <c r="B6" s="785"/>
      <c r="C6" s="785"/>
      <c r="D6" s="785"/>
      <c r="E6" s="785"/>
    </row>
    <row r="7" spans="1:5" ht="34.5" customHeight="1">
      <c r="A7" s="837" t="s">
        <v>2623</v>
      </c>
      <c r="B7" s="838"/>
      <c r="C7" s="838"/>
      <c r="D7" s="838"/>
      <c r="E7" s="838"/>
    </row>
    <row r="8" spans="1:5" ht="15.6">
      <c r="A8" s="137"/>
      <c r="B8" s="1"/>
      <c r="C8" s="1"/>
      <c r="D8" s="1"/>
      <c r="E8" s="1"/>
    </row>
    <row r="9" spans="1:5" ht="36" customHeight="1">
      <c r="A9" s="839" t="s">
        <v>2624</v>
      </c>
      <c r="B9" s="838"/>
      <c r="C9" s="838"/>
      <c r="D9" s="838"/>
      <c r="E9" s="838"/>
    </row>
    <row r="10" spans="1:5" ht="16.2" thickBot="1">
      <c r="A10" s="834" t="s">
        <v>23</v>
      </c>
      <c r="B10" s="835"/>
      <c r="C10" s="835"/>
      <c r="D10" s="835"/>
      <c r="E10" s="835"/>
    </row>
    <row r="11" spans="1:5" ht="50.25" customHeight="1" thickBot="1">
      <c r="A11" s="231" t="s">
        <v>24</v>
      </c>
      <c r="B11" s="865" t="s">
        <v>2525</v>
      </c>
      <c r="C11" s="866"/>
      <c r="D11" s="865" t="s">
        <v>2618</v>
      </c>
      <c r="E11" s="866"/>
    </row>
    <row r="12" spans="1:5" s="245" customFormat="1" ht="16.2" thickBot="1">
      <c r="A12" s="232">
        <v>1</v>
      </c>
      <c r="B12" s="867">
        <v>2</v>
      </c>
      <c r="C12" s="868"/>
      <c r="D12" s="868">
        <v>3</v>
      </c>
      <c r="E12" s="868"/>
    </row>
    <row r="13" spans="1:5" ht="31.8" thickBot="1">
      <c r="A13" s="233" t="s">
        <v>2204</v>
      </c>
      <c r="B13" s="869">
        <f>B14-B15</f>
        <v>21922000</v>
      </c>
      <c r="C13" s="870"/>
      <c r="D13" s="869">
        <f>D14-D15</f>
        <v>8779000</v>
      </c>
      <c r="E13" s="870"/>
    </row>
    <row r="14" spans="1:5" ht="16.2" thickBot="1">
      <c r="A14" s="234" t="s">
        <v>25</v>
      </c>
      <c r="B14" s="858">
        <v>35478598</v>
      </c>
      <c r="C14" s="870"/>
      <c r="D14" s="858">
        <v>32329098</v>
      </c>
      <c r="E14" s="870"/>
    </row>
    <row r="15" spans="1:5" ht="16.2" thickBot="1">
      <c r="A15" s="235" t="s">
        <v>26</v>
      </c>
      <c r="B15" s="871">
        <v>13556598</v>
      </c>
      <c r="C15" s="870"/>
      <c r="D15" s="871">
        <v>23550098</v>
      </c>
      <c r="E15" s="870"/>
    </row>
    <row r="16" spans="1:5" ht="16.2" thickBot="1">
      <c r="A16" s="233" t="s">
        <v>27</v>
      </c>
      <c r="B16" s="874">
        <f>B17-B18</f>
        <v>-26934566</v>
      </c>
      <c r="C16" s="870"/>
      <c r="D16" s="874">
        <f>D17-D18</f>
        <v>-11791566</v>
      </c>
      <c r="E16" s="870"/>
    </row>
    <row r="17" spans="1:5" ht="16.2" thickBot="1">
      <c r="A17" s="234" t="s">
        <v>25</v>
      </c>
      <c r="B17" s="871"/>
      <c r="C17" s="870"/>
      <c r="D17" s="870"/>
      <c r="E17" s="870"/>
    </row>
    <row r="18" spans="1:5" ht="16.2" thickBot="1">
      <c r="A18" s="235" t="s">
        <v>26</v>
      </c>
      <c r="B18" s="871">
        <v>26934566</v>
      </c>
      <c r="C18" s="870"/>
      <c r="D18" s="870">
        <v>11791566</v>
      </c>
      <c r="E18" s="870"/>
    </row>
    <row r="19" spans="1:5" ht="16.2" thickBot="1">
      <c r="A19" s="237" t="s">
        <v>28</v>
      </c>
      <c r="B19" s="874">
        <f>B20-B21</f>
        <v>-5012566</v>
      </c>
      <c r="C19" s="870"/>
      <c r="D19" s="874">
        <f>D20-D21</f>
        <v>-3012566</v>
      </c>
      <c r="E19" s="870"/>
    </row>
    <row r="20" spans="1:5" ht="16.2" thickBot="1">
      <c r="A20" s="238" t="s">
        <v>2205</v>
      </c>
      <c r="B20" s="858">
        <f>B14+B17</f>
        <v>35478598</v>
      </c>
      <c r="C20" s="870"/>
      <c r="D20" s="858">
        <f>D14+D17</f>
        <v>32329098</v>
      </c>
      <c r="E20" s="870"/>
    </row>
    <row r="21" spans="1:5" ht="16.2" thickBot="1">
      <c r="A21" s="238" t="s">
        <v>29</v>
      </c>
      <c r="B21" s="871">
        <f>B15+B18</f>
        <v>40491164</v>
      </c>
      <c r="C21" s="870"/>
      <c r="D21" s="871">
        <f>D15+D18</f>
        <v>35341664</v>
      </c>
      <c r="E21" s="870"/>
    </row>
    <row r="22" spans="1:5" ht="63" thickBot="1">
      <c r="A22" s="239" t="s">
        <v>30</v>
      </c>
      <c r="B22" s="874">
        <f>B19</f>
        <v>-5012566</v>
      </c>
      <c r="C22" s="870"/>
      <c r="D22" s="874">
        <f>D19</f>
        <v>-3012566</v>
      </c>
      <c r="E22" s="870"/>
    </row>
    <row r="23" spans="1:5" ht="36" customHeight="1">
      <c r="A23" s="813" t="s">
        <v>2625</v>
      </c>
      <c r="B23" s="785"/>
      <c r="C23" s="785"/>
      <c r="D23" s="785"/>
      <c r="E23" s="785"/>
    </row>
    <row r="24" spans="1:5" ht="16.2" thickBot="1">
      <c r="A24" s="809" t="s">
        <v>31</v>
      </c>
      <c r="B24" s="810"/>
      <c r="C24" s="810"/>
      <c r="D24" s="810"/>
      <c r="E24" s="810"/>
    </row>
    <row r="25" spans="1:5" ht="16.2" thickBot="1">
      <c r="A25" s="223" t="s">
        <v>32</v>
      </c>
      <c r="B25" s="875" t="s">
        <v>2526</v>
      </c>
      <c r="C25" s="876"/>
      <c r="D25" s="866" t="s">
        <v>3162</v>
      </c>
      <c r="E25" s="866"/>
    </row>
    <row r="26" spans="1:5" s="245" customFormat="1" ht="16.2" thickBot="1">
      <c r="A26" s="153">
        <v>1</v>
      </c>
      <c r="B26" s="867">
        <v>2</v>
      </c>
      <c r="C26" s="868"/>
      <c r="D26" s="868">
        <v>3</v>
      </c>
      <c r="E26" s="868"/>
    </row>
    <row r="27" spans="1:5" ht="31.8" thickBot="1">
      <c r="A27" s="152" t="s">
        <v>33</v>
      </c>
      <c r="B27" s="858">
        <f>Пр.7!B28+B20-B21</f>
        <v>47273207</v>
      </c>
      <c r="C27" s="859"/>
      <c r="D27" s="858">
        <f>B27+D20-D21</f>
        <v>44260641</v>
      </c>
      <c r="E27" s="859"/>
    </row>
    <row r="28" spans="1:5" ht="46.8">
      <c r="A28" s="247" t="s">
        <v>34</v>
      </c>
      <c r="B28" s="860">
        <v>0</v>
      </c>
      <c r="C28" s="861"/>
      <c r="D28" s="860">
        <v>0</v>
      </c>
      <c r="E28" s="861"/>
    </row>
    <row r="29" spans="1:5" ht="15.6">
      <c r="A29" s="103"/>
      <c r="B29" s="851" t="s">
        <v>2527</v>
      </c>
      <c r="C29" s="862"/>
      <c r="D29" s="851" t="s">
        <v>2619</v>
      </c>
      <c r="E29" s="862"/>
    </row>
    <row r="30" spans="1:5" ht="31.8" thickBot="1">
      <c r="A30" s="152" t="s">
        <v>35</v>
      </c>
      <c r="B30" s="863">
        <v>76200000</v>
      </c>
      <c r="C30" s="864"/>
      <c r="D30" s="863">
        <v>80600000</v>
      </c>
      <c r="E30" s="864"/>
    </row>
    <row r="31" spans="1:5" ht="47.4" thickBot="1">
      <c r="A31" s="366" t="s">
        <v>2462</v>
      </c>
      <c r="B31" s="858">
        <v>2000000</v>
      </c>
      <c r="C31" s="859"/>
      <c r="D31" s="858">
        <v>2000000</v>
      </c>
      <c r="E31" s="859"/>
    </row>
    <row r="32" spans="1:5" ht="47.4" thickBot="1">
      <c r="A32" s="366" t="s">
        <v>36</v>
      </c>
      <c r="B32" s="858">
        <f>B20</f>
        <v>35478598</v>
      </c>
      <c r="C32" s="859"/>
      <c r="D32" s="858">
        <f>D20</f>
        <v>32329098</v>
      </c>
      <c r="E32" s="859"/>
    </row>
    <row r="33" spans="1:5" ht="47.4" thickBot="1">
      <c r="A33" s="366" t="s">
        <v>37</v>
      </c>
      <c r="B33" s="858">
        <v>0</v>
      </c>
      <c r="C33" s="859"/>
      <c r="D33" s="858">
        <v>0</v>
      </c>
      <c r="E33" s="859"/>
    </row>
    <row r="34" spans="1:5" ht="15.6">
      <c r="A34" s="137"/>
      <c r="B34" s="1"/>
      <c r="C34" s="1"/>
      <c r="D34" s="1"/>
      <c r="E34" s="1"/>
    </row>
    <row r="35" spans="1:5" ht="15.6">
      <c r="A35" s="813"/>
      <c r="B35" s="785"/>
      <c r="C35" s="785"/>
      <c r="D35" s="785"/>
      <c r="E35" s="785"/>
    </row>
    <row r="36" spans="1:5" ht="36" customHeight="1" thickBot="1">
      <c r="A36" s="872" t="s">
        <v>2206</v>
      </c>
      <c r="B36" s="873"/>
      <c r="C36" s="873"/>
      <c r="D36" s="873"/>
      <c r="E36" s="873"/>
    </row>
    <row r="37" spans="1:5" ht="16.2" thickBot="1">
      <c r="A37" s="820" t="s">
        <v>38</v>
      </c>
      <c r="B37" s="817" t="s">
        <v>39</v>
      </c>
      <c r="C37" s="823"/>
      <c r="D37" s="823"/>
      <c r="E37" s="824"/>
    </row>
    <row r="38" spans="1:5">
      <c r="A38" s="821"/>
      <c r="B38" s="825" t="s">
        <v>2620</v>
      </c>
      <c r="C38" s="826"/>
      <c r="D38" s="825" t="s">
        <v>3161</v>
      </c>
      <c r="E38" s="826"/>
    </row>
    <row r="39" spans="1:5" ht="0.75" customHeight="1" thickBot="1">
      <c r="A39" s="821"/>
      <c r="B39" s="795"/>
      <c r="C39" s="796"/>
      <c r="D39" s="795"/>
      <c r="E39" s="796"/>
    </row>
    <row r="40" spans="1:5" ht="16.2" thickBot="1">
      <c r="A40" s="822"/>
      <c r="B40" s="240" t="s">
        <v>41</v>
      </c>
      <c r="C40" s="241" t="s">
        <v>42</v>
      </c>
      <c r="D40" s="240" t="s">
        <v>41</v>
      </c>
      <c r="E40" s="240" t="s">
        <v>42</v>
      </c>
    </row>
    <row r="41" spans="1:5" ht="16.2" thickBot="1">
      <c r="A41" s="242">
        <v>1</v>
      </c>
      <c r="B41" s="240">
        <v>2</v>
      </c>
      <c r="C41" s="240">
        <v>3</v>
      </c>
      <c r="D41" s="240">
        <v>4</v>
      </c>
      <c r="E41" s="240">
        <v>5</v>
      </c>
    </row>
    <row r="42" spans="1:5" ht="31.8" thickBot="1">
      <c r="A42" s="243" t="s">
        <v>43</v>
      </c>
      <c r="B42" s="249">
        <f>B45-B43</f>
        <v>35478598</v>
      </c>
      <c r="C42" s="246">
        <f>B42/B$45</f>
        <v>0.75050118770237018</v>
      </c>
      <c r="D42" s="251">
        <f>B42+D13</f>
        <v>44257598</v>
      </c>
      <c r="E42" s="246">
        <f>D42/D$45</f>
        <v>0.99993124817148493</v>
      </c>
    </row>
    <row r="43" spans="1:5" ht="16.2" thickBot="1">
      <c r="A43" s="244" t="s">
        <v>44</v>
      </c>
      <c r="B43" s="250">
        <f>Пр.7!D43-B18</f>
        <v>11794609</v>
      </c>
      <c r="C43" s="246">
        <f>B43/B$45</f>
        <v>0.24949881229762982</v>
      </c>
      <c r="D43" s="250">
        <f>B43-D18</f>
        <v>3043</v>
      </c>
      <c r="E43" s="246">
        <f>D43/D$45</f>
        <v>6.8751828515090864E-5</v>
      </c>
    </row>
    <row r="44" spans="1:5" ht="31.8" thickBot="1">
      <c r="A44" s="244" t="s">
        <v>45</v>
      </c>
      <c r="B44" s="250">
        <v>0</v>
      </c>
      <c r="C44" s="246">
        <f>B44/B$45</f>
        <v>0</v>
      </c>
      <c r="D44" s="250">
        <v>0</v>
      </c>
      <c r="E44" s="246">
        <f>D44/D$45</f>
        <v>0</v>
      </c>
    </row>
    <row r="45" spans="1:5" ht="31.8" thickBot="1">
      <c r="A45" s="243" t="s">
        <v>46</v>
      </c>
      <c r="B45" s="251">
        <f>B27</f>
        <v>47273207</v>
      </c>
      <c r="C45" s="246">
        <f>B45/B$45</f>
        <v>1</v>
      </c>
      <c r="D45" s="251">
        <f>D42+D43+D44</f>
        <v>44260641</v>
      </c>
      <c r="E45" s="246">
        <f>D45/D$45</f>
        <v>1</v>
      </c>
    </row>
    <row r="46" spans="1:5" ht="15.6">
      <c r="A46" s="811"/>
      <c r="B46" s="812"/>
      <c r="C46" s="812"/>
      <c r="D46" s="812"/>
      <c r="E46" s="812"/>
    </row>
    <row r="47" spans="1:5">
      <c r="A47" s="151"/>
      <c r="B47"/>
      <c r="C47"/>
      <c r="D47"/>
      <c r="E47"/>
    </row>
    <row r="48" spans="1:5" ht="15.6">
      <c r="A48" s="137"/>
      <c r="B48"/>
      <c r="C48"/>
      <c r="D48"/>
      <c r="E48"/>
    </row>
  </sheetData>
  <mergeCells count="60">
    <mergeCell ref="A7:E7"/>
    <mergeCell ref="A5:E5"/>
    <mergeCell ref="A1:E1"/>
    <mergeCell ref="A2:E2"/>
    <mergeCell ref="A3:E3"/>
    <mergeCell ref="A4:E4"/>
    <mergeCell ref="B26:C26"/>
    <mergeCell ref="D26:E26"/>
    <mergeCell ref="A23:E23"/>
    <mergeCell ref="A24:E24"/>
    <mergeCell ref="A10:E10"/>
    <mergeCell ref="B15:C15"/>
    <mergeCell ref="D15:E15"/>
    <mergeCell ref="B16:C16"/>
    <mergeCell ref="D16:E16"/>
    <mergeCell ref="D22:E22"/>
    <mergeCell ref="B25:C25"/>
    <mergeCell ref="D25:E25"/>
    <mergeCell ref="B22:C22"/>
    <mergeCell ref="A9:E9"/>
    <mergeCell ref="D21:E21"/>
    <mergeCell ref="B17:C17"/>
    <mergeCell ref="D17:E17"/>
    <mergeCell ref="B20:C20"/>
    <mergeCell ref="D20:E20"/>
    <mergeCell ref="D13:E13"/>
    <mergeCell ref="B18:C18"/>
    <mergeCell ref="D18:E18"/>
    <mergeCell ref="B19:C19"/>
    <mergeCell ref="D19:E19"/>
    <mergeCell ref="A46:E46"/>
    <mergeCell ref="A6:E6"/>
    <mergeCell ref="B11:C11"/>
    <mergeCell ref="B12:C12"/>
    <mergeCell ref="D11:E11"/>
    <mergeCell ref="D12:E12"/>
    <mergeCell ref="B13:C13"/>
    <mergeCell ref="B21:C21"/>
    <mergeCell ref="B14:C14"/>
    <mergeCell ref="D14:E14"/>
    <mergeCell ref="A35:E35"/>
    <mergeCell ref="A36:E36"/>
    <mergeCell ref="A37:A40"/>
    <mergeCell ref="B37:E37"/>
    <mergeCell ref="B38:C39"/>
    <mergeCell ref="D38:E39"/>
    <mergeCell ref="B33:C33"/>
    <mergeCell ref="D33:E33"/>
    <mergeCell ref="B30:C30"/>
    <mergeCell ref="D30:E30"/>
    <mergeCell ref="B31:C31"/>
    <mergeCell ref="D31:E31"/>
    <mergeCell ref="B32:C32"/>
    <mergeCell ref="D32:E32"/>
    <mergeCell ref="B27:C27"/>
    <mergeCell ref="D27:E27"/>
    <mergeCell ref="B28:C28"/>
    <mergeCell ref="D28:E28"/>
    <mergeCell ref="B29:C29"/>
    <mergeCell ref="D29:E29"/>
  </mergeCells>
  <phoneticPr fontId="36" type="noConversion"/>
  <pageMargins left="0.70866141732283472" right="0.70866141732283472" top="0.74803149606299213" bottom="0.74803149606299213" header="0.31496062992125984" footer="0.31496062992125984"/>
  <pageSetup paperSize="9" fitToHeight="0" orientation="portrait"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C170"/>
  <sheetViews>
    <sheetView showGridLines="0" view="pageBreakPreview" zoomScaleSheetLayoutView="100" workbookViewId="0">
      <selection activeCell="A4" sqref="A4:C4"/>
    </sheetView>
  </sheetViews>
  <sheetFormatPr defaultColWidth="9.109375" defaultRowHeight="13.2"/>
  <cols>
    <col min="1" max="1" width="5.109375" style="425" bestFit="1" customWidth="1"/>
    <col min="2" max="2" width="24.44140625" style="425" customWidth="1"/>
    <col min="3" max="3" width="59.109375" style="425" customWidth="1"/>
    <col min="4" max="16384" width="9.109375" style="425"/>
  </cols>
  <sheetData>
    <row r="1" spans="1:3" ht="15.75" customHeight="1">
      <c r="A1" s="782" t="s">
        <v>1589</v>
      </c>
      <c r="B1" s="782"/>
      <c r="C1" s="782"/>
    </row>
    <row r="2" spans="1:3" ht="15.6">
      <c r="A2" s="782" t="s">
        <v>1069</v>
      </c>
      <c r="B2" s="782"/>
      <c r="C2" s="782"/>
    </row>
    <row r="3" spans="1:3" ht="15.6">
      <c r="A3" s="782" t="s">
        <v>720</v>
      </c>
      <c r="B3" s="782"/>
      <c r="C3" s="782"/>
    </row>
    <row r="4" spans="1:3" ht="15.6">
      <c r="A4" s="782" t="s">
        <v>3063</v>
      </c>
      <c r="B4" s="782"/>
      <c r="C4" s="782"/>
    </row>
    <row r="5" spans="1:3" ht="15.6">
      <c r="A5" s="136"/>
      <c r="B5" s="1"/>
      <c r="C5" s="1"/>
    </row>
    <row r="6" spans="1:3" ht="36" customHeight="1">
      <c r="A6" s="843" t="s">
        <v>3020</v>
      </c>
      <c r="B6" s="843"/>
      <c r="C6" s="843"/>
    </row>
    <row r="7" spans="1:3" ht="15.6">
      <c r="A7" s="422"/>
      <c r="B7"/>
      <c r="C7"/>
    </row>
    <row r="8" spans="1:3" ht="15.6">
      <c r="A8" s="851" t="s">
        <v>1212</v>
      </c>
      <c r="B8" s="852"/>
      <c r="C8" s="853"/>
    </row>
    <row r="9" spans="1:3" ht="31.2">
      <c r="A9" s="8">
        <v>950</v>
      </c>
      <c r="B9" s="8" t="s">
        <v>1213</v>
      </c>
      <c r="C9" s="8" t="s">
        <v>1214</v>
      </c>
    </row>
    <row r="10" spans="1:3" ht="31.2">
      <c r="A10" s="8">
        <v>950</v>
      </c>
      <c r="B10" s="258" t="s">
        <v>1576</v>
      </c>
      <c r="C10" s="8" t="s">
        <v>2107</v>
      </c>
    </row>
    <row r="11" spans="1:3" ht="31.2">
      <c r="A11" s="8">
        <v>950</v>
      </c>
      <c r="B11" s="258" t="s">
        <v>1577</v>
      </c>
      <c r="C11" s="8" t="s">
        <v>1578</v>
      </c>
    </row>
    <row r="12" spans="1:3" ht="78">
      <c r="A12" s="259">
        <v>950</v>
      </c>
      <c r="B12" s="8" t="s">
        <v>1579</v>
      </c>
      <c r="C12" s="8" t="s">
        <v>1580</v>
      </c>
    </row>
    <row r="13" spans="1:3" ht="62.4">
      <c r="A13" s="259">
        <v>950</v>
      </c>
      <c r="B13" s="8" t="s">
        <v>1581</v>
      </c>
      <c r="C13" s="8" t="s">
        <v>2028</v>
      </c>
    </row>
    <row r="14" spans="1:3" ht="46.8">
      <c r="A14" s="259">
        <v>950</v>
      </c>
      <c r="B14" s="8" t="s">
        <v>1215</v>
      </c>
      <c r="C14" s="8" t="s">
        <v>1216</v>
      </c>
    </row>
    <row r="15" spans="1:3" ht="31.2">
      <c r="A15" s="259">
        <v>950</v>
      </c>
      <c r="B15" s="258" t="s">
        <v>1217</v>
      </c>
      <c r="C15" s="8" t="s">
        <v>1218</v>
      </c>
    </row>
    <row r="16" spans="1:3" ht="31.2">
      <c r="A16" s="259">
        <v>950</v>
      </c>
      <c r="B16" s="8" t="s">
        <v>1219</v>
      </c>
      <c r="C16" s="8" t="s">
        <v>1437</v>
      </c>
    </row>
    <row r="17" spans="1:3" ht="70.5" customHeight="1">
      <c r="A17" s="259">
        <v>950</v>
      </c>
      <c r="B17" s="8" t="s">
        <v>10</v>
      </c>
      <c r="C17" s="8" t="s">
        <v>1098</v>
      </c>
    </row>
    <row r="18" spans="1:3" ht="46.8">
      <c r="A18" s="259">
        <v>950</v>
      </c>
      <c r="B18" s="8" t="s">
        <v>1438</v>
      </c>
      <c r="C18" s="8" t="s">
        <v>1582</v>
      </c>
    </row>
    <row r="19" spans="1:3" ht="31.2">
      <c r="A19" s="259">
        <v>950</v>
      </c>
      <c r="B19" s="8" t="s">
        <v>2029</v>
      </c>
      <c r="C19" s="8" t="s">
        <v>2030</v>
      </c>
    </row>
    <row r="20" spans="1:3" ht="62.4">
      <c r="A20" s="259">
        <v>950</v>
      </c>
      <c r="B20" s="8" t="s">
        <v>1439</v>
      </c>
      <c r="C20" s="8" t="s">
        <v>1440</v>
      </c>
    </row>
    <row r="21" spans="1:3" ht="31.2">
      <c r="A21" s="259">
        <v>950</v>
      </c>
      <c r="B21" s="8" t="s">
        <v>2532</v>
      </c>
      <c r="C21" s="8" t="s">
        <v>1575</v>
      </c>
    </row>
    <row r="22" spans="1:3" ht="62.4">
      <c r="A22" s="8">
        <v>950</v>
      </c>
      <c r="B22" s="8" t="s">
        <v>1999</v>
      </c>
      <c r="C22" s="8" t="s">
        <v>2283</v>
      </c>
    </row>
    <row r="23" spans="1:3" ht="54.75" customHeight="1">
      <c r="A23" s="8">
        <v>950</v>
      </c>
      <c r="B23" s="8" t="s">
        <v>2585</v>
      </c>
      <c r="C23" s="8" t="s">
        <v>2586</v>
      </c>
    </row>
    <row r="24" spans="1:3" ht="31.2">
      <c r="A24" s="8">
        <v>950</v>
      </c>
      <c r="B24" s="8" t="s">
        <v>2533</v>
      </c>
      <c r="C24" s="8" t="s">
        <v>2092</v>
      </c>
    </row>
    <row r="25" spans="1:3" ht="46.8">
      <c r="A25" s="259">
        <v>950</v>
      </c>
      <c r="B25" s="8" t="s">
        <v>2090</v>
      </c>
      <c r="C25" s="3" t="s">
        <v>2418</v>
      </c>
    </row>
    <row r="26" spans="1:3" ht="62.4">
      <c r="A26" s="259">
        <v>950</v>
      </c>
      <c r="B26" s="8" t="s">
        <v>3011</v>
      </c>
      <c r="C26" s="3" t="s">
        <v>3012</v>
      </c>
    </row>
    <row r="27" spans="1:3" ht="62.4">
      <c r="A27" s="259">
        <v>950</v>
      </c>
      <c r="B27" s="8" t="s">
        <v>1503</v>
      </c>
      <c r="C27" s="3" t="s">
        <v>1504</v>
      </c>
    </row>
    <row r="28" spans="1:3" ht="96.75" customHeight="1">
      <c r="A28" s="259">
        <v>950</v>
      </c>
      <c r="B28" s="8" t="s">
        <v>2534</v>
      </c>
      <c r="C28" s="3" t="s">
        <v>2521</v>
      </c>
    </row>
    <row r="29" spans="1:3" ht="109.2">
      <c r="A29" s="259">
        <v>950</v>
      </c>
      <c r="B29" s="8" t="s">
        <v>2093</v>
      </c>
      <c r="C29" s="8" t="s">
        <v>2244</v>
      </c>
    </row>
    <row r="30" spans="1:3" ht="53.25" customHeight="1">
      <c r="A30" s="259">
        <v>950</v>
      </c>
      <c r="B30" s="8" t="s">
        <v>2535</v>
      </c>
      <c r="C30" s="8" t="s">
        <v>2541</v>
      </c>
    </row>
    <row r="31" spans="1:3" ht="87" customHeight="1">
      <c r="A31" s="259">
        <v>950</v>
      </c>
      <c r="B31" s="8" t="s">
        <v>2094</v>
      </c>
      <c r="C31" s="8" t="s">
        <v>2095</v>
      </c>
    </row>
    <row r="32" spans="1:3" ht="15.6">
      <c r="A32" s="259">
        <v>950</v>
      </c>
      <c r="B32" s="8" t="s">
        <v>1441</v>
      </c>
      <c r="C32" s="3" t="s">
        <v>1442</v>
      </c>
    </row>
    <row r="33" spans="1:3" ht="46.8">
      <c r="A33" s="259">
        <v>950</v>
      </c>
      <c r="B33" s="8" t="s">
        <v>1443</v>
      </c>
      <c r="C33" s="8" t="s">
        <v>3053</v>
      </c>
    </row>
    <row r="34" spans="1:3" ht="62.4">
      <c r="A34" s="259">
        <v>950</v>
      </c>
      <c r="B34" s="8" t="s">
        <v>518</v>
      </c>
      <c r="C34" s="8" t="s">
        <v>3054</v>
      </c>
    </row>
    <row r="35" spans="1:3" ht="46.8">
      <c r="A35" s="259">
        <v>950</v>
      </c>
      <c r="B35" s="8" t="s">
        <v>1859</v>
      </c>
      <c r="C35" s="8" t="s">
        <v>1860</v>
      </c>
    </row>
    <row r="36" spans="1:3" ht="31.2">
      <c r="A36" s="259">
        <v>950</v>
      </c>
      <c r="B36" s="8" t="s">
        <v>2980</v>
      </c>
      <c r="C36" s="8" t="s">
        <v>2655</v>
      </c>
    </row>
    <row r="37" spans="1:3" ht="78">
      <c r="A37" s="258">
        <v>950</v>
      </c>
      <c r="B37" s="258" t="s">
        <v>920</v>
      </c>
      <c r="C37" s="8" t="s">
        <v>921</v>
      </c>
    </row>
    <row r="38" spans="1:3" ht="31.2">
      <c r="A38" s="258">
        <v>950</v>
      </c>
      <c r="B38" s="258" t="s">
        <v>2420</v>
      </c>
      <c r="C38" s="8" t="s">
        <v>923</v>
      </c>
    </row>
    <row r="39" spans="1:3" ht="15.6">
      <c r="A39" s="851" t="s">
        <v>1861</v>
      </c>
      <c r="B39" s="852"/>
      <c r="C39" s="853"/>
    </row>
    <row r="40" spans="1:3" ht="62.4">
      <c r="A40" s="8">
        <v>952</v>
      </c>
      <c r="B40" s="8" t="s">
        <v>1862</v>
      </c>
      <c r="C40" s="8" t="s">
        <v>1863</v>
      </c>
    </row>
    <row r="41" spans="1:3" ht="93.6">
      <c r="A41" s="8">
        <v>952</v>
      </c>
      <c r="B41" s="8" t="s">
        <v>1865</v>
      </c>
      <c r="C41" s="8" t="s">
        <v>1866</v>
      </c>
    </row>
    <row r="42" spans="1:3" ht="78">
      <c r="A42" s="8">
        <v>952</v>
      </c>
      <c r="B42" s="8" t="s">
        <v>1867</v>
      </c>
      <c r="C42" s="8" t="s">
        <v>1868</v>
      </c>
    </row>
    <row r="43" spans="1:3" ht="46.8">
      <c r="A43" s="8">
        <v>952</v>
      </c>
      <c r="B43" s="8" t="s">
        <v>2250</v>
      </c>
      <c r="C43" s="8" t="s">
        <v>2251</v>
      </c>
    </row>
    <row r="44" spans="1:3" ht="62.4">
      <c r="A44" s="8">
        <v>952</v>
      </c>
      <c r="B44" s="8" t="s">
        <v>2252</v>
      </c>
      <c r="C44" s="8" t="s">
        <v>2253</v>
      </c>
    </row>
    <row r="45" spans="1:3" ht="93.6">
      <c r="A45" s="8">
        <v>952</v>
      </c>
      <c r="B45" s="8" t="s">
        <v>1869</v>
      </c>
      <c r="C45" s="8" t="s">
        <v>1296</v>
      </c>
    </row>
    <row r="46" spans="1:3" ht="41.25" customHeight="1">
      <c r="A46" s="8">
        <v>952</v>
      </c>
      <c r="B46" s="258" t="s">
        <v>1576</v>
      </c>
      <c r="C46" s="8" t="s">
        <v>2107</v>
      </c>
    </row>
    <row r="47" spans="1:3" ht="31.2">
      <c r="A47" s="8">
        <v>952</v>
      </c>
      <c r="B47" s="258" t="s">
        <v>1577</v>
      </c>
      <c r="C47" s="8" t="s">
        <v>1578</v>
      </c>
    </row>
    <row r="48" spans="1:3" ht="31.2">
      <c r="A48" s="8">
        <v>952</v>
      </c>
      <c r="B48" s="8" t="s">
        <v>1297</v>
      </c>
      <c r="C48" s="8" t="s">
        <v>1298</v>
      </c>
    </row>
    <row r="49" spans="1:3" ht="93.6">
      <c r="A49" s="8">
        <v>952</v>
      </c>
      <c r="B49" s="8" t="s">
        <v>2104</v>
      </c>
      <c r="C49" s="8" t="s">
        <v>1299</v>
      </c>
    </row>
    <row r="50" spans="1:3" ht="109.2">
      <c r="A50" s="8">
        <v>952</v>
      </c>
      <c r="B50" s="8" t="s">
        <v>2105</v>
      </c>
      <c r="C50" s="8" t="s">
        <v>1871</v>
      </c>
    </row>
    <row r="51" spans="1:3" ht="31.2">
      <c r="A51" s="8">
        <v>952</v>
      </c>
      <c r="B51" s="8" t="s">
        <v>1872</v>
      </c>
      <c r="C51" s="8" t="s">
        <v>1873</v>
      </c>
    </row>
    <row r="52" spans="1:3" ht="62.4">
      <c r="A52" s="8">
        <v>952</v>
      </c>
      <c r="B52" s="8" t="s">
        <v>1875</v>
      </c>
      <c r="C52" s="8" t="s">
        <v>2106</v>
      </c>
    </row>
    <row r="53" spans="1:3" ht="78">
      <c r="A53" s="259">
        <v>952</v>
      </c>
      <c r="B53" s="8" t="s">
        <v>1579</v>
      </c>
      <c r="C53" s="8" t="s">
        <v>1580</v>
      </c>
    </row>
    <row r="54" spans="1:3" ht="62.4">
      <c r="A54" s="259">
        <v>952</v>
      </c>
      <c r="B54" s="8" t="s">
        <v>1581</v>
      </c>
      <c r="C54" s="8" t="s">
        <v>2028</v>
      </c>
    </row>
    <row r="55" spans="1:3" ht="46.8">
      <c r="A55" s="259">
        <v>952</v>
      </c>
      <c r="B55" s="8" t="s">
        <v>1215</v>
      </c>
      <c r="C55" s="8" t="s">
        <v>1216</v>
      </c>
    </row>
    <row r="56" spans="1:3" ht="15.75" customHeight="1">
      <c r="A56" s="259">
        <v>952</v>
      </c>
      <c r="B56" s="258" t="s">
        <v>1217</v>
      </c>
      <c r="C56" s="8" t="s">
        <v>1218</v>
      </c>
    </row>
    <row r="57" spans="1:3" ht="31.2">
      <c r="A57" s="259">
        <v>952</v>
      </c>
      <c r="B57" s="8" t="s">
        <v>1219</v>
      </c>
      <c r="C57" s="8" t="s">
        <v>1437</v>
      </c>
    </row>
    <row r="58" spans="1:3" ht="31.2">
      <c r="A58" s="259">
        <v>952</v>
      </c>
      <c r="B58" s="8" t="s">
        <v>2029</v>
      </c>
      <c r="C58" s="8" t="s">
        <v>2030</v>
      </c>
    </row>
    <row r="59" spans="1:3" ht="62.4">
      <c r="A59" s="259">
        <v>952</v>
      </c>
      <c r="B59" s="8" t="s">
        <v>1439</v>
      </c>
      <c r="C59" s="8" t="s">
        <v>1440</v>
      </c>
    </row>
    <row r="60" spans="1:3" ht="46.8">
      <c r="A60" s="8">
        <v>952</v>
      </c>
      <c r="B60" s="8" t="s">
        <v>1640</v>
      </c>
      <c r="C60" s="8" t="s">
        <v>1641</v>
      </c>
    </row>
    <row r="61" spans="1:3" ht="78">
      <c r="A61" s="260">
        <v>952</v>
      </c>
      <c r="B61" s="8" t="s">
        <v>920</v>
      </c>
      <c r="C61" s="3" t="s">
        <v>921</v>
      </c>
    </row>
    <row r="62" spans="1:3" ht="15.6">
      <c r="A62" s="851" t="s">
        <v>1071</v>
      </c>
      <c r="B62" s="852"/>
      <c r="C62" s="853"/>
    </row>
    <row r="63" spans="1:3" ht="31.2">
      <c r="A63" s="28">
        <v>953</v>
      </c>
      <c r="B63" s="258" t="s">
        <v>1576</v>
      </c>
      <c r="C63" s="8" t="s">
        <v>2107</v>
      </c>
    </row>
    <row r="64" spans="1:3" ht="31.2">
      <c r="A64" s="260">
        <v>953</v>
      </c>
      <c r="B64" s="258" t="s">
        <v>1577</v>
      </c>
      <c r="C64" s="8" t="s">
        <v>1578</v>
      </c>
    </row>
    <row r="65" spans="1:3" ht="78">
      <c r="A65" s="259">
        <v>953</v>
      </c>
      <c r="B65" s="8" t="s">
        <v>1579</v>
      </c>
      <c r="C65" s="8" t="s">
        <v>1580</v>
      </c>
    </row>
    <row r="66" spans="1:3" ht="62.4">
      <c r="A66" s="259">
        <v>953</v>
      </c>
      <c r="B66" s="8" t="s">
        <v>1581</v>
      </c>
      <c r="C66" s="8" t="s">
        <v>2028</v>
      </c>
    </row>
    <row r="67" spans="1:3" ht="46.8">
      <c r="A67" s="259">
        <v>953</v>
      </c>
      <c r="B67" s="8" t="s">
        <v>1215</v>
      </c>
      <c r="C67" s="8" t="s">
        <v>1216</v>
      </c>
    </row>
    <row r="68" spans="1:3" ht="31.2">
      <c r="A68" s="259">
        <v>953</v>
      </c>
      <c r="B68" s="258" t="s">
        <v>1217</v>
      </c>
      <c r="C68" s="8" t="s">
        <v>1218</v>
      </c>
    </row>
    <row r="69" spans="1:3" ht="31.2">
      <c r="A69" s="259">
        <v>953</v>
      </c>
      <c r="B69" s="8" t="s">
        <v>1219</v>
      </c>
      <c r="C69" s="8" t="s">
        <v>1437</v>
      </c>
    </row>
    <row r="70" spans="1:3" ht="46.8">
      <c r="A70" s="259">
        <v>953</v>
      </c>
      <c r="B70" s="8" t="s">
        <v>1438</v>
      </c>
      <c r="C70" s="8" t="s">
        <v>1582</v>
      </c>
    </row>
    <row r="71" spans="1:3" ht="31.2">
      <c r="A71" s="259">
        <v>953</v>
      </c>
      <c r="B71" s="8" t="s">
        <v>2029</v>
      </c>
      <c r="C71" s="8" t="s">
        <v>2030</v>
      </c>
    </row>
    <row r="72" spans="1:3" ht="62.4">
      <c r="A72" s="259">
        <v>953</v>
      </c>
      <c r="B72" s="8" t="s">
        <v>1439</v>
      </c>
      <c r="C72" s="8" t="s">
        <v>1440</v>
      </c>
    </row>
    <row r="73" spans="1:3" ht="31.2">
      <c r="A73" s="259">
        <v>953</v>
      </c>
      <c r="B73" s="8" t="s">
        <v>2091</v>
      </c>
      <c r="C73" s="8" t="s">
        <v>2092</v>
      </c>
    </row>
    <row r="74" spans="1:3" ht="15.6">
      <c r="A74" s="259">
        <v>953</v>
      </c>
      <c r="B74" s="8" t="s">
        <v>1441</v>
      </c>
      <c r="C74" s="3" t="s">
        <v>1442</v>
      </c>
    </row>
    <row r="75" spans="1:3" ht="46.8">
      <c r="A75" s="259">
        <v>953</v>
      </c>
      <c r="B75" s="8" t="s">
        <v>1072</v>
      </c>
      <c r="C75" s="8" t="s">
        <v>1073</v>
      </c>
    </row>
    <row r="76" spans="1:3" ht="46.8">
      <c r="A76" s="259">
        <v>953</v>
      </c>
      <c r="B76" s="8" t="s">
        <v>1859</v>
      </c>
      <c r="C76" s="8" t="s">
        <v>1860</v>
      </c>
    </row>
    <row r="77" spans="1:3" ht="78">
      <c r="A77" s="259">
        <v>953</v>
      </c>
      <c r="B77" s="8" t="s">
        <v>920</v>
      </c>
      <c r="C77" s="8" t="s">
        <v>921</v>
      </c>
    </row>
    <row r="78" spans="1:3" ht="31.2">
      <c r="A78" s="258">
        <v>953</v>
      </c>
      <c r="B78" s="258" t="s">
        <v>922</v>
      </c>
      <c r="C78" s="8" t="s">
        <v>923</v>
      </c>
    </row>
    <row r="79" spans="1:3" ht="15.6">
      <c r="A79" s="854" t="s">
        <v>1080</v>
      </c>
      <c r="B79" s="855"/>
      <c r="C79" s="856"/>
    </row>
    <row r="80" spans="1:3" ht="31.2">
      <c r="A80" s="259">
        <v>954</v>
      </c>
      <c r="B80" s="258" t="s">
        <v>1576</v>
      </c>
      <c r="C80" s="8" t="s">
        <v>2107</v>
      </c>
    </row>
    <row r="81" spans="1:3" ht="31.2">
      <c r="A81" s="259">
        <v>954</v>
      </c>
      <c r="B81" s="258" t="s">
        <v>1577</v>
      </c>
      <c r="C81" s="8" t="s">
        <v>1578</v>
      </c>
    </row>
    <row r="82" spans="1:3" ht="78">
      <c r="A82" s="259">
        <v>954</v>
      </c>
      <c r="B82" s="8" t="s">
        <v>1579</v>
      </c>
      <c r="C82" s="8" t="s">
        <v>1580</v>
      </c>
    </row>
    <row r="83" spans="1:3" ht="62.4">
      <c r="A83" s="259">
        <v>954</v>
      </c>
      <c r="B83" s="8" t="s">
        <v>1581</v>
      </c>
      <c r="C83" s="8" t="s">
        <v>2028</v>
      </c>
    </row>
    <row r="84" spans="1:3" ht="46.8">
      <c r="A84" s="259">
        <v>954</v>
      </c>
      <c r="B84" s="8" t="s">
        <v>1215</v>
      </c>
      <c r="C84" s="8" t="s">
        <v>1216</v>
      </c>
    </row>
    <row r="85" spans="1:3" ht="31.2">
      <c r="A85" s="259">
        <v>954</v>
      </c>
      <c r="B85" s="258" t="s">
        <v>1217</v>
      </c>
      <c r="C85" s="8" t="s">
        <v>1218</v>
      </c>
    </row>
    <row r="86" spans="1:3" ht="31.2">
      <c r="A86" s="259">
        <v>954</v>
      </c>
      <c r="B86" s="8" t="s">
        <v>1219</v>
      </c>
      <c r="C86" s="8" t="s">
        <v>1437</v>
      </c>
    </row>
    <row r="87" spans="1:3" ht="46.8">
      <c r="A87" s="259">
        <v>954</v>
      </c>
      <c r="B87" s="8" t="s">
        <v>1438</v>
      </c>
      <c r="C87" s="8" t="s">
        <v>1582</v>
      </c>
    </row>
    <row r="88" spans="1:3" ht="31.2">
      <c r="A88" s="259">
        <v>954</v>
      </c>
      <c r="B88" s="8" t="s">
        <v>2029</v>
      </c>
      <c r="C88" s="8" t="s">
        <v>2030</v>
      </c>
    </row>
    <row r="89" spans="1:3" ht="62.4">
      <c r="A89" s="259">
        <v>954</v>
      </c>
      <c r="B89" s="8" t="s">
        <v>1439</v>
      </c>
      <c r="C89" s="8" t="s">
        <v>1440</v>
      </c>
    </row>
    <row r="90" spans="1:3" ht="31.2">
      <c r="A90" s="259">
        <v>954</v>
      </c>
      <c r="B90" s="8" t="s">
        <v>2533</v>
      </c>
      <c r="C90" s="8" t="s">
        <v>2092</v>
      </c>
    </row>
    <row r="91" spans="1:3" ht="15.6">
      <c r="A91" s="259">
        <v>954</v>
      </c>
      <c r="B91" s="8" t="s">
        <v>2536</v>
      </c>
      <c r="C91" s="8" t="s">
        <v>1442</v>
      </c>
    </row>
    <row r="92" spans="1:3" ht="46.8">
      <c r="A92" s="259">
        <v>954</v>
      </c>
      <c r="B92" s="8" t="s">
        <v>1081</v>
      </c>
      <c r="C92" s="8" t="s">
        <v>1082</v>
      </c>
    </row>
    <row r="93" spans="1:3" ht="78">
      <c r="A93" s="259">
        <v>954</v>
      </c>
      <c r="B93" s="8" t="s">
        <v>1083</v>
      </c>
      <c r="C93" s="8" t="s">
        <v>3055</v>
      </c>
    </row>
    <row r="94" spans="1:3" ht="70.5" customHeight="1">
      <c r="A94" s="259">
        <v>954</v>
      </c>
      <c r="B94" s="8" t="s">
        <v>2537</v>
      </c>
      <c r="C94" s="8" t="s">
        <v>2538</v>
      </c>
    </row>
    <row r="95" spans="1:3" ht="46.8">
      <c r="A95" s="259">
        <v>954</v>
      </c>
      <c r="B95" s="8" t="s">
        <v>1087</v>
      </c>
      <c r="C95" s="8" t="s">
        <v>1088</v>
      </c>
    </row>
    <row r="96" spans="1:3" ht="46.8">
      <c r="A96" s="259">
        <v>954</v>
      </c>
      <c r="B96" s="8" t="s">
        <v>1859</v>
      </c>
      <c r="C96" s="8" t="s">
        <v>1860</v>
      </c>
    </row>
    <row r="97" spans="1:3" ht="93.6">
      <c r="A97" s="259">
        <v>954</v>
      </c>
      <c r="B97" s="8" t="s">
        <v>1089</v>
      </c>
      <c r="C97" s="8" t="s">
        <v>1090</v>
      </c>
    </row>
    <row r="98" spans="1:3" ht="78">
      <c r="A98" s="259">
        <v>954</v>
      </c>
      <c r="B98" s="8" t="s">
        <v>2258</v>
      </c>
      <c r="C98" s="8" t="s">
        <v>2265</v>
      </c>
    </row>
    <row r="99" spans="1:3" ht="124.8">
      <c r="A99" s="259">
        <v>954</v>
      </c>
      <c r="B99" s="8" t="s">
        <v>2464</v>
      </c>
      <c r="C99" s="8" t="s">
        <v>2465</v>
      </c>
    </row>
    <row r="100" spans="1:3" ht="46.8">
      <c r="A100" s="259">
        <v>954</v>
      </c>
      <c r="B100" s="8" t="s">
        <v>2613</v>
      </c>
      <c r="C100" s="8" t="s">
        <v>2614</v>
      </c>
    </row>
    <row r="101" spans="1:3" ht="31.2">
      <c r="A101" s="259">
        <v>954</v>
      </c>
      <c r="B101" s="258" t="s">
        <v>922</v>
      </c>
      <c r="C101" s="8" t="s">
        <v>923</v>
      </c>
    </row>
    <row r="102" spans="1:3" ht="46.8">
      <c r="A102" s="259">
        <v>954</v>
      </c>
      <c r="B102" s="8" t="s">
        <v>1091</v>
      </c>
      <c r="C102" s="8" t="s">
        <v>1092</v>
      </c>
    </row>
    <row r="103" spans="1:3" ht="15.6">
      <c r="A103" s="851" t="s">
        <v>1093</v>
      </c>
      <c r="B103" s="852"/>
      <c r="C103" s="853"/>
    </row>
    <row r="104" spans="1:3" ht="31.2">
      <c r="A104" s="8">
        <v>955</v>
      </c>
      <c r="B104" s="258" t="s">
        <v>1094</v>
      </c>
      <c r="C104" s="8" t="s">
        <v>1095</v>
      </c>
    </row>
    <row r="105" spans="1:3" ht="31.2">
      <c r="A105" s="8">
        <v>955</v>
      </c>
      <c r="B105" s="258" t="s">
        <v>1576</v>
      </c>
      <c r="C105" s="8" t="s">
        <v>2107</v>
      </c>
    </row>
    <row r="106" spans="1:3" ht="31.2">
      <c r="A106" s="8">
        <v>955</v>
      </c>
      <c r="B106" s="258" t="s">
        <v>1577</v>
      </c>
      <c r="C106" s="8" t="s">
        <v>1578</v>
      </c>
    </row>
    <row r="107" spans="1:3" ht="46.8">
      <c r="A107" s="8">
        <v>955</v>
      </c>
      <c r="B107" s="258" t="s">
        <v>1096</v>
      </c>
      <c r="C107" s="8" t="s">
        <v>1097</v>
      </c>
    </row>
    <row r="108" spans="1:3" ht="78">
      <c r="A108" s="259">
        <v>955</v>
      </c>
      <c r="B108" s="8" t="s">
        <v>1579</v>
      </c>
      <c r="C108" s="8" t="s">
        <v>1580</v>
      </c>
    </row>
    <row r="109" spans="1:3" ht="62.4">
      <c r="A109" s="259">
        <v>955</v>
      </c>
      <c r="B109" s="8" t="s">
        <v>1581</v>
      </c>
      <c r="C109" s="8" t="s">
        <v>2028</v>
      </c>
    </row>
    <row r="110" spans="1:3" ht="62.4">
      <c r="A110" s="8">
        <v>955</v>
      </c>
      <c r="B110" s="8" t="s">
        <v>2108</v>
      </c>
      <c r="C110" s="8" t="s">
        <v>2109</v>
      </c>
    </row>
    <row r="111" spans="1:3" ht="46.8">
      <c r="A111" s="259">
        <v>955</v>
      </c>
      <c r="B111" s="8" t="s">
        <v>1215</v>
      </c>
      <c r="C111" s="8" t="s">
        <v>1216</v>
      </c>
    </row>
    <row r="112" spans="1:3" ht="31.2">
      <c r="A112" s="8">
        <v>955</v>
      </c>
      <c r="B112" s="258" t="s">
        <v>1217</v>
      </c>
      <c r="C112" s="8" t="s">
        <v>1218</v>
      </c>
    </row>
    <row r="113" spans="1:3" ht="31.2">
      <c r="A113" s="8">
        <v>955</v>
      </c>
      <c r="B113" s="258" t="s">
        <v>3013</v>
      </c>
      <c r="C113" s="8" t="s">
        <v>2714</v>
      </c>
    </row>
    <row r="114" spans="1:3" ht="31.2">
      <c r="A114" s="259">
        <v>955</v>
      </c>
      <c r="B114" s="8" t="s">
        <v>1219</v>
      </c>
      <c r="C114" s="8" t="s">
        <v>1437</v>
      </c>
    </row>
    <row r="115" spans="1:3" ht="62.4">
      <c r="A115" s="8">
        <v>955</v>
      </c>
      <c r="B115" s="8" t="s">
        <v>10</v>
      </c>
      <c r="C115" s="8" t="s">
        <v>1098</v>
      </c>
    </row>
    <row r="116" spans="1:3" ht="31.2">
      <c r="A116" s="8">
        <v>955</v>
      </c>
      <c r="B116" s="8" t="s">
        <v>2029</v>
      </c>
      <c r="C116" s="8" t="s">
        <v>2030</v>
      </c>
    </row>
    <row r="117" spans="1:3" ht="62.4">
      <c r="A117" s="8">
        <v>955</v>
      </c>
      <c r="B117" s="8" t="s">
        <v>1439</v>
      </c>
      <c r="C117" s="8" t="s">
        <v>1440</v>
      </c>
    </row>
    <row r="118" spans="1:3" ht="31.2">
      <c r="A118" s="8">
        <v>955</v>
      </c>
      <c r="B118" s="8" t="s">
        <v>1995</v>
      </c>
      <c r="C118" s="8" t="s">
        <v>1996</v>
      </c>
    </row>
    <row r="119" spans="1:3" ht="31.2">
      <c r="A119" s="8">
        <v>955</v>
      </c>
      <c r="B119" s="8" t="s">
        <v>3014</v>
      </c>
      <c r="C119" s="8" t="s">
        <v>3015</v>
      </c>
    </row>
    <row r="120" spans="1:3" ht="31.2">
      <c r="A120" s="8">
        <v>955</v>
      </c>
      <c r="B120" s="8" t="s">
        <v>1997</v>
      </c>
      <c r="C120" s="8" t="s">
        <v>1998</v>
      </c>
    </row>
    <row r="121" spans="1:3" ht="24" customHeight="1">
      <c r="A121" s="8">
        <v>955</v>
      </c>
      <c r="B121" s="8" t="s">
        <v>2539</v>
      </c>
      <c r="C121" s="8" t="s">
        <v>2540</v>
      </c>
    </row>
    <row r="122" spans="1:3" ht="24" customHeight="1">
      <c r="A122" s="8">
        <v>955</v>
      </c>
      <c r="B122" s="8" t="s">
        <v>3016</v>
      </c>
      <c r="C122" s="8" t="s">
        <v>3017</v>
      </c>
    </row>
    <row r="123" spans="1:3" ht="15.6">
      <c r="A123" s="8">
        <v>955</v>
      </c>
      <c r="B123" s="8" t="s">
        <v>1441</v>
      </c>
      <c r="C123" s="3" t="s">
        <v>1442</v>
      </c>
    </row>
    <row r="124" spans="1:3" ht="52.5" customHeight="1">
      <c r="A124" s="8">
        <v>955</v>
      </c>
      <c r="B124" s="8" t="s">
        <v>2000</v>
      </c>
      <c r="C124" s="8" t="s">
        <v>2001</v>
      </c>
    </row>
    <row r="125" spans="1:3" ht="46.8">
      <c r="A125" s="8">
        <v>955</v>
      </c>
      <c r="B125" s="8" t="s">
        <v>1859</v>
      </c>
      <c r="C125" s="8" t="s">
        <v>2002</v>
      </c>
    </row>
    <row r="126" spans="1:3" ht="62.4">
      <c r="A126" s="8">
        <v>955</v>
      </c>
      <c r="B126" s="8" t="s">
        <v>918</v>
      </c>
      <c r="C126" s="8" t="s">
        <v>919</v>
      </c>
    </row>
    <row r="127" spans="1:3" ht="78">
      <c r="A127" s="8">
        <v>955</v>
      </c>
      <c r="B127" s="8" t="s">
        <v>920</v>
      </c>
      <c r="C127" s="8" t="s">
        <v>921</v>
      </c>
    </row>
    <row r="128" spans="1:3" ht="31.2">
      <c r="A128" s="8">
        <v>955</v>
      </c>
      <c r="B128" s="8" t="s">
        <v>922</v>
      </c>
      <c r="C128" s="8" t="s">
        <v>923</v>
      </c>
    </row>
    <row r="129" spans="1:3" ht="109.2">
      <c r="A129" s="8">
        <v>955</v>
      </c>
      <c r="B129" s="8" t="s">
        <v>924</v>
      </c>
      <c r="C129" s="8" t="s">
        <v>1498</v>
      </c>
    </row>
    <row r="130" spans="1:3" ht="109.2">
      <c r="A130" s="8">
        <v>955</v>
      </c>
      <c r="B130" s="8" t="s">
        <v>3018</v>
      </c>
      <c r="C130" s="8" t="s">
        <v>3019</v>
      </c>
    </row>
    <row r="131" spans="1:3" ht="15.6">
      <c r="A131" s="851" t="s">
        <v>1499</v>
      </c>
      <c r="B131" s="852"/>
      <c r="C131" s="853"/>
    </row>
    <row r="132" spans="1:3" ht="31.2">
      <c r="A132" s="261">
        <v>956</v>
      </c>
      <c r="B132" s="258" t="s">
        <v>1576</v>
      </c>
      <c r="C132" s="8" t="s">
        <v>2107</v>
      </c>
    </row>
    <row r="133" spans="1:3" ht="31.2">
      <c r="A133" s="261">
        <v>956</v>
      </c>
      <c r="B133" s="258" t="s">
        <v>1577</v>
      </c>
      <c r="C133" s="8" t="s">
        <v>1578</v>
      </c>
    </row>
    <row r="134" spans="1:3" ht="78">
      <c r="A134" s="259">
        <v>956</v>
      </c>
      <c r="B134" s="8" t="s">
        <v>1579</v>
      </c>
      <c r="C134" s="8" t="s">
        <v>1580</v>
      </c>
    </row>
    <row r="135" spans="1:3" ht="62.4">
      <c r="A135" s="259">
        <v>956</v>
      </c>
      <c r="B135" s="8" t="s">
        <v>1581</v>
      </c>
      <c r="C135" s="8" t="s">
        <v>2028</v>
      </c>
    </row>
    <row r="136" spans="1:3" ht="46.8">
      <c r="A136" s="259">
        <v>956</v>
      </c>
      <c r="B136" s="8" t="s">
        <v>1215</v>
      </c>
      <c r="C136" s="8" t="s">
        <v>1216</v>
      </c>
    </row>
    <row r="137" spans="1:3" ht="31.2">
      <c r="A137" s="259">
        <v>956</v>
      </c>
      <c r="B137" s="258" t="s">
        <v>1217</v>
      </c>
      <c r="C137" s="8" t="s">
        <v>1218</v>
      </c>
    </row>
    <row r="138" spans="1:3" ht="31.2">
      <c r="A138" s="259">
        <v>956</v>
      </c>
      <c r="B138" s="8" t="s">
        <v>1219</v>
      </c>
      <c r="C138" s="8" t="s">
        <v>1437</v>
      </c>
    </row>
    <row r="139" spans="1:3" ht="66.75" customHeight="1">
      <c r="A139" s="259">
        <v>956</v>
      </c>
      <c r="B139" s="8" t="s">
        <v>10</v>
      </c>
      <c r="C139" s="8" t="s">
        <v>1098</v>
      </c>
    </row>
    <row r="140" spans="1:3" ht="46.8">
      <c r="A140" s="259">
        <v>956</v>
      </c>
      <c r="B140" s="8" t="s">
        <v>1438</v>
      </c>
      <c r="C140" s="8" t="s">
        <v>1582</v>
      </c>
    </row>
    <row r="141" spans="1:3" ht="31.2">
      <c r="A141" s="259">
        <v>956</v>
      </c>
      <c r="B141" s="8" t="s">
        <v>2029</v>
      </c>
      <c r="C141" s="8" t="s">
        <v>2030</v>
      </c>
    </row>
    <row r="142" spans="1:3" ht="62.4">
      <c r="A142" s="259">
        <v>956</v>
      </c>
      <c r="B142" s="8" t="s">
        <v>1439</v>
      </c>
      <c r="C142" s="8" t="s">
        <v>1440</v>
      </c>
    </row>
    <row r="143" spans="1:3" ht="15.75" customHeight="1">
      <c r="A143" s="8">
        <v>956</v>
      </c>
      <c r="B143" s="8" t="s">
        <v>1441</v>
      </c>
      <c r="C143" s="3" t="s">
        <v>1442</v>
      </c>
    </row>
    <row r="144" spans="1:3" ht="78">
      <c r="A144" s="8">
        <v>956</v>
      </c>
      <c r="B144" s="8" t="s">
        <v>920</v>
      </c>
      <c r="C144" s="3" t="s">
        <v>921</v>
      </c>
    </row>
    <row r="145" spans="1:3" ht="78">
      <c r="A145" s="8">
        <v>956</v>
      </c>
      <c r="B145" s="8" t="s">
        <v>2266</v>
      </c>
      <c r="C145" s="3" t="s">
        <v>2267</v>
      </c>
    </row>
    <row r="146" spans="1:3" ht="62.4">
      <c r="A146" s="8">
        <v>956</v>
      </c>
      <c r="B146" s="8" t="s">
        <v>2268</v>
      </c>
      <c r="C146" s="3" t="s">
        <v>2269</v>
      </c>
    </row>
    <row r="147" spans="1:3" ht="62.4">
      <c r="A147" s="8">
        <v>956</v>
      </c>
      <c r="B147" s="8" t="s">
        <v>2270</v>
      </c>
      <c r="C147" s="3" t="s">
        <v>2271</v>
      </c>
    </row>
    <row r="148" spans="1:3" ht="46.8">
      <c r="A148" s="259">
        <v>956</v>
      </c>
      <c r="B148" s="8" t="s">
        <v>1501</v>
      </c>
      <c r="C148" s="3" t="s">
        <v>1502</v>
      </c>
    </row>
    <row r="149" spans="1:3" ht="31.2">
      <c r="A149" s="258">
        <v>956</v>
      </c>
      <c r="B149" s="8" t="s">
        <v>922</v>
      </c>
      <c r="C149" s="8" t="s">
        <v>923</v>
      </c>
    </row>
    <row r="150" spans="1:3" ht="15.6">
      <c r="A150" s="848" t="s">
        <v>1505</v>
      </c>
      <c r="B150" s="849"/>
      <c r="C150" s="850"/>
    </row>
    <row r="151" spans="1:3" ht="31.2">
      <c r="A151" s="260">
        <v>958</v>
      </c>
      <c r="B151" s="258" t="s">
        <v>1576</v>
      </c>
      <c r="C151" s="8" t="s">
        <v>2107</v>
      </c>
    </row>
    <row r="152" spans="1:3" ht="31.2">
      <c r="A152" s="260">
        <v>958</v>
      </c>
      <c r="B152" s="258" t="s">
        <v>1577</v>
      </c>
      <c r="C152" s="8" t="s">
        <v>1578</v>
      </c>
    </row>
    <row r="153" spans="1:3" ht="78">
      <c r="A153" s="259">
        <v>958</v>
      </c>
      <c r="B153" s="8" t="s">
        <v>1579</v>
      </c>
      <c r="C153" s="8" t="s">
        <v>1580</v>
      </c>
    </row>
    <row r="154" spans="1:3" ht="62.4">
      <c r="A154" s="259">
        <v>958</v>
      </c>
      <c r="B154" s="8" t="s">
        <v>1581</v>
      </c>
      <c r="C154" s="8" t="s">
        <v>2028</v>
      </c>
    </row>
    <row r="155" spans="1:3" ht="109.2">
      <c r="A155" s="259">
        <v>958</v>
      </c>
      <c r="B155" s="8" t="s">
        <v>2272</v>
      </c>
      <c r="C155" s="8" t="s">
        <v>2273</v>
      </c>
    </row>
    <row r="156" spans="1:3" ht="46.8">
      <c r="A156" s="259">
        <v>958</v>
      </c>
      <c r="B156" s="8" t="s">
        <v>1215</v>
      </c>
      <c r="C156" s="8" t="s">
        <v>1216</v>
      </c>
    </row>
    <row r="157" spans="1:3" ht="31.2">
      <c r="A157" s="259">
        <v>958</v>
      </c>
      <c r="B157" s="258" t="s">
        <v>1217</v>
      </c>
      <c r="C157" s="8" t="s">
        <v>1218</v>
      </c>
    </row>
    <row r="158" spans="1:3" ht="31.2">
      <c r="A158" s="259">
        <v>958</v>
      </c>
      <c r="B158" s="8" t="s">
        <v>1219</v>
      </c>
      <c r="C158" s="8" t="s">
        <v>1437</v>
      </c>
    </row>
    <row r="159" spans="1:3" ht="72" customHeight="1">
      <c r="A159" s="259">
        <v>958</v>
      </c>
      <c r="B159" s="8" t="s">
        <v>10</v>
      </c>
      <c r="C159" s="8" t="s">
        <v>1098</v>
      </c>
    </row>
    <row r="160" spans="1:3" ht="46.8">
      <c r="A160" s="259">
        <v>958</v>
      </c>
      <c r="B160" s="8" t="s">
        <v>1438</v>
      </c>
      <c r="C160" s="8" t="s">
        <v>1582</v>
      </c>
    </row>
    <row r="161" spans="1:3" ht="31.2">
      <c r="A161" s="259">
        <v>958</v>
      </c>
      <c r="B161" s="8" t="s">
        <v>2029</v>
      </c>
      <c r="C161" s="8" t="s">
        <v>2030</v>
      </c>
    </row>
    <row r="162" spans="1:3" ht="62.4">
      <c r="A162" s="259">
        <v>958</v>
      </c>
      <c r="B162" s="8" t="s">
        <v>1439</v>
      </c>
      <c r="C162" s="8" t="s">
        <v>1440</v>
      </c>
    </row>
    <row r="163" spans="1:3" ht="78">
      <c r="A163" s="259">
        <v>958</v>
      </c>
      <c r="B163" s="8" t="s">
        <v>2246</v>
      </c>
      <c r="C163" s="8" t="s">
        <v>2247</v>
      </c>
    </row>
    <row r="164" spans="1:3" ht="31.2">
      <c r="A164" s="259">
        <v>958</v>
      </c>
      <c r="B164" s="8" t="s">
        <v>2091</v>
      </c>
      <c r="C164" s="8" t="s">
        <v>2092</v>
      </c>
    </row>
    <row r="165" spans="1:3" ht="46.8">
      <c r="A165" s="259">
        <v>958</v>
      </c>
      <c r="B165" s="8" t="s">
        <v>1500</v>
      </c>
      <c r="C165" s="8" t="s">
        <v>2419</v>
      </c>
    </row>
    <row r="166" spans="1:3" ht="46.8">
      <c r="A166" s="259">
        <v>958</v>
      </c>
      <c r="B166" s="8" t="s">
        <v>2254</v>
      </c>
      <c r="C166" s="8" t="s">
        <v>2255</v>
      </c>
    </row>
    <row r="167" spans="1:3" ht="102.75" customHeight="1">
      <c r="A167" s="258">
        <v>958</v>
      </c>
      <c r="B167" s="258" t="s">
        <v>2981</v>
      </c>
      <c r="C167" s="8" t="s">
        <v>3056</v>
      </c>
    </row>
    <row r="168" spans="1:3" ht="15.6">
      <c r="A168" s="259">
        <v>958</v>
      </c>
      <c r="B168" s="8" t="s">
        <v>1441</v>
      </c>
      <c r="C168" s="8" t="s">
        <v>1442</v>
      </c>
    </row>
    <row r="169" spans="1:3" ht="78">
      <c r="A169" s="259">
        <v>958</v>
      </c>
      <c r="B169" s="8" t="s">
        <v>2245</v>
      </c>
      <c r="C169" s="8" t="s">
        <v>921</v>
      </c>
    </row>
    <row r="170" spans="1:3" ht="31.2">
      <c r="A170" s="259">
        <v>958</v>
      </c>
      <c r="B170" s="8" t="s">
        <v>922</v>
      </c>
      <c r="C170" s="8" t="s">
        <v>923</v>
      </c>
    </row>
  </sheetData>
  <mergeCells count="12">
    <mergeCell ref="A1:C1"/>
    <mergeCell ref="A103:C103"/>
    <mergeCell ref="A131:C131"/>
    <mergeCell ref="A150:C150"/>
    <mergeCell ref="A2:C2"/>
    <mergeCell ref="A3:C3"/>
    <mergeCell ref="A4:C4"/>
    <mergeCell ref="A6:C6"/>
    <mergeCell ref="A8:C8"/>
    <mergeCell ref="A39:C39"/>
    <mergeCell ref="A62:C62"/>
    <mergeCell ref="A79:C79"/>
  </mergeCells>
  <pageMargins left="0.70866141732283472" right="0.70866141732283472" top="0.74803149606299213" bottom="0.74803149606299213" header="0.31496062992125984" footer="0.31496062992125984"/>
  <pageSetup paperSize="9" fitToHeight="1000" orientation="portrait" r:id="rId1"/>
</worksheet>
</file>

<file path=xl/worksheets/sheet12.xml><?xml version="1.0" encoding="utf-8"?>
<worksheet xmlns="http://schemas.openxmlformats.org/spreadsheetml/2006/main" xmlns:r="http://schemas.openxmlformats.org/officeDocument/2006/relationships">
  <dimension ref="A1:E34"/>
  <sheetViews>
    <sheetView topLeftCell="A4" workbookViewId="0">
      <selection activeCell="C12" sqref="C12"/>
    </sheetView>
  </sheetViews>
  <sheetFormatPr defaultColWidth="9.109375" defaultRowHeight="13.2"/>
  <cols>
    <col min="1" max="1" width="36.5546875" style="157" customWidth="1"/>
    <col min="2" max="2" width="16.88671875" style="157" customWidth="1"/>
    <col min="3" max="3" width="16.44140625" style="157" customWidth="1"/>
    <col min="4" max="4" width="15" style="157" customWidth="1"/>
    <col min="5" max="5" width="0" style="157" hidden="1" customWidth="1"/>
    <col min="6" max="16384" width="9.109375" style="157"/>
  </cols>
  <sheetData>
    <row r="1" spans="1:5" ht="15.6">
      <c r="A1" s="782" t="s">
        <v>1590</v>
      </c>
      <c r="B1" s="782"/>
      <c r="C1" s="782"/>
      <c r="D1" s="810"/>
      <c r="E1" s="810"/>
    </row>
    <row r="2" spans="1:5" ht="15.6">
      <c r="A2" s="782" t="s">
        <v>1069</v>
      </c>
      <c r="B2" s="782"/>
      <c r="C2" s="782"/>
      <c r="D2" s="810"/>
      <c r="E2" s="810"/>
    </row>
    <row r="3" spans="1:5" ht="15.6">
      <c r="A3" s="782" t="s">
        <v>720</v>
      </c>
      <c r="B3" s="782"/>
      <c r="C3" s="782"/>
      <c r="D3" s="810"/>
      <c r="E3" s="810"/>
    </row>
    <row r="4" spans="1:5" ht="15.6">
      <c r="A4" s="782" t="s">
        <v>3062</v>
      </c>
      <c r="B4" s="782"/>
      <c r="C4" s="782"/>
      <c r="D4" s="810"/>
      <c r="E4" s="810"/>
    </row>
    <row r="5" spans="1:5" ht="15.6">
      <c r="A5" s="809"/>
      <c r="B5" s="810"/>
      <c r="C5" s="810"/>
      <c r="D5" s="810"/>
      <c r="E5" s="810"/>
    </row>
    <row r="6" spans="1:5">
      <c r="A6" s="436"/>
      <c r="B6" s="436"/>
      <c r="C6" s="436"/>
      <c r="D6" s="436"/>
      <c r="E6"/>
    </row>
    <row r="7" spans="1:5" ht="84.75" customHeight="1">
      <c r="A7" s="845" t="s">
        <v>2718</v>
      </c>
      <c r="B7" s="846"/>
      <c r="C7" s="846"/>
      <c r="D7" s="847"/>
      <c r="E7"/>
    </row>
    <row r="8" spans="1:5" ht="46.8">
      <c r="A8" s="437" t="s">
        <v>2690</v>
      </c>
      <c r="B8" s="438" t="s">
        <v>2691</v>
      </c>
      <c r="C8" s="438" t="s">
        <v>2692</v>
      </c>
      <c r="D8" s="438" t="s">
        <v>2693</v>
      </c>
      <c r="E8"/>
    </row>
    <row r="9" spans="1:5" ht="62.4">
      <c r="A9" s="439" t="s">
        <v>2694</v>
      </c>
      <c r="B9" s="437"/>
      <c r="C9" s="437"/>
      <c r="D9" s="437"/>
      <c r="E9"/>
    </row>
    <row r="10" spans="1:5" ht="46.8">
      <c r="A10" s="53" t="s">
        <v>2695</v>
      </c>
      <c r="B10" s="437">
        <v>100</v>
      </c>
      <c r="C10" s="437"/>
      <c r="D10" s="437"/>
      <c r="E10"/>
    </row>
    <row r="11" spans="1:5" ht="124.8">
      <c r="A11" s="53" t="s">
        <v>2696</v>
      </c>
      <c r="B11" s="437">
        <v>100</v>
      </c>
      <c r="C11" s="437"/>
      <c r="D11" s="437"/>
      <c r="E11"/>
    </row>
    <row r="12" spans="1:5" ht="46.8">
      <c r="A12" s="53" t="s">
        <v>2697</v>
      </c>
      <c r="B12" s="437">
        <v>100</v>
      </c>
      <c r="C12" s="437"/>
      <c r="D12" s="437"/>
      <c r="E12"/>
    </row>
    <row r="13" spans="1:5" ht="46.8">
      <c r="A13" s="440" t="s">
        <v>2698</v>
      </c>
      <c r="B13" s="437"/>
      <c r="C13" s="437"/>
      <c r="D13" s="437"/>
      <c r="E13"/>
    </row>
    <row r="14" spans="1:5" ht="46.8">
      <c r="A14" s="103" t="s">
        <v>2699</v>
      </c>
      <c r="B14" s="437">
        <v>100</v>
      </c>
      <c r="C14" s="437"/>
      <c r="D14" s="437"/>
      <c r="E14"/>
    </row>
    <row r="15" spans="1:5" ht="46.8">
      <c r="A15" s="426" t="s">
        <v>2700</v>
      </c>
      <c r="B15" s="437">
        <v>100</v>
      </c>
      <c r="C15" s="437"/>
      <c r="D15" s="437"/>
      <c r="E15"/>
    </row>
    <row r="16" spans="1:5" ht="48" customHeight="1">
      <c r="A16" s="53" t="s">
        <v>2701</v>
      </c>
      <c r="B16" s="437"/>
      <c r="C16" s="437">
        <v>100</v>
      </c>
      <c r="D16" s="437"/>
      <c r="E16"/>
    </row>
    <row r="17" spans="1:5" ht="46.8">
      <c r="A17" s="53" t="s">
        <v>2702</v>
      </c>
      <c r="B17" s="437"/>
      <c r="C17" s="437">
        <v>100</v>
      </c>
      <c r="D17" s="437"/>
      <c r="E17"/>
    </row>
    <row r="18" spans="1:5" ht="51.75" customHeight="1">
      <c r="A18" s="103" t="s">
        <v>2703</v>
      </c>
      <c r="B18" s="437"/>
      <c r="C18" s="437"/>
      <c r="D18" s="437">
        <v>100</v>
      </c>
      <c r="E18"/>
    </row>
    <row r="19" spans="1:5" ht="46.8">
      <c r="A19" s="103" t="s">
        <v>2704</v>
      </c>
      <c r="B19" s="437"/>
      <c r="C19" s="437"/>
      <c r="D19" s="437">
        <v>100</v>
      </c>
      <c r="E19"/>
    </row>
    <row r="20" spans="1:5" ht="62.4">
      <c r="A20" s="53" t="s">
        <v>2705</v>
      </c>
      <c r="B20" s="437">
        <v>100</v>
      </c>
      <c r="C20" s="437"/>
      <c r="D20" s="437"/>
      <c r="E20"/>
    </row>
    <row r="21" spans="1:5" ht="31.2">
      <c r="A21" s="440" t="s">
        <v>2706</v>
      </c>
      <c r="B21" s="437"/>
      <c r="C21" s="437"/>
      <c r="D21" s="437"/>
      <c r="E21"/>
    </row>
    <row r="22" spans="1:5" ht="113.25" customHeight="1">
      <c r="A22" s="441" t="s">
        <v>2707</v>
      </c>
      <c r="B22" s="437">
        <v>100</v>
      </c>
      <c r="C22" s="437"/>
      <c r="D22" s="437"/>
      <c r="E22"/>
    </row>
    <row r="23" spans="1:5" ht="97.5" customHeight="1">
      <c r="A23" s="103" t="s">
        <v>2708</v>
      </c>
      <c r="B23" s="437">
        <v>100</v>
      </c>
      <c r="C23" s="437"/>
      <c r="D23" s="437"/>
      <c r="E23"/>
    </row>
    <row r="24" spans="1:5" ht="113.25" customHeight="1">
      <c r="A24" s="103" t="s">
        <v>2709</v>
      </c>
      <c r="B24" s="437"/>
      <c r="C24" s="437">
        <v>100</v>
      </c>
      <c r="D24" s="437"/>
      <c r="E24"/>
    </row>
    <row r="25" spans="1:5" ht="93.6">
      <c r="A25" s="103" t="s">
        <v>2710</v>
      </c>
      <c r="B25" s="437"/>
      <c r="C25" s="437">
        <v>100</v>
      </c>
      <c r="D25" s="437"/>
      <c r="E25"/>
    </row>
    <row r="26" spans="1:5" ht="110.25" customHeight="1">
      <c r="A26" s="103" t="s">
        <v>2711</v>
      </c>
      <c r="B26" s="437"/>
      <c r="C26" s="437"/>
      <c r="D26" s="437">
        <v>100</v>
      </c>
      <c r="E26"/>
    </row>
    <row r="27" spans="1:5" ht="93.6">
      <c r="A27" s="103" t="s">
        <v>2712</v>
      </c>
      <c r="B27" s="442"/>
      <c r="C27" s="442"/>
      <c r="D27" s="442">
        <v>100</v>
      </c>
      <c r="E27"/>
    </row>
    <row r="28" spans="1:5" ht="31.2">
      <c r="A28" s="439" t="s">
        <v>2713</v>
      </c>
      <c r="B28" s="443"/>
      <c r="C28" s="443"/>
      <c r="D28" s="443"/>
      <c r="E28"/>
    </row>
    <row r="29" spans="1:5" ht="46.8">
      <c r="A29" s="53" t="s">
        <v>1218</v>
      </c>
      <c r="B29" s="437">
        <v>100</v>
      </c>
      <c r="C29" s="437"/>
      <c r="D29" s="437"/>
      <c r="E29"/>
    </row>
    <row r="30" spans="1:5" ht="46.8">
      <c r="A30" s="53" t="s">
        <v>2714</v>
      </c>
      <c r="B30" s="437"/>
      <c r="C30" s="437">
        <v>100</v>
      </c>
      <c r="D30" s="437"/>
      <c r="E30"/>
    </row>
    <row r="31" spans="1:5" ht="46.8">
      <c r="A31" s="53" t="s">
        <v>2715</v>
      </c>
      <c r="B31" s="437"/>
      <c r="C31" s="437"/>
      <c r="D31" s="437">
        <v>100</v>
      </c>
      <c r="E31"/>
    </row>
    <row r="32" spans="1:5" ht="37.5" customHeight="1">
      <c r="A32" s="103" t="s">
        <v>1437</v>
      </c>
      <c r="B32" s="437">
        <v>100</v>
      </c>
      <c r="C32" s="437"/>
      <c r="D32" s="437"/>
      <c r="E32"/>
    </row>
    <row r="33" spans="1:5" ht="31.2">
      <c r="A33" s="103" t="s">
        <v>2716</v>
      </c>
      <c r="B33" s="443"/>
      <c r="C33" s="437">
        <v>100</v>
      </c>
      <c r="D33" s="437"/>
      <c r="E33"/>
    </row>
    <row r="34" spans="1:5" ht="31.2">
      <c r="A34" s="103" t="s">
        <v>2717</v>
      </c>
      <c r="B34" s="443"/>
      <c r="C34" s="437"/>
      <c r="D34" s="437">
        <v>100</v>
      </c>
      <c r="E34"/>
    </row>
  </sheetData>
  <mergeCells count="6">
    <mergeCell ref="A7:D7"/>
    <mergeCell ref="A1:E1"/>
    <mergeCell ref="A2:E2"/>
    <mergeCell ref="A3:E3"/>
    <mergeCell ref="A4:E4"/>
    <mergeCell ref="A5:E5"/>
  </mergeCells>
  <pageMargins left="0.7" right="0.7" top="0.75" bottom="0.75" header="0.3" footer="0.3"/>
</worksheet>
</file>

<file path=xl/worksheets/sheet13.xml><?xml version="1.0" encoding="utf-8"?>
<worksheet xmlns="http://schemas.openxmlformats.org/spreadsheetml/2006/main" xmlns:r="http://schemas.openxmlformats.org/officeDocument/2006/relationships">
  <sheetPr>
    <pageSetUpPr fitToPage="1"/>
  </sheetPr>
  <dimension ref="A1:C19"/>
  <sheetViews>
    <sheetView showGridLines="0" view="pageBreakPreview" zoomScale="115" zoomScaleSheetLayoutView="115" workbookViewId="0">
      <selection activeCell="A4" sqref="A4:C4"/>
    </sheetView>
  </sheetViews>
  <sheetFormatPr defaultColWidth="9.109375" defaultRowHeight="13.2"/>
  <cols>
    <col min="1" max="1" width="9.109375" style="425"/>
    <col min="2" max="2" width="28.5546875" style="425" customWidth="1"/>
    <col min="3" max="3" width="47.5546875" style="425" customWidth="1"/>
    <col min="4" max="16384" width="9.109375" style="425"/>
  </cols>
  <sheetData>
    <row r="1" spans="1:3" ht="15.6">
      <c r="A1" s="782" t="s">
        <v>1643</v>
      </c>
      <c r="B1" s="782"/>
      <c r="C1" s="782"/>
    </row>
    <row r="2" spans="1:3" ht="15.6">
      <c r="A2" s="782" t="s">
        <v>1069</v>
      </c>
      <c r="B2" s="782"/>
      <c r="C2" s="782"/>
    </row>
    <row r="3" spans="1:3" ht="15.6">
      <c r="A3" s="782" t="s">
        <v>720</v>
      </c>
      <c r="B3" s="782"/>
      <c r="C3" s="782"/>
    </row>
    <row r="4" spans="1:3" ht="15.6">
      <c r="A4" s="782" t="s">
        <v>3061</v>
      </c>
      <c r="B4" s="782"/>
      <c r="C4" s="782"/>
    </row>
    <row r="5" spans="1:3" ht="15.6">
      <c r="A5" s="136"/>
      <c r="B5" s="1"/>
      <c r="C5" s="1"/>
    </row>
    <row r="6" spans="1:3" ht="48" customHeight="1">
      <c r="A6" s="843" t="s">
        <v>2089</v>
      </c>
      <c r="B6" s="843"/>
      <c r="C6" s="843"/>
    </row>
    <row r="7" spans="1:3" ht="17.399999999999999">
      <c r="A7" s="857"/>
      <c r="B7" s="857"/>
      <c r="C7" s="857"/>
    </row>
    <row r="8" spans="1:3" ht="15.6">
      <c r="A8" s="844" t="s">
        <v>1093</v>
      </c>
      <c r="B8" s="844"/>
      <c r="C8" s="844"/>
    </row>
    <row r="9" spans="1:3" ht="46.8">
      <c r="A9" s="138">
        <v>955</v>
      </c>
      <c r="B9" s="138" t="s">
        <v>1099</v>
      </c>
      <c r="C9" s="103" t="s">
        <v>1535</v>
      </c>
    </row>
    <row r="10" spans="1:3" ht="46.8">
      <c r="A10" s="138">
        <v>955</v>
      </c>
      <c r="B10" s="138" t="s">
        <v>1100</v>
      </c>
      <c r="C10" s="103" t="s">
        <v>1622</v>
      </c>
    </row>
    <row r="11" spans="1:3" ht="62.4">
      <c r="A11" s="138">
        <v>955</v>
      </c>
      <c r="B11" s="138" t="s">
        <v>2236</v>
      </c>
      <c r="C11" s="103" t="s">
        <v>1101</v>
      </c>
    </row>
    <row r="12" spans="1:3" ht="62.4">
      <c r="A12" s="138">
        <v>955</v>
      </c>
      <c r="B12" s="138" t="s">
        <v>2237</v>
      </c>
      <c r="C12" s="103" t="s">
        <v>1102</v>
      </c>
    </row>
    <row r="13" spans="1:3" ht="31.2">
      <c r="A13" s="138">
        <v>955</v>
      </c>
      <c r="B13" s="138" t="s">
        <v>1993</v>
      </c>
      <c r="C13" s="103" t="s">
        <v>1032</v>
      </c>
    </row>
    <row r="14" spans="1:3" ht="31.2">
      <c r="A14" s="138">
        <v>955</v>
      </c>
      <c r="B14" s="138" t="s">
        <v>1994</v>
      </c>
      <c r="C14" s="103" t="s">
        <v>380</v>
      </c>
    </row>
    <row r="15" spans="1:3" ht="140.4">
      <c r="A15" s="138">
        <v>955</v>
      </c>
      <c r="B15" s="138" t="s">
        <v>2165</v>
      </c>
      <c r="C15" s="103" t="s">
        <v>2166</v>
      </c>
    </row>
    <row r="16" spans="1:3" ht="62.4">
      <c r="A16" s="138">
        <v>955</v>
      </c>
      <c r="B16" s="138" t="s">
        <v>2167</v>
      </c>
      <c r="C16" s="103" t="s">
        <v>2168</v>
      </c>
    </row>
    <row r="17" spans="1:3" ht="78">
      <c r="A17" s="138">
        <v>955</v>
      </c>
      <c r="B17" s="138" t="s">
        <v>2169</v>
      </c>
      <c r="C17" s="103" t="s">
        <v>2170</v>
      </c>
    </row>
    <row r="18" spans="1:3" ht="62.4">
      <c r="A18" s="139">
        <v>955</v>
      </c>
      <c r="B18" s="139" t="s">
        <v>2171</v>
      </c>
      <c r="C18" s="53" t="s">
        <v>2172</v>
      </c>
    </row>
    <row r="19" spans="1:3" ht="62.4">
      <c r="A19" s="139">
        <v>955</v>
      </c>
      <c r="B19" s="139" t="s">
        <v>2173</v>
      </c>
      <c r="C19" s="53" t="s">
        <v>2174</v>
      </c>
    </row>
  </sheetData>
  <mergeCells count="7">
    <mergeCell ref="A8:C8"/>
    <mergeCell ref="A1:C1"/>
    <mergeCell ref="A2:C2"/>
    <mergeCell ref="A3:C3"/>
    <mergeCell ref="A4:C4"/>
    <mergeCell ref="A6:C6"/>
    <mergeCell ref="A7:C7"/>
  </mergeCells>
  <pageMargins left="0.70866141732283472" right="0.70866141732283472" top="0.74803149606299213" bottom="0.74803149606299213" header="0.31496062992125984" footer="0.31496062992125984"/>
  <pageSetup paperSize="9" fitToHeight="100" orientation="portrait" r:id="rId1"/>
</worksheet>
</file>

<file path=xl/worksheets/sheet14.xml><?xml version="1.0" encoding="utf-8"?>
<worksheet xmlns="http://schemas.openxmlformats.org/spreadsheetml/2006/main" xmlns:r="http://schemas.openxmlformats.org/officeDocument/2006/relationships">
  <sheetPr codeName="Лист12">
    <outlinePr summaryBelow="0"/>
    <pageSetUpPr fitToPage="1"/>
  </sheetPr>
  <dimension ref="A1:I1059"/>
  <sheetViews>
    <sheetView showGridLines="0" tabSelected="1" view="pageBreakPreview" topLeftCell="A461" zoomScale="90" zoomScaleSheetLayoutView="90" workbookViewId="0">
      <selection activeCell="I458" sqref="I458"/>
    </sheetView>
  </sheetViews>
  <sheetFormatPr defaultColWidth="9.109375" defaultRowHeight="15.6"/>
  <cols>
    <col min="1" max="1" width="41" style="16" customWidth="1"/>
    <col min="2" max="2" width="9.5546875" style="17" customWidth="1"/>
    <col min="3" max="3" width="7.33203125" style="17" customWidth="1"/>
    <col min="4" max="4" width="10.109375" style="266" customWidth="1"/>
    <col min="5" max="5" width="10.33203125" style="270" customWidth="1"/>
    <col min="6" max="6" width="10.44140625" style="17" customWidth="1"/>
    <col min="7" max="7" width="14.44140625" style="15" hidden="1" customWidth="1"/>
    <col min="8" max="8" width="19.88671875" style="15" hidden="1" customWidth="1"/>
    <col min="9" max="9" width="14.33203125" style="15" bestFit="1" customWidth="1"/>
    <col min="10" max="10" width="11.5546875" style="15" customWidth="1"/>
    <col min="11" max="16384" width="9.109375" style="15"/>
  </cols>
  <sheetData>
    <row r="1" spans="1:9">
      <c r="A1" s="881" t="s">
        <v>1589</v>
      </c>
      <c r="B1" s="881"/>
      <c r="C1" s="881"/>
      <c r="D1" s="881"/>
      <c r="E1" s="881"/>
      <c r="F1" s="881"/>
      <c r="G1" s="881"/>
      <c r="H1" s="881"/>
      <c r="I1" s="881"/>
    </row>
    <row r="2" spans="1:9">
      <c r="A2" s="881" t="s">
        <v>1069</v>
      </c>
      <c r="B2" s="881"/>
      <c r="C2" s="881"/>
      <c r="D2" s="881"/>
      <c r="E2" s="881"/>
      <c r="F2" s="881"/>
      <c r="G2" s="881"/>
      <c r="H2" s="881"/>
      <c r="I2" s="881"/>
    </row>
    <row r="3" spans="1:9">
      <c r="A3" s="881" t="s">
        <v>720</v>
      </c>
      <c r="B3" s="881"/>
      <c r="C3" s="881"/>
      <c r="D3" s="881"/>
      <c r="E3" s="881"/>
      <c r="F3" s="881"/>
      <c r="G3" s="881"/>
      <c r="H3" s="881"/>
      <c r="I3" s="881"/>
    </row>
    <row r="4" spans="1:9">
      <c r="A4" s="881" t="s">
        <v>3148</v>
      </c>
      <c r="B4" s="881"/>
      <c r="C4" s="881"/>
      <c r="D4" s="881"/>
      <c r="E4" s="881"/>
      <c r="F4" s="881"/>
      <c r="G4" s="881"/>
      <c r="H4" s="881"/>
      <c r="I4" s="881"/>
    </row>
    <row r="5" spans="1:9">
      <c r="A5" s="78"/>
      <c r="B5" s="79"/>
      <c r="C5" s="79"/>
      <c r="D5" s="265"/>
      <c r="E5" s="269"/>
      <c r="F5" s="79"/>
    </row>
    <row r="6" spans="1:9">
      <c r="A6" s="882" t="s">
        <v>2637</v>
      </c>
      <c r="B6" s="882"/>
      <c r="C6" s="882"/>
      <c r="D6" s="882"/>
      <c r="E6" s="882"/>
      <c r="F6" s="882"/>
      <c r="G6" s="882"/>
      <c r="H6" s="882"/>
      <c r="I6" s="882"/>
    </row>
    <row r="7" spans="1:9" ht="17.399999999999999">
      <c r="A7" s="299"/>
      <c r="B7" s="299"/>
      <c r="C7" s="299"/>
      <c r="D7" s="299"/>
      <c r="E7" s="299"/>
      <c r="F7" s="299"/>
    </row>
    <row r="8" spans="1:9">
      <c r="A8" s="878" t="s">
        <v>970</v>
      </c>
      <c r="B8" s="879" t="s">
        <v>1393</v>
      </c>
      <c r="C8" s="879" t="s">
        <v>1522</v>
      </c>
      <c r="D8" s="880" t="s">
        <v>2406</v>
      </c>
      <c r="E8" s="880"/>
      <c r="F8" s="879" t="s">
        <v>1523</v>
      </c>
      <c r="G8" s="877" t="s">
        <v>3235</v>
      </c>
      <c r="H8" s="877" t="s">
        <v>1140</v>
      </c>
      <c r="I8" s="877" t="s">
        <v>1103</v>
      </c>
    </row>
    <row r="9" spans="1:9" s="18" customFormat="1">
      <c r="A9" s="878"/>
      <c r="B9" s="879"/>
      <c r="C9" s="879"/>
      <c r="D9" s="326" t="s">
        <v>2417</v>
      </c>
      <c r="E9" s="327" t="s">
        <v>2416</v>
      </c>
      <c r="F9" s="879"/>
      <c r="G9" s="877"/>
      <c r="H9" s="877"/>
      <c r="I9" s="877"/>
    </row>
    <row r="10" spans="1:9" s="19" customFormat="1" ht="31.2">
      <c r="A10" s="300" t="str">
        <f>IF(B10&gt;0,VLOOKUP(B10,КВСР!A1:B1166,2),IF(C10&gt;0,VLOOKUP(C10,КФСР!A1:B1513,2),IF(D10&gt;0,VLOOKUP(D10,Программа!A$1:B$5063,2),IF(F10&gt;0,VLOOKUP(F10,КВР!A$1:B$5001,2),IF(E10&gt;0,VLOOKUP(E10,Направление!A$1:B$4746,2))))))</f>
        <v>Администрация Тутаевского муниципального района</v>
      </c>
      <c r="B10" s="87">
        <v>950</v>
      </c>
      <c r="C10" s="88"/>
      <c r="D10" s="77"/>
      <c r="E10" s="90"/>
      <c r="F10" s="89"/>
      <c r="G10" s="55">
        <v>149181572.36000001</v>
      </c>
      <c r="H10" s="55">
        <f>H11+H15+H32+H42+H46+H105+H122+H177+H173+H36+H99+H146+H209</f>
        <v>15088227.4</v>
      </c>
      <c r="I10" s="55">
        <f>I11+I15+I32+I42+I46+I105+I122+I177+I173+I36+I99+I146+I209</f>
        <v>164269799.75999999</v>
      </c>
    </row>
    <row r="11" spans="1:9" s="19" customFormat="1" ht="62.4">
      <c r="A11" s="49" t="str">
        <f>IF(B11&gt;0,VLOOKUP(B11,КВСР!A2:B1167,2),IF(C11&gt;0,VLOOKUP(C11,КФСР!A2:B1514,2),IF(D11&gt;0,VLOOKUP(D11,Программа!A$1:B$5063,2),IF(F11&gt;0,VLOOKUP(F11,КВР!A$1:B$5001,2),IF(E11&gt;0,VLOOKUP(E11,Направление!A$1:B$4746,2))))))</f>
        <v>Функционирование высшего должностного лица субъекта Российской Федерации и муниципального образования</v>
      </c>
      <c r="B11" s="90"/>
      <c r="C11" s="88">
        <v>102</v>
      </c>
      <c r="D11" s="77"/>
      <c r="E11" s="90"/>
      <c r="F11" s="89"/>
      <c r="G11" s="50">
        <v>845506</v>
      </c>
      <c r="H11" s="50">
        <f t="shared" ref="H11" si="0">H12</f>
        <v>0</v>
      </c>
      <c r="I11" s="50">
        <f>SUM(G11:H11)</f>
        <v>845506</v>
      </c>
    </row>
    <row r="12" spans="1:9" s="19" customFormat="1" ht="16.2">
      <c r="A12" s="49" t="str">
        <f>IF(B12&gt;0,VLOOKUP(B12,КВСР!A3:B1168,2),IF(C12&gt;0,VLOOKUP(C12,КФСР!A3:B1515,2),IF(D12&gt;0,VLOOKUP(D12,Программа!A$1:B$5063,2),IF(F12&gt;0,VLOOKUP(F12,КВР!A$1:B$5001,2),IF(E12&gt;0,VLOOKUP(E12,Направление!A$1:B$4746,2))))))</f>
        <v>Непрограммные расходы бюджета</v>
      </c>
      <c r="B12" s="90"/>
      <c r="C12" s="88"/>
      <c r="D12" s="77" t="s">
        <v>2852</v>
      </c>
      <c r="E12" s="90"/>
      <c r="F12" s="89"/>
      <c r="G12" s="50">
        <v>845506</v>
      </c>
      <c r="H12" s="50">
        <f t="shared" ref="H12:H13" si="1">H13</f>
        <v>0</v>
      </c>
      <c r="I12" s="50">
        <f t="shared" ref="I12:I112" si="2">SUM(G12:H12)</f>
        <v>845506</v>
      </c>
    </row>
    <row r="13" spans="1:9" s="19" customFormat="1" ht="31.2">
      <c r="A13" s="49" t="str">
        <f>IF(B13&gt;0,VLOOKUP(B13,КВСР!A4:B1169,2),IF(C13&gt;0,VLOOKUP(C13,КФСР!A4:B1516,2),IF(D13&gt;0,VLOOKUP(D13,Программа!A$1:B$5063,2),IF(F13&gt;0,VLOOKUP(F13,КВР!A$1:B$5001,2),IF(E13&gt;0,VLOOKUP(E13,Направление!A$1:B$4746,2))))))</f>
        <v>Содержание главы муниципального образования</v>
      </c>
      <c r="B13" s="90"/>
      <c r="C13" s="88"/>
      <c r="D13" s="77"/>
      <c r="E13" s="90">
        <v>12020</v>
      </c>
      <c r="F13" s="89"/>
      <c r="G13" s="50">
        <v>845506</v>
      </c>
      <c r="H13" s="50">
        <f t="shared" si="1"/>
        <v>0</v>
      </c>
      <c r="I13" s="50">
        <f t="shared" si="2"/>
        <v>845506</v>
      </c>
    </row>
    <row r="14" spans="1:9" s="19" customFormat="1" ht="103.5" customHeight="1">
      <c r="A14" s="49" t="str">
        <f>IF(B14&gt;0,VLOOKUP(B14,КВСР!A5:B1170,2),IF(C14&gt;0,VLOOKUP(C14,КФСР!A5:B1517,2),IF(D14&gt;0,VLOOKUP(D14,Программа!A$1:B$5063,2),IF(F14&gt;0,VLOOKUP(F14,КВР!A$1:B$5001,2),IF(E14&gt;0,VLOOKUP(E14,Направление!A$1:B$4746,2))))))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14" s="90"/>
      <c r="C14" s="88"/>
      <c r="D14" s="89"/>
      <c r="E14" s="90"/>
      <c r="F14" s="89">
        <v>100</v>
      </c>
      <c r="G14" s="387">
        <v>845506</v>
      </c>
      <c r="H14" s="382"/>
      <c r="I14" s="50">
        <f t="shared" si="2"/>
        <v>845506</v>
      </c>
    </row>
    <row r="15" spans="1:9" s="19" customFormat="1" ht="93.6">
      <c r="A15" s="49" t="str">
        <f>IF(B15&gt;0,VLOOKUP(B15,КВСР!A7:B1172,2),IF(C15&gt;0,VLOOKUP(C15,КФСР!A7:B1519,2),IF(D15&gt;0,VLOOKUP(D15,Программа!A$1:B$5063,2),IF(F15&gt;0,VLOOKUP(F15,КВР!A$1:B$5001,2),IF(E15&gt;0,VLOOKUP(E15,Направление!A$1:B$4746,2))))))</f>
        <v>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v>
      </c>
      <c r="B15" s="91"/>
      <c r="C15" s="84">
        <v>104</v>
      </c>
      <c r="D15" s="444"/>
      <c r="E15" s="91"/>
      <c r="F15" s="85"/>
      <c r="G15" s="51">
        <v>34635342</v>
      </c>
      <c r="H15" s="51">
        <f>H22+H16</f>
        <v>150000</v>
      </c>
      <c r="I15" s="50">
        <f t="shared" si="2"/>
        <v>34785342</v>
      </c>
    </row>
    <row r="16" spans="1:9" s="19" customFormat="1" ht="62.4">
      <c r="A16" s="49" t="str">
        <f>IF(B16&gt;0,VLOOKUP(B16,КВСР!A8:B1173,2),IF(C16&gt;0,VLOOKUP(C16,КФСР!A8:B1520,2),IF(D16&gt;0,VLOOKUP(D16,Программа!A$1:B$5063,2),IF(F16&gt;0,VLOOKUP(F16,КВР!A$1:B$5001,2),IF(E16&gt;0,VLOOKUP(E16,Направление!A$1:B$4746,2))))))</f>
        <v>Муниципальная программа "Повышение эффективности управления муниципальными финансами"</v>
      </c>
      <c r="B16" s="91"/>
      <c r="C16" s="84"/>
      <c r="D16" s="444" t="s">
        <v>2839</v>
      </c>
      <c r="E16" s="91"/>
      <c r="F16" s="85"/>
      <c r="G16" s="51">
        <v>110000</v>
      </c>
      <c r="H16" s="51">
        <f t="shared" ref="H16:I17" si="3">H17</f>
        <v>0</v>
      </c>
      <c r="I16" s="51">
        <f t="shared" si="3"/>
        <v>110000</v>
      </c>
    </row>
    <row r="17" spans="1:9" s="19" customFormat="1" ht="62.4">
      <c r="A17" s="49" t="str">
        <f>IF(B17&gt;0,VLOOKUP(B17,КВСР!A9:B1174,2),IF(C17&gt;0,VLOOKUP(C17,КФСР!A9:B1521,2),IF(D17&gt;0,VLOOKUP(D17,Программа!A$1:B$5063,2),IF(F17&gt;0,VLOOKUP(F17,КВР!A$1:B$5001,2),IF(E17&gt;0,VLOOKUP(E17,Направление!A$1:B$4746,2))))))</f>
        <v>Муниципальная целевая программа "Развитие системы муниципальных закупок в Тутаевском муниципальном районе"</v>
      </c>
      <c r="B17" s="91"/>
      <c r="C17" s="84"/>
      <c r="D17" s="444" t="s">
        <v>2845</v>
      </c>
      <c r="E17" s="91"/>
      <c r="F17" s="85"/>
      <c r="G17" s="51">
        <v>110000</v>
      </c>
      <c r="H17" s="51">
        <f t="shared" si="3"/>
        <v>0</v>
      </c>
      <c r="I17" s="51">
        <f t="shared" si="3"/>
        <v>110000</v>
      </c>
    </row>
    <row r="18" spans="1:9" s="19" customFormat="1" ht="62.4">
      <c r="A18" s="49" t="str">
        <f>IF(B18&gt;0,VLOOKUP(B18,КВСР!A10:B1175,2),IF(C18&gt;0,VLOOKUP(C18,КФСР!A10:B1522,2),IF(D18&gt;0,VLOOKUP(D18,Программа!A$1:B$5063,2),IF(F18&gt;0,VLOOKUP(F18,КВР!A$1:B$5001,2),IF(E18&gt;0,VLOOKUP(E18,Направление!A$1:B$4746,2))))))</f>
        <v xml:space="preserve">Организация системы подготовки, планирования, сопровождения и осуществления муниципальных закупок </v>
      </c>
      <c r="B18" s="91"/>
      <c r="C18" s="84"/>
      <c r="D18" s="444" t="s">
        <v>2874</v>
      </c>
      <c r="E18" s="91"/>
      <c r="F18" s="85"/>
      <c r="G18" s="51">
        <v>110000</v>
      </c>
      <c r="H18" s="51">
        <f t="shared" ref="H18:I18" si="4">H19</f>
        <v>0</v>
      </c>
      <c r="I18" s="51">
        <f t="shared" si="4"/>
        <v>110000</v>
      </c>
    </row>
    <row r="19" spans="1:9" s="19" customFormat="1" ht="46.8">
      <c r="A19" s="49" t="str">
        <f>IF(B19&gt;0,VLOOKUP(B19,КВСР!A11:B1176,2),IF(C19&gt;0,VLOOKUP(C19,КФСР!A11:B1523,2),IF(D19&gt;0,VLOOKUP(D19,Программа!A$1:B$5063,2),IF(F19&gt;0,VLOOKUP(F19,КВР!A$1:B$5001,2),IF(E19&gt;0,VLOOKUP(E19,Направление!A$1:B$4746,2))))))</f>
        <v>Содержание органов местного самоуправления за счет средств поселений</v>
      </c>
      <c r="B19" s="91"/>
      <c r="C19" s="84"/>
      <c r="D19" s="444"/>
      <c r="E19" s="91">
        <v>29016</v>
      </c>
      <c r="F19" s="85"/>
      <c r="G19" s="51">
        <v>110000</v>
      </c>
      <c r="H19" s="51">
        <f>H21+H20</f>
        <v>0</v>
      </c>
      <c r="I19" s="51">
        <f>I21+I20</f>
        <v>110000</v>
      </c>
    </row>
    <row r="20" spans="1:9" s="19" customFormat="1" ht="96.75" customHeight="1">
      <c r="A20" s="49" t="str">
        <f>IF(B20&gt;0,VLOOKUP(B20,КВСР!A12:B1177,2),IF(C20&gt;0,VLOOKUP(C20,КФСР!A12:B1524,2),IF(D20&gt;0,VLOOKUP(D20,Программа!A$1:B$5063,2),IF(F20&gt;0,VLOOKUP(F20,КВР!A$1:B$5001,2),IF(E20&gt;0,VLOOKUP(E20,Направление!A$1:B$4746,2))))))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20" s="91"/>
      <c r="C20" s="84"/>
      <c r="D20" s="444"/>
      <c r="E20" s="91"/>
      <c r="F20" s="85">
        <v>100</v>
      </c>
      <c r="G20" s="51">
        <v>13660</v>
      </c>
      <c r="H20" s="51"/>
      <c r="I20" s="51">
        <f>G20+H20</f>
        <v>13660</v>
      </c>
    </row>
    <row r="21" spans="1:9" s="19" customFormat="1" ht="31.2">
      <c r="A21" s="49" t="str">
        <f>IF(B21&gt;0,VLOOKUP(B21,КВСР!A10:B1175,2),IF(C21&gt;0,VLOOKUP(C21,КФСР!A10:B1522,2),IF(D21&gt;0,VLOOKUP(D21,Программа!A$1:B$5063,2),IF(F21&gt;0,VLOOKUP(F21,КВР!A$1:B$5001,2),IF(E21&gt;0,VLOOKUP(E21,Направление!A$1:B$4746,2))))))</f>
        <v>Закупка товаров, работ и услуг для государственных нужд</v>
      </c>
      <c r="B21" s="91"/>
      <c r="C21" s="84"/>
      <c r="D21" s="444"/>
      <c r="E21" s="91"/>
      <c r="F21" s="85">
        <v>200</v>
      </c>
      <c r="G21" s="51">
        <v>96340</v>
      </c>
      <c r="H21" s="390"/>
      <c r="I21" s="50">
        <f>G21+H21</f>
        <v>96340</v>
      </c>
    </row>
    <row r="22" spans="1:9" s="19" customFormat="1" ht="16.2">
      <c r="A22" s="49" t="str">
        <f>IF(B22&gt;0,VLOOKUP(B22,КВСР!A8:B1173,2),IF(C22&gt;0,VLOOKUP(C22,КФСР!A8:B1520,2),IF(D22&gt;0,VLOOKUP(D22,Программа!A$1:B$5063,2),IF(F22&gt;0,VLOOKUP(F22,КВР!A$1:B$5001,2),IF(E22&gt;0,VLOOKUP(E22,Направление!A$1:B$4746,2))))))</f>
        <v>Непрограммные расходы бюджета</v>
      </c>
      <c r="B22" s="91"/>
      <c r="C22" s="84"/>
      <c r="D22" s="444" t="s">
        <v>2852</v>
      </c>
      <c r="E22" s="91"/>
      <c r="F22" s="85"/>
      <c r="G22" s="83">
        <v>34525342</v>
      </c>
      <c r="H22" s="83">
        <f>H23+H29+H27</f>
        <v>150000</v>
      </c>
      <c r="I22" s="50">
        <f t="shared" si="2"/>
        <v>34675342</v>
      </c>
    </row>
    <row r="23" spans="1:9" s="19" customFormat="1" ht="16.2">
      <c r="A23" s="49" t="str">
        <f>IF(B23&gt;0,VLOOKUP(B23,КВСР!A9:B1174,2),IF(C23&gt;0,VLOOKUP(C23,КФСР!A9:B1521,2),IF(D23&gt;0,VLOOKUP(D23,Программа!A$1:B$5063,2),IF(F23&gt;0,VLOOKUP(F23,КВР!A$1:B$5001,2),IF(E23&gt;0,VLOOKUP(E23,Направление!A$1:B$4746,2))))))</f>
        <v>Содержание центрального аппарата</v>
      </c>
      <c r="B23" s="91"/>
      <c r="C23" s="84"/>
      <c r="D23" s="77"/>
      <c r="E23" s="90">
        <v>12010</v>
      </c>
      <c r="F23" s="85"/>
      <c r="G23" s="83">
        <v>27237582</v>
      </c>
      <c r="H23" s="83">
        <f t="shared" ref="H23" si="5">H24+H25+H26</f>
        <v>150000</v>
      </c>
      <c r="I23" s="50">
        <f t="shared" si="2"/>
        <v>27387582</v>
      </c>
    </row>
    <row r="24" spans="1:9" s="19" customFormat="1" ht="109.2">
      <c r="A24" s="49" t="str">
        <f>IF(B24&gt;0,VLOOKUP(B24,КВСР!A10:B1175,2),IF(C24&gt;0,VLOOKUP(C24,КФСР!A10:B1522,2),IF(D24&gt;0,VLOOKUP(D24,Программа!A$1:B$5063,2),IF(F24&gt;0,VLOOKUP(F24,КВР!A$1:B$5001,2),IF(E24&gt;0,VLOOKUP(E24,Направление!A$1:B$4746,2))))))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24" s="91"/>
      <c r="C24" s="84"/>
      <c r="D24" s="85"/>
      <c r="E24" s="91"/>
      <c r="F24" s="85">
        <v>100</v>
      </c>
      <c r="G24" s="387">
        <v>22994361</v>
      </c>
      <c r="H24" s="382">
        <v>12000</v>
      </c>
      <c r="I24" s="50">
        <f t="shared" si="2"/>
        <v>23006361</v>
      </c>
    </row>
    <row r="25" spans="1:9" s="19" customFormat="1" ht="31.2">
      <c r="A25" s="49" t="str">
        <f>IF(B25&gt;0,VLOOKUP(B25,КВСР!A11:B1176,2),IF(C25&gt;0,VLOOKUP(C25,КФСР!A11:B1523,2),IF(D25&gt;0,VLOOKUP(D25,Программа!A$1:B$5063,2),IF(F25&gt;0,VLOOKUP(F25,КВР!A$1:B$5001,2),IF(E25&gt;0,VLOOKUP(E25,Направление!A$1:B$4746,2))))))</f>
        <v>Закупка товаров, работ и услуг для государственных нужд</v>
      </c>
      <c r="B25" s="91"/>
      <c r="C25" s="84"/>
      <c r="D25" s="85"/>
      <c r="E25" s="91"/>
      <c r="F25" s="85">
        <v>200</v>
      </c>
      <c r="G25" s="387">
        <v>3742365</v>
      </c>
      <c r="H25" s="382">
        <f>-12000+150000</f>
        <v>138000</v>
      </c>
      <c r="I25" s="50">
        <f t="shared" si="2"/>
        <v>3880365</v>
      </c>
    </row>
    <row r="26" spans="1:9" s="19" customFormat="1" ht="16.2">
      <c r="A26" s="49" t="str">
        <f>IF(B26&gt;0,VLOOKUP(B26,КВСР!A12:B1177,2),IF(C26&gt;0,VLOOKUP(C26,КФСР!A12:B1524,2),IF(D26&gt;0,VLOOKUP(D26,Программа!A$1:B$5063,2),IF(F26&gt;0,VLOOKUP(F26,КВР!A$1:B$5001,2),IF(E26&gt;0,VLOOKUP(E26,Направление!A$1:B$4746,2))))))</f>
        <v>Иные бюджетные ассигнования</v>
      </c>
      <c r="B26" s="91"/>
      <c r="C26" s="84"/>
      <c r="D26" s="85"/>
      <c r="E26" s="91"/>
      <c r="F26" s="85">
        <v>800</v>
      </c>
      <c r="G26" s="387">
        <v>500856</v>
      </c>
      <c r="H26" s="382"/>
      <c r="I26" s="50">
        <f t="shared" si="2"/>
        <v>500856</v>
      </c>
    </row>
    <row r="27" spans="1:9" s="19" customFormat="1" ht="31.2">
      <c r="A27" s="49" t="str">
        <f>IF(B27&gt;0,VLOOKUP(B27,КВСР!A13:B1178,2),IF(C27&gt;0,VLOOKUP(C27,КФСР!A13:B1525,2),IF(D27&gt;0,VLOOKUP(D27,Программа!A$1:B$5063,2),IF(F27&gt;0,VLOOKUP(F27,КВР!A$1:B$5001,2),IF(E27&gt;0,VLOOKUP(E27,Направление!A$1:B$4746,2))))))</f>
        <v>Содержание главы местной администрации</v>
      </c>
      <c r="B27" s="91"/>
      <c r="C27" s="84"/>
      <c r="D27" s="85"/>
      <c r="E27" s="91">
        <v>12040</v>
      </c>
      <c r="F27" s="85"/>
      <c r="G27" s="387">
        <v>668492</v>
      </c>
      <c r="H27" s="387">
        <f t="shared" ref="H27:I27" si="6">H28</f>
        <v>0</v>
      </c>
      <c r="I27" s="387">
        <f t="shared" si="6"/>
        <v>668492</v>
      </c>
    </row>
    <row r="28" spans="1:9" s="19" customFormat="1" ht="99.75" customHeight="1">
      <c r="A28" s="49" t="str">
        <f>IF(B28&gt;0,VLOOKUP(B28,КВСР!A14:B1179,2),IF(C28&gt;0,VLOOKUP(C28,КФСР!A14:B1526,2),IF(D28&gt;0,VLOOKUP(D28,Программа!A$1:B$5063,2),IF(F28&gt;0,VLOOKUP(F28,КВР!A$1:B$5001,2),IF(E28&gt;0,VLOOKUP(E28,Направление!A$1:B$4746,2))))))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28" s="91"/>
      <c r="C28" s="84"/>
      <c r="D28" s="85"/>
      <c r="E28" s="91"/>
      <c r="F28" s="85">
        <v>100</v>
      </c>
      <c r="G28" s="387">
        <v>668492</v>
      </c>
      <c r="H28" s="382"/>
      <c r="I28" s="50">
        <f>G28+H28</f>
        <v>668492</v>
      </c>
    </row>
    <row r="29" spans="1:9" s="19" customFormat="1" ht="46.8">
      <c r="A29" s="49" t="str">
        <f>IF(B29&gt;0,VLOOKUP(B29,КВСР!A13:B1178,2),IF(C29&gt;0,VLOOKUP(C29,КФСР!A13:B1525,2),IF(D29&gt;0,VLOOKUP(D29,Программа!A$1:B$5063,2),IF(F29&gt;0,VLOOKUP(F29,КВР!A$1:B$5001,2),IF(E29&gt;0,VLOOKUP(E29,Направление!A$1:B$4746,2))))))</f>
        <v>Содержание органов местного самоуправления за счет средств поселений</v>
      </c>
      <c r="B29" s="91"/>
      <c r="C29" s="84"/>
      <c r="D29" s="444"/>
      <c r="E29" s="91">
        <v>29016</v>
      </c>
      <c r="F29" s="85"/>
      <c r="G29" s="50">
        <v>6619268</v>
      </c>
      <c r="H29" s="50">
        <f t="shared" ref="H29" si="7">H30+H31</f>
        <v>0</v>
      </c>
      <c r="I29" s="50">
        <f t="shared" si="2"/>
        <v>6619268</v>
      </c>
    </row>
    <row r="30" spans="1:9" s="19" customFormat="1" ht="109.2">
      <c r="A30" s="49" t="str">
        <f>IF(B30&gt;0,VLOOKUP(B30,КВСР!A14:B1179,2),IF(C30&gt;0,VLOOKUP(C30,КФСР!A14:B1526,2),IF(D30&gt;0,VLOOKUP(D30,Программа!A$1:B$5063,2),IF(F30&gt;0,VLOOKUP(F30,КВР!A$1:B$5001,2),IF(E30&gt;0,VLOOKUP(E30,Направление!A$1:B$4746,2))))))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30" s="91"/>
      <c r="C30" s="84"/>
      <c r="D30" s="85"/>
      <c r="E30" s="91"/>
      <c r="F30" s="85">
        <v>100</v>
      </c>
      <c r="G30" s="387">
        <v>5964348</v>
      </c>
      <c r="H30" s="382"/>
      <c r="I30" s="50">
        <f t="shared" si="2"/>
        <v>5964348</v>
      </c>
    </row>
    <row r="31" spans="1:9" s="19" customFormat="1" ht="31.2">
      <c r="A31" s="49" t="str">
        <f>IF(B31&gt;0,VLOOKUP(B31,КВСР!A15:B1180,2),IF(C31&gt;0,VLOOKUP(C31,КФСР!A15:B1527,2),IF(D31&gt;0,VLOOKUP(D31,Программа!A$1:B$5063,2),IF(F31&gt;0,VLOOKUP(F31,КВР!A$1:B$5001,2),IF(E31&gt;0,VLOOKUP(E31,Направление!A$1:B$4746,2))))))</f>
        <v>Закупка товаров, работ и услуг для государственных нужд</v>
      </c>
      <c r="B31" s="91"/>
      <c r="C31" s="84"/>
      <c r="D31" s="85"/>
      <c r="E31" s="91"/>
      <c r="F31" s="85">
        <v>200</v>
      </c>
      <c r="G31" s="387">
        <v>654920</v>
      </c>
      <c r="H31" s="382"/>
      <c r="I31" s="50">
        <f t="shared" si="2"/>
        <v>654920</v>
      </c>
    </row>
    <row r="32" spans="1:9" s="19" customFormat="1" ht="16.2">
      <c r="A32" s="49" t="str">
        <f>IF(B32&gt;0,VLOOKUP(B32,КВСР!A16:B1181,2),IF(C32&gt;0,VLOOKUP(C32,КФСР!A16:B1528,2),IF(D32&gt;0,VLOOKUP(D32,Программа!A$1:B$5063,2),IF(F32&gt;0,VLOOKUP(F32,КВР!A$1:B$5001,2),IF(E32&gt;0,VLOOKUP(E32,Направление!A$1:B$4746,2))))))</f>
        <v>Судебная система</v>
      </c>
      <c r="B32" s="91"/>
      <c r="C32" s="84">
        <v>105</v>
      </c>
      <c r="D32" s="85"/>
      <c r="E32" s="91"/>
      <c r="F32" s="85"/>
      <c r="G32" s="50">
        <v>32650</v>
      </c>
      <c r="H32" s="50">
        <f t="shared" ref="H32:H34" si="8">H33</f>
        <v>0</v>
      </c>
      <c r="I32" s="50">
        <f t="shared" si="2"/>
        <v>32650</v>
      </c>
    </row>
    <row r="33" spans="1:9" s="19" customFormat="1" ht="16.2">
      <c r="A33" s="49" t="str">
        <f>IF(B33&gt;0,VLOOKUP(B33,КВСР!A17:B1182,2),IF(C33&gt;0,VLOOKUP(C33,КФСР!A17:B1529,2),IF(D33&gt;0,VLOOKUP(D33,Программа!A$1:B$5063,2),IF(F33&gt;0,VLOOKUP(F33,КВР!A$1:B$5001,2),IF(E33&gt;0,VLOOKUP(E33,Направление!A$1:B$4746,2))))))</f>
        <v>Непрограммные расходы бюджета</v>
      </c>
      <c r="B33" s="91"/>
      <c r="C33" s="84"/>
      <c r="D33" s="85" t="s">
        <v>2852</v>
      </c>
      <c r="E33" s="91"/>
      <c r="F33" s="85"/>
      <c r="G33" s="50">
        <v>32650</v>
      </c>
      <c r="H33" s="50">
        <f t="shared" si="8"/>
        <v>0</v>
      </c>
      <c r="I33" s="50">
        <f t="shared" si="2"/>
        <v>32650</v>
      </c>
    </row>
    <row r="34" spans="1:9" s="19" customFormat="1" ht="93.6">
      <c r="A34" s="49" t="str">
        <f>IF(B34&gt;0,VLOOKUP(B34,КВСР!A18:B1183,2),IF(C34&gt;0,VLOOKUP(C34,КФСР!A18:B1530,2),IF(D34&gt;0,VLOOKUP(D34,Программа!A$1:B$5063,2),IF(F34&gt;0,VLOOKUP(F34,КВР!A$1:B$5001,2),IF(E34&gt;0,VLOOKUP(E34,Направление!A$1:B$4746,2))))))</f>
        <v>Расходы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v>
      </c>
      <c r="B34" s="91"/>
      <c r="C34" s="84"/>
      <c r="D34" s="85"/>
      <c r="E34" s="91">
        <v>51200</v>
      </c>
      <c r="F34" s="85"/>
      <c r="G34" s="50">
        <v>32650</v>
      </c>
      <c r="H34" s="50">
        <f t="shared" si="8"/>
        <v>0</v>
      </c>
      <c r="I34" s="50">
        <f t="shared" si="2"/>
        <v>32650</v>
      </c>
    </row>
    <row r="35" spans="1:9" s="19" customFormat="1" ht="31.2">
      <c r="A35" s="49" t="str">
        <f>IF(B35&gt;0,VLOOKUP(B35,КВСР!A19:B1184,2),IF(C35&gt;0,VLOOKUP(C35,КФСР!A19:B1531,2),IF(D35&gt;0,VLOOKUP(D35,Программа!A$1:B$5063,2),IF(F35&gt;0,VLOOKUP(F35,КВР!A$1:B$5001,2),IF(E35&gt;0,VLOOKUP(E35,Направление!A$1:B$4746,2))))))</f>
        <v>Закупка товаров, работ и услуг для государственных нужд</v>
      </c>
      <c r="B35" s="91"/>
      <c r="C35" s="84"/>
      <c r="D35" s="85"/>
      <c r="E35" s="91"/>
      <c r="F35" s="85">
        <v>200</v>
      </c>
      <c r="G35" s="387">
        <v>32650</v>
      </c>
      <c r="H35" s="382"/>
      <c r="I35" s="50">
        <f t="shared" si="2"/>
        <v>32650</v>
      </c>
    </row>
    <row r="36" spans="1:9" s="19" customFormat="1" ht="31.2">
      <c r="A36" s="49" t="str">
        <f>IF(B36&gt;0,VLOOKUP(B36,КВСР!A20:B1185,2),IF(C36&gt;0,VLOOKUP(C36,КФСР!A20:B1532,2),IF(D36&gt;0,VLOOKUP(D36,Программа!A$1:B$5063,2),IF(F36&gt;0,VLOOKUP(F36,КВР!A$1:B$5001,2),IF(E36&gt;0,VLOOKUP(E36,Направление!A$1:B$4746,2))))))</f>
        <v>Обеспечение проведения выборов и референдумов</v>
      </c>
      <c r="B36" s="91"/>
      <c r="C36" s="84">
        <v>107</v>
      </c>
      <c r="D36" s="85"/>
      <c r="E36" s="91"/>
      <c r="F36" s="85"/>
      <c r="G36" s="387">
        <v>434662</v>
      </c>
      <c r="H36" s="387">
        <f t="shared" ref="H36:I37" si="9">H37</f>
        <v>0</v>
      </c>
      <c r="I36" s="387">
        <f t="shared" si="9"/>
        <v>434662</v>
      </c>
    </row>
    <row r="37" spans="1:9" s="19" customFormat="1" ht="16.2">
      <c r="A37" s="49" t="str">
        <f>IF(B37&gt;0,VLOOKUP(B37,КВСР!A21:B1186,2),IF(C37&gt;0,VLOOKUP(C37,КФСР!A21:B1533,2),IF(D37&gt;0,VLOOKUP(D37,Программа!A$1:B$5063,2),IF(F37&gt;0,VLOOKUP(F37,КВР!A$1:B$5001,2),IF(E37&gt;0,VLOOKUP(E37,Направление!A$1:B$4746,2))))))</f>
        <v>Непрограммные расходы бюджета</v>
      </c>
      <c r="B37" s="91"/>
      <c r="C37" s="84"/>
      <c r="D37" s="85" t="s">
        <v>2852</v>
      </c>
      <c r="E37" s="91"/>
      <c r="F37" s="85"/>
      <c r="G37" s="387">
        <v>434662</v>
      </c>
      <c r="H37" s="387">
        <f t="shared" si="9"/>
        <v>0</v>
      </c>
      <c r="I37" s="387">
        <f t="shared" si="9"/>
        <v>434662</v>
      </c>
    </row>
    <row r="38" spans="1:9" s="19" customFormat="1" ht="46.8">
      <c r="A38" s="49" t="str">
        <f>IF(B38&gt;0,VLOOKUP(B38,КВСР!A22:B1187,2),IF(C38&gt;0,VLOOKUP(C38,КФСР!A22:B1534,2),IF(D38&gt;0,VLOOKUP(D38,Программа!A$1:B$5063,2),IF(F38&gt;0,VLOOKUP(F38,КВР!A$1:B$5001,2),IF(E38&gt;0,VLOOKUP(E38,Направление!A$1:B$4746,2))))))</f>
        <v>Проведение выборов в представительные органы муниципального образования</v>
      </c>
      <c r="B38" s="91"/>
      <c r="C38" s="84"/>
      <c r="D38" s="85"/>
      <c r="E38" s="91">
        <v>12310</v>
      </c>
      <c r="F38" s="85"/>
      <c r="G38" s="387">
        <v>434662</v>
      </c>
      <c r="H38" s="387">
        <f>H40+H39+H41</f>
        <v>0</v>
      </c>
      <c r="I38" s="387">
        <f>I40+I39+I41</f>
        <v>434662</v>
      </c>
    </row>
    <row r="39" spans="1:9" s="19" customFormat="1" ht="109.2" hidden="1">
      <c r="A39" s="49" t="str">
        <f>IF(B39&gt;0,VLOOKUP(B39,КВСР!A23:B1188,2),IF(C39&gt;0,VLOOKUP(C39,КФСР!A23:B1535,2),IF(D39&gt;0,VLOOKUP(D39,Программа!A$1:B$5063,2),IF(F39&gt;0,VLOOKUP(F39,КВР!A$1:B$5001,2),IF(E39&gt;0,VLOOKUP(E39,Направление!A$1:B$4746,2))))))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39" s="91"/>
      <c r="C39" s="84"/>
      <c r="D39" s="85"/>
      <c r="E39" s="91"/>
      <c r="F39" s="85">
        <v>100</v>
      </c>
      <c r="G39" s="387">
        <v>0</v>
      </c>
      <c r="H39" s="391"/>
      <c r="I39" s="387">
        <f>G39+H39</f>
        <v>0</v>
      </c>
    </row>
    <row r="40" spans="1:9" s="19" customFormat="1" ht="31.2" hidden="1">
      <c r="A40" s="49" t="str">
        <f>IF(B40&gt;0,VLOOKUP(B40,КВСР!A23:B1188,2),IF(C40&gt;0,VLOOKUP(C40,КФСР!A23:B1535,2),IF(D40&gt;0,VLOOKUP(D40,Программа!A$1:B$5063,2),IF(F40&gt;0,VLOOKUP(F40,КВР!A$1:B$5001,2),IF(E40&gt;0,VLOOKUP(E40,Направление!A$1:B$4746,2))))))</f>
        <v>Закупка товаров, работ и услуг для государственных нужд</v>
      </c>
      <c r="B40" s="91"/>
      <c r="C40" s="84"/>
      <c r="D40" s="85"/>
      <c r="E40" s="91"/>
      <c r="F40" s="85">
        <v>200</v>
      </c>
      <c r="G40" s="387">
        <v>0</v>
      </c>
      <c r="H40" s="382"/>
      <c r="I40" s="50">
        <f>G40+H40</f>
        <v>0</v>
      </c>
    </row>
    <row r="41" spans="1:9" s="19" customFormat="1" ht="16.2">
      <c r="A41" s="49" t="str">
        <f>IF(B41&gt;0,VLOOKUP(B41,КВСР!A24:B1189,2),IF(C41&gt;0,VLOOKUP(C41,КФСР!A24:B1536,2),IF(D41&gt;0,VLOOKUP(D41,Программа!A$1:B$5063,2),IF(F41&gt;0,VLOOKUP(F41,КВР!A$1:B$5001,2),IF(E41&gt;0,VLOOKUP(E41,Направление!A$1:B$4746,2))))))</f>
        <v>Иные бюджетные ассигнования</v>
      </c>
      <c r="B41" s="91"/>
      <c r="C41" s="84"/>
      <c r="D41" s="85"/>
      <c r="E41" s="91"/>
      <c r="F41" s="85">
        <v>800</v>
      </c>
      <c r="G41" s="387">
        <v>434662</v>
      </c>
      <c r="H41" s="382"/>
      <c r="I41" s="50">
        <f>G41+H41</f>
        <v>434662</v>
      </c>
    </row>
    <row r="42" spans="1:9" s="19" customFormat="1" ht="16.2">
      <c r="A42" s="49" t="str">
        <f>IF(B42&gt;0,VLOOKUP(B42,КВСР!A21:B1186,2),IF(C42&gt;0,VLOOKUP(C42,КФСР!A21:B1533,2),IF(D42&gt;0,VLOOKUP(D42,Программа!A$1:B$5063,2),IF(F42&gt;0,VLOOKUP(F42,КВР!A$1:B$5001,2),IF(E42&gt;0,VLOOKUP(E42,Направление!A$1:B$4746,2))))))</f>
        <v>Резервные фонды</v>
      </c>
      <c r="B42" s="91"/>
      <c r="C42" s="84">
        <v>111</v>
      </c>
      <c r="D42" s="444"/>
      <c r="E42" s="91"/>
      <c r="F42" s="85"/>
      <c r="G42" s="51">
        <v>1954764</v>
      </c>
      <c r="H42" s="51">
        <f t="shared" ref="H42:H44" si="10">H43</f>
        <v>-835946</v>
      </c>
      <c r="I42" s="50">
        <f t="shared" si="2"/>
        <v>1118818</v>
      </c>
    </row>
    <row r="43" spans="1:9" s="19" customFormat="1" ht="16.2">
      <c r="A43" s="49" t="str">
        <f>IF(B43&gt;0,VLOOKUP(B43,КВСР!A22:B1187,2),IF(C43&gt;0,VLOOKUP(C43,КФСР!A22:B1534,2),IF(D43&gt;0,VLOOKUP(D43,Программа!A$1:B$5063,2),IF(F43&gt;0,VLOOKUP(F43,КВР!A$1:B$5001,2),IF(E43&gt;0,VLOOKUP(E43,Направление!A$1:B$4746,2))))))</f>
        <v>Непрограммные расходы бюджета</v>
      </c>
      <c r="B43" s="91"/>
      <c r="C43" s="84"/>
      <c r="D43" s="444" t="s">
        <v>2852</v>
      </c>
      <c r="E43" s="91"/>
      <c r="F43" s="85"/>
      <c r="G43" s="51">
        <v>1954764</v>
      </c>
      <c r="H43" s="51">
        <f t="shared" si="10"/>
        <v>-835946</v>
      </c>
      <c r="I43" s="50">
        <f t="shared" si="2"/>
        <v>1118818</v>
      </c>
    </row>
    <row r="44" spans="1:9" s="19" customFormat="1" ht="31.2">
      <c r="A44" s="49" t="str">
        <f>IF(B44&gt;0,VLOOKUP(B44,КВСР!A23:B1188,2),IF(C44&gt;0,VLOOKUP(C44,КФСР!A23:B1535,2),IF(D44&gt;0,VLOOKUP(D44,Программа!A$1:B$5063,2),IF(F44&gt;0,VLOOKUP(F44,КВР!A$1:B$5001,2),IF(E44&gt;0,VLOOKUP(E44,Направление!A$1:B$4746,2))))))</f>
        <v>Резервные фонды местных администраций</v>
      </c>
      <c r="B44" s="91"/>
      <c r="C44" s="84"/>
      <c r="D44" s="444"/>
      <c r="E44" s="91">
        <v>12900</v>
      </c>
      <c r="F44" s="85"/>
      <c r="G44" s="51">
        <v>1954764</v>
      </c>
      <c r="H44" s="51">
        <f t="shared" si="10"/>
        <v>-835946</v>
      </c>
      <c r="I44" s="50">
        <f t="shared" si="2"/>
        <v>1118818</v>
      </c>
    </row>
    <row r="45" spans="1:9" s="19" customFormat="1" ht="16.2">
      <c r="A45" s="49" t="str">
        <f>IF(B45&gt;0,VLOOKUP(B45,КВСР!A24:B1189,2),IF(C45&gt;0,VLOOKUP(C45,КФСР!A24:B1536,2),IF(D45&gt;0,VLOOKUP(D45,Программа!A$1:B$5063,2),IF(F45&gt;0,VLOOKUP(F45,КВР!A$1:B$5001,2),IF(E45&gt;0,VLOOKUP(E45,Направление!A$1:B$4746,2))))))</f>
        <v>Иные бюджетные ассигнования</v>
      </c>
      <c r="B45" s="91"/>
      <c r="C45" s="84"/>
      <c r="D45" s="85"/>
      <c r="E45" s="91"/>
      <c r="F45" s="85">
        <v>800</v>
      </c>
      <c r="G45" s="387">
        <v>1954764</v>
      </c>
      <c r="H45" s="382">
        <v>-835946</v>
      </c>
      <c r="I45" s="50">
        <f t="shared" si="2"/>
        <v>1118818</v>
      </c>
    </row>
    <row r="46" spans="1:9" s="19" customFormat="1" ht="31.2">
      <c r="A46" s="49" t="str">
        <f>IF(B46&gt;0,VLOOKUP(B46,КВСР!A25:B1190,2),IF(C46&gt;0,VLOOKUP(C46,КФСР!A25:B1537,2),IF(D46&gt;0,VLOOKUP(D46,Программа!A$1:B$5063,2),IF(F46&gt;0,VLOOKUP(F46,КВР!A$1:B$5001,2),IF(E46&gt;0,VLOOKUP(E46,Направление!A$1:B$4746,2))))))</f>
        <v>Другие общегосударственные вопросы</v>
      </c>
      <c r="B46" s="91"/>
      <c r="C46" s="84">
        <v>113</v>
      </c>
      <c r="D46" s="444"/>
      <c r="E46" s="91"/>
      <c r="F46" s="85"/>
      <c r="G46" s="101">
        <v>19043574</v>
      </c>
      <c r="H46" s="101">
        <f>H47+H53+H57+H72+H76+H64</f>
        <v>371254</v>
      </c>
      <c r="I46" s="50">
        <f t="shared" si="2"/>
        <v>19414828</v>
      </c>
    </row>
    <row r="47" spans="1:9" s="19" customFormat="1" ht="62.4">
      <c r="A47" s="49" t="str">
        <f>IF(B47&gt;0,VLOOKUP(B47,КВСР!A26:B1191,2),IF(C47&gt;0,VLOOKUP(C47,КФСР!A26:B1538,2),IF(D47&gt;0,VLOOKUP(D47,Программа!A$1:B$5063,2),IF(F47&gt;0,VLOOKUP(F47,КВР!A$1:B$5001,2),IF(E47&gt;0,VLOOKUP(E47,Направление!A$1:B$4746,2))))))</f>
        <v>Муниципальная программа "Повышение эффективности управления муниципальными финансами"</v>
      </c>
      <c r="B47" s="91"/>
      <c r="C47" s="84"/>
      <c r="D47" s="444" t="s">
        <v>2839</v>
      </c>
      <c r="E47" s="91"/>
      <c r="F47" s="85"/>
      <c r="G47" s="101">
        <v>130000</v>
      </c>
      <c r="H47" s="101">
        <f t="shared" ref="H47" si="11">H48</f>
        <v>0</v>
      </c>
      <c r="I47" s="50">
        <f t="shared" si="2"/>
        <v>130000</v>
      </c>
    </row>
    <row r="48" spans="1:9" s="19" customFormat="1" ht="62.4">
      <c r="A48" s="49" t="str">
        <f>IF(B48&gt;0,VLOOKUP(B48,КВСР!A27:B1192,2),IF(C48&gt;0,VLOOKUP(C48,КФСР!A27:B1539,2),IF(D48&gt;0,VLOOKUP(D48,Программа!A$1:B$5063,2),IF(F48&gt;0,VLOOKUP(F48,КВР!A$1:B$5001,2),IF(E48&gt;0,VLOOKUP(E48,Направление!A$1:B$4746,2))))))</f>
        <v>Муниципальная целевая программа "Развитие системы муниципальных закупок в Тутаевском муниципальном районе"</v>
      </c>
      <c r="B48" s="91"/>
      <c r="C48" s="84"/>
      <c r="D48" s="444" t="s">
        <v>2845</v>
      </c>
      <c r="E48" s="91"/>
      <c r="F48" s="85"/>
      <c r="G48" s="101">
        <v>130000</v>
      </c>
      <c r="H48" s="101">
        <f t="shared" ref="H48" si="12">H50</f>
        <v>0</v>
      </c>
      <c r="I48" s="50">
        <f t="shared" si="2"/>
        <v>130000</v>
      </c>
    </row>
    <row r="49" spans="1:9" s="19" customFormat="1" ht="62.4">
      <c r="A49" s="49" t="str">
        <f>IF(B49&gt;0,VLOOKUP(B49,КВСР!A28:B1193,2),IF(C49&gt;0,VLOOKUP(C49,КФСР!A28:B1540,2),IF(D49&gt;0,VLOOKUP(D49,Программа!A$1:B$5063,2),IF(F49&gt;0,VLOOKUP(F49,КВР!A$1:B$5001,2),IF(E49&gt;0,VLOOKUP(E49,Направление!A$1:B$4746,2))))))</f>
        <v xml:space="preserve">Организация системы подготовки, планирования, сопровождения и осуществления муниципальных закупок </v>
      </c>
      <c r="B49" s="91"/>
      <c r="C49" s="84"/>
      <c r="D49" s="444" t="s">
        <v>2874</v>
      </c>
      <c r="E49" s="91"/>
      <c r="F49" s="85"/>
      <c r="G49" s="101">
        <v>130000</v>
      </c>
      <c r="H49" s="101">
        <f t="shared" ref="H49" si="13">H48</f>
        <v>0</v>
      </c>
      <c r="I49" s="50">
        <f t="shared" si="2"/>
        <v>130000</v>
      </c>
    </row>
    <row r="50" spans="1:9" s="19" customFormat="1" ht="31.2">
      <c r="A50" s="49" t="str">
        <f>IF(B50&gt;0,VLOOKUP(B50,КВСР!A28:B1193,2),IF(C50&gt;0,VLOOKUP(C50,КФСР!A28:B1540,2),IF(D50&gt;0,VLOOKUP(D50,Программа!A$1:B$5063,2),IF(F50&gt;0,VLOOKUP(F50,КВР!A$1:B$5001,2),IF(E50&gt;0,VLOOKUP(E50,Направление!A$1:B$4746,2))))))</f>
        <v>Расходы на развитие системы муниципального заказа</v>
      </c>
      <c r="B50" s="91"/>
      <c r="C50" s="84"/>
      <c r="D50" s="444"/>
      <c r="E50" s="91">
        <v>12220</v>
      </c>
      <c r="F50" s="85"/>
      <c r="G50" s="101">
        <v>130000</v>
      </c>
      <c r="H50" s="101">
        <f>H52+H51</f>
        <v>0</v>
      </c>
      <c r="I50" s="50">
        <f t="shared" si="2"/>
        <v>130000</v>
      </c>
    </row>
    <row r="51" spans="1:9" s="19" customFormat="1" ht="103.5" customHeight="1">
      <c r="A51" s="49" t="str">
        <f>IF(B51&gt;0,VLOOKUP(B51,КВСР!A29:B1194,2),IF(C51&gt;0,VLOOKUP(C51,КФСР!A29:B1541,2),IF(D51&gt;0,VLOOKUP(D51,Программа!A$1:B$5063,2),IF(F51&gt;0,VLOOKUP(F51,КВР!A$1:B$5001,2),IF(E51&gt;0,VLOOKUP(E51,Направление!A$1:B$4746,2))))))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51" s="91"/>
      <c r="C51" s="84"/>
      <c r="D51" s="444"/>
      <c r="E51" s="91"/>
      <c r="F51" s="85">
        <v>100</v>
      </c>
      <c r="G51" s="101">
        <v>8500</v>
      </c>
      <c r="H51" s="101"/>
      <c r="I51" s="50">
        <f>G51+H51</f>
        <v>8500</v>
      </c>
    </row>
    <row r="52" spans="1:9" s="19" customFormat="1" ht="31.2">
      <c r="A52" s="49" t="str">
        <f>IF(B52&gt;0,VLOOKUP(B52,КВСР!A29:B1194,2),IF(C52&gt;0,VLOOKUP(C52,КФСР!A29:B1541,2),IF(D52&gt;0,VLOOKUP(D52,Программа!A$1:B$5063,2),IF(F52&gt;0,VLOOKUP(F52,КВР!A$1:B$5001,2),IF(E52&gt;0,VLOOKUP(E52,Направление!A$1:B$4746,2))))))</f>
        <v>Закупка товаров, работ и услуг для государственных нужд</v>
      </c>
      <c r="B52" s="91"/>
      <c r="C52" s="84"/>
      <c r="D52" s="85"/>
      <c r="E52" s="91"/>
      <c r="F52" s="85">
        <v>200</v>
      </c>
      <c r="G52" s="557">
        <v>121500</v>
      </c>
      <c r="H52" s="384"/>
      <c r="I52" s="50">
        <f t="shared" si="2"/>
        <v>121500</v>
      </c>
    </row>
    <row r="53" spans="1:9" s="19" customFormat="1" ht="46.8">
      <c r="A53" s="49" t="str">
        <f>IF(B53&gt;0,VLOOKUP(B53,КВСР!A26:B1191,2),IF(C53&gt;0,VLOOKUP(C53,КФСР!A26:B1538,2),IF(D53&gt;0,VLOOKUP(D53,Программа!A$1:B$5063,2),IF(F53&gt;0,VLOOKUP(F53,КВР!A$1:B$5001,2),IF(E53&gt;0,VLOOKUP(E53,Направление!A$1:B$4746,2))))))</f>
        <v>Программа развития муниципальной службы в Тутаевском муниципальном районе</v>
      </c>
      <c r="B53" s="91"/>
      <c r="C53" s="84"/>
      <c r="D53" s="444" t="s">
        <v>2880</v>
      </c>
      <c r="E53" s="91"/>
      <c r="F53" s="85"/>
      <c r="G53" s="101">
        <v>50000</v>
      </c>
      <c r="H53" s="101">
        <f t="shared" ref="H53:H55" si="14">H54</f>
        <v>0</v>
      </c>
      <c r="I53" s="50">
        <f t="shared" si="2"/>
        <v>50000</v>
      </c>
    </row>
    <row r="54" spans="1:9" s="19" customFormat="1" ht="46.8">
      <c r="A54" s="49" t="str">
        <f>IF(B54&gt;0,VLOOKUP(B54,КВСР!A27:B1192,2),IF(C54&gt;0,VLOOKUP(C54,КФСР!A27:B1539,2),IF(D54&gt;0,VLOOKUP(D54,Программа!A$1:B$5063,2),IF(F54&gt;0,VLOOKUP(F54,КВР!A$1:B$5001,2),IF(E54&gt;0,VLOOKUP(E54,Направление!A$1:B$4746,2))))))</f>
        <v>Мероприятия по повышению квалификации  муниципальных служащих</v>
      </c>
      <c r="B54" s="91"/>
      <c r="C54" s="84"/>
      <c r="D54" s="444" t="s">
        <v>2881</v>
      </c>
      <c r="E54" s="91"/>
      <c r="F54" s="85"/>
      <c r="G54" s="101">
        <v>50000</v>
      </c>
      <c r="H54" s="101">
        <f t="shared" si="14"/>
        <v>0</v>
      </c>
      <c r="I54" s="50">
        <f t="shared" si="2"/>
        <v>50000</v>
      </c>
    </row>
    <row r="55" spans="1:9" s="19" customFormat="1" ht="31.2">
      <c r="A55" s="49" t="str">
        <f>IF(B55&gt;0,VLOOKUP(B55,КВСР!A28:B1193,2),IF(C55&gt;0,VLOOKUP(C55,КФСР!A28:B1540,2),IF(D55&gt;0,VLOOKUP(D55,Программа!A$1:B$5063,2),IF(F55&gt;0,VLOOKUP(F55,КВР!A$1:B$5001,2),IF(E55&gt;0,VLOOKUP(E55,Направление!A$1:B$4746,2))))))</f>
        <v>Расходы на развитие муниципальной службы</v>
      </c>
      <c r="B55" s="91"/>
      <c r="C55" s="84"/>
      <c r="D55" s="444"/>
      <c r="E55" s="91">
        <v>12200</v>
      </c>
      <c r="F55" s="85"/>
      <c r="G55" s="101">
        <v>50000</v>
      </c>
      <c r="H55" s="101">
        <f t="shared" si="14"/>
        <v>0</v>
      </c>
      <c r="I55" s="50">
        <f t="shared" si="2"/>
        <v>50000</v>
      </c>
    </row>
    <row r="56" spans="1:9" s="19" customFormat="1" ht="31.2">
      <c r="A56" s="49" t="str">
        <f>IF(B56&gt;0,VLOOKUP(B56,КВСР!A29:B1194,2),IF(C56&gt;0,VLOOKUP(C56,КФСР!A29:B1541,2),IF(D56&gt;0,VLOOKUP(D56,Программа!A$1:B$5063,2),IF(F56&gt;0,VLOOKUP(F56,КВР!A$1:B$5001,2),IF(E56&gt;0,VLOOKUP(E56,Направление!A$1:B$4746,2))))))</f>
        <v>Закупка товаров, работ и услуг для государственных нужд</v>
      </c>
      <c r="B56" s="91"/>
      <c r="C56" s="84"/>
      <c r="D56" s="85"/>
      <c r="E56" s="91"/>
      <c r="F56" s="85">
        <v>200</v>
      </c>
      <c r="G56" s="557">
        <v>50000</v>
      </c>
      <c r="H56" s="384"/>
      <c r="I56" s="50">
        <f t="shared" si="2"/>
        <v>50000</v>
      </c>
    </row>
    <row r="57" spans="1:9" s="19" customFormat="1" ht="78">
      <c r="A57" s="49" t="str">
        <f>IF(B57&gt;0,VLOOKUP(B57,КВСР!A30:B1195,2),IF(C57&gt;0,VLOOKUP(C57,КФСР!A30:B1542,2),IF(D57&gt;0,VLOOKUP(D57,Программа!A$1:B$5063,2),IF(F57&gt;0,VLOOKUP(F57,КВР!A$1:B$5001,2),IF(E57&gt;0,VLOOKUP(E57,Направление!A$1:B$4746,2))))))</f>
        <v>Муниципальная программа "Информатизация управленческой деятельности Администрации Тутаевского муниципального района"</v>
      </c>
      <c r="B57" s="91"/>
      <c r="C57" s="84"/>
      <c r="D57" s="85" t="s">
        <v>2882</v>
      </c>
      <c r="E57" s="91"/>
      <c r="F57" s="85"/>
      <c r="G57" s="101">
        <v>754030</v>
      </c>
      <c r="H57" s="101">
        <f>H61+H58</f>
        <v>0</v>
      </c>
      <c r="I57" s="101">
        <f>I61+I58</f>
        <v>754030</v>
      </c>
    </row>
    <row r="58" spans="1:9" s="19" customFormat="1" ht="46.8">
      <c r="A58" s="49" t="str">
        <f>IF(B58&gt;0,VLOOKUP(B58,КВСР!A31:B1196,2),IF(C58&gt;0,VLOOKUP(C58,КФСР!A31:B1543,2),IF(D58&gt;0,VLOOKUP(D58,Программа!A$1:B$5063,2),IF(F58&gt;0,VLOOKUP(F58,КВР!A$1:B$5001,2),IF(E58&gt;0,VLOOKUP(E58,Направление!A$1:B$4746,2))))))</f>
        <v>Обеспечение бесперебойного функционирования  программного обеспечения</v>
      </c>
      <c r="B58" s="91"/>
      <c r="C58" s="84"/>
      <c r="D58" s="85" t="s">
        <v>2883</v>
      </c>
      <c r="E58" s="91"/>
      <c r="F58" s="85"/>
      <c r="G58" s="101">
        <v>86563</v>
      </c>
      <c r="H58" s="101">
        <f t="shared" ref="H58:I58" si="15">H59</f>
        <v>0</v>
      </c>
      <c r="I58" s="101">
        <f t="shared" si="15"/>
        <v>86563</v>
      </c>
    </row>
    <row r="59" spans="1:9" s="19" customFormat="1" ht="31.2">
      <c r="A59" s="49" t="str">
        <f>IF(B59&gt;0,VLOOKUP(B59,КВСР!A32:B1197,2),IF(C59&gt;0,VLOOKUP(C59,КФСР!A32:B1544,2),IF(D59&gt;0,VLOOKUP(D59,Программа!A$1:B$5063,2),IF(F59&gt;0,VLOOKUP(F59,КВР!A$1:B$5001,2),IF(E59&gt;0,VLOOKUP(E59,Направление!A$1:B$4746,2))))))</f>
        <v>Расходы на проведение мероприятий по информатизации</v>
      </c>
      <c r="B59" s="91"/>
      <c r="C59" s="84"/>
      <c r="D59" s="85"/>
      <c r="E59" s="91">
        <v>12210</v>
      </c>
      <c r="F59" s="85"/>
      <c r="G59" s="101">
        <v>86563</v>
      </c>
      <c r="H59" s="101">
        <f t="shared" ref="H59:I59" si="16">H60</f>
        <v>0</v>
      </c>
      <c r="I59" s="101">
        <f t="shared" si="16"/>
        <v>86563</v>
      </c>
    </row>
    <row r="60" spans="1:9" s="19" customFormat="1" ht="31.2">
      <c r="A60" s="49" t="str">
        <f>IF(B60&gt;0,VLOOKUP(B60,КВСР!A33:B1198,2),IF(C60&gt;0,VLOOKUP(C60,КФСР!A33:B1545,2),IF(D60&gt;0,VLOOKUP(D60,Программа!A$1:B$5063,2),IF(F60&gt;0,VLOOKUP(F60,КВР!A$1:B$5001,2),IF(E60&gt;0,VLOOKUP(E60,Направление!A$1:B$4746,2))))))</f>
        <v>Закупка товаров, работ и услуг для государственных нужд</v>
      </c>
      <c r="B60" s="91"/>
      <c r="C60" s="84"/>
      <c r="D60" s="85"/>
      <c r="E60" s="91"/>
      <c r="F60" s="85">
        <v>200</v>
      </c>
      <c r="G60" s="101">
        <v>86563</v>
      </c>
      <c r="H60" s="530"/>
      <c r="I60" s="50">
        <f>G60+H60</f>
        <v>86563</v>
      </c>
    </row>
    <row r="61" spans="1:9" s="19" customFormat="1" ht="78">
      <c r="A61" s="49" t="str">
        <f>IF(B61&gt;0,VLOOKUP(B61,КВСР!A31:B1196,2),IF(C61&gt;0,VLOOKUP(C61,КФСР!A31:B1543,2),IF(D61&gt;0,VLOOKUP(D61,Программа!A$1:B$5063,2),IF(F61&gt;0,VLOOKUP(F61,КВР!A$1:B$5001,2),IF(E61&gt;0,VLOOKUP(E61,Направление!A$1:B$4746,2))))))</f>
        <v>Закупка компьютерного оборудования  и оргтехники для бесперебойного обеспечения деятельности органов местного самоуправления</v>
      </c>
      <c r="B61" s="91"/>
      <c r="C61" s="84"/>
      <c r="D61" s="85" t="s">
        <v>2891</v>
      </c>
      <c r="E61" s="91"/>
      <c r="F61" s="85"/>
      <c r="G61" s="101">
        <v>667467</v>
      </c>
      <c r="H61" s="101">
        <f t="shared" ref="H61:H62" si="17">H62</f>
        <v>0</v>
      </c>
      <c r="I61" s="50">
        <f t="shared" si="2"/>
        <v>667467</v>
      </c>
    </row>
    <row r="62" spans="1:9" s="19" customFormat="1" ht="31.2">
      <c r="A62" s="49" t="str">
        <f>IF(B62&gt;0,VLOOKUP(B62,КВСР!A32:B1197,2),IF(C62&gt;0,VLOOKUP(C62,КФСР!A32:B1544,2),IF(D62&gt;0,VLOOKUP(D62,Программа!A$1:B$5063,2),IF(F62&gt;0,VLOOKUP(F62,КВР!A$1:B$5001,2),IF(E62&gt;0,VLOOKUP(E62,Направление!A$1:B$4746,2))))))</f>
        <v>Расходы на проведение мероприятий по информатизации</v>
      </c>
      <c r="B62" s="91"/>
      <c r="C62" s="84"/>
      <c r="D62" s="85"/>
      <c r="E62" s="91">
        <v>12210</v>
      </c>
      <c r="F62" s="85"/>
      <c r="G62" s="101">
        <v>667467</v>
      </c>
      <c r="H62" s="101">
        <f t="shared" si="17"/>
        <v>0</v>
      </c>
      <c r="I62" s="50">
        <f t="shared" si="2"/>
        <v>667467</v>
      </c>
    </row>
    <row r="63" spans="1:9" s="19" customFormat="1" ht="31.2">
      <c r="A63" s="49" t="str">
        <f>IF(B63&gt;0,VLOOKUP(B63,КВСР!A33:B1198,2),IF(C63&gt;0,VLOOKUP(C63,КФСР!A33:B1545,2),IF(D63&gt;0,VLOOKUP(D63,Программа!A$1:B$5063,2),IF(F63&gt;0,VLOOKUP(F63,КВР!A$1:B$5001,2),IF(E63&gt;0,VLOOKUP(E63,Направление!A$1:B$4746,2))))))</f>
        <v>Закупка товаров, работ и услуг для государственных нужд</v>
      </c>
      <c r="B63" s="91"/>
      <c r="C63" s="84"/>
      <c r="D63" s="85"/>
      <c r="E63" s="91"/>
      <c r="F63" s="85">
        <v>200</v>
      </c>
      <c r="G63" s="557">
        <v>667467</v>
      </c>
      <c r="H63" s="384"/>
      <c r="I63" s="50">
        <f t="shared" si="2"/>
        <v>667467</v>
      </c>
    </row>
    <row r="64" spans="1:9" s="19" customFormat="1" ht="97.5" customHeight="1">
      <c r="A64" s="49" t="str">
        <f>IF(B64&gt;0,VLOOKUP(B64,КВСР!A38:B1203,2),IF(C64&gt;0,VLOOKUP(C64,КФСР!A38:B1550,2),IF(D64&gt;0,VLOOKUP(D64,Программа!A$1:B$5063,2),IF(F64&gt;0,VLOOKUP(F64,КВР!A$1:B$5001,2),IF(E64&gt;0,VLOOKUP(E64,Направление!A$1:B$4746,2))))))</f>
        <v>Муниципальная программа "Поддержки социально ориентированных некоммерческих организаций и территориального общественного самоуправления Тутаевского муниципального района"</v>
      </c>
      <c r="B64" s="91"/>
      <c r="C64" s="84"/>
      <c r="D64" s="444" t="s">
        <v>2884</v>
      </c>
      <c r="E64" s="91"/>
      <c r="F64" s="85"/>
      <c r="G64" s="101">
        <v>1134600</v>
      </c>
      <c r="H64" s="101">
        <f t="shared" ref="H64:H66" si="18">H65</f>
        <v>257349</v>
      </c>
      <c r="I64" s="50">
        <f t="shared" si="2"/>
        <v>1391949</v>
      </c>
    </row>
    <row r="65" spans="1:9" s="19" customFormat="1" ht="78">
      <c r="A65" s="49" t="str">
        <f>IF(B65&gt;0,VLOOKUP(B65,КВСР!A31:B1196,2),IF(C65&gt;0,VLOOKUP(C65,КФСР!A31:B1543,2),IF(D65&gt;0,VLOOKUP(D65,Программа!A$1:B$5063,2),IF(F65&gt;0,VLOOKUP(F65,КВР!A$1:B$5001,2),IF(E65&gt;0,VLOOKUP(E65,Направление!A$1:B$4746,2))))))</f>
        <v>Размещение форм поддержки деятельности социально ориентированных некоммерческих организаций в средствах массовой информации</v>
      </c>
      <c r="B65" s="91"/>
      <c r="C65" s="84"/>
      <c r="D65" s="444" t="s">
        <v>2885</v>
      </c>
      <c r="E65" s="91"/>
      <c r="F65" s="85"/>
      <c r="G65" s="101">
        <v>1134600</v>
      </c>
      <c r="H65" s="101">
        <f>H66+H68+H70</f>
        <v>257349</v>
      </c>
      <c r="I65" s="101">
        <f>I66+I68+I70</f>
        <v>1391949</v>
      </c>
    </row>
    <row r="66" spans="1:9" s="19" customFormat="1" ht="62.4">
      <c r="A66" s="49" t="str">
        <f>IF(B66&gt;0,VLOOKUP(B66,КВСР!A32:B1197,2),IF(C66&gt;0,VLOOKUP(C66,КФСР!A32:B1544,2),IF(D66&gt;0,VLOOKUP(D66,Программа!A$1:B$5063,2),IF(F66&gt;0,VLOOKUP(F66,КВР!A$1:B$5001,2),IF(E66&gt;0,VLOOKUP(E66,Направление!A$1:B$4746,2))))))</f>
        <v>Расходы на поддержку территориального общественного самоуправления и некоммерческих организаций</v>
      </c>
      <c r="B66" s="91"/>
      <c r="C66" s="84"/>
      <c r="D66" s="444"/>
      <c r="E66" s="91">
        <v>12240</v>
      </c>
      <c r="F66" s="85"/>
      <c r="G66" s="101">
        <v>30000</v>
      </c>
      <c r="H66" s="101">
        <f t="shared" si="18"/>
        <v>0</v>
      </c>
      <c r="I66" s="50">
        <f t="shared" si="2"/>
        <v>30000</v>
      </c>
    </row>
    <row r="67" spans="1:9" s="19" customFormat="1" ht="31.2">
      <c r="A67" s="49" t="str">
        <f>IF(B67&gt;0,VLOOKUP(B67,КВСР!A33:B1198,2),IF(C67&gt;0,VLOOKUP(C67,КФСР!A33:B1545,2),IF(D67&gt;0,VLOOKUP(D67,Программа!A$1:B$5063,2),IF(F67&gt;0,VLOOKUP(F67,КВР!A$1:B$5001,2),IF(E67&gt;0,VLOOKUP(E67,Направление!A$1:B$4746,2))))))</f>
        <v>Закупка товаров, работ и услуг для государственных нужд</v>
      </c>
      <c r="B67" s="91"/>
      <c r="C67" s="84"/>
      <c r="D67" s="85"/>
      <c r="E67" s="91"/>
      <c r="F67" s="85">
        <v>200</v>
      </c>
      <c r="G67" s="557">
        <v>30000</v>
      </c>
      <c r="H67" s="384"/>
      <c r="I67" s="50">
        <f t="shared" si="2"/>
        <v>30000</v>
      </c>
    </row>
    <row r="68" spans="1:9" s="19" customFormat="1" ht="46.8">
      <c r="A68" s="49" t="str">
        <f>IF(B68&gt;0,VLOOKUP(B68,КВСР!A34:B1199,2),IF(C68&gt;0,VLOOKUP(C68,КФСР!A34:B1546,2),IF(D68&gt;0,VLOOKUP(D68,Программа!A$1:B$5063,2),IF(F68&gt;0,VLOOKUP(F68,КВР!A$1:B$5001,2),IF(E68&gt;0,VLOOKUP(E68,Направление!A$1:B$4746,2))))))</f>
        <v>Поддержка деятельности социально-ориентированных некоммерческих организаций</v>
      </c>
      <c r="B68" s="91"/>
      <c r="C68" s="84"/>
      <c r="D68" s="85"/>
      <c r="E68" s="91">
        <v>29516</v>
      </c>
      <c r="F68" s="85"/>
      <c r="G68" s="557">
        <v>1104600</v>
      </c>
      <c r="H68" s="557">
        <f t="shared" ref="H68:I68" si="19">H69</f>
        <v>0</v>
      </c>
      <c r="I68" s="557">
        <f t="shared" si="19"/>
        <v>1104600</v>
      </c>
    </row>
    <row r="69" spans="1:9" s="19" customFormat="1" ht="62.4">
      <c r="A69" s="49" t="str">
        <f>IF(B69&gt;0,VLOOKUP(B69,КВСР!A35:B1200,2),IF(C69&gt;0,VLOOKUP(C69,КФСР!A35:B1547,2),IF(D69&gt;0,VLOOKUP(D69,Программа!A$1:B$5063,2),IF(F69&gt;0,VLOOKUP(F69,КВР!A$1:B$5001,2),IF(E69&gt;0,VLOOKUP(E69,Направление!A$1:B$4746,2))))))</f>
        <v>Предоставление субсидий бюджетным, автономным учреждениям и иным некоммерческим организациям</v>
      </c>
      <c r="B69" s="91"/>
      <c r="C69" s="84"/>
      <c r="D69" s="85"/>
      <c r="E69" s="91"/>
      <c r="F69" s="85">
        <v>600</v>
      </c>
      <c r="G69" s="557">
        <v>1104600</v>
      </c>
      <c r="H69" s="384"/>
      <c r="I69" s="50">
        <f>G69+H69</f>
        <v>1104600</v>
      </c>
    </row>
    <row r="70" spans="1:9" s="19" customFormat="1" ht="46.8">
      <c r="A70" s="49" t="str">
        <f>IF(B70&gt;0,VLOOKUP(B70,КВСР!A36:B1201,2),IF(C70&gt;0,VLOOKUP(C70,КФСР!A36:B1548,2),IF(D70&gt;0,VLOOKUP(D70,Программа!A$1:B$5063,2),IF(F70&gt;0,VLOOKUP(F70,КВР!A$1:B$5001,2),IF(E70&gt;0,VLOOKUP(E70,Направление!A$1:B$4746,2))))))</f>
        <v>Предоставление субсидий социально ориентированным некомерческим организациям на конкурсной основе</v>
      </c>
      <c r="B70" s="91"/>
      <c r="C70" s="84"/>
      <c r="D70" s="85"/>
      <c r="E70" s="91">
        <v>73140</v>
      </c>
      <c r="F70" s="85"/>
      <c r="G70" s="557">
        <f>G71</f>
        <v>0</v>
      </c>
      <c r="H70" s="557">
        <f t="shared" ref="H70:I70" si="20">H71</f>
        <v>257349</v>
      </c>
      <c r="I70" s="557">
        <f t="shared" si="20"/>
        <v>257349</v>
      </c>
    </row>
    <row r="71" spans="1:9" s="19" customFormat="1" ht="62.4">
      <c r="A71" s="49" t="str">
        <f>IF(B71&gt;0,VLOOKUP(B71,КВСР!A37:B1202,2),IF(C71&gt;0,VLOOKUP(C71,КФСР!A37:B1549,2),IF(D71&gt;0,VLOOKUP(D71,Программа!A$1:B$5063,2),IF(F71&gt;0,VLOOKUP(F71,КВР!A$1:B$5001,2),IF(E71&gt;0,VLOOKUP(E71,Направление!A$1:B$4746,2))))))</f>
        <v>Предоставление субсидий бюджетным, автономным учреждениям и иным некоммерческим организациям</v>
      </c>
      <c r="B71" s="91"/>
      <c r="C71" s="84"/>
      <c r="D71" s="85"/>
      <c r="E71" s="91"/>
      <c r="F71" s="85">
        <v>600</v>
      </c>
      <c r="G71" s="557"/>
      <c r="H71" s="384">
        <v>257349</v>
      </c>
      <c r="I71" s="50">
        <f>G71+H71</f>
        <v>257349</v>
      </c>
    </row>
    <row r="72" spans="1:9" s="19" customFormat="1" ht="62.4">
      <c r="A72" s="49" t="str">
        <f>IF(B72&gt;0,VLOOKUP(B72,КВСР!A36:B1201,2),IF(C72&gt;0,VLOOKUP(C72,КФСР!A36:B1548,2),IF(D72&gt;0,VLOOKUP(D72,Программа!A$1:B$5063,2),IF(F72&gt;0,VLOOKUP(F72,КВР!A$1:B$5001,2),IF(E72&gt;0,VLOOKUP(E72,Направление!A$1:B$4746,2))))))</f>
        <v>Муниципальная программа "Профилактика правонарушений и усиление борьбы с преступностью в Тутаевском муниципальном районе"</v>
      </c>
      <c r="B72" s="91"/>
      <c r="C72" s="84"/>
      <c r="D72" s="85" t="s">
        <v>2877</v>
      </c>
      <c r="E72" s="91"/>
      <c r="F72" s="85"/>
      <c r="G72" s="557">
        <v>65000</v>
      </c>
      <c r="H72" s="557">
        <f t="shared" ref="H72:I72" si="21">H73</f>
        <v>0</v>
      </c>
      <c r="I72" s="557">
        <f t="shared" si="21"/>
        <v>65000</v>
      </c>
    </row>
    <row r="73" spans="1:9" s="19" customFormat="1" ht="31.2">
      <c r="A73" s="49" t="str">
        <f>IF(B73&gt;0,VLOOKUP(B73,КВСР!A37:B1202,2),IF(C73&gt;0,VLOOKUP(C73,КФСР!A37:B1549,2),IF(D73&gt;0,VLOOKUP(D73,Программа!A$1:B$5063,2),IF(F73&gt;0,VLOOKUP(F73,КВР!A$1:B$5001,2),IF(E73&gt;0,VLOOKUP(E73,Направление!A$1:B$4746,2))))))</f>
        <v>Реализация мероприятий по профилактике правонарушений</v>
      </c>
      <c r="B73" s="91"/>
      <c r="C73" s="84"/>
      <c r="D73" s="85" t="s">
        <v>2879</v>
      </c>
      <c r="E73" s="91"/>
      <c r="F73" s="85"/>
      <c r="G73" s="557">
        <v>65000</v>
      </c>
      <c r="H73" s="557">
        <f t="shared" ref="H73:I73" si="22">H74</f>
        <v>0</v>
      </c>
      <c r="I73" s="557">
        <f t="shared" si="22"/>
        <v>65000</v>
      </c>
    </row>
    <row r="74" spans="1:9" s="19" customFormat="1" ht="46.8">
      <c r="A74" s="49" t="str">
        <f>IF(B74&gt;0,VLOOKUP(B74,КВСР!A38:B1203,2),IF(C74&gt;0,VLOOKUP(C74,КФСР!A38:B1550,2),IF(D74&gt;0,VLOOKUP(D74,Программа!A$1:B$5063,2),IF(F74&gt;0,VLOOKUP(F74,КВР!A$1:B$5001,2),IF(E74&gt;0,VLOOKUP(E74,Направление!A$1:B$4746,2))))))</f>
        <v>Расходы на профилактику правонарушений и усиления борьбы с преступностью</v>
      </c>
      <c r="B74" s="91"/>
      <c r="C74" s="84"/>
      <c r="D74" s="85"/>
      <c r="E74" s="91">
        <v>12250</v>
      </c>
      <c r="F74" s="85"/>
      <c r="G74" s="557">
        <v>65000</v>
      </c>
      <c r="H74" s="557">
        <f t="shared" ref="H74:I74" si="23">H75</f>
        <v>0</v>
      </c>
      <c r="I74" s="557">
        <f t="shared" si="23"/>
        <v>65000</v>
      </c>
    </row>
    <row r="75" spans="1:9" s="19" customFormat="1" ht="31.2">
      <c r="A75" s="49" t="str">
        <f>IF(B75&gt;0,VLOOKUP(B75,КВСР!A39:B1204,2),IF(C75&gt;0,VLOOKUP(C75,КФСР!A39:B1551,2),IF(D75&gt;0,VLOOKUP(D75,Программа!A$1:B$5063,2),IF(F75&gt;0,VLOOKUP(F75,КВР!A$1:B$5001,2),IF(E75&gt;0,VLOOKUP(E75,Направление!A$1:B$4746,2))))))</f>
        <v>Закупка товаров, работ и услуг для государственных нужд</v>
      </c>
      <c r="B75" s="91"/>
      <c r="C75" s="84"/>
      <c r="D75" s="85"/>
      <c r="E75" s="91"/>
      <c r="F75" s="85">
        <v>200</v>
      </c>
      <c r="G75" s="557">
        <v>65000</v>
      </c>
      <c r="H75" s="384"/>
      <c r="I75" s="50">
        <f>G75+H75</f>
        <v>65000</v>
      </c>
    </row>
    <row r="76" spans="1:9" s="19" customFormat="1" ht="16.2">
      <c r="A76" s="49" t="str">
        <f>IF(B76&gt;0,VLOOKUP(B76,КВСР!A26:B1191,2),IF(C76&gt;0,VLOOKUP(C76,КФСР!A26:B1538,2),IF(D76&gt;0,VLOOKUP(D76,Программа!A$1:B$5063,2),IF(F76&gt;0,VLOOKUP(F76,КВР!A$1:B$5001,2),IF(E76&gt;0,VLOOKUP(E76,Направление!A$1:B$4746,2))))))</f>
        <v>Непрограммные расходы бюджета</v>
      </c>
      <c r="B76" s="91"/>
      <c r="C76" s="84"/>
      <c r="D76" s="444" t="s">
        <v>2852</v>
      </c>
      <c r="E76" s="91"/>
      <c r="F76" s="85"/>
      <c r="G76" s="101">
        <v>16909944</v>
      </c>
      <c r="H76" s="101">
        <f>H93+H96+H90+H77+H79+H85+H83</f>
        <v>113905</v>
      </c>
      <c r="I76" s="50">
        <f t="shared" si="2"/>
        <v>17023849</v>
      </c>
    </row>
    <row r="77" spans="1:9" s="19" customFormat="1" ht="31.2">
      <c r="A77" s="49" t="str">
        <f>IF(B77&gt;0,VLOOKUP(B77,КВСР!A27:B1192,2),IF(C77&gt;0,VLOOKUP(C77,КФСР!A27:B1539,2),IF(D77&gt;0,VLOOKUP(D77,Программа!A$1:B$5063,2),IF(F77&gt;0,VLOOKUP(F77,КВР!A$1:B$5001,2),IF(E77&gt;0,VLOOKUP(E77,Направление!A$1:B$4746,2))))))</f>
        <v>Выполнение других обязательств органов местного самоуправления</v>
      </c>
      <c r="B77" s="91"/>
      <c r="C77" s="84"/>
      <c r="D77" s="444"/>
      <c r="E77" s="91">
        <v>12080</v>
      </c>
      <c r="F77" s="85"/>
      <c r="G77" s="101">
        <v>2970000</v>
      </c>
      <c r="H77" s="101">
        <f t="shared" ref="H77" si="24">H78</f>
        <v>-103547</v>
      </c>
      <c r="I77" s="50">
        <f t="shared" si="2"/>
        <v>2866453</v>
      </c>
    </row>
    <row r="78" spans="1:9" s="19" customFormat="1" ht="31.2">
      <c r="A78" s="49" t="str">
        <f>IF(B78&gt;0,VLOOKUP(B78,КВСР!A28:B1193,2),IF(C78&gt;0,VLOOKUP(C78,КФСР!A28:B1540,2),IF(D78&gt;0,VLOOKUP(D78,Программа!A$1:B$5063,2),IF(F78&gt;0,VLOOKUP(F78,КВР!A$1:B$5001,2),IF(E78&gt;0,VLOOKUP(E78,Направление!A$1:B$4746,2))))))</f>
        <v>Закупка товаров, работ и услуг для государственных нужд</v>
      </c>
      <c r="B78" s="91"/>
      <c r="C78" s="84"/>
      <c r="D78" s="444"/>
      <c r="E78" s="91"/>
      <c r="F78" s="85">
        <v>200</v>
      </c>
      <c r="G78" s="557">
        <v>2970000</v>
      </c>
      <c r="H78" s="530">
        <v>-103547</v>
      </c>
      <c r="I78" s="50">
        <f t="shared" si="2"/>
        <v>2866453</v>
      </c>
    </row>
    <row r="79" spans="1:9" s="19" customFormat="1" ht="46.8">
      <c r="A79" s="49" t="str">
        <f>IF(B79&gt;0,VLOOKUP(B79,КВСР!A29:B1194,2),IF(C79&gt;0,VLOOKUP(C79,КФСР!A29:B1541,2),IF(D79&gt;0,VLOOKUP(D79,Программа!A$1:B$5063,2),IF(F79&gt;0,VLOOKUP(F79,КВР!A$1:B$5001,2),IF(E79&gt;0,VLOOKUP(E79,Направление!A$1:B$4746,2))))))</f>
        <v>Обеспечение деятельности подведомственных учреждений органов местного самоуправления</v>
      </c>
      <c r="B79" s="91"/>
      <c r="C79" s="84"/>
      <c r="D79" s="444"/>
      <c r="E79" s="91">
        <v>12100</v>
      </c>
      <c r="F79" s="85"/>
      <c r="G79" s="101">
        <v>7743672</v>
      </c>
      <c r="H79" s="101">
        <f>H80+H81+H82</f>
        <v>0</v>
      </c>
      <c r="I79" s="50">
        <f t="shared" si="2"/>
        <v>7743672</v>
      </c>
    </row>
    <row r="80" spans="1:9" s="19" customFormat="1" ht="98.25" customHeight="1">
      <c r="A80" s="49" t="str">
        <f>IF(B80&gt;0,VLOOKUP(B80,КВСР!A28:B1193,2),IF(C80&gt;0,VLOOKUP(C80,КФСР!A28:B1540,2),IF(D80&gt;0,VLOOKUP(D80,Программа!A$1:B$5063,2),IF(F80&gt;0,VLOOKUP(F80,КВР!A$1:B$5001,2),IF(E80&gt;0,VLOOKUP(E80,Направление!A$1:B$4746,2))))))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80" s="91"/>
      <c r="C80" s="84"/>
      <c r="D80" s="444"/>
      <c r="E80" s="91"/>
      <c r="F80" s="85">
        <v>100</v>
      </c>
      <c r="G80" s="557">
        <v>5952933</v>
      </c>
      <c r="H80" s="529"/>
      <c r="I80" s="50">
        <f t="shared" si="2"/>
        <v>5952933</v>
      </c>
    </row>
    <row r="81" spans="1:9" s="19" customFormat="1" ht="31.2">
      <c r="A81" s="49" t="str">
        <f>IF(B81&gt;0,VLOOKUP(B81,КВСР!A29:B1194,2),IF(C81&gt;0,VLOOKUP(C81,КФСР!A29:B1541,2),IF(D81&gt;0,VLOOKUP(D81,Программа!A$1:B$5063,2),IF(F81&gt;0,VLOOKUP(F81,КВР!A$1:B$5001,2),IF(E81&gt;0,VLOOKUP(E81,Направление!A$1:B$4746,2))))))</f>
        <v>Закупка товаров, работ и услуг для государственных нужд</v>
      </c>
      <c r="B81" s="91"/>
      <c r="C81" s="84"/>
      <c r="D81" s="444"/>
      <c r="E81" s="91"/>
      <c r="F81" s="85">
        <v>200</v>
      </c>
      <c r="G81" s="557">
        <v>1757589</v>
      </c>
      <c r="H81" s="529"/>
      <c r="I81" s="50">
        <f t="shared" si="2"/>
        <v>1757589</v>
      </c>
    </row>
    <row r="82" spans="1:9" s="19" customFormat="1" ht="16.2">
      <c r="A82" s="49" t="str">
        <f>IF(B82&gt;0,VLOOKUP(B82,КВСР!A30:B1195,2),IF(C82&gt;0,VLOOKUP(C82,КФСР!A30:B1542,2),IF(D82&gt;0,VLOOKUP(D82,Программа!A$1:B$5063,2),IF(F82&gt;0,VLOOKUP(F82,КВР!A$1:B$5001,2),IF(E82&gt;0,VLOOKUP(E82,Направление!A$1:B$4746,2))))))</f>
        <v>Иные бюджетные ассигнования</v>
      </c>
      <c r="B82" s="91"/>
      <c r="C82" s="84"/>
      <c r="D82" s="444"/>
      <c r="E82" s="91"/>
      <c r="F82" s="85">
        <v>800</v>
      </c>
      <c r="G82" s="557">
        <v>33150</v>
      </c>
      <c r="H82" s="529"/>
      <c r="I82" s="50">
        <f>G82+H82</f>
        <v>33150</v>
      </c>
    </row>
    <row r="83" spans="1:9" s="19" customFormat="1" ht="46.5" customHeight="1">
      <c r="A83" s="49" t="str">
        <f>IF(B83&gt;0,VLOOKUP(B83,КВСР!A31:B1196,2),IF(C83&gt;0,VLOOKUP(C83,КФСР!A31:B1543,2),IF(D83&gt;0,VLOOKUP(D83,Программа!A$1:B$5063,2),IF(F83&gt;0,VLOOKUP(F83,КВР!A$1:B$5001,2),IF(E83&gt;0,VLOOKUP(E83,Направление!A$1:B$4746,2))))))</f>
        <v>Исполнение судебных актов, актов других органов и должностных лиц, иных документов</v>
      </c>
      <c r="B83" s="91"/>
      <c r="C83" s="84"/>
      <c r="D83" s="444"/>
      <c r="E83" s="752">
        <v>12130</v>
      </c>
      <c r="F83" s="85"/>
      <c r="G83" s="557">
        <v>355750</v>
      </c>
      <c r="H83" s="557">
        <f t="shared" ref="H83:I83" si="25">H84</f>
        <v>103547</v>
      </c>
      <c r="I83" s="557">
        <f t="shared" si="25"/>
        <v>459297</v>
      </c>
    </row>
    <row r="84" spans="1:9" s="19" customFormat="1" ht="16.2">
      <c r="A84" s="49" t="str">
        <f>IF(B84&gt;0,VLOOKUP(B84,КВСР!A32:B1197,2),IF(C84&gt;0,VLOOKUP(C84,КФСР!A32:B1544,2),IF(D84&gt;0,VLOOKUP(D84,Программа!A$1:B$5063,2),IF(F84&gt;0,VLOOKUP(F84,КВР!A$1:B$5001,2),IF(E84&gt;0,VLOOKUP(E84,Направление!A$1:B$4746,2))))))</f>
        <v>Иные бюджетные ассигнования</v>
      </c>
      <c r="B84" s="91"/>
      <c r="C84" s="84"/>
      <c r="D84" s="444"/>
      <c r="E84" s="91"/>
      <c r="F84" s="85">
        <v>800</v>
      </c>
      <c r="G84" s="557">
        <v>355750</v>
      </c>
      <c r="H84" s="529">
        <v>103547</v>
      </c>
      <c r="I84" s="50">
        <f>G84+H84</f>
        <v>459297</v>
      </c>
    </row>
    <row r="85" spans="1:9" s="19" customFormat="1" ht="62.4">
      <c r="A85" s="49" t="str">
        <f>IF(B85&gt;0,VLOOKUP(B85,КВСР!A30:B1195,2),IF(C85&gt;0,VLOOKUP(C85,КФСР!A30:B1542,2),IF(D85&gt;0,VLOOKUP(D85,Программа!A$1:B$5063,2),IF(F85&gt;0,VLOOKUP(F85,КВР!A$1:B$5001,2),IF(E85&gt;0,VLOOKUP(E85,Направление!A$1:B$4746,2))))))</f>
        <v>Субвенция на подготовку и проведение Всероссийской сельскохозяйственной переписи 2016 года</v>
      </c>
      <c r="B85" s="91"/>
      <c r="C85" s="84"/>
      <c r="D85" s="444"/>
      <c r="E85" s="91">
        <v>53910</v>
      </c>
      <c r="F85" s="85"/>
      <c r="G85" s="557">
        <v>1086219</v>
      </c>
      <c r="H85" s="557">
        <f>SUM(H88:H89)</f>
        <v>0</v>
      </c>
      <c r="I85" s="50">
        <f t="shared" si="2"/>
        <v>1086219</v>
      </c>
    </row>
    <row r="86" spans="1:9" s="19" customFormat="1" ht="109.2" hidden="1">
      <c r="A86" s="49" t="str">
        <f>IF(B86&gt;0,VLOOKUP(B86,КВСР!A31:B1196,2),IF(C86&gt;0,VLOOKUP(C86,КФСР!A31:B1543,2),IF(D86&gt;0,VLOOKUP(D86,Программа!A$1:B$5063,2),IF(F86&gt;0,VLOOKUP(F86,КВР!A$1:B$5001,2),IF(E86&gt;0,VLOOKUP(E86,Направление!A$1:B$4746,2))))))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86" s="91"/>
      <c r="C86" s="84"/>
      <c r="D86" s="444"/>
      <c r="E86" s="91"/>
      <c r="F86" s="85">
        <v>100</v>
      </c>
      <c r="G86" s="557">
        <v>0</v>
      </c>
      <c r="H86" s="558"/>
      <c r="I86" s="50">
        <f t="shared" si="2"/>
        <v>0</v>
      </c>
    </row>
    <row r="87" spans="1:9" s="19" customFormat="1" ht="31.2" hidden="1">
      <c r="A87" s="49" t="str">
        <f>IF(B87&gt;0,VLOOKUP(B87,КВСР!A32:B1197,2),IF(C87&gt;0,VLOOKUP(C87,КФСР!A32:B1544,2),IF(D87&gt;0,VLOOKUP(D87,Программа!A$1:B$5063,2),IF(F87&gt;0,VLOOKUP(F87,КВР!A$1:B$5001,2),IF(E87&gt;0,VLOOKUP(E87,Направление!A$1:B$4746,2))))))</f>
        <v>Закупка товаров, работ и услуг для государственных нужд</v>
      </c>
      <c r="B87" s="91"/>
      <c r="C87" s="84"/>
      <c r="D87" s="444"/>
      <c r="E87" s="91"/>
      <c r="F87" s="85">
        <v>200</v>
      </c>
      <c r="G87" s="557">
        <v>0</v>
      </c>
      <c r="H87" s="529"/>
      <c r="I87" s="50">
        <f t="shared" si="2"/>
        <v>0</v>
      </c>
    </row>
    <row r="88" spans="1:9" s="19" customFormat="1" ht="34.5" customHeight="1">
      <c r="A88" s="49" t="str">
        <f>IF(B88&gt;0,VLOOKUP(B88,КВСР!A28:B1193,2),IF(C88&gt;0,VLOOKUP(C88,КФСР!A28:B1540,2),IF(D88&gt;0,VLOOKUP(D88,Программа!A$1:B$5063,2),IF(F88&gt;0,VLOOKUP(F88,КВР!A$1:B$5001,2),IF(E88&gt;0,VLOOKUP(E88,Направление!A$1:B$4746,2))))))</f>
        <v>Закупка товаров, работ и услуг для государственных нужд</v>
      </c>
      <c r="B88" s="91"/>
      <c r="C88" s="84"/>
      <c r="D88" s="444"/>
      <c r="E88" s="91"/>
      <c r="F88" s="85">
        <v>200</v>
      </c>
      <c r="G88" s="557">
        <v>1086219</v>
      </c>
      <c r="H88" s="529"/>
      <c r="I88" s="50">
        <f t="shared" si="2"/>
        <v>1086219</v>
      </c>
    </row>
    <row r="89" spans="1:9" s="19" customFormat="1" ht="16.2" hidden="1">
      <c r="A89" s="49" t="str">
        <f>IF(B89&gt;0,VLOOKUP(B89,КВСР!A29:B1194,2),IF(C89&gt;0,VLOOKUP(C89,КФСР!A29:B1541,2),IF(D89&gt;0,VLOOKUP(D89,Программа!A$1:B$5063,2),IF(F89&gt;0,VLOOKUP(F89,КВР!A$1:B$5001,2),IF(E89&gt;0,VLOOKUP(E89,Направление!A$1:B$4746,2))))))</f>
        <v>Иные бюджетные ассигнования</v>
      </c>
      <c r="B89" s="91"/>
      <c r="C89" s="84"/>
      <c r="D89" s="444"/>
      <c r="E89" s="91"/>
      <c r="F89" s="85">
        <v>800</v>
      </c>
      <c r="G89" s="557">
        <v>0</v>
      </c>
      <c r="H89" s="529"/>
      <c r="I89" s="50">
        <f t="shared" si="2"/>
        <v>0</v>
      </c>
    </row>
    <row r="90" spans="1:9" s="19" customFormat="1" ht="62.4">
      <c r="A90" s="49" t="str">
        <f>IF(B90&gt;0,VLOOKUP(B90,КВСР!A30:B1195,2),IF(C90&gt;0,VLOOKUP(C90,КФСР!A30:B1542,2),IF(D90&gt;0,VLOOKUP(D90,Программа!A$1:B$5063,2),IF(F90&gt;0,VLOOKUP(F90,КВР!A$1:B$5001,2),IF(E90&gt;0,VLOOKUP(E90,Направление!A$1:B$4746,2))))))</f>
        <v>Расходы на осуществление полномочий на государственную регистрацию актов гражданского состояния</v>
      </c>
      <c r="B90" s="91"/>
      <c r="C90" s="84"/>
      <c r="D90" s="444"/>
      <c r="E90" s="91">
        <v>59300</v>
      </c>
      <c r="F90" s="85"/>
      <c r="G90" s="101">
        <v>2250714</v>
      </c>
      <c r="H90" s="101">
        <f t="shared" ref="H90" si="26">H91+H92</f>
        <v>113905</v>
      </c>
      <c r="I90" s="50">
        <f t="shared" si="2"/>
        <v>2364619</v>
      </c>
    </row>
    <row r="91" spans="1:9" s="19" customFormat="1" ht="96" customHeight="1">
      <c r="A91" s="49" t="str">
        <f>IF(B91&gt;0,VLOOKUP(B91,КВСР!A30:B1195,2),IF(C91&gt;0,VLOOKUP(C91,КФСР!A30:B1542,2),IF(D91&gt;0,VLOOKUP(D91,Программа!A$1:B$5063,2),IF(F91&gt;0,VLOOKUP(F91,КВР!A$1:B$5001,2),IF(E91&gt;0,VLOOKUP(E91,Направление!A$1:B$4746,2))))))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91" s="91"/>
      <c r="C91" s="84"/>
      <c r="D91" s="85"/>
      <c r="E91" s="91"/>
      <c r="F91" s="85">
        <v>100</v>
      </c>
      <c r="G91" s="557">
        <v>2152585</v>
      </c>
      <c r="H91" s="389"/>
      <c r="I91" s="50">
        <f t="shared" si="2"/>
        <v>2152585</v>
      </c>
    </row>
    <row r="92" spans="1:9" s="19" customFormat="1" ht="31.2">
      <c r="A92" s="49" t="str">
        <f>IF(B92&gt;0,VLOOKUP(B92,КВСР!A31:B1196,2),IF(C92&gt;0,VLOOKUP(C92,КФСР!A31:B1543,2),IF(D92&gt;0,VLOOKUP(D92,Программа!A$1:B$5063,2),IF(F92&gt;0,VLOOKUP(F92,КВР!A$1:B$5001,2),IF(E92&gt;0,VLOOKUP(E92,Направление!A$1:B$4746,2))))))</f>
        <v>Закупка товаров, работ и услуг для государственных нужд</v>
      </c>
      <c r="B92" s="91"/>
      <c r="C92" s="84"/>
      <c r="D92" s="85"/>
      <c r="E92" s="91"/>
      <c r="F92" s="85">
        <v>200</v>
      </c>
      <c r="G92" s="557">
        <v>98129</v>
      </c>
      <c r="H92" s="389">
        <v>113905</v>
      </c>
      <c r="I92" s="50">
        <f t="shared" si="2"/>
        <v>212034</v>
      </c>
    </row>
    <row r="93" spans="1:9" s="19" customFormat="1" ht="93.6">
      <c r="A93" s="49" t="str">
        <f>IF(B93&gt;0,VLOOKUP(B93,КВСР!A27:B1192,2),IF(C93&gt;0,VLOOKUP(C93,КФСР!A27:B1539,2),IF(D93&gt;0,VLOOKUP(D93,Программа!A$1:B$5063,2),IF(F93&gt;0,VLOOKUP(F93,КВР!A$1:B$5001,2),IF(E93&gt;0,VLOOKUP(E93,Направление!A$1:B$4746,2))))))</f>
        <v>Расходы на обеспечение профилактики безнадзорности, правонарушений несовершеннолетних и защиты их прав за счет средств областного бюджета</v>
      </c>
      <c r="B93" s="91"/>
      <c r="C93" s="84"/>
      <c r="D93" s="444"/>
      <c r="E93" s="91">
        <v>80190</v>
      </c>
      <c r="F93" s="85"/>
      <c r="G93" s="101">
        <v>2272875</v>
      </c>
      <c r="H93" s="101">
        <f t="shared" ref="H93" si="27">H94+H95</f>
        <v>0</v>
      </c>
      <c r="I93" s="50">
        <f t="shared" si="2"/>
        <v>2272875</v>
      </c>
    </row>
    <row r="94" spans="1:9" s="19" customFormat="1" ht="109.2">
      <c r="A94" s="49" t="str">
        <f>IF(B94&gt;0,VLOOKUP(B94,КВСР!A28:B1193,2),IF(C94&gt;0,VLOOKUP(C94,КФСР!A28:B1540,2),IF(D94&gt;0,VLOOKUP(D94,Программа!A$1:B$5063,2),IF(F94&gt;0,VLOOKUP(F94,КВР!A$1:B$5001,2),IF(E94&gt;0,VLOOKUP(E94,Направление!A$1:B$4746,2))))))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94" s="91"/>
      <c r="C94" s="84"/>
      <c r="D94" s="85"/>
      <c r="E94" s="91"/>
      <c r="F94" s="85">
        <v>100</v>
      </c>
      <c r="G94" s="387">
        <v>2252859</v>
      </c>
      <c r="H94" s="382"/>
      <c r="I94" s="50">
        <f t="shared" si="2"/>
        <v>2252859</v>
      </c>
    </row>
    <row r="95" spans="1:9" s="19" customFormat="1" ht="31.2">
      <c r="A95" s="49" t="str">
        <f>IF(B95&gt;0,VLOOKUP(B95,КВСР!A29:B1194,2),IF(C95&gt;0,VLOOKUP(C95,КФСР!A29:B1541,2),IF(D95&gt;0,VLOOKUP(D95,Программа!A$1:B$5063,2),IF(F95&gt;0,VLOOKUP(F95,КВР!A$1:B$5001,2),IF(E95&gt;0,VLOOKUP(E95,Направление!A$1:B$4746,2))))))</f>
        <v>Закупка товаров, работ и услуг для государственных нужд</v>
      </c>
      <c r="B95" s="91"/>
      <c r="C95" s="84"/>
      <c r="D95" s="85"/>
      <c r="E95" s="91"/>
      <c r="F95" s="85">
        <v>200</v>
      </c>
      <c r="G95" s="387">
        <v>20016</v>
      </c>
      <c r="H95" s="382"/>
      <c r="I95" s="50">
        <f t="shared" si="2"/>
        <v>20016</v>
      </c>
    </row>
    <row r="96" spans="1:9" s="19" customFormat="1" ht="78">
      <c r="A96" s="49" t="str">
        <f>IF(B96&gt;0,VLOOKUP(B96,КВСР!A30:B1195,2),IF(C96&gt;0,VLOOKUP(C96,КФСР!A30:B1542,2),IF(D96&gt;0,VLOOKUP(D96,Программа!A$1:B$5063,2),IF(F96&gt;0,VLOOKUP(F96,КВР!A$1:B$5001,2),IF(E96&gt;0,VLOOKUP(E96,Направление!A$1:B$4746,2))))))</f>
        <v>Расходы на реализацию отдельных полномочий в сфере законодательства об административных правонарушениях за счет средств областного бюджета</v>
      </c>
      <c r="B96" s="91"/>
      <c r="C96" s="84"/>
      <c r="D96" s="444"/>
      <c r="E96" s="91">
        <v>80200</v>
      </c>
      <c r="F96" s="85"/>
      <c r="G96" s="50">
        <v>230714</v>
      </c>
      <c r="H96" s="50">
        <f t="shared" ref="H96" si="28">H97+H98</f>
        <v>0</v>
      </c>
      <c r="I96" s="50">
        <f t="shared" si="2"/>
        <v>230714</v>
      </c>
    </row>
    <row r="97" spans="1:9" s="19" customFormat="1" ht="109.2">
      <c r="A97" s="49" t="str">
        <f>IF(B97&gt;0,VLOOKUP(B97,КВСР!A31:B1196,2),IF(C97&gt;0,VLOOKUP(C97,КФСР!A31:B1543,2),IF(D97&gt;0,VLOOKUP(D97,Программа!A$1:B$5063,2),IF(F97&gt;0,VLOOKUP(F97,КВР!A$1:B$5001,2),IF(E97&gt;0,VLOOKUP(E97,Направление!A$1:B$4746,2))))))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97" s="91"/>
      <c r="C97" s="84"/>
      <c r="D97" s="85"/>
      <c r="E97" s="91"/>
      <c r="F97" s="85">
        <v>100</v>
      </c>
      <c r="G97" s="387">
        <v>182214</v>
      </c>
      <c r="H97" s="382"/>
      <c r="I97" s="50">
        <f t="shared" si="2"/>
        <v>182214</v>
      </c>
    </row>
    <row r="98" spans="1:9" s="19" customFormat="1" ht="31.2">
      <c r="A98" s="49" t="str">
        <f>IF(B98&gt;0,VLOOKUP(B98,КВСР!A32:B1197,2),IF(C98&gt;0,VLOOKUP(C98,КФСР!A32:B1544,2),IF(D98&gt;0,VLOOKUP(D98,Программа!A$1:B$5063,2),IF(F98&gt;0,VLOOKUP(F98,КВР!A$1:B$5001,2),IF(E98&gt;0,VLOOKUP(E98,Направление!A$1:B$4746,2))))))</f>
        <v>Закупка товаров, работ и услуг для государственных нужд</v>
      </c>
      <c r="B98" s="91"/>
      <c r="C98" s="84"/>
      <c r="D98" s="85"/>
      <c r="E98" s="91"/>
      <c r="F98" s="85">
        <v>200</v>
      </c>
      <c r="G98" s="557">
        <v>48500</v>
      </c>
      <c r="H98" s="384"/>
      <c r="I98" s="50">
        <f t="shared" si="2"/>
        <v>48500</v>
      </c>
    </row>
    <row r="99" spans="1:9" s="19" customFormat="1" ht="62.4">
      <c r="A99" s="49" t="str">
        <f>IF(B99&gt;0,VLOOKUP(B99,КВСР!A33:B1198,2),IF(C99&gt;0,VLOOKUP(C99,КФСР!A33:B1545,2),IF(D99&gt;0,VLOOKUP(D99,Программа!A$1:B$5063,2),IF(F99&gt;0,VLOOKUP(F99,КВР!A$1:B$5001,2),IF(E99&gt;0,VLOOKUP(E99,Направление!A$1:B$4746,2))))))</f>
        <v>Защита населения и территории от последствий чрезвычайных ситуаций природного и техногенного характера, гражданская оборона</v>
      </c>
      <c r="B99" s="91"/>
      <c r="C99" s="84">
        <v>309</v>
      </c>
      <c r="D99" s="85"/>
      <c r="E99" s="91"/>
      <c r="F99" s="85"/>
      <c r="G99" s="557">
        <v>100000</v>
      </c>
      <c r="H99" s="557">
        <f t="shared" ref="H99" si="29">H100</f>
        <v>0</v>
      </c>
      <c r="I99" s="50">
        <f t="shared" si="2"/>
        <v>100000</v>
      </c>
    </row>
    <row r="100" spans="1:9" s="19" customFormat="1" ht="16.2">
      <c r="A100" s="49" t="str">
        <f>IF(B100&gt;0,VLOOKUP(B100,КВСР!A34:B1199,2),IF(C100&gt;0,VLOOKUP(C100,КФСР!A34:B1546,2),IF(D100&gt;0,VLOOKUP(D100,Программа!A$1:B$5063,2),IF(F100&gt;0,VLOOKUP(F100,КВР!A$1:B$5001,2),IF(E100&gt;0,VLOOKUP(E100,Направление!A$1:B$4746,2))))))</f>
        <v>Непрограммные расходы бюджета</v>
      </c>
      <c r="B100" s="91"/>
      <c r="C100" s="84"/>
      <c r="D100" s="85" t="s">
        <v>2852</v>
      </c>
      <c r="E100" s="91"/>
      <c r="F100" s="85"/>
      <c r="G100" s="557">
        <v>100000</v>
      </c>
      <c r="H100" s="557">
        <f>H101+H103</f>
        <v>0</v>
      </c>
      <c r="I100" s="50">
        <f t="shared" si="2"/>
        <v>100000</v>
      </c>
    </row>
    <row r="101" spans="1:9" s="19" customFormat="1" ht="62.4">
      <c r="A101" s="49" t="str">
        <f>IF(B101&gt;0,VLOOKUP(B101,КВСР!A35:B1200,2),IF(C101&gt;0,VLOOKUP(C101,КФСР!A35:B1547,2),IF(D101&gt;0,VLOOKUP(D101,Программа!A$1:B$5063,2),IF(F101&gt;0,VLOOKUP(F101,КВР!A$1:B$5001,2),IF(E101&gt;0,VLOOKUP(E101,Направление!A$1:B$4746,2))))))</f>
        <v>Обеспечение мероприятий по  предупреждению и ликвидации последствий чрезвычайных ситуаций в границах поселения</v>
      </c>
      <c r="B101" s="91"/>
      <c r="C101" s="84"/>
      <c r="D101" s="85"/>
      <c r="E101" s="91">
        <v>29186</v>
      </c>
      <c r="F101" s="85"/>
      <c r="G101" s="557">
        <v>60000</v>
      </c>
      <c r="H101" s="557">
        <f>H102</f>
        <v>0</v>
      </c>
      <c r="I101" s="50">
        <f t="shared" si="2"/>
        <v>60000</v>
      </c>
    </row>
    <row r="102" spans="1:9" s="19" customFormat="1" ht="31.2">
      <c r="A102" s="49" t="str">
        <f>IF(B102&gt;0,VLOOKUP(B102,КВСР!A36:B1201,2),IF(C102&gt;0,VLOOKUP(C102,КФСР!A36:B1548,2),IF(D102&gt;0,VLOOKUP(D102,Программа!A$1:B$5063,2),IF(F102&gt;0,VLOOKUP(F102,КВР!A$1:B$5001,2),IF(E102&gt;0,VLOOKUP(E102,Направление!A$1:B$4746,2))))))</f>
        <v>Закупка товаров, работ и услуг для государственных нужд</v>
      </c>
      <c r="B102" s="91"/>
      <c r="C102" s="84"/>
      <c r="D102" s="85"/>
      <c r="E102" s="91"/>
      <c r="F102" s="85">
        <v>200</v>
      </c>
      <c r="G102" s="557">
        <v>60000</v>
      </c>
      <c r="H102" s="384"/>
      <c r="I102" s="50">
        <f t="shared" si="2"/>
        <v>60000</v>
      </c>
    </row>
    <row r="103" spans="1:9" s="19" customFormat="1" ht="52.5" customHeight="1">
      <c r="A103" s="49" t="str">
        <f>IF(B103&gt;0,VLOOKUP(B103,КВСР!A35:B1200,2),IF(C103&gt;0,VLOOKUP(C103,КФСР!A35:B1547,2),IF(D103&gt;0,VLOOKUP(D103,Программа!A$1:B$5063,2),IF(F103&gt;0,VLOOKUP(F103,КВР!A$1:B$5001,2),IF(E103&gt;0,VLOOKUP(E103,Направление!A$1:B$4746,2))))))</f>
        <v>Обеспечение мероприятий по защите от чрезвычайных ситуаций природного и техногенного характера</v>
      </c>
      <c r="B103" s="91"/>
      <c r="C103" s="84"/>
      <c r="D103" s="85"/>
      <c r="E103" s="91">
        <v>29466</v>
      </c>
      <c r="F103" s="85"/>
      <c r="G103" s="557">
        <v>40000</v>
      </c>
      <c r="H103" s="557">
        <f>H104</f>
        <v>0</v>
      </c>
      <c r="I103" s="50">
        <f t="shared" si="2"/>
        <v>40000</v>
      </c>
    </row>
    <row r="104" spans="1:9" s="19" customFormat="1" ht="31.2">
      <c r="A104" s="49" t="str">
        <f>IF(B104&gt;0,VLOOKUP(B104,КВСР!A36:B1201,2),IF(C104&gt;0,VLOOKUP(C104,КФСР!A36:B1548,2),IF(D104&gt;0,VLOOKUP(D104,Программа!A$1:B$5063,2),IF(F104&gt;0,VLOOKUP(F104,КВР!A$1:B$5001,2),IF(E104&gt;0,VLOOKUP(E104,Направление!A$1:B$4746,2))))))</f>
        <v>Закупка товаров, работ и услуг для государственных нужд</v>
      </c>
      <c r="B104" s="91"/>
      <c r="C104" s="84"/>
      <c r="D104" s="85"/>
      <c r="E104" s="91"/>
      <c r="F104" s="85">
        <v>200</v>
      </c>
      <c r="G104" s="557">
        <v>40000</v>
      </c>
      <c r="H104" s="384"/>
      <c r="I104" s="50">
        <f t="shared" si="2"/>
        <v>40000</v>
      </c>
    </row>
    <row r="105" spans="1:9" s="19" customFormat="1" ht="16.2">
      <c r="A105" s="49" t="str">
        <f>IF(B105&gt;0,VLOOKUP(B105,КВСР!A37:B1202,2),IF(C105&gt;0,VLOOKUP(C105,КФСР!A37:B1549,2),IF(D105&gt;0,VLOOKUP(D105,Программа!A$1:B$5063,2),IF(F105&gt;0,VLOOKUP(F105,КВР!A$1:B$5001,2),IF(E105&gt;0,VLOOKUP(E105,Направление!A$1:B$4746,2))))))</f>
        <v>Сельское хозяйство и рыболовство</v>
      </c>
      <c r="B105" s="91"/>
      <c r="C105" s="84">
        <v>405</v>
      </c>
      <c r="D105" s="444"/>
      <c r="E105" s="91"/>
      <c r="F105" s="85"/>
      <c r="G105" s="50">
        <v>1435100</v>
      </c>
      <c r="H105" s="50">
        <f t="shared" ref="H105:H106" si="30">H106</f>
        <v>0</v>
      </c>
      <c r="I105" s="50">
        <f t="shared" si="2"/>
        <v>1435100</v>
      </c>
    </row>
    <row r="106" spans="1:9" s="19" customFormat="1" ht="93.6">
      <c r="A106" s="49" t="str">
        <f>IF(B106&gt;0,VLOOKUP(B106,КВСР!A49:B1214,2),IF(C106&gt;0,VLOOKUP(C106,КФСР!A49:B1561,2),IF(D106&gt;0,VLOOKUP(D106,Программа!A$1:B$5063,2),IF(F106&gt;0,VLOOKUP(F106,КВР!A$1:B$5001,2),IF(E106&gt;0,VLOOKUP(E106,Направление!A$1:B$4746,2))))))</f>
        <v>Муниципальная программа "Экономическое развитие и инновационная экономика, развитие предпринимательства и сельского хозяйства в Тутаевском муниципальном районе"</v>
      </c>
      <c r="B106" s="91"/>
      <c r="C106" s="84"/>
      <c r="D106" s="444" t="s">
        <v>2813</v>
      </c>
      <c r="E106" s="91"/>
      <c r="F106" s="85"/>
      <c r="G106" s="50">
        <v>1435100</v>
      </c>
      <c r="H106" s="50">
        <f t="shared" si="30"/>
        <v>0</v>
      </c>
      <c r="I106" s="50">
        <f t="shared" si="2"/>
        <v>1435100</v>
      </c>
    </row>
    <row r="107" spans="1:9" s="19" customFormat="1" ht="78">
      <c r="A107" s="49" t="str">
        <f>IF(B107&gt;0,VLOOKUP(B107,КВСР!A50:B1215,2),IF(C107&gt;0,VLOOKUP(C107,КФСР!A50:B1562,2),IF(D107&gt;0,VLOOKUP(D107,Программа!A$1:B$5063,2),IF(F107&gt;0,VLOOKUP(F107,КВР!A$1:B$5001,2),IF(E107&gt;0,VLOOKUP(E107,Направление!A$1:B$4746,2))))))</f>
        <v>Муниципальная целевая программа "Развитие агропромышленного комплекса и сельских территорий Тутаевского муниципального района"</v>
      </c>
      <c r="B107" s="91"/>
      <c r="C107" s="84"/>
      <c r="D107" s="444" t="s">
        <v>2817</v>
      </c>
      <c r="E107" s="91"/>
      <c r="F107" s="85"/>
      <c r="G107" s="50">
        <v>1435100</v>
      </c>
      <c r="H107" s="50">
        <f>H108+H113+H116+H119</f>
        <v>0</v>
      </c>
      <c r="I107" s="50">
        <f>SUM(G107:H107)</f>
        <v>1435100</v>
      </c>
    </row>
    <row r="108" spans="1:9" s="19" customFormat="1" ht="78">
      <c r="A108" s="49" t="str">
        <f>IF(B108&gt;0,VLOOKUP(B108,КВСР!A51:B1216,2),IF(C108&gt;0,VLOOKUP(C108,КФСР!A51:B1563,2),IF(D108&gt;0,VLOOKUP(D108,Программа!A$1:B$5063,2),IF(F108&gt;0,VLOOKUP(F108,КВР!A$1:B$5001,2),IF(E108&gt;0,VLOOKUP(E108,Направление!A$1:B$4746,2))))))</f>
        <v>Поддержка сельскохозяйственного производства в рамках субсидирования  (молоко, овцеводство) сельскохозяйственных товаропроизводителей</v>
      </c>
      <c r="B108" s="91"/>
      <c r="C108" s="84"/>
      <c r="D108" s="444" t="s">
        <v>2818</v>
      </c>
      <c r="E108" s="91"/>
      <c r="F108" s="85"/>
      <c r="G108" s="50">
        <v>1080100</v>
      </c>
      <c r="H108" s="50">
        <f t="shared" ref="H108" si="31">H109+H111</f>
        <v>0</v>
      </c>
      <c r="I108" s="50">
        <f t="shared" si="2"/>
        <v>1080100</v>
      </c>
    </row>
    <row r="109" spans="1:9" s="19" customFormat="1" ht="46.8">
      <c r="A109" s="49" t="str">
        <f>IF(B109&gt;0,VLOOKUP(B109,КВСР!A52:B1217,2),IF(C109&gt;0,VLOOKUP(C109,КФСР!A52:B1564,2),IF(D109&gt;0,VLOOKUP(D109,Программа!A$1:B$5063,2),IF(F109&gt;0,VLOOKUP(F109,КВР!A$1:B$5001,2),IF(E109&gt;0,VLOOKUP(E109,Направление!A$1:B$4746,2))))))</f>
        <v>Мероприятия  направленные на развитие агропромышленного комплекса</v>
      </c>
      <c r="B109" s="91"/>
      <c r="C109" s="84"/>
      <c r="D109" s="444"/>
      <c r="E109" s="91">
        <v>10700</v>
      </c>
      <c r="F109" s="85"/>
      <c r="G109" s="50">
        <v>1075000</v>
      </c>
      <c r="H109" s="50">
        <f t="shared" ref="H109" si="32">H110</f>
        <v>0</v>
      </c>
      <c r="I109" s="50">
        <f t="shared" si="2"/>
        <v>1075000</v>
      </c>
    </row>
    <row r="110" spans="1:9" s="19" customFormat="1" ht="16.2">
      <c r="A110" s="49" t="str">
        <f>IF(B110&gt;0,VLOOKUP(B110,КВСР!A53:B1218,2),IF(C110&gt;0,VLOOKUP(C110,КФСР!A53:B1565,2),IF(D110&gt;0,VLOOKUP(D110,Программа!A$1:B$5063,2),IF(F110&gt;0,VLOOKUP(F110,КВР!A$1:B$5001,2),IF(E110&gt;0,VLOOKUP(E110,Направление!A$1:B$4746,2))))))</f>
        <v>Иные бюджетные ассигнования</v>
      </c>
      <c r="B110" s="91"/>
      <c r="C110" s="84"/>
      <c r="D110" s="85"/>
      <c r="E110" s="91"/>
      <c r="F110" s="85">
        <v>800</v>
      </c>
      <c r="G110" s="387">
        <v>1075000</v>
      </c>
      <c r="H110" s="382"/>
      <c r="I110" s="50">
        <f t="shared" si="2"/>
        <v>1075000</v>
      </c>
    </row>
    <row r="111" spans="1:9" s="19" customFormat="1" ht="109.2">
      <c r="A111" s="49" t="str">
        <f>IF(B111&gt;0,VLOOKUP(B111,КВСР!A54:B1219,2),IF(C111&gt;0,VLOOKUP(C111,КФСР!A54:B1566,2),IF(D111&gt;0,VLOOKUP(D111,Программа!A$1:B$5063,2),IF(F111&gt;0,VLOOKUP(F111,КВР!A$1:B$5001,2),IF(E111&gt;0,VLOOKUP(E111,Направление!A$1:B$4746,2))))))</f>
        <v>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v>
      </c>
      <c r="B111" s="91"/>
      <c r="C111" s="84"/>
      <c r="D111" s="85"/>
      <c r="E111" s="91">
        <v>74450</v>
      </c>
      <c r="F111" s="85"/>
      <c r="G111" s="387">
        <v>5100</v>
      </c>
      <c r="H111" s="387">
        <f t="shared" ref="H111" si="33">H112</f>
        <v>0</v>
      </c>
      <c r="I111" s="50">
        <f t="shared" si="2"/>
        <v>5100</v>
      </c>
    </row>
    <row r="112" spans="1:9" s="19" customFormat="1" ht="31.2">
      <c r="A112" s="49" t="str">
        <f>IF(B112&gt;0,VLOOKUP(B112,КВСР!A55:B1220,2),IF(C112&gt;0,VLOOKUP(C112,КФСР!A55:B1567,2),IF(D112&gt;0,VLOOKUP(D112,Программа!A$1:B$5063,2),IF(F112&gt;0,VLOOKUP(F112,КВР!A$1:B$5001,2),IF(E112&gt;0,VLOOKUP(E112,Направление!A$1:B$4746,2))))))</f>
        <v>Закупка товаров, работ и услуг для государственных нужд</v>
      </c>
      <c r="B112" s="91"/>
      <c r="C112" s="84"/>
      <c r="D112" s="85"/>
      <c r="E112" s="91"/>
      <c r="F112" s="85">
        <v>200</v>
      </c>
      <c r="G112" s="387">
        <v>5100</v>
      </c>
      <c r="H112" s="382"/>
      <c r="I112" s="50">
        <f t="shared" si="2"/>
        <v>5100</v>
      </c>
    </row>
    <row r="113" spans="1:9" s="19" customFormat="1" ht="31.2">
      <c r="A113" s="49" t="str">
        <f>IF(B113&gt;0,VLOOKUP(B113,КВСР!A56:B1221,2),IF(C113&gt;0,VLOOKUP(C113,КФСР!A56:B1568,2),IF(D113&gt;0,VLOOKUP(D113,Программа!A$1:B$5063,2),IF(F113&gt;0,VLOOKUP(F113,КВР!A$1:B$5001,2),IF(E113&gt;0,VLOOKUP(E113,Направление!A$1:B$4746,2))))))</f>
        <v xml:space="preserve">Кадровое обеспечение агропромышленного комплекса </v>
      </c>
      <c r="B113" s="91"/>
      <c r="C113" s="84"/>
      <c r="D113" s="444" t="s">
        <v>2847</v>
      </c>
      <c r="E113" s="91"/>
      <c r="F113" s="85"/>
      <c r="G113" s="387">
        <v>30000</v>
      </c>
      <c r="H113" s="387">
        <f t="shared" ref="H113:H114" si="34">H114</f>
        <v>0</v>
      </c>
      <c r="I113" s="50">
        <f t="shared" ref="I113:I254" si="35">SUM(G113:H113)</f>
        <v>30000</v>
      </c>
    </row>
    <row r="114" spans="1:9" s="19" customFormat="1" ht="46.8">
      <c r="A114" s="49" t="str">
        <f>IF(B114&gt;0,VLOOKUP(B114,КВСР!A57:B1222,2),IF(C114&gt;0,VLOOKUP(C114,КФСР!A57:B1569,2),IF(D114&gt;0,VLOOKUP(D114,Программа!A$1:B$5063,2),IF(F114&gt;0,VLOOKUP(F114,КВР!A$1:B$5001,2),IF(E114&gt;0,VLOOKUP(E114,Направление!A$1:B$4746,2))))))</f>
        <v>Мероприятия  направленные на развитие агропромышленного комплекса</v>
      </c>
      <c r="B114" s="91"/>
      <c r="C114" s="84"/>
      <c r="D114" s="444"/>
      <c r="E114" s="91">
        <v>10700</v>
      </c>
      <c r="F114" s="85"/>
      <c r="G114" s="387">
        <v>30000</v>
      </c>
      <c r="H114" s="387">
        <f t="shared" si="34"/>
        <v>0</v>
      </c>
      <c r="I114" s="50">
        <f t="shared" si="35"/>
        <v>30000</v>
      </c>
    </row>
    <row r="115" spans="1:9" s="19" customFormat="1" ht="31.2">
      <c r="A115" s="49" t="str">
        <f>IF(B115&gt;0,VLOOKUP(B115,КВСР!A58:B1223,2),IF(C115&gt;0,VLOOKUP(C115,КФСР!A58:B1570,2),IF(D115&gt;0,VLOOKUP(D115,Программа!A$1:B$5063,2),IF(F115&gt;0,VLOOKUP(F115,КВР!A$1:B$5001,2),IF(E115&gt;0,VLOOKUP(E115,Направление!A$1:B$4746,2))))))</f>
        <v>Социальное обеспечение и иные выплаты населению</v>
      </c>
      <c r="B115" s="91"/>
      <c r="C115" s="84"/>
      <c r="D115" s="444"/>
      <c r="E115" s="91"/>
      <c r="F115" s="85">
        <v>300</v>
      </c>
      <c r="G115" s="387">
        <v>30000</v>
      </c>
      <c r="H115" s="382"/>
      <c r="I115" s="50">
        <f t="shared" si="35"/>
        <v>30000</v>
      </c>
    </row>
    <row r="116" spans="1:9" s="19" customFormat="1" ht="102" customHeight="1">
      <c r="A116" s="49" t="str">
        <f>IF(B116&gt;0,VLOOKUP(B116,КВСР!A59:B1224,2),IF(C116&gt;0,VLOOKUP(C116,КФСР!A59:B1571,2),IF(D116&gt;0,VLOOKUP(D116,Программа!A$1:B$5063,2),IF(F116&gt;0,VLOOKUP(F116,КВР!A$1:B$5001,2),IF(E116&gt;0,VLOOKUP(E116,Направление!A$1:B$4746,2))))))</f>
        <v>Повышение стимула роста профессионального мастерства, привлечение овцеводов и туристов для популяризации бренда романовской овцы, поощрение передовиков сельскохозяйственного  производства</v>
      </c>
      <c r="B116" s="91"/>
      <c r="C116" s="84"/>
      <c r="D116" s="444" t="s">
        <v>2849</v>
      </c>
      <c r="E116" s="91"/>
      <c r="F116" s="85"/>
      <c r="G116" s="387">
        <v>235000</v>
      </c>
      <c r="H116" s="387">
        <f t="shared" ref="H116:H117" si="36">H117</f>
        <v>0</v>
      </c>
      <c r="I116" s="50">
        <f t="shared" si="35"/>
        <v>235000</v>
      </c>
    </row>
    <row r="117" spans="1:9" s="19" customFormat="1" ht="46.8">
      <c r="A117" s="49" t="str">
        <f>IF(B117&gt;0,VLOOKUP(B117,КВСР!A60:B1225,2),IF(C117&gt;0,VLOOKUP(C117,КФСР!A60:B1572,2),IF(D117&gt;0,VLOOKUP(D117,Программа!A$1:B$5063,2),IF(F117&gt;0,VLOOKUP(F117,КВР!A$1:B$5001,2),IF(E117&gt;0,VLOOKUP(E117,Направление!A$1:B$4746,2))))))</f>
        <v>Мероприятия  направленные на развитие агропромышленного комплекса</v>
      </c>
      <c r="B117" s="91"/>
      <c r="C117" s="84"/>
      <c r="D117" s="444"/>
      <c r="E117" s="91">
        <v>10700</v>
      </c>
      <c r="F117" s="85"/>
      <c r="G117" s="387">
        <v>235000</v>
      </c>
      <c r="H117" s="387">
        <f t="shared" si="36"/>
        <v>0</v>
      </c>
      <c r="I117" s="50">
        <f t="shared" si="35"/>
        <v>235000</v>
      </c>
    </row>
    <row r="118" spans="1:9" s="19" customFormat="1" ht="31.2">
      <c r="A118" s="49" t="str">
        <f>IF(B118&gt;0,VLOOKUP(B118,КВСР!A61:B1226,2),IF(C118&gt;0,VLOOKUP(C118,КФСР!A61:B1573,2),IF(D118&gt;0,VLOOKUP(D118,Программа!A$1:B$5063,2),IF(F118&gt;0,VLOOKUP(F118,КВР!A$1:B$5001,2),IF(E118&gt;0,VLOOKUP(E118,Направление!A$1:B$4746,2))))))</f>
        <v>Закупка товаров, работ и услуг для государственных нужд</v>
      </c>
      <c r="B118" s="91"/>
      <c r="C118" s="84"/>
      <c r="D118" s="444"/>
      <c r="E118" s="91"/>
      <c r="F118" s="85">
        <v>200</v>
      </c>
      <c r="G118" s="387">
        <v>235000</v>
      </c>
      <c r="H118" s="382"/>
      <c r="I118" s="50">
        <f t="shared" si="35"/>
        <v>235000</v>
      </c>
    </row>
    <row r="119" spans="1:9" s="19" customFormat="1" ht="82.2" customHeight="1">
      <c r="A119" s="49" t="str">
        <f>IF(B119&gt;0,VLOOKUP(B119,КВСР!A62:B1227,2),IF(C119&gt;0,VLOOKUP(C119,КФСР!A62:B1574,2),IF(D119&gt;0,VLOOKUP(D119,Программа!A$1:B$5063,2),IF(F119&gt;0,VLOOKUP(F119,КВР!A$1:B$5001,2),IF(E119&gt;0,VLOOKUP(E119,Направление!A$1:B$4746,2))))))</f>
        <v>Мероприятия направленные на выполнение работ по оценке перспектив стратегического планирования развития сельского хозяйства Тутаевского муниципального района</v>
      </c>
      <c r="B119" s="91"/>
      <c r="C119" s="84"/>
      <c r="D119" s="444" t="s">
        <v>3156</v>
      </c>
      <c r="E119" s="91"/>
      <c r="F119" s="85"/>
      <c r="G119" s="387">
        <v>90000</v>
      </c>
      <c r="H119" s="387">
        <f>H120</f>
        <v>0</v>
      </c>
      <c r="I119" s="387">
        <f>I120</f>
        <v>90000</v>
      </c>
    </row>
    <row r="120" spans="1:9" s="19" customFormat="1" ht="46.8">
      <c r="A120" s="49" t="str">
        <f>IF(B120&gt;0,VLOOKUP(B120,КВСР!A63:B1228,2),IF(C120&gt;0,VLOOKUP(C120,КФСР!A63:B1575,2),IF(D120&gt;0,VLOOKUP(D120,Программа!A$1:B$5063,2),IF(F120&gt;0,VLOOKUP(F120,КВР!A$1:B$5001,2),IF(E120&gt;0,VLOOKUP(E120,Направление!A$1:B$4746,2))))))</f>
        <v>Мероприятия  направленные на развитие агропромышленного комплекса</v>
      </c>
      <c r="B120" s="91"/>
      <c r="C120" s="84"/>
      <c r="D120" s="444"/>
      <c r="E120" s="91">
        <v>10700</v>
      </c>
      <c r="F120" s="85"/>
      <c r="G120" s="387">
        <v>90000</v>
      </c>
      <c r="H120" s="387">
        <f>H121</f>
        <v>0</v>
      </c>
      <c r="I120" s="387">
        <f>I121</f>
        <v>90000</v>
      </c>
    </row>
    <row r="121" spans="1:9" s="19" customFormat="1" ht="31.2">
      <c r="A121" s="49" t="str">
        <f>IF(B121&gt;0,VLOOKUP(B121,КВСР!A64:B1229,2),IF(C121&gt;0,VLOOKUP(C121,КФСР!A64:B1576,2),IF(D121&gt;0,VLOOKUP(D121,Программа!A$1:B$5063,2),IF(F121&gt;0,VLOOKUP(F121,КВР!A$1:B$5001,2),IF(E121&gt;0,VLOOKUP(E121,Направление!A$1:B$4746,2))))))</f>
        <v>Закупка товаров, работ и услуг для государственных нужд</v>
      </c>
      <c r="B121" s="91"/>
      <c r="C121" s="84"/>
      <c r="D121" s="444"/>
      <c r="E121" s="91"/>
      <c r="F121" s="85">
        <v>200</v>
      </c>
      <c r="G121" s="387">
        <v>90000</v>
      </c>
      <c r="H121" s="382"/>
      <c r="I121" s="50">
        <f>SUM(G121:H121)</f>
        <v>90000</v>
      </c>
    </row>
    <row r="122" spans="1:9" s="19" customFormat="1" ht="31.2">
      <c r="A122" s="49" t="str">
        <f>IF(B122&gt;0,VLOOKUP(B122,КВСР!A65:B1230,2),IF(C122&gt;0,VLOOKUP(C122,КФСР!A65:B1577,2),IF(D122&gt;0,VLOOKUP(D122,Программа!A$1:B$5063,2),IF(F122&gt;0,VLOOKUP(F122,КВР!A$1:B$5001,2),IF(E122&gt;0,VLOOKUP(E122,Направление!A$1:B$4746,2))))))</f>
        <v>Другие вопросы в области национальной экономики</v>
      </c>
      <c r="B122" s="91"/>
      <c r="C122" s="84">
        <v>412</v>
      </c>
      <c r="D122" s="444"/>
      <c r="E122" s="91"/>
      <c r="F122" s="85"/>
      <c r="G122" s="50">
        <v>661947</v>
      </c>
      <c r="H122" s="50">
        <f>H123+H141</f>
        <v>233200</v>
      </c>
      <c r="I122" s="50">
        <f t="shared" si="35"/>
        <v>895147</v>
      </c>
    </row>
    <row r="123" spans="1:9" s="19" customFormat="1" ht="93.6">
      <c r="A123" s="49" t="str">
        <f>IF(B123&gt;0,VLOOKUP(B123,КВСР!A66:B1231,2),IF(C123&gt;0,VLOOKUP(C123,КФСР!A66:B1578,2),IF(D123&gt;0,VLOOKUP(D123,Программа!A$1:B$5063,2),IF(F123&gt;0,VLOOKUP(F123,КВР!A$1:B$5001,2),IF(E123&gt;0,VLOOKUP(E123,Направление!A$1:B$4746,2))))))</f>
        <v>Муниципальная программа "Экономическое развитие и инновационная экономика, развитие предпринимательства и сельского хозяйства в Тутаевском муниципальном районе"</v>
      </c>
      <c r="B123" s="91"/>
      <c r="C123" s="84"/>
      <c r="D123" s="444" t="s">
        <v>2813</v>
      </c>
      <c r="E123" s="91"/>
      <c r="F123" s="85"/>
      <c r="G123" s="50">
        <v>561947</v>
      </c>
      <c r="H123" s="50">
        <f t="shared" ref="H123" si="37">H131+H124</f>
        <v>233200</v>
      </c>
      <c r="I123" s="50">
        <f t="shared" si="35"/>
        <v>795147</v>
      </c>
    </row>
    <row r="124" spans="1:9" s="19" customFormat="1" ht="69.75" customHeight="1">
      <c r="A124" s="49" t="str">
        <f>IF(B124&gt;0,VLOOKUP(B124,КВСР!A67:B1232,2),IF(C124&gt;0,VLOOKUP(C124,КФСР!A67:B1579,2),IF(D124&gt;0,VLOOKUP(D124,Программа!A$1:B$5063,2),IF(F124&gt;0,VLOOKUP(F124,КВР!A$1:B$5001,2),IF(E124&gt;0,VLOOKUP(E124,Направление!A$1:B$4746,2))))))</f>
        <v>Муниципальная целевая программа «Развитие субъектов малого и среднего предпринимательства Тутаевского муниципального района»</v>
      </c>
      <c r="B124" s="91"/>
      <c r="C124" s="84"/>
      <c r="D124" s="444" t="s">
        <v>2830</v>
      </c>
      <c r="E124" s="91"/>
      <c r="F124" s="85"/>
      <c r="G124" s="50">
        <v>450000</v>
      </c>
      <c r="H124" s="50">
        <f t="shared" ref="H124" si="38">H125+H128</f>
        <v>150000</v>
      </c>
      <c r="I124" s="50">
        <f t="shared" si="35"/>
        <v>600000</v>
      </c>
    </row>
    <row r="125" spans="1:9" s="19" customFormat="1" ht="102" customHeight="1">
      <c r="A125" s="49" t="str">
        <f>IF(B125&gt;0,VLOOKUP(B125,КВСР!A68:B1233,2),IF(C125&gt;0,VLOOKUP(C125,КФСР!A68:B1580,2),IF(D125&gt;0,VLOOKUP(D125,Программа!A$1:B$5063,2),IF(F125&gt;0,VLOOKUP(F125,КВР!A$1:B$5001,2),IF(E125&gt;0,VLOOKUP(E125,Направление!A$1:B$4746,2))))))</f>
        <v>Популяризация роли предпринимательства, информационная, консультационная и организационная поддержка субъектов малого и среднего предпринимательства</v>
      </c>
      <c r="B125" s="91"/>
      <c r="C125" s="84"/>
      <c r="D125" s="444" t="s">
        <v>2831</v>
      </c>
      <c r="E125" s="91"/>
      <c r="F125" s="85"/>
      <c r="G125" s="50">
        <v>70000</v>
      </c>
      <c r="H125" s="50">
        <f t="shared" ref="H125:H126" si="39">H126</f>
        <v>0</v>
      </c>
      <c r="I125" s="50">
        <f t="shared" si="35"/>
        <v>70000</v>
      </c>
    </row>
    <row r="126" spans="1:9" s="19" customFormat="1" ht="46.8">
      <c r="A126" s="49" t="str">
        <f>IF(B126&gt;0,VLOOKUP(B126,КВСР!A69:B1234,2),IF(C126&gt;0,VLOOKUP(C126,КФСР!A69:B1581,2),IF(D126&gt;0,VLOOKUP(D126,Программа!A$1:B$5063,2),IF(F126&gt;0,VLOOKUP(F126,КВР!A$1:B$5001,2),IF(E126&gt;0,VLOOKUP(E126,Направление!A$1:B$4746,2))))))</f>
        <v>Расходы на содействие развитию малого и среднего предпринимательства</v>
      </c>
      <c r="B126" s="91"/>
      <c r="C126" s="84"/>
      <c r="D126" s="444"/>
      <c r="E126" s="91">
        <v>10300</v>
      </c>
      <c r="F126" s="85"/>
      <c r="G126" s="50">
        <v>70000</v>
      </c>
      <c r="H126" s="50">
        <f t="shared" si="39"/>
        <v>0</v>
      </c>
      <c r="I126" s="50">
        <f t="shared" si="35"/>
        <v>70000</v>
      </c>
    </row>
    <row r="127" spans="1:9" s="19" customFormat="1" ht="31.2">
      <c r="A127" s="49" t="str">
        <f>IF(B127&gt;0,VLOOKUP(B127,КВСР!A70:B1235,2),IF(C127&gt;0,VLOOKUP(C127,КФСР!A70:B1582,2),IF(D127&gt;0,VLOOKUP(D127,Программа!A$1:B$5063,2),IF(F127&gt;0,VLOOKUP(F127,КВР!A$1:B$5001,2),IF(E127&gt;0,VLOOKUP(E127,Направление!A$1:B$4746,2))))))</f>
        <v>Закупка товаров, работ и услуг для государственных нужд</v>
      </c>
      <c r="B127" s="91"/>
      <c r="C127" s="84"/>
      <c r="D127" s="444"/>
      <c r="E127" s="91"/>
      <c r="F127" s="85">
        <v>200</v>
      </c>
      <c r="G127" s="387">
        <v>70000</v>
      </c>
      <c r="H127" s="559"/>
      <c r="I127" s="50">
        <f t="shared" si="35"/>
        <v>70000</v>
      </c>
    </row>
    <row r="128" spans="1:9" s="19" customFormat="1" ht="46.8">
      <c r="A128" s="49" t="str">
        <f>IF(B128&gt;0,VLOOKUP(B128,КВСР!A71:B1236,2),IF(C128&gt;0,VLOOKUP(C128,КФСР!A71:B1583,2),IF(D128&gt;0,VLOOKUP(D128,Программа!A$1:B$5063,2),IF(F128&gt;0,VLOOKUP(F128,КВР!A$1:B$5001,2),IF(E128&gt;0,VLOOKUP(E128,Направление!A$1:B$4746,2))))))</f>
        <v>Развитие системы финансовой поддержки субъектов малого и среднего предпринимательства</v>
      </c>
      <c r="B128" s="91"/>
      <c r="C128" s="84"/>
      <c r="D128" s="444" t="s">
        <v>2833</v>
      </c>
      <c r="E128" s="91"/>
      <c r="F128" s="85"/>
      <c r="G128" s="387">
        <v>380000</v>
      </c>
      <c r="H128" s="387">
        <f t="shared" ref="H128:H129" si="40">H129</f>
        <v>150000</v>
      </c>
      <c r="I128" s="50">
        <f t="shared" si="35"/>
        <v>530000</v>
      </c>
    </row>
    <row r="129" spans="1:9" s="19" customFormat="1" ht="46.8">
      <c r="A129" s="49" t="str">
        <f>IF(B129&gt;0,VLOOKUP(B129,КВСР!A72:B1237,2),IF(C129&gt;0,VLOOKUP(C129,КФСР!A72:B1584,2),IF(D129&gt;0,VLOOKUP(D129,Программа!A$1:B$5063,2),IF(F129&gt;0,VLOOKUP(F129,КВР!A$1:B$5001,2),IF(E129&gt;0,VLOOKUP(E129,Направление!A$1:B$4746,2))))))</f>
        <v>Расходы на содействие развитию малого и среднего предпринимательства</v>
      </c>
      <c r="B129" s="91"/>
      <c r="C129" s="84"/>
      <c r="D129" s="444"/>
      <c r="E129" s="91">
        <v>10300</v>
      </c>
      <c r="F129" s="85"/>
      <c r="G129" s="387">
        <v>380000</v>
      </c>
      <c r="H129" s="387">
        <f t="shared" si="40"/>
        <v>150000</v>
      </c>
      <c r="I129" s="50">
        <f t="shared" si="35"/>
        <v>530000</v>
      </c>
    </row>
    <row r="130" spans="1:9" s="19" customFormat="1" ht="16.2">
      <c r="A130" s="49" t="str">
        <f>IF(B130&gt;0,VLOOKUP(B130,КВСР!A73:B1238,2),IF(C130&gt;0,VLOOKUP(C130,КФСР!A73:B1585,2),IF(D130&gt;0,VLOOKUP(D130,Программа!A$1:B$5063,2),IF(F130&gt;0,VLOOKUP(F130,КВР!A$1:B$5001,2),IF(E130&gt;0,VLOOKUP(E130,Направление!A$1:B$4746,2))))))</f>
        <v>Иные бюджетные ассигнования</v>
      </c>
      <c r="B130" s="91"/>
      <c r="C130" s="84"/>
      <c r="D130" s="444"/>
      <c r="E130" s="91"/>
      <c r="F130" s="85">
        <v>800</v>
      </c>
      <c r="G130" s="387">
        <v>380000</v>
      </c>
      <c r="H130" s="559">
        <v>150000</v>
      </c>
      <c r="I130" s="50">
        <f t="shared" si="35"/>
        <v>530000</v>
      </c>
    </row>
    <row r="131" spans="1:9" s="19" customFormat="1" ht="62.4">
      <c r="A131" s="49" t="str">
        <f>IF(B131&gt;0,VLOOKUP(B131,КВСР!A74:B1239,2),IF(C131&gt;0,VLOOKUP(C131,КФСР!A74:B1586,2),IF(D131&gt;0,VLOOKUP(D131,Программа!A$1:B$5063,2),IF(F131&gt;0,VLOOKUP(F131,КВР!A$1:B$5001,2),IF(E131&gt;0,VLOOKUP(E131,Направление!A$1:B$4746,2))))))</f>
        <v>Муниципальная целевая программа "Развитие потребительского рынка Тутаевского муниципального района "</v>
      </c>
      <c r="B131" s="91"/>
      <c r="C131" s="84"/>
      <c r="D131" s="444" t="s">
        <v>2814</v>
      </c>
      <c r="E131" s="91"/>
      <c r="F131" s="85"/>
      <c r="G131" s="50">
        <v>111947</v>
      </c>
      <c r="H131" s="50">
        <f t="shared" ref="H131" si="41">H132</f>
        <v>83200</v>
      </c>
      <c r="I131" s="50">
        <f t="shared" si="35"/>
        <v>195147</v>
      </c>
    </row>
    <row r="132" spans="1:9" s="19" customFormat="1" ht="62.4">
      <c r="A132" s="49" t="str">
        <f>IF(B132&gt;0,VLOOKUP(B132,КВСР!A75:B1240,2),IF(C132&gt;0,VLOOKUP(C132,КФСР!A75:B1587,2),IF(D132&gt;0,VLOOKUP(D132,Программа!A$1:B$5063,2),IF(F132&gt;0,VLOOKUP(F132,КВР!A$1:B$5001,2),IF(E132&gt;0,VLOOKUP(E132,Направление!A$1:B$4746,2))))))</f>
        <v>Обеспечение доступности товаров для сельского населения путем оказания государственной поддержки</v>
      </c>
      <c r="B132" s="91"/>
      <c r="C132" s="84"/>
      <c r="D132" s="444" t="s">
        <v>2815</v>
      </c>
      <c r="E132" s="91"/>
      <c r="F132" s="85"/>
      <c r="G132" s="50">
        <v>111947</v>
      </c>
      <c r="H132" s="50">
        <f>H139+H133+H135+H137</f>
        <v>83200</v>
      </c>
      <c r="I132" s="50">
        <f t="shared" si="35"/>
        <v>195147</v>
      </c>
    </row>
    <row r="133" spans="1:9" s="19" customFormat="1" ht="62.4">
      <c r="A133" s="49" t="str">
        <f>IF(B133&gt;0,VLOOKUP(B133,КВСР!A76:B1241,2),IF(C133&gt;0,VLOOKUP(C133,КФСР!A76:B1588,2),IF(D133&gt;0,VLOOKUP(D133,Программа!A$1:B$5063,2),IF(F133&gt;0,VLOOKUP(F133,КВР!A$1:B$5001,2),IF(E133&gt;0,VLOOKUP(E133,Направление!A$1:B$4746,2))))))</f>
        <v>Мероприятия направленные на возмещение части затрат за доставку товаров в отдаленные сельские населенные  пункты</v>
      </c>
      <c r="B133" s="91"/>
      <c r="C133" s="84"/>
      <c r="D133" s="444"/>
      <c r="E133" s="91">
        <v>10710</v>
      </c>
      <c r="F133" s="85"/>
      <c r="G133" s="50">
        <v>0</v>
      </c>
      <c r="H133" s="50">
        <f>H134</f>
        <v>0</v>
      </c>
      <c r="I133" s="50">
        <f t="shared" si="35"/>
        <v>0</v>
      </c>
    </row>
    <row r="134" spans="1:9" s="19" customFormat="1" ht="16.2">
      <c r="A134" s="49" t="str">
        <f>IF(B134&gt;0,VLOOKUP(B134,КВСР!A77:B1242,2),IF(C134&gt;0,VLOOKUP(C134,КФСР!A77:B1589,2),IF(D134&gt;0,VLOOKUP(D134,Программа!A$1:B$5063,2),IF(F134&gt;0,VLOOKUP(F134,КВР!A$1:B$5001,2),IF(E134&gt;0,VLOOKUP(E134,Направление!A$1:B$4746,2))))))</f>
        <v>Иные бюджетные ассигнования</v>
      </c>
      <c r="B134" s="91"/>
      <c r="C134" s="84"/>
      <c r="D134" s="444"/>
      <c r="E134" s="91"/>
      <c r="F134" s="85">
        <v>800</v>
      </c>
      <c r="G134" s="50">
        <v>0</v>
      </c>
      <c r="H134" s="570"/>
      <c r="I134" s="50">
        <f t="shared" si="35"/>
        <v>0</v>
      </c>
    </row>
    <row r="135" spans="1:9" s="19" customFormat="1" ht="46.8">
      <c r="A135" s="49" t="str">
        <f>IF(B135&gt;0,VLOOKUP(B135,КВСР!A78:B1243,2),IF(C135&gt;0,VLOOKUP(C135,КФСР!A78:B1590,2),IF(D135&gt;0,VLOOKUP(D135,Программа!A$1:B$5063,2),IF(F135&gt;0,VLOOKUP(F135,КВР!A$1:B$5001,2),IF(E135&gt;0,VLOOKUP(E135,Направление!A$1:B$4746,2))))))</f>
        <v xml:space="preserve">Обеспечение мероприятий по организации населению услуг торговли </v>
      </c>
      <c r="B135" s="91"/>
      <c r="C135" s="84"/>
      <c r="D135" s="444"/>
      <c r="E135" s="91">
        <v>29526</v>
      </c>
      <c r="F135" s="85"/>
      <c r="G135" s="50">
        <v>28224</v>
      </c>
      <c r="H135" s="387">
        <f>H136</f>
        <v>19152</v>
      </c>
      <c r="I135" s="50">
        <f t="shared" si="35"/>
        <v>47376</v>
      </c>
    </row>
    <row r="136" spans="1:9" s="19" customFormat="1" ht="16.2">
      <c r="A136" s="49" t="str">
        <f>IF(B136&gt;0,VLOOKUP(B136,КВСР!A79:B1244,2),IF(C136&gt;0,VLOOKUP(C136,КФСР!A79:B1591,2),IF(D136&gt;0,VLOOKUP(D136,Программа!A$1:B$5063,2),IF(F136&gt;0,VLOOKUP(F136,КВР!A$1:B$5001,2),IF(E136&gt;0,VLOOKUP(E136,Направление!A$1:B$4746,2))))))</f>
        <v>Иные бюджетные ассигнования</v>
      </c>
      <c r="B136" s="91"/>
      <c r="C136" s="84"/>
      <c r="D136" s="444"/>
      <c r="E136" s="91"/>
      <c r="F136" s="85">
        <v>800</v>
      </c>
      <c r="G136" s="50">
        <v>28224</v>
      </c>
      <c r="H136" s="570">
        <v>19152</v>
      </c>
      <c r="I136" s="50">
        <f t="shared" si="35"/>
        <v>47376</v>
      </c>
    </row>
    <row r="137" spans="1:9" s="19" customFormat="1" ht="111.75" customHeight="1">
      <c r="A137" s="49" t="str">
        <f>IF(B137&gt;0,VLOOKUP(B137,КВСР!A80:B1245,2),IF(C137&gt;0,VLOOKUP(C137,КФСР!A80:B1592,2),IF(D137&gt;0,VLOOKUP(D137,Программа!A$1:B$5063,2),IF(F137&gt;0,VLOOKUP(F137,КВР!A$1:B$5001,2),IF(E137&gt;0,VLOOKUP(E137,Направление!A$1:B$4746,2))))))</f>
        <v>Субсидия на реализацию мероприятий по возмещению части затрат организациям любых форм собственности и индивидуальным предпринимателям, занимающимся доставкой товаров в отдаленные сельские населенные пункты</v>
      </c>
      <c r="B137" s="91"/>
      <c r="C137" s="84"/>
      <c r="D137" s="444"/>
      <c r="E137" s="91">
        <v>72880</v>
      </c>
      <c r="F137" s="85"/>
      <c r="G137" s="50"/>
      <c r="H137" s="387">
        <f>H138</f>
        <v>64048</v>
      </c>
      <c r="I137" s="387">
        <f>I138</f>
        <v>64048</v>
      </c>
    </row>
    <row r="138" spans="1:9" s="19" customFormat="1" ht="33" customHeight="1">
      <c r="A138" s="49" t="str">
        <f>IF(B138&gt;0,VLOOKUP(B138,КВСР!A81:B1246,2),IF(C138&gt;0,VLOOKUP(C138,КФСР!A81:B1593,2),IF(D138&gt;0,VLOOKUP(D138,Программа!A$1:B$5063,2),IF(F138&gt;0,VLOOKUP(F138,КВР!A$1:B$5001,2),IF(E138&gt;0,VLOOKUP(E138,Направление!A$1:B$4746,2))))))</f>
        <v>Иные бюджетные ассигнования</v>
      </c>
      <c r="B138" s="91"/>
      <c r="C138" s="84"/>
      <c r="D138" s="444"/>
      <c r="E138" s="91"/>
      <c r="F138" s="85">
        <v>800</v>
      </c>
      <c r="G138" s="50"/>
      <c r="H138" s="570">
        <v>64048</v>
      </c>
      <c r="I138" s="50">
        <f>SUM(G138:H138)</f>
        <v>64048</v>
      </c>
    </row>
    <row r="139" spans="1:9" s="19" customFormat="1" ht="109.2">
      <c r="A139" s="49" t="str">
        <f>IF(B139&gt;0,VLOOKUP(B139,КВСР!A80:B1245,2),IF(C139&gt;0,VLOOKUP(C139,КФСР!A80:B1592,2),IF(D139&gt;0,VLOOKUP(D139,Программа!A$1:B$5063,2),IF(F139&gt;0,VLOOKUP(F139,КВР!A$1:B$5001,2),IF(E139&gt;0,VLOOKUP(E139,Направление!A$1:B$4746,2))))))</f>
        <v>Субсидия на реализацию мероприятий по возмещению части затрат организациям любых форм собственности и индивидуальным предпринимателям, занимающимся доставкой товаров в отдаленные сельские населенные пункты</v>
      </c>
      <c r="B139" s="91"/>
      <c r="C139" s="84"/>
      <c r="D139" s="444"/>
      <c r="E139" s="91" t="s">
        <v>3003</v>
      </c>
      <c r="F139" s="85"/>
      <c r="G139" s="50">
        <v>83723</v>
      </c>
      <c r="H139" s="50">
        <f t="shared" ref="H139" si="42">H140</f>
        <v>0</v>
      </c>
      <c r="I139" s="50">
        <f t="shared" si="35"/>
        <v>83723</v>
      </c>
    </row>
    <row r="140" spans="1:9" s="19" customFormat="1" ht="16.2">
      <c r="A140" s="49" t="str">
        <f>IF(B140&gt;0,VLOOKUP(B140,КВСР!A81:B1246,2),IF(C140&gt;0,VLOOKUP(C140,КФСР!A81:B1593,2),IF(D140&gt;0,VLOOKUP(D140,Программа!A$1:B$5063,2),IF(F140&gt;0,VLOOKUP(F140,КВР!A$1:B$5001,2),IF(E140&gt;0,VLOOKUP(E140,Направление!A$1:B$4746,2))))))</f>
        <v>Иные бюджетные ассигнования</v>
      </c>
      <c r="B140" s="91"/>
      <c r="C140" s="84"/>
      <c r="D140" s="85"/>
      <c r="E140" s="91"/>
      <c r="F140" s="85">
        <v>800</v>
      </c>
      <c r="G140" s="387">
        <v>83723</v>
      </c>
      <c r="H140" s="382"/>
      <c r="I140" s="50">
        <f t="shared" si="35"/>
        <v>83723</v>
      </c>
    </row>
    <row r="141" spans="1:9" s="19" customFormat="1" ht="16.2">
      <c r="A141" s="49" t="str">
        <f>IF(B141&gt;0,VLOOKUP(B141,КВСР!A82:B1247,2),IF(C141&gt;0,VLOOKUP(C141,КФСР!A82:B1594,2),IF(D141&gt;0,VLOOKUP(D141,Программа!A$1:B$5063,2),IF(F141&gt;0,VLOOKUP(F141,КВР!A$1:B$5001,2),IF(E141&gt;0,VLOOKUP(E141,Направление!A$1:B$4746,2))))))</f>
        <v>Непрограммные расходы бюджета</v>
      </c>
      <c r="B141" s="91"/>
      <c r="C141" s="84"/>
      <c r="D141" s="85" t="s">
        <v>2852</v>
      </c>
      <c r="E141" s="91"/>
      <c r="F141" s="85"/>
      <c r="G141" s="387">
        <v>100000</v>
      </c>
      <c r="H141" s="387">
        <f>H144+H143</f>
        <v>0</v>
      </c>
      <c r="I141" s="50">
        <f>SUM(G141:H141)</f>
        <v>100000</v>
      </c>
    </row>
    <row r="142" spans="1:9" s="19" customFormat="1" ht="33.6" hidden="1" customHeight="1">
      <c r="A142" s="49" t="str">
        <f>IF(B142&gt;0,VLOOKUP(B142,КВСР!A83:B1248,2),IF(C142&gt;0,VLOOKUP(C142,КФСР!A83:B1595,2),IF(D142&gt;0,VLOOKUP(D142,Программа!A$1:B$5063,2),IF(F142&gt;0,VLOOKUP(F142,КВР!A$1:B$5001,2),IF(E142&gt;0,VLOOKUP(E142,Направление!A$1:B$4746,2))))))</f>
        <v>Мероприятия в области градостроительства</v>
      </c>
      <c r="B142" s="91"/>
      <c r="C142" s="84"/>
      <c r="D142" s="85"/>
      <c r="E142" s="91">
        <v>10500</v>
      </c>
      <c r="F142" s="85"/>
      <c r="G142" s="387">
        <v>0</v>
      </c>
      <c r="H142" s="387">
        <f>H143</f>
        <v>0</v>
      </c>
      <c r="I142" s="387">
        <f>I143</f>
        <v>0</v>
      </c>
    </row>
    <row r="143" spans="1:9" s="19" customFormat="1" ht="22.95" hidden="1" customHeight="1">
      <c r="A143" s="49" t="str">
        <f>IF(B143&gt;0,VLOOKUP(B143,КВСР!A84:B1249,2),IF(C143&gt;0,VLOOKUP(C143,КФСР!A84:B1596,2),IF(D143&gt;0,VLOOKUP(D143,Программа!A$1:B$5063,2),IF(F143&gt;0,VLOOKUP(F143,КВР!A$1:B$5001,2),IF(E143&gt;0,VLOOKUP(E143,Направление!A$1:B$4746,2))))))</f>
        <v>Закупка товаров, работ и услуг для государственных нужд</v>
      </c>
      <c r="B143" s="91"/>
      <c r="C143" s="84"/>
      <c r="D143" s="85"/>
      <c r="E143" s="91"/>
      <c r="F143" s="85">
        <v>200</v>
      </c>
      <c r="G143" s="387">
        <v>0</v>
      </c>
      <c r="H143" s="387">
        <f>200000-200000</f>
        <v>0</v>
      </c>
      <c r="I143" s="50">
        <f>SUM(G143:H143)</f>
        <v>0</v>
      </c>
    </row>
    <row r="144" spans="1:9" s="19" customFormat="1" ht="46.8">
      <c r="A144" s="49" t="str">
        <f>IF(B144&gt;0,VLOOKUP(B144,КВСР!A85:B1250,2),IF(C144&gt;0,VLOOKUP(C144,КФСР!A85:B1597,2),IF(D144&gt;0,VLOOKUP(D144,Программа!A$1:B$5063,2),IF(F144&gt;0,VLOOKUP(F144,КВР!A$1:B$5001,2),IF(E144&gt;0,VLOOKUP(E144,Направление!A$1:B$4746,2))))))</f>
        <v>Обеспечение мероприятий по внесению изменений в документы территориального планирования</v>
      </c>
      <c r="B144" s="91"/>
      <c r="C144" s="84"/>
      <c r="D144" s="85"/>
      <c r="E144" s="91">
        <v>29286</v>
      </c>
      <c r="F144" s="85"/>
      <c r="G144" s="387">
        <v>100000</v>
      </c>
      <c r="H144" s="387">
        <f>H145</f>
        <v>0</v>
      </c>
      <c r="I144" s="50">
        <f t="shared" si="35"/>
        <v>100000</v>
      </c>
    </row>
    <row r="145" spans="1:9" s="19" customFormat="1" ht="31.2">
      <c r="A145" s="49" t="str">
        <f>IF(B145&gt;0,VLOOKUP(B145,КВСР!A86:B1251,2),IF(C145&gt;0,VLOOKUP(C145,КФСР!A86:B1598,2),IF(D145&gt;0,VLOOKUP(D145,Программа!A$1:B$5063,2),IF(F145&gt;0,VLOOKUP(F145,КВР!A$1:B$5001,2),IF(E145&gt;0,VLOOKUP(E145,Направление!A$1:B$4746,2))))))</f>
        <v>Закупка товаров, работ и услуг для государственных нужд</v>
      </c>
      <c r="B145" s="91"/>
      <c r="C145" s="84"/>
      <c r="D145" s="85"/>
      <c r="E145" s="91"/>
      <c r="F145" s="85">
        <v>200</v>
      </c>
      <c r="G145" s="387">
        <v>100000</v>
      </c>
      <c r="H145" s="382"/>
      <c r="I145" s="50">
        <f t="shared" si="35"/>
        <v>100000</v>
      </c>
    </row>
    <row r="146" spans="1:9" s="19" customFormat="1" ht="16.2">
      <c r="A146" s="49" t="str">
        <f>IF(B146&gt;0,VLOOKUP(B146,КВСР!A87:B1252,2),IF(C146&gt;0,VLOOKUP(C146,КФСР!A87:B1599,2),IF(D146&gt;0,VLOOKUP(D146,Программа!A$1:B$5063,2),IF(F146&gt;0,VLOOKUP(F146,КВР!A$1:B$5001,2),IF(E146&gt;0,VLOOKUP(E146,Направление!A$1:B$4746,2))))))</f>
        <v>Жилищное хозяйство</v>
      </c>
      <c r="B146" s="91"/>
      <c r="C146" s="84">
        <v>501</v>
      </c>
      <c r="D146" s="85"/>
      <c r="E146" s="91"/>
      <c r="F146" s="85"/>
      <c r="G146" s="387">
        <v>74390973.829999998</v>
      </c>
      <c r="H146" s="387">
        <f>H147+H166</f>
        <v>15163719.4</v>
      </c>
      <c r="I146" s="387">
        <f>I147+I166</f>
        <v>89554693.229999989</v>
      </c>
    </row>
    <row r="147" spans="1:9" s="19" customFormat="1" ht="78">
      <c r="A147" s="49" t="str">
        <f>IF(B147&gt;0,VLOOKUP(B147,КВСР!A88:B1253,2),IF(C147&gt;0,VLOOKUP(C147,КФСР!A88:B1600,2),IF(D147&gt;0,VLOOKUP(D147,Программа!A$1:B$5063,2),IF(F147&gt;0,VLOOKUP(F147,КВР!A$1:B$5001,2),IF(E147&gt;0,VLOOKUP(E147,Направление!A$1:B$4746,2))))))</f>
        <v>Муниципальная программа "Стимулирование развития жилищного строительства в Тутаевском муниципальном  районе Ярославской области"</v>
      </c>
      <c r="B147" s="91"/>
      <c r="C147" s="84"/>
      <c r="D147" s="444" t="s">
        <v>2780</v>
      </c>
      <c r="E147" s="91"/>
      <c r="F147" s="85"/>
      <c r="G147" s="387">
        <v>27527947.310000002</v>
      </c>
      <c r="H147" s="387">
        <f>H148+H158</f>
        <v>4165086.15</v>
      </c>
      <c r="I147" s="50">
        <f>SUM(G147:H147)</f>
        <v>31693033.460000001</v>
      </c>
    </row>
    <row r="148" spans="1:9" s="19" customFormat="1" ht="62.4">
      <c r="A148" s="49" t="str">
        <f>IF(B148&gt;0,VLOOKUP(B148,КВСР!A89:B1254,2),IF(C148&gt;0,VLOOKUP(C148,КФСР!A89:B1601,2),IF(D148&gt;0,VLOOKUP(D148,Программа!A$1:B$5063,2),IF(F148&gt;0,VLOOKUP(F148,КВР!A$1:B$5001,2),IF(E148&gt;0,VLOOKUP(E148,Направление!A$1:B$4746,2))))))</f>
        <v>Муниципальная целевая программа "Переселение граждан из аварийного жилищного фонда в Тутаевском муниципальном районе"</v>
      </c>
      <c r="B148" s="91"/>
      <c r="C148" s="84"/>
      <c r="D148" s="444" t="s">
        <v>2783</v>
      </c>
      <c r="E148" s="91"/>
      <c r="F148" s="85"/>
      <c r="G148" s="387">
        <v>16243871.309999999</v>
      </c>
      <c r="H148" s="387">
        <f>H149</f>
        <v>4165086.15</v>
      </c>
      <c r="I148" s="50">
        <f>SUM(G148:H148)</f>
        <v>20408957.459999997</v>
      </c>
    </row>
    <row r="149" spans="1:9" s="19" customFormat="1" ht="78">
      <c r="A149" s="49" t="str">
        <f>IF(B149&gt;0,VLOOKUP(B149,КВСР!A90:B1255,2),IF(C149&gt;0,VLOOKUP(C149,КФСР!A90:B1602,2),IF(D149&gt;0,VLOOKUP(D149,Программа!A$1:B$5063,2),IF(F149&gt;0,VLOOKUP(F149,КВР!A$1:B$5001,2),IF(E149&gt;0,VLOOKUP(E149,Направление!A$1:B$4746,2))))))</f>
        <v>Финансовое и организационное обеспечение переселения граждан из аварийных многоквартирных домов на территории Тутаевского муниципального района</v>
      </c>
      <c r="B149" s="91"/>
      <c r="C149" s="84"/>
      <c r="D149" s="444" t="s">
        <v>2784</v>
      </c>
      <c r="E149" s="91"/>
      <c r="F149" s="85"/>
      <c r="G149" s="387">
        <v>16243871.309999999</v>
      </c>
      <c r="H149" s="387">
        <f>H150+H152+H154+H156</f>
        <v>4165086.15</v>
      </c>
      <c r="I149" s="50">
        <f>SUM(G149:H149)</f>
        <v>20408957.459999997</v>
      </c>
    </row>
    <row r="150" spans="1:9" s="19" customFormat="1" ht="16.2">
      <c r="A150" s="49" t="e">
        <f>IF(B150&gt;0,VLOOKUP(B150,КВСР!A91:B1256,2),IF(C150&gt;0,VLOOKUP(C150,КФСР!A91:B1603,2),IF(D150&gt;0,VLOOKUP(D150,Программа!A$1:B$5063,2),IF(F150&gt;0,VLOOKUP(F150,КВР!A$1:B$5001,2),IF(E150&gt;0,VLOOKUP(E150,Направление!A$1:B$4746,2))))))</f>
        <v>#N/A</v>
      </c>
      <c r="B150" s="91"/>
      <c r="C150" s="84"/>
      <c r="D150" s="444"/>
      <c r="E150" s="751">
        <v>9502</v>
      </c>
      <c r="F150" s="85"/>
      <c r="G150" s="387">
        <v>9911774.3999999985</v>
      </c>
      <c r="H150" s="387">
        <f>H151</f>
        <v>0</v>
      </c>
      <c r="I150" s="50">
        <f>I151</f>
        <v>9911774.3999999985</v>
      </c>
    </row>
    <row r="151" spans="1:9" s="19" customFormat="1" ht="16.2">
      <c r="A151" s="49" t="str">
        <f>IF(B151&gt;0,VLOOKUP(B151,КВСР!A92:B1257,2),IF(C151&gt;0,VLOOKUP(C151,КФСР!A92:B1604,2),IF(D151&gt;0,VLOOKUP(D151,Программа!A$1:B$5063,2),IF(F151&gt;0,VLOOKUP(F151,КВР!A$1:B$5001,2),IF(E151&gt;0,VLOOKUP(E151,Направление!A$1:B$4746,2))))))</f>
        <v>Бюджетные инвестиции</v>
      </c>
      <c r="B151" s="91"/>
      <c r="C151" s="84"/>
      <c r="D151" s="444"/>
      <c r="E151" s="91"/>
      <c r="F151" s="85">
        <v>400</v>
      </c>
      <c r="G151" s="387">
        <v>9911774.3999999985</v>
      </c>
      <c r="H151" s="382"/>
      <c r="I151" s="50">
        <f>SUM(G151:H151)</f>
        <v>9911774.3999999985</v>
      </c>
    </row>
    <row r="152" spans="1:9" s="19" customFormat="1" ht="16.2">
      <c r="A152" s="49" t="e">
        <f>IF(B152&gt;0,VLOOKUP(B152,КВСР!A93:B1258,2),IF(C152&gt;0,VLOOKUP(C152,КФСР!A93:B1605,2),IF(D152&gt;0,VLOOKUP(D152,Программа!A$1:B$5063,2),IF(F152&gt;0,VLOOKUP(F152,КВР!A$1:B$5001,2),IF(E152&gt;0,VLOOKUP(E152,Направление!A$1:B$4746,2))))))</f>
        <v>#N/A</v>
      </c>
      <c r="B152" s="91"/>
      <c r="C152" s="84"/>
      <c r="D152" s="444"/>
      <c r="E152" s="751">
        <v>9602</v>
      </c>
      <c r="F152" s="85"/>
      <c r="G152" s="387">
        <v>925388.40999999992</v>
      </c>
      <c r="H152" s="387">
        <f>H153</f>
        <v>4165086.15</v>
      </c>
      <c r="I152" s="50">
        <f>I153</f>
        <v>5090474.5599999996</v>
      </c>
    </row>
    <row r="153" spans="1:9" s="19" customFormat="1" ht="16.2">
      <c r="A153" s="49" t="str">
        <f>IF(B153&gt;0,VLOOKUP(B153,КВСР!A94:B1259,2),IF(C153&gt;0,VLOOKUP(C153,КФСР!A94:B1606,2),IF(D153&gt;0,VLOOKUP(D153,Программа!A$1:B$5063,2),IF(F153&gt;0,VLOOKUP(F153,КВР!A$1:B$5001,2),IF(E153&gt;0,VLOOKUP(E153,Направление!A$1:B$4746,2))))))</f>
        <v>Бюджетные инвестиции</v>
      </c>
      <c r="B153" s="91"/>
      <c r="C153" s="84"/>
      <c r="D153" s="444"/>
      <c r="E153" s="91"/>
      <c r="F153" s="85">
        <v>400</v>
      </c>
      <c r="G153" s="387">
        <v>925388.40999999992</v>
      </c>
      <c r="H153" s="382">
        <v>4165086.15</v>
      </c>
      <c r="I153" s="50">
        <f>SUM(G153:H153)</f>
        <v>5090474.5599999996</v>
      </c>
    </row>
    <row r="154" spans="1:9" s="19" customFormat="1" ht="70.5" customHeight="1">
      <c r="A154" s="49" t="str">
        <f>IF(B154&gt;0,VLOOKUP(B154,КВСР!A95:B1260,2),IF(C154&gt;0,VLOOKUP(C154,КФСР!A95:B1607,2),IF(D154&gt;0,VLOOKUP(D154,Программа!A$1:B$5063,2),IF(F154&gt;0,VLOOKUP(F154,КВР!A$1:B$5001,2),IF(E154&gt;0,VLOOKUP(E154,Направление!A$1:B$4746,2))))))</f>
        <v>Обеспечение мероприятий по переселению граждан из аварийного жилищного фонда за счет средств бюджета поселения (доп.пл)</v>
      </c>
      <c r="B154" s="91"/>
      <c r="C154" s="84"/>
      <c r="D154" s="444"/>
      <c r="E154" s="91">
        <v>29146</v>
      </c>
      <c r="F154" s="85"/>
      <c r="G154" s="387">
        <v>3861935</v>
      </c>
      <c r="H154" s="387">
        <f>H155</f>
        <v>0</v>
      </c>
      <c r="I154" s="50">
        <f>I155</f>
        <v>3861935</v>
      </c>
    </row>
    <row r="155" spans="1:9" s="19" customFormat="1" ht="16.2">
      <c r="A155" s="49" t="str">
        <f>IF(B155&gt;0,VLOOKUP(B155,КВСР!A96:B1261,2),IF(C155&gt;0,VLOOKUP(C155,КФСР!A96:B1608,2),IF(D155&gt;0,VLOOKUP(D155,Программа!A$1:B$5063,2),IF(F155&gt;0,VLOOKUP(F155,КВР!A$1:B$5001,2),IF(E155&gt;0,VLOOKUP(E155,Направление!A$1:B$4746,2))))))</f>
        <v>Бюджетные инвестиции</v>
      </c>
      <c r="B155" s="91"/>
      <c r="C155" s="84"/>
      <c r="D155" s="444"/>
      <c r="E155" s="91"/>
      <c r="F155" s="85">
        <v>400</v>
      </c>
      <c r="G155" s="387">
        <v>3861935</v>
      </c>
      <c r="H155" s="382"/>
      <c r="I155" s="50">
        <f>SUM(G155:H155)</f>
        <v>3861935</v>
      </c>
    </row>
    <row r="156" spans="1:9" s="19" customFormat="1" ht="140.4">
      <c r="A156" s="49" t="str">
        <f>IF(B156&gt;0,VLOOKUP(B156,КВСР!A97:B1262,2),IF(C156&gt;0,VLOOKUP(C156,КФСР!A97:B1609,2),IF(D156&gt;0,VLOOKUP(D156,Программа!A$1:B$5063,2),IF(F156&gt;0,VLOOKUP(F156,КВР!A$1:B$5001,2),IF(E156&gt;0,VLOOKUP(E156,Направление!A$1:B$4746,2))))))</f>
        <v xml:space="preserve">Субсидия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местных бюджетов </v>
      </c>
      <c r="B156" s="91"/>
      <c r="C156" s="84"/>
      <c r="D156" s="444"/>
      <c r="E156" s="91" t="s">
        <v>3060</v>
      </c>
      <c r="F156" s="85"/>
      <c r="G156" s="387">
        <v>1544773.5</v>
      </c>
      <c r="H156" s="387">
        <f>H157</f>
        <v>0</v>
      </c>
      <c r="I156" s="50">
        <f>I157</f>
        <v>1544773.5</v>
      </c>
    </row>
    <row r="157" spans="1:9" s="19" customFormat="1" ht="16.2">
      <c r="A157" s="49" t="str">
        <f>IF(B157&gt;0,VLOOKUP(B157,КВСР!A98:B1263,2),IF(C157&gt;0,VLOOKUP(C157,КФСР!A98:B1610,2),IF(D157&gt;0,VLOOKUP(D157,Программа!A$1:B$5063,2),IF(F157&gt;0,VLOOKUP(F157,КВР!A$1:B$5001,2),IF(E157&gt;0,VLOOKUP(E157,Направление!A$1:B$4746,2))))))</f>
        <v>Бюджетные инвестиции</v>
      </c>
      <c r="B157" s="91"/>
      <c r="C157" s="84"/>
      <c r="D157" s="444"/>
      <c r="E157" s="91"/>
      <c r="F157" s="85">
        <v>400</v>
      </c>
      <c r="G157" s="387">
        <v>1544773.5</v>
      </c>
      <c r="H157" s="382"/>
      <c r="I157" s="50">
        <f>SUM(G157:H157)</f>
        <v>1544773.5</v>
      </c>
    </row>
    <row r="158" spans="1:9" s="19" customFormat="1" ht="124.8">
      <c r="A158" s="49" t="str">
        <f>IF(B158&gt;0,VLOOKUP(B158,КВСР!A99:B1264,2),IF(C158&gt;0,VLOOKUP(C158,КФСР!A99:B1611,2),IF(D158&gt;0,VLOOKUP(D158,Программа!A$1:B$5063,2),IF(F158&gt;0,VLOOKUP(F158,КВР!A$1:B$5001,2),IF(E158&gt;0,VLOOKUP(E158,Направление!A$1:B$4746,2))))))</f>
        <v>Муниципальная целевая программа "Переселение граждан из  жилищного фонда, признанного непригодным для проживания, и (или) жилищного фонда с высоким уровнем износа на территории Тутаевского муниципального района"</v>
      </c>
      <c r="B158" s="91"/>
      <c r="C158" s="84"/>
      <c r="D158" s="444" t="s">
        <v>2785</v>
      </c>
      <c r="E158" s="91"/>
      <c r="F158" s="85"/>
      <c r="G158" s="387">
        <v>11284076</v>
      </c>
      <c r="H158" s="387">
        <f>H159</f>
        <v>0</v>
      </c>
      <c r="I158" s="50">
        <f>SUM(G158:H158)</f>
        <v>11284076</v>
      </c>
    </row>
    <row r="159" spans="1:9" s="19" customFormat="1" ht="78">
      <c r="A159" s="49" t="str">
        <f>IF(B159&gt;0,VLOOKUP(B159,КВСР!A100:B1265,2),IF(C159&gt;0,VLOOKUP(C159,КФСР!A100:B1612,2),IF(D159&gt;0,VLOOKUP(D159,Программа!A$1:B$5063,2),IF(F159&gt;0,VLOOKUP(F159,КВР!A$1:B$5001,2),IF(E159&gt;0,VLOOKUP(E159,Направление!A$1:B$4746,2))))))</f>
        <v>Финансовое и организационное обеспечение переселения граждан из непригодного для проживания жилищного фонда с высоким уровнем износа</v>
      </c>
      <c r="B159" s="91"/>
      <c r="C159" s="84"/>
      <c r="D159" s="444" t="s">
        <v>2786</v>
      </c>
      <c r="E159" s="91"/>
      <c r="F159" s="85"/>
      <c r="G159" s="387">
        <v>11284076</v>
      </c>
      <c r="H159" s="387">
        <f>H164+H160+H162</f>
        <v>0</v>
      </c>
      <c r="I159" s="50">
        <f>SUM(G159:H159)</f>
        <v>11284076</v>
      </c>
    </row>
    <row r="160" spans="1:9" s="19" customFormat="1" ht="92.25" customHeight="1">
      <c r="A160" s="49" t="str">
        <f>IF(B160&gt;0,VLOOKUP(B160,КВСР!A101:B1266,2),IF(C160&gt;0,VLOOKUP(C160,КФСР!A101:B1613,2),IF(D160&gt;0,VLOOKUP(D160,Программа!A$1:B$5063,2),IF(F160&gt;0,VLOOKUP(F160,КВР!A$1:B$5001,2),IF(E160&gt;0,VLOOKUP(E160,Направление!A$1:B$4746,2))))))</f>
        <v>Субсидия на переселение граждан из жилищного фонда, признанного непригодным для проживания, и (или) жилищного фонда с высоким уровнем износа, переданные полномочия</v>
      </c>
      <c r="B160" s="91"/>
      <c r="C160" s="84"/>
      <c r="D160" s="444"/>
      <c r="E160" s="91">
        <v>71216</v>
      </c>
      <c r="F160" s="85"/>
      <c r="G160" s="387">
        <v>9707518</v>
      </c>
      <c r="H160" s="387">
        <f>H161</f>
        <v>0</v>
      </c>
      <c r="I160" s="50">
        <f>I161</f>
        <v>9707518</v>
      </c>
    </row>
    <row r="161" spans="1:9" s="19" customFormat="1" ht="16.2">
      <c r="A161" s="49" t="str">
        <f>IF(B161&gt;0,VLOOKUP(B161,КВСР!A102:B1267,2),IF(C161&gt;0,VLOOKUP(C161,КФСР!A102:B1614,2),IF(D161&gt;0,VLOOKUP(D161,Программа!A$1:B$5063,2),IF(F161&gt;0,VLOOKUP(F161,КВР!A$1:B$5001,2),IF(E161&gt;0,VLOOKUP(E161,Направление!A$1:B$4746,2))))))</f>
        <v>Бюджетные инвестиции</v>
      </c>
      <c r="B161" s="91"/>
      <c r="C161" s="84"/>
      <c r="D161" s="444"/>
      <c r="E161" s="91"/>
      <c r="F161" s="85">
        <v>400</v>
      </c>
      <c r="G161" s="387">
        <v>9707518</v>
      </c>
      <c r="H161" s="382"/>
      <c r="I161" s="50">
        <f>SUM(G161:H161)</f>
        <v>9707518</v>
      </c>
    </row>
    <row r="162" spans="1:9" s="19" customFormat="1" ht="82.5" customHeight="1">
      <c r="A162" s="49" t="str">
        <f>IF(B162&gt;0,VLOOKUP(B162,КВСР!A103:B1268,2),IF(C162&gt;0,VLOOKUP(C162,КФСР!A103:B1615,2),IF(D162&gt;0,VLOOKUP(D162,Программа!A$1:B$5063,2),IF(F162&gt;0,VLOOKUP(F162,КВР!A$1:B$5001,2),IF(E162&gt;0,VLOOKUP(E162,Направление!A$1:B$4746,2))))))</f>
        <v>Субсидия на переселение граждан из жилищного фонда, признанного непригодным для проживания, и (или) жилищного фонда с высоким уровнем износа из бюджета поселения</v>
      </c>
      <c r="B162" s="91"/>
      <c r="C162" s="84"/>
      <c r="D162" s="444"/>
      <c r="E162" s="91" t="s">
        <v>3159</v>
      </c>
      <c r="F162" s="85"/>
      <c r="G162" s="387">
        <v>1576558</v>
      </c>
      <c r="H162" s="387">
        <f>H163</f>
        <v>0</v>
      </c>
      <c r="I162" s="50">
        <f>I163</f>
        <v>1576558</v>
      </c>
    </row>
    <row r="163" spans="1:9" s="19" customFormat="1" ht="21.75" customHeight="1">
      <c r="A163" s="49" t="str">
        <f>IF(B163&gt;0,VLOOKUP(B163,КВСР!A104:B1269,2),IF(C163&gt;0,VLOOKUP(C163,КФСР!A104:B1616,2),IF(D163&gt;0,VLOOKUP(D163,Программа!A$1:B$5063,2),IF(F163&gt;0,VLOOKUP(F163,КВР!A$1:B$5001,2),IF(E163&gt;0,VLOOKUP(E163,Направление!A$1:B$4746,2))))))</f>
        <v>Бюджетные инвестиции</v>
      </c>
      <c r="B163" s="91"/>
      <c r="C163" s="84"/>
      <c r="D163" s="444"/>
      <c r="E163" s="91"/>
      <c r="F163" s="85">
        <v>400</v>
      </c>
      <c r="G163" s="387">
        <v>1576558</v>
      </c>
      <c r="H163" s="382"/>
      <c r="I163" s="50">
        <f>SUM(G163:H163)</f>
        <v>1576558</v>
      </c>
    </row>
    <row r="164" spans="1:9" s="19" customFormat="1" ht="93.6" hidden="1">
      <c r="A164" s="49" t="str">
        <f>IF(B164&gt;0,VLOOKUP(B164,КВСР!A105:B1270,2),IF(C164&gt;0,VLOOKUP(C164,КФСР!A105:B1617,2),IF(D164&gt;0,VLOOKUP(D164,Программа!A$1:B$5063,2),IF(F164&gt;0,VLOOKUP(F164,КВР!A$1:B$5001,2),IF(E164&gt;0,VLOOKUP(E164,Направление!A$1:B$4746,2))))))</f>
        <v>Обеспечение мероприятий по переселению граждан из аварийного жилищного фонда, непригодного для проживания, с высоким уровнем износа  за счет средств бюджета поселения</v>
      </c>
      <c r="B164" s="91"/>
      <c r="C164" s="84"/>
      <c r="D164" s="444"/>
      <c r="E164" s="91">
        <v>29406</v>
      </c>
      <c r="F164" s="85"/>
      <c r="G164" s="387">
        <v>0</v>
      </c>
      <c r="H164" s="387">
        <f>H165</f>
        <v>0</v>
      </c>
      <c r="I164" s="50">
        <f>I165</f>
        <v>0</v>
      </c>
    </row>
    <row r="165" spans="1:9" s="19" customFormat="1" ht="16.2" hidden="1">
      <c r="A165" s="49" t="str">
        <f>IF(B165&gt;0,VLOOKUP(B165,КВСР!A106:B1271,2),IF(C165&gt;0,VLOOKUP(C165,КФСР!A106:B1618,2),IF(D165&gt;0,VLOOKUP(D165,Программа!A$1:B$5063,2),IF(F165&gt;0,VLOOKUP(F165,КВР!A$1:B$5001,2),IF(E165&gt;0,VLOOKUP(E165,Направление!A$1:B$4746,2))))))</f>
        <v>Бюджетные инвестиции</v>
      </c>
      <c r="B165" s="91"/>
      <c r="C165" s="84"/>
      <c r="D165" s="444"/>
      <c r="E165" s="91"/>
      <c r="F165" s="85">
        <v>400</v>
      </c>
      <c r="G165" s="387">
        <v>0</v>
      </c>
      <c r="H165" s="382"/>
      <c r="I165" s="50">
        <f>SUM(G165:H165)</f>
        <v>0</v>
      </c>
    </row>
    <row r="166" spans="1:9" s="19" customFormat="1" ht="31.2">
      <c r="A166" s="49" t="str">
        <f>IF(B166&gt;0,VLOOKUP(B166,КВСР!A107:B1272,2),IF(C166&gt;0,VLOOKUP(C166,КФСР!A107:B1619,2),IF(D166&gt;0,VLOOKUP(D166,Программа!A$1:B$5063,2),IF(F166&gt;0,VLOOKUP(F166,КВР!A$1:B$5001,2),IF(E166&gt;0,VLOOKUP(E166,Направление!A$1:B$4746,2))))))</f>
        <v>Межбюджетные трансферты  поселениям района</v>
      </c>
      <c r="B166" s="91"/>
      <c r="C166" s="84"/>
      <c r="D166" s="444" t="s">
        <v>2853</v>
      </c>
      <c r="E166" s="91"/>
      <c r="F166" s="85"/>
      <c r="G166" s="387">
        <v>46863026.519999996</v>
      </c>
      <c r="H166" s="382">
        <f>H167+H169+H172</f>
        <v>10998633.25</v>
      </c>
      <c r="I166" s="50">
        <f>SUM(G166:H166)</f>
        <v>57861659.769999996</v>
      </c>
    </row>
    <row r="167" spans="1:9" s="19" customFormat="1" ht="16.2">
      <c r="A167" s="49" t="e">
        <f>IF(B167&gt;0,VLOOKUP(B167,КВСР!A108:B1273,2),IF(C167&gt;0,VLOOKUP(C167,КФСР!A108:B1620,2),IF(D167&gt;0,VLOOKUP(D167,Программа!A$1:B$5063,2),IF(F167&gt;0,VLOOKUP(F167,КВР!A$1:B$5001,2),IF(E167&gt;0,VLOOKUP(E167,Направление!A$1:B$4746,2))))))</f>
        <v>#N/A</v>
      </c>
      <c r="B167" s="91"/>
      <c r="C167" s="84"/>
      <c r="D167" s="444"/>
      <c r="E167" s="751">
        <v>9502</v>
      </c>
      <c r="F167" s="444"/>
      <c r="G167" s="387">
        <v>35697176.399999999</v>
      </c>
      <c r="H167" s="387">
        <f>H168</f>
        <v>0</v>
      </c>
      <c r="I167" s="50">
        <f>I168</f>
        <v>35697176.399999999</v>
      </c>
    </row>
    <row r="168" spans="1:9" s="19" customFormat="1" ht="16.2">
      <c r="A168" s="49" t="str">
        <f>IF(B168&gt;0,VLOOKUP(B168,КВСР!A109:B1274,2),IF(C168&gt;0,VLOOKUP(C168,КФСР!A109:B1621,2),IF(D168&gt;0,VLOOKUP(D168,Программа!A$1:B$5063,2),IF(F168&gt;0,VLOOKUP(F168,КВР!A$1:B$5001,2),IF(E168&gt;0,VLOOKUP(E168,Направление!A$1:B$4746,2))))))</f>
        <v xml:space="preserve"> Межбюджетные трансферты</v>
      </c>
      <c r="B168" s="91"/>
      <c r="C168" s="84"/>
      <c r="D168" s="444"/>
      <c r="E168" s="91"/>
      <c r="F168" s="85">
        <v>500</v>
      </c>
      <c r="G168" s="387">
        <v>35697176.399999999</v>
      </c>
      <c r="H168" s="382"/>
      <c r="I168" s="50">
        <f>SUM(G168:H168)</f>
        <v>35697176.399999999</v>
      </c>
    </row>
    <row r="169" spans="1:9" s="19" customFormat="1" ht="16.2">
      <c r="A169" s="49" t="e">
        <f>IF(B169&gt;0,VLOOKUP(B169,КВСР!A110:B1275,2),IF(C169&gt;0,VLOOKUP(C169,КФСР!A110:B1622,2),IF(D169&gt;0,VLOOKUP(D169,Программа!A$1:B$5063,2),IF(F169&gt;0,VLOOKUP(F169,КВР!A$1:B$5001,2),IF(E169&gt;0,VLOOKUP(E169,Направление!A$1:B$4746,2))))))</f>
        <v>#N/A</v>
      </c>
      <c r="B169" s="91"/>
      <c r="C169" s="84"/>
      <c r="D169" s="444"/>
      <c r="E169" s="751">
        <v>9602</v>
      </c>
      <c r="F169" s="85"/>
      <c r="G169" s="387">
        <v>2171174.12</v>
      </c>
      <c r="H169" s="387">
        <f>H170</f>
        <v>10998633.25</v>
      </c>
      <c r="I169" s="50">
        <f>I170</f>
        <v>13169807.370000001</v>
      </c>
    </row>
    <row r="170" spans="1:9" s="19" customFormat="1" ht="16.2">
      <c r="A170" s="49" t="str">
        <f>IF(B170&gt;0,VLOOKUP(B170,КВСР!A111:B1276,2),IF(C170&gt;0,VLOOKUP(C170,КФСР!A111:B1623,2),IF(D170&gt;0,VLOOKUP(D170,Программа!A$1:B$5063,2),IF(F170&gt;0,VLOOKUP(F170,КВР!A$1:B$5001,2),IF(E170&gt;0,VLOOKUP(E170,Направление!A$1:B$4746,2))))))</f>
        <v xml:space="preserve"> Межбюджетные трансферты</v>
      </c>
      <c r="B170" s="91"/>
      <c r="C170" s="84"/>
      <c r="D170" s="444"/>
      <c r="E170" s="91"/>
      <c r="F170" s="85">
        <v>500</v>
      </c>
      <c r="G170" s="387">
        <v>2171174.12</v>
      </c>
      <c r="H170" s="382">
        <v>10998633.25</v>
      </c>
      <c r="I170" s="50">
        <f>SUM(G170:H170)</f>
        <v>13169807.370000001</v>
      </c>
    </row>
    <row r="171" spans="1:9" s="19" customFormat="1" ht="78">
      <c r="A171" s="49" t="str">
        <f>IF(B171&gt;0,VLOOKUP(B171,КВСР!A112:B1277,2),IF(C171&gt;0,VLOOKUP(C171,КФСР!A112:B1624,2),IF(D171&gt;0,VLOOKUP(D171,Программа!A$1:B$5063,2),IF(F171&gt;0,VLOOKUP(F171,КВР!A$1:B$5001,2),IF(E171&gt;0,VLOOKUP(E171,Направление!A$1:B$4746,2))))))</f>
        <v>Субсидия на переселение граждан из жилищного фонда, признанного непригодным для проживания, и (или) жилищного фонда с высоким уровнем износа</v>
      </c>
      <c r="B171" s="91"/>
      <c r="C171" s="84"/>
      <c r="D171" s="444"/>
      <c r="E171" s="91">
        <v>71210</v>
      </c>
      <c r="F171" s="85"/>
      <c r="G171" s="387">
        <v>8994676</v>
      </c>
      <c r="H171" s="387">
        <f>H172</f>
        <v>0</v>
      </c>
      <c r="I171" s="387">
        <f>I172</f>
        <v>8994676</v>
      </c>
    </row>
    <row r="172" spans="1:9" s="19" customFormat="1" ht="21" customHeight="1">
      <c r="A172" s="49" t="str">
        <f>IF(B172&gt;0,VLOOKUP(B172,КВСР!A113:B1278,2),IF(C172&gt;0,VLOOKUP(C172,КФСР!A113:B1625,2),IF(D172&gt;0,VLOOKUP(D172,Программа!A$1:B$5063,2),IF(F172&gt;0,VLOOKUP(F172,КВР!A$1:B$5001,2),IF(E172&gt;0,VLOOKUP(E172,Направление!A$1:B$4746,2))))))</f>
        <v xml:space="preserve"> Межбюджетные трансферты</v>
      </c>
      <c r="B172" s="91"/>
      <c r="C172" s="84"/>
      <c r="D172" s="444"/>
      <c r="E172" s="91"/>
      <c r="F172" s="85">
        <v>500</v>
      </c>
      <c r="G172" s="387">
        <v>8994676</v>
      </c>
      <c r="H172" s="382"/>
      <c r="I172" s="50">
        <f>SUM(G172:H172)</f>
        <v>8994676</v>
      </c>
    </row>
    <row r="173" spans="1:9" s="19" customFormat="1" ht="31.2">
      <c r="A173" s="49" t="str">
        <f>IF(B173&gt;0,VLOOKUP(B173,КВСР!A114:B1279,2),IF(C173&gt;0,VLOOKUP(C173,КФСР!A114:B1626,2),IF(D173&gt;0,VLOOKUP(D173,Программа!A$1:B$5063,2),IF(F173&gt;0,VLOOKUP(F173,КВР!A$1:B$5001,2),IF(E173&gt;0,VLOOKUP(E173,Направление!A$1:B$4746,2))))))</f>
        <v>Другие вопросы в области охраны окружающей среды</v>
      </c>
      <c r="B173" s="91"/>
      <c r="C173" s="84">
        <v>605</v>
      </c>
      <c r="D173" s="85"/>
      <c r="E173" s="91"/>
      <c r="F173" s="85"/>
      <c r="G173" s="387">
        <v>10000</v>
      </c>
      <c r="H173" s="387">
        <f t="shared" ref="H173:H175" si="43">H174</f>
        <v>6000</v>
      </c>
      <c r="I173" s="50">
        <f t="shared" si="35"/>
        <v>16000</v>
      </c>
    </row>
    <row r="174" spans="1:9" s="19" customFormat="1" ht="16.2">
      <c r="A174" s="49" t="str">
        <f>IF(B174&gt;0,VLOOKUP(B174,КВСР!A115:B1280,2),IF(C174&gt;0,VLOOKUP(C174,КФСР!A115:B1627,2),IF(D174&gt;0,VLOOKUP(D174,Программа!A$1:B$5063,2),IF(F174&gt;0,VLOOKUP(F174,КВР!A$1:B$5001,2),IF(E174&gt;0,VLOOKUP(E174,Направление!A$1:B$4746,2))))))</f>
        <v>Непрограммные расходы бюджета</v>
      </c>
      <c r="B174" s="91"/>
      <c r="C174" s="84"/>
      <c r="D174" s="85" t="s">
        <v>2852</v>
      </c>
      <c r="E174" s="91"/>
      <c r="F174" s="85"/>
      <c r="G174" s="387">
        <v>10000</v>
      </c>
      <c r="H174" s="387">
        <f t="shared" si="43"/>
        <v>6000</v>
      </c>
      <c r="I174" s="50">
        <f t="shared" si="35"/>
        <v>16000</v>
      </c>
    </row>
    <row r="175" spans="1:9" s="19" customFormat="1" ht="46.8">
      <c r="A175" s="49" t="str">
        <f>IF(B175&gt;0,VLOOKUP(B175,КВСР!A116:B1281,2),IF(C175&gt;0,VLOOKUP(C175,КФСР!A116:B1628,2),IF(D175&gt;0,VLOOKUP(D175,Программа!A$1:B$5063,2),IF(F175&gt;0,VLOOKUP(F175,КВР!A$1:B$5001,2),IF(E175&gt;0,VLOOKUP(E175,Направление!A$1:B$4746,2))))))</f>
        <v>Мероприятия  направленные  по охрану окружающей среды и природопользования</v>
      </c>
      <c r="B175" s="91"/>
      <c r="C175" s="84"/>
      <c r="D175" s="85"/>
      <c r="E175" s="91">
        <v>10600</v>
      </c>
      <c r="F175" s="85"/>
      <c r="G175" s="387">
        <v>10000</v>
      </c>
      <c r="H175" s="387">
        <f t="shared" si="43"/>
        <v>6000</v>
      </c>
      <c r="I175" s="50">
        <f t="shared" si="35"/>
        <v>16000</v>
      </c>
    </row>
    <row r="176" spans="1:9" s="19" customFormat="1" ht="31.2">
      <c r="A176" s="49" t="str">
        <f>IF(B176&gt;0,VLOOKUP(B176,КВСР!A117:B1282,2),IF(C176&gt;0,VLOOKUP(C176,КФСР!A117:B1629,2),IF(D176&gt;0,VLOOKUP(D176,Программа!A$1:B$5063,2),IF(F176&gt;0,VLOOKUP(F176,КВР!A$1:B$5001,2),IF(E176&gt;0,VLOOKUP(E176,Направление!A$1:B$4746,2))))))</f>
        <v>Закупка товаров, работ и услуг для государственных нужд</v>
      </c>
      <c r="B176" s="91"/>
      <c r="C176" s="84"/>
      <c r="D176" s="85"/>
      <c r="E176" s="91"/>
      <c r="F176" s="85">
        <v>200</v>
      </c>
      <c r="G176" s="387">
        <v>10000</v>
      </c>
      <c r="H176" s="382">
        <v>6000</v>
      </c>
      <c r="I176" s="50">
        <f t="shared" si="35"/>
        <v>16000</v>
      </c>
    </row>
    <row r="177" spans="1:9" s="19" customFormat="1" ht="16.2">
      <c r="A177" s="49" t="str">
        <f>IF(B177&gt;0,VLOOKUP(B177,КВСР!A118:B1283,2),IF(C177&gt;0,VLOOKUP(C177,КФСР!A118:B1630,2),IF(D177&gt;0,VLOOKUP(D177,Программа!A$1:B$5063,2),IF(F177&gt;0,VLOOKUP(F177,КВР!A$1:B$5001,2),IF(E177&gt;0,VLOOKUP(E177,Направление!A$1:B$4746,2))))))</f>
        <v>Социальное обеспечение населения</v>
      </c>
      <c r="B177" s="91"/>
      <c r="C177" s="84">
        <v>1003</v>
      </c>
      <c r="D177" s="444"/>
      <c r="E177" s="91"/>
      <c r="F177" s="85"/>
      <c r="G177" s="50">
        <v>15637053.530000001</v>
      </c>
      <c r="H177" s="50">
        <f>H199+H178+H202</f>
        <v>0</v>
      </c>
      <c r="I177" s="50">
        <f>SUM(G177:H177)</f>
        <v>15637053.530000001</v>
      </c>
    </row>
    <row r="178" spans="1:9" s="19" customFormat="1" ht="78">
      <c r="A178" s="49" t="str">
        <f>IF(B178&gt;0,VLOOKUP(B178,КВСР!A119:B1284,2),IF(C178&gt;0,VLOOKUP(C178,КФСР!A119:B1631,2),IF(D178&gt;0,VLOOKUP(D178,Программа!A$1:B$5063,2),IF(F178&gt;0,VLOOKUP(F178,КВР!A$1:B$5001,2),IF(E178&gt;0,VLOOKUP(E178,Направление!A$1:B$4746,2))))))</f>
        <v>Муниципальная программа "Стимулирование развития жилищного строительства в Тутаевском муниципальном  районе Ярославской области"</v>
      </c>
      <c r="B178" s="91"/>
      <c r="C178" s="84"/>
      <c r="D178" s="444" t="s">
        <v>2780</v>
      </c>
      <c r="E178" s="91"/>
      <c r="F178" s="85"/>
      <c r="G178" s="50">
        <v>8275072.0800000001</v>
      </c>
      <c r="H178" s="50">
        <f>H179+H189</f>
        <v>0</v>
      </c>
      <c r="I178" s="50">
        <f t="shared" si="35"/>
        <v>8275072.0800000001</v>
      </c>
    </row>
    <row r="179" spans="1:9" s="19" customFormat="1" ht="98.25" customHeight="1">
      <c r="A179" s="49" t="str">
        <f>IF(B179&gt;0,VLOOKUP(B179,КВСР!A120:B1285,2),IF(C179&gt;0,VLOOKUP(C179,КФСР!A120:B1632,2),IF(D179&gt;0,VLOOKUP(D179,Программа!A$1:B$5063,2),IF(F179&gt;0,VLOOKUP(F179,КВР!A$1:B$5001,2),IF(E179&gt;0,VLOOKUP(E179,Направление!A$1:B$4746,2))))))</f>
        <v>Муниципальная целевая программа "Поддержка граждан, проживающих на территории Тутаевского муниципального района Ярославской области в сфере ипотечного жилищного кредитования"</v>
      </c>
      <c r="B179" s="91"/>
      <c r="C179" s="84"/>
      <c r="D179" s="444" t="s">
        <v>2781</v>
      </c>
      <c r="E179" s="91"/>
      <c r="F179" s="85"/>
      <c r="G179" s="50">
        <v>3979615.88</v>
      </c>
      <c r="H179" s="50">
        <f t="shared" ref="H179" si="44">H180</f>
        <v>0</v>
      </c>
      <c r="I179" s="50">
        <f t="shared" si="35"/>
        <v>3979615.88</v>
      </c>
    </row>
    <row r="180" spans="1:9" s="19" customFormat="1" ht="129.75" customHeight="1">
      <c r="A180" s="49" t="str">
        <f>IF(B180&gt;0,VLOOKUP(B180,КВСР!A121:B1286,2),IF(C180&gt;0,VLOOKUP(C180,КФСР!A121:B1633,2),IF(D180&gt;0,VLOOKUP(D180,Программа!A$1:B$5063,2),IF(F180&gt;0,VLOOKUP(F180,КВР!A$1:B$5001,2),IF(E180&gt;0,VLOOKUP(E180,Направление!A$1:B$4746,2))))))</f>
        <v>Обеспечение доступности жилья в соответствии с  уровнем платежеспособности спроса граждан, путем оказания поддержки гражданам, проживающим на территории Тутаевского муниципального района, в сфере ипотечного жилищного кредитования и займа</v>
      </c>
      <c r="B180" s="91"/>
      <c r="C180" s="84"/>
      <c r="D180" s="444" t="s">
        <v>2782</v>
      </c>
      <c r="E180" s="91"/>
      <c r="F180" s="85"/>
      <c r="G180" s="50">
        <v>3979615.88</v>
      </c>
      <c r="H180" s="50">
        <f>H183+H185+H187+H181</f>
        <v>0</v>
      </c>
      <c r="I180" s="50">
        <f t="shared" si="35"/>
        <v>3979615.88</v>
      </c>
    </row>
    <row r="181" spans="1:9" s="19" customFormat="1" ht="37.5" customHeight="1">
      <c r="A181" s="49" t="str">
        <f>IF(B181&gt;0,VLOOKUP(B181,КВСР!A122:B1287,2),IF(C181&gt;0,VLOOKUP(C181,КФСР!A122:B1634,2),IF(D181&gt;0,VLOOKUP(D181,Программа!A$1:B$5063,2),IF(F181&gt;0,VLOOKUP(F181,КВР!A$1:B$5001,2),IF(E181&gt;0,VLOOKUP(E181,Направление!A$1:B$4746,2))))))</f>
        <v>Обеспечение мероприятий в сфере ипотечного жилищного кредитования</v>
      </c>
      <c r="B181" s="91"/>
      <c r="C181" s="84"/>
      <c r="D181" s="444"/>
      <c r="E181" s="91" t="s">
        <v>3206</v>
      </c>
      <c r="F181" s="85"/>
      <c r="G181" s="50">
        <v>1065000</v>
      </c>
      <c r="H181" s="50">
        <f>H182</f>
        <v>0</v>
      </c>
      <c r="I181" s="50">
        <f t="shared" si="35"/>
        <v>1065000</v>
      </c>
    </row>
    <row r="182" spans="1:9" s="19" customFormat="1" ht="31.2">
      <c r="A182" s="49" t="str">
        <f>IF(B182&gt;0,VLOOKUP(B182,КВСР!A123:B1288,2),IF(C182&gt;0,VLOOKUP(C182,КФСР!A123:B1635,2),IF(D182&gt;0,VLOOKUP(D182,Программа!A$1:B$5063,2),IF(F182&gt;0,VLOOKUP(F182,КВР!A$1:B$5001,2),IF(E182&gt;0,VLOOKUP(E182,Направление!A$1:B$4746,2))))))</f>
        <v>Социальное обеспечение и иные выплаты населению</v>
      </c>
      <c r="B182" s="91"/>
      <c r="C182" s="84"/>
      <c r="D182" s="444"/>
      <c r="E182" s="91"/>
      <c r="F182" s="85">
        <v>300</v>
      </c>
      <c r="G182" s="50">
        <v>1065000</v>
      </c>
      <c r="H182" s="604"/>
      <c r="I182" s="50">
        <f t="shared" si="35"/>
        <v>1065000</v>
      </c>
    </row>
    <row r="183" spans="1:9" s="19" customFormat="1" ht="46.8" hidden="1">
      <c r="A183" s="49" t="str">
        <f>IF(B183&gt;0,VLOOKUP(B183,КВСР!A124:B1289,2),IF(C183&gt;0,VLOOKUP(C183,КФСР!A124:B1636,2),IF(D183&gt;0,VLOOKUP(D183,Программа!A$1:B$5063,2),IF(F183&gt;0,VLOOKUP(F183,КВР!A$1:B$5001,2),IF(E183&gt;0,VLOOKUP(E183,Направление!A$1:B$4746,2))))))</f>
        <v>Обеспечение мероприятий в сфере ипотечного жилищного кредитования</v>
      </c>
      <c r="B183" s="91"/>
      <c r="C183" s="84"/>
      <c r="D183" s="444"/>
      <c r="E183" s="91">
        <v>29156</v>
      </c>
      <c r="F183" s="85"/>
      <c r="G183" s="50">
        <v>0</v>
      </c>
      <c r="H183" s="50">
        <f>H184</f>
        <v>0</v>
      </c>
      <c r="I183" s="50">
        <f t="shared" si="35"/>
        <v>0</v>
      </c>
    </row>
    <row r="184" spans="1:9" s="19" customFormat="1" ht="31.2" hidden="1">
      <c r="A184" s="49" t="str">
        <f>IF(B184&gt;0,VLOOKUP(B184,КВСР!A125:B1290,2),IF(C184&gt;0,VLOOKUP(C184,КФСР!A125:B1637,2),IF(D184&gt;0,VLOOKUP(D184,Программа!A$1:B$5063,2),IF(F184&gt;0,VLOOKUP(F184,КВР!A$1:B$5001,2),IF(E184&gt;0,VLOOKUP(E184,Направление!A$1:B$4746,2))))))</f>
        <v>Социальное обеспечение и иные выплаты населению</v>
      </c>
      <c r="B184" s="91"/>
      <c r="C184" s="84"/>
      <c r="D184" s="444"/>
      <c r="E184" s="91"/>
      <c r="F184" s="85">
        <v>300</v>
      </c>
      <c r="G184" s="50">
        <v>0</v>
      </c>
      <c r="H184" s="604"/>
      <c r="I184" s="50">
        <f t="shared" si="35"/>
        <v>0</v>
      </c>
    </row>
    <row r="185" spans="1:9" s="19" customFormat="1" ht="96.75" hidden="1" customHeight="1">
      <c r="A185" s="49" t="str">
        <f>IF(B185&gt;0,VLOOKUP(B185,КВСР!A126:B1291,2),IF(C185&gt;0,VLOOKUP(C185,КФСР!A126:B1638,2),IF(D185&gt;0,VLOOKUP(D185,Программа!A$1:B$5063,2),IF(F185&gt;0,VLOOKUP(F185,КВР!A$1:B$5001,2),IF(E185&gt;0,VLOOKUP(E185,Направление!A$1:B$4746,2))))))</f>
        <v>Субсидия на реализацию подпрограммы «Государственная  поддержка граждан, проживающих на территории Ярославской области,  в сфере ипотечного жилищного кредитования»</v>
      </c>
      <c r="B185" s="91"/>
      <c r="C185" s="84"/>
      <c r="D185" s="444"/>
      <c r="E185" s="91">
        <v>71230</v>
      </c>
      <c r="F185" s="85"/>
      <c r="G185" s="50">
        <v>0</v>
      </c>
      <c r="H185" s="387">
        <f>H186</f>
        <v>0</v>
      </c>
      <c r="I185" s="50">
        <f>SUM(G185:H185)</f>
        <v>0</v>
      </c>
    </row>
    <row r="186" spans="1:9" s="19" customFormat="1" ht="38.25" hidden="1" customHeight="1">
      <c r="A186" s="49" t="str">
        <f>IF(B186&gt;0,VLOOKUP(B186,КВСР!A127:B1292,2),IF(C186&gt;0,VLOOKUP(C186,КФСР!A127:B1639,2),IF(D186&gt;0,VLOOKUP(D186,Программа!A$1:B$5063,2),IF(F186&gt;0,VLOOKUP(F186,КВР!A$1:B$5001,2),IF(E186&gt;0,VLOOKUP(E186,Направление!A$1:B$4746,2))))))</f>
        <v>Социальное обеспечение и иные выплаты населению</v>
      </c>
      <c r="B186" s="91"/>
      <c r="C186" s="84"/>
      <c r="D186" s="444"/>
      <c r="E186" s="91"/>
      <c r="F186" s="85">
        <v>300</v>
      </c>
      <c r="G186" s="50">
        <v>0</v>
      </c>
      <c r="H186" s="604"/>
      <c r="I186" s="50">
        <f>SUM(G186:H186)</f>
        <v>0</v>
      </c>
    </row>
    <row r="187" spans="1:9" s="19" customFormat="1" ht="93.6">
      <c r="A187" s="49" t="str">
        <f>IF(B187&gt;0,VLOOKUP(B187,КВСР!A128:B1293,2),IF(C187&gt;0,VLOOKUP(C187,КФСР!A128:B1640,2),IF(D187&gt;0,VLOOKUP(D187,Программа!A$1:B$5063,2),IF(F187&gt;0,VLOOKUP(F187,КВР!A$1:B$5001,2),IF(E187&gt;0,VLOOKUP(E187,Направление!A$1:B$4746,2))))))</f>
        <v>Мероприятия направленные на реализацию задачи по государственной поддержке граждан, проживающих на территории ЯО, в сфере ипотечного жилищного кредитования</v>
      </c>
      <c r="B187" s="91"/>
      <c r="C187" s="84"/>
      <c r="D187" s="444"/>
      <c r="E187" s="91" t="s">
        <v>3200</v>
      </c>
      <c r="F187" s="85"/>
      <c r="G187" s="50">
        <v>2914615.88</v>
      </c>
      <c r="H187" s="387">
        <f>H188</f>
        <v>0</v>
      </c>
      <c r="I187" s="50">
        <f t="shared" ref="I187:I188" si="45">SUM(G187:H187)</f>
        <v>2914615.88</v>
      </c>
    </row>
    <row r="188" spans="1:9" s="19" customFormat="1" ht="38.25" customHeight="1">
      <c r="A188" s="49" t="str">
        <f>IF(B188&gt;0,VLOOKUP(B188,КВСР!A129:B1294,2),IF(C188&gt;0,VLOOKUP(C188,КФСР!A129:B1641,2),IF(D188&gt;0,VLOOKUP(D188,Программа!A$1:B$5063,2),IF(F188&gt;0,VLOOKUP(F188,КВР!A$1:B$5001,2),IF(E188&gt;0,VLOOKUP(E188,Направление!A$1:B$4746,2))))))</f>
        <v>Социальное обеспечение и иные выплаты населению</v>
      </c>
      <c r="B188" s="91"/>
      <c r="C188" s="84"/>
      <c r="D188" s="444"/>
      <c r="E188" s="91"/>
      <c r="F188" s="85">
        <v>300</v>
      </c>
      <c r="G188" s="50">
        <v>2914615.88</v>
      </c>
      <c r="H188" s="604"/>
      <c r="I188" s="50">
        <f t="shared" si="45"/>
        <v>2914615.88</v>
      </c>
    </row>
    <row r="189" spans="1:9" s="19" customFormat="1" ht="71.25" customHeight="1">
      <c r="A189" s="49" t="str">
        <f>IF(B189&gt;0,VLOOKUP(B189,КВСР!A130:B1295,2),IF(C189&gt;0,VLOOKUP(C189,КФСР!A130:B1642,2),IF(D189&gt;0,VLOOKUP(D189,Программа!A$1:B$5063,2),IF(F189&gt;0,VLOOKUP(F189,КВР!A$1:B$5001,2),IF(E189&gt;0,VLOOKUP(E189,Направление!A$1:B$4746,2))))))</f>
        <v>Муниципальная целевая программа "Предоставление молодым семьям социальных выплат на приобретение(строительство) жилья"</v>
      </c>
      <c r="B189" s="91"/>
      <c r="C189" s="84"/>
      <c r="D189" s="444" t="s">
        <v>2787</v>
      </c>
      <c r="E189" s="91"/>
      <c r="F189" s="85"/>
      <c r="G189" s="50">
        <v>4295456.2</v>
      </c>
      <c r="H189" s="387">
        <f t="shared" ref="H189" si="46">H190</f>
        <v>0</v>
      </c>
      <c r="I189" s="50">
        <f t="shared" si="35"/>
        <v>4295456.2</v>
      </c>
    </row>
    <row r="190" spans="1:9" s="19" customFormat="1" ht="46.8">
      <c r="A190" s="49" t="str">
        <f>IF(B190&gt;0,VLOOKUP(B190,КВСР!A131:B1296,2),IF(C190&gt;0,VLOOKUP(C190,КФСР!A131:B1643,2),IF(D190&gt;0,VLOOKUP(D190,Программа!A$1:B$5063,2),IF(F190&gt;0,VLOOKUP(F190,КВР!A$1:B$5001,2),IF(E190&gt;0,VLOOKUP(E190,Направление!A$1:B$4746,2))))))</f>
        <v>Создание условий для поддержки  молодых семей в приобретении (строительстве) жилья</v>
      </c>
      <c r="B190" s="91"/>
      <c r="C190" s="84"/>
      <c r="D190" s="444" t="s">
        <v>2788</v>
      </c>
      <c r="E190" s="91"/>
      <c r="F190" s="85"/>
      <c r="G190" s="50">
        <v>4295456.2</v>
      </c>
      <c r="H190" s="387">
        <f>H191+H197+H195+H193</f>
        <v>0</v>
      </c>
      <c r="I190" s="50">
        <f t="shared" si="35"/>
        <v>4295456.2</v>
      </c>
    </row>
    <row r="191" spans="1:9" s="19" customFormat="1" ht="62.4" hidden="1">
      <c r="A191" s="49" t="str">
        <f>IF(B191&gt;0,VLOOKUP(B191,КВСР!A132:B1297,2),IF(C191&gt;0,VLOOKUP(C191,КФСР!A132:B1644,2),IF(D191&gt;0,VLOOKUP(D191,Программа!A$1:B$5063,2),IF(F191&gt;0,VLOOKUP(F191,КВР!A$1:B$5001,2),IF(E191&gt;0,VLOOKUP(E191,Направление!A$1:B$4746,2))))))</f>
        <v>Обеспечение мероприятий по улучшение жилищных условий молодых семей , проживающих и на территории Ярославскойобласти</v>
      </c>
      <c r="B191" s="91"/>
      <c r="C191" s="84"/>
      <c r="D191" s="444"/>
      <c r="E191" s="91">
        <v>29136</v>
      </c>
      <c r="F191" s="85"/>
      <c r="G191" s="50">
        <v>0</v>
      </c>
      <c r="H191" s="387">
        <f>H192</f>
        <v>0</v>
      </c>
      <c r="I191" s="50">
        <f t="shared" si="35"/>
        <v>0</v>
      </c>
    </row>
    <row r="192" spans="1:9" s="19" customFormat="1" ht="31.2" hidden="1">
      <c r="A192" s="49" t="str">
        <f>IF(B192&gt;0,VLOOKUP(B192,КВСР!A133:B1298,2),IF(C192&gt;0,VLOOKUP(C192,КФСР!A133:B1645,2),IF(D192&gt;0,VLOOKUP(D192,Программа!A$1:B$5063,2),IF(F192&gt;0,VLOOKUP(F192,КВР!A$1:B$5001,2),IF(E192&gt;0,VLOOKUP(E192,Направление!A$1:B$4746,2))))))</f>
        <v>Социальное обеспечение и иные выплаты населению</v>
      </c>
      <c r="B192" s="91"/>
      <c r="C192" s="84"/>
      <c r="D192" s="444"/>
      <c r="E192" s="91"/>
      <c r="F192" s="85">
        <v>300</v>
      </c>
      <c r="G192" s="50">
        <v>0</v>
      </c>
      <c r="H192" s="604"/>
      <c r="I192" s="50">
        <f t="shared" si="35"/>
        <v>0</v>
      </c>
    </row>
    <row r="193" spans="1:9" s="19" customFormat="1" ht="62.4">
      <c r="A193" s="49" t="str">
        <f>IF(B193&gt;0,VLOOKUP(B193,КВСР!A134:B1299,2),IF(C193&gt;0,VLOOKUP(C193,КФСР!A134:B1646,2),IF(D193&gt;0,VLOOKUP(D193,Программа!A$1:B$5063,2),IF(F193&gt;0,VLOOKUP(F193,КВР!A$1:B$5001,2),IF(E193&gt;0,VLOOKUP(E193,Направление!A$1:B$4746,2))))))</f>
        <v>Субсидии на мероприятия подпрограммы "Обеспечение жильем молодых семей" за счет средств федерального бюджета</v>
      </c>
      <c r="B193" s="91"/>
      <c r="C193" s="84"/>
      <c r="D193" s="444"/>
      <c r="E193" s="91">
        <v>50206</v>
      </c>
      <c r="F193" s="85"/>
      <c r="G193" s="50">
        <v>1295456.2</v>
      </c>
      <c r="H193" s="387">
        <f>H194</f>
        <v>0</v>
      </c>
      <c r="I193" s="50">
        <f t="shared" si="35"/>
        <v>1295456.2</v>
      </c>
    </row>
    <row r="194" spans="1:9" s="19" customFormat="1" ht="31.2">
      <c r="A194" s="49" t="str">
        <f>IF(B194&gt;0,VLOOKUP(B194,КВСР!A135:B1300,2),IF(C194&gt;0,VLOOKUP(C194,КФСР!A135:B1647,2),IF(D194&gt;0,VLOOKUP(D194,Программа!A$1:B$5063,2),IF(F194&gt;0,VLOOKUP(F194,КВР!A$1:B$5001,2),IF(E194&gt;0,VLOOKUP(E194,Направление!A$1:B$4746,2))))))</f>
        <v>Социальное обеспечение и иные выплаты населению</v>
      </c>
      <c r="B194" s="91"/>
      <c r="C194" s="84"/>
      <c r="D194" s="444"/>
      <c r="E194" s="91"/>
      <c r="F194" s="85">
        <v>300</v>
      </c>
      <c r="G194" s="50">
        <v>1295456.2</v>
      </c>
      <c r="H194" s="604"/>
      <c r="I194" s="50">
        <f t="shared" si="35"/>
        <v>1295456.2</v>
      </c>
    </row>
    <row r="195" spans="1:9" s="19" customFormat="1" ht="62.4">
      <c r="A195" s="49" t="str">
        <f>IF(B195&gt;0,VLOOKUP(B195,КВСР!A136:B1301,2),IF(C195&gt;0,VLOOKUP(C195,КФСР!A136:B1648,2),IF(D195&gt;0,VLOOKUP(D195,Программа!A$1:B$5063,2),IF(F195&gt;0,VLOOKUP(F195,КВР!A$1:B$5001,2),IF(E195&gt;0,VLOOKUP(E195,Направление!A$1:B$4746,2))))))</f>
        <v>Обеспечение меропритяий по улучшению жилищных условий молодых семей, проживающих на территории ЯО</v>
      </c>
      <c r="B195" s="91"/>
      <c r="C195" s="84"/>
      <c r="D195" s="444"/>
      <c r="E195" s="91" t="s">
        <v>3207</v>
      </c>
      <c r="F195" s="85"/>
      <c r="G195" s="50">
        <v>1500000</v>
      </c>
      <c r="H195" s="387">
        <f>H196</f>
        <v>0</v>
      </c>
      <c r="I195" s="50">
        <f t="shared" si="35"/>
        <v>1500000</v>
      </c>
    </row>
    <row r="196" spans="1:9" s="19" customFormat="1" ht="31.2">
      <c r="A196" s="49" t="str">
        <f>IF(B196&gt;0,VLOOKUP(B196,КВСР!A137:B1302,2),IF(C196&gt;0,VLOOKUP(C196,КФСР!A137:B1649,2),IF(D196&gt;0,VLOOKUP(D196,Программа!A$1:B$5063,2),IF(F196&gt;0,VLOOKUP(F196,КВР!A$1:B$5001,2),IF(E196&gt;0,VLOOKUP(E196,Направление!A$1:B$4746,2))))))</f>
        <v>Социальное обеспечение и иные выплаты населению</v>
      </c>
      <c r="B196" s="91"/>
      <c r="C196" s="84"/>
      <c r="D196" s="444"/>
      <c r="E196" s="91"/>
      <c r="F196" s="85">
        <v>300</v>
      </c>
      <c r="G196" s="50">
        <v>1500000</v>
      </c>
      <c r="H196" s="604"/>
      <c r="I196" s="50">
        <f t="shared" si="35"/>
        <v>1500000</v>
      </c>
    </row>
    <row r="197" spans="1:9" s="19" customFormat="1" ht="65.25" customHeight="1">
      <c r="A197" s="49" t="str">
        <f>IF(B197&gt;0,VLOOKUP(B197,КВСР!A138:B1303,2),IF(C197&gt;0,VLOOKUP(C197,КФСР!A138:B1650,2),IF(D197&gt;0,VLOOKUP(D197,Программа!A$1:B$5063,2),IF(F197&gt;0,VLOOKUP(F197,КВР!A$1:B$5001,2),IF(E197&gt;0,VLOOKUP(E197,Направление!A$1:B$4746,2))))))</f>
        <v>Субсидия на реализацию мероприятий по господдержке молодых семей Ярославской области в приобретении (строительстве) жилья</v>
      </c>
      <c r="B197" s="91"/>
      <c r="C197" s="84"/>
      <c r="D197" s="444"/>
      <c r="E197" s="91" t="s">
        <v>3204</v>
      </c>
      <c r="F197" s="85"/>
      <c r="G197" s="50">
        <v>1500000</v>
      </c>
      <c r="H197" s="387">
        <f>H198</f>
        <v>0</v>
      </c>
      <c r="I197" s="50">
        <f t="shared" si="35"/>
        <v>1500000</v>
      </c>
    </row>
    <row r="198" spans="1:9" s="19" customFormat="1" ht="31.2">
      <c r="A198" s="49" t="str">
        <f>IF(B198&gt;0,VLOOKUP(B198,КВСР!A139:B1304,2),IF(C198&gt;0,VLOOKUP(C198,КФСР!A139:B1651,2),IF(D198&gt;0,VLOOKUP(D198,Программа!A$1:B$5063,2),IF(F198&gt;0,VLOOKUP(F198,КВР!A$1:B$5001,2),IF(E198&gt;0,VLOOKUP(E198,Направление!A$1:B$4746,2))))))</f>
        <v>Социальное обеспечение и иные выплаты населению</v>
      </c>
      <c r="B198" s="91"/>
      <c r="C198" s="84"/>
      <c r="D198" s="444"/>
      <c r="E198" s="91"/>
      <c r="F198" s="85">
        <v>300</v>
      </c>
      <c r="G198" s="50">
        <v>1500000</v>
      </c>
      <c r="H198" s="604"/>
      <c r="I198" s="50">
        <f t="shared" si="35"/>
        <v>1500000</v>
      </c>
    </row>
    <row r="199" spans="1:9" s="19" customFormat="1" ht="16.2">
      <c r="A199" s="49" t="str">
        <f>IF(B199&gt;0,VLOOKUP(B199,КВСР!A140:B1305,2),IF(C199&gt;0,VLOOKUP(C199,КФСР!A140:B1652,2),IF(D199&gt;0,VLOOKUP(D199,Программа!A$1:B$5063,2),IF(F199&gt;0,VLOOKUP(F199,КВР!A$1:B$5001,2),IF(E199&gt;0,VLOOKUP(E199,Направление!A$1:B$4746,2))))))</f>
        <v>Непрограммные расходы бюджета</v>
      </c>
      <c r="B199" s="91"/>
      <c r="C199" s="84"/>
      <c r="D199" s="85" t="s">
        <v>2852</v>
      </c>
      <c r="E199" s="91"/>
      <c r="F199" s="85"/>
      <c r="G199" s="387">
        <v>1136000</v>
      </c>
      <c r="H199" s="387">
        <f t="shared" ref="H199:H200" si="47">H200</f>
        <v>0</v>
      </c>
      <c r="I199" s="50">
        <f t="shared" si="35"/>
        <v>1136000</v>
      </c>
    </row>
    <row r="200" spans="1:9" s="19" customFormat="1" ht="46.8">
      <c r="A200" s="49" t="str">
        <f>IF(B200&gt;0,VLOOKUP(B200,КВСР!A141:B1306,2),IF(C200&gt;0,VLOOKUP(C200,КФСР!A141:B1653,2),IF(D200&gt;0,VLOOKUP(D200,Программа!A$1:B$5063,2),IF(F200&gt;0,VLOOKUP(F200,КВР!A$1:B$5001,2),IF(E200&gt;0,VLOOKUP(E200,Направление!A$1:B$4746,2))))))</f>
        <v>Исполнение судебных актов, актов других органов и должностных лиц, иных документов</v>
      </c>
      <c r="B200" s="91"/>
      <c r="C200" s="84"/>
      <c r="D200" s="85"/>
      <c r="E200" s="91">
        <v>12130</v>
      </c>
      <c r="F200" s="85"/>
      <c r="G200" s="387">
        <v>1136000</v>
      </c>
      <c r="H200" s="387">
        <f t="shared" si="47"/>
        <v>0</v>
      </c>
      <c r="I200" s="50">
        <f t="shared" si="35"/>
        <v>1136000</v>
      </c>
    </row>
    <row r="201" spans="1:9" s="19" customFormat="1" ht="31.2">
      <c r="A201" s="49" t="str">
        <f>IF(B201&gt;0,VLOOKUP(B201,КВСР!A142:B1307,2),IF(C201&gt;0,VLOOKUP(C201,КФСР!A142:B1654,2),IF(D201&gt;0,VLOOKUP(D201,Программа!A$1:B$5063,2),IF(F201&gt;0,VLOOKUP(F201,КВР!A$1:B$5001,2),IF(E201&gt;0,VLOOKUP(E201,Направление!A$1:B$4746,2))))))</f>
        <v>Социальное обеспечение и иные выплаты населению</v>
      </c>
      <c r="B201" s="91"/>
      <c r="C201" s="84"/>
      <c r="D201" s="85"/>
      <c r="E201" s="91"/>
      <c r="F201" s="85">
        <v>300</v>
      </c>
      <c r="G201" s="387">
        <v>1136000</v>
      </c>
      <c r="H201" s="382"/>
      <c r="I201" s="50">
        <f t="shared" si="35"/>
        <v>1136000</v>
      </c>
    </row>
    <row r="202" spans="1:9" s="19" customFormat="1" ht="31.2">
      <c r="A202" s="49" t="str">
        <f>IF(B202&gt;0,VLOOKUP(B202,КВСР!A143:B1308,2),IF(C202&gt;0,VLOOKUP(C202,КФСР!A143:B1655,2),IF(D202&gt;0,VLOOKUP(D202,Программа!A$1:B$5063,2),IF(F202&gt;0,VLOOKUP(F202,КВР!A$1:B$5001,2),IF(E202&gt;0,VLOOKUP(E202,Направление!A$1:B$4746,2))))))</f>
        <v>Межбюджетные трансферты  поселениям района</v>
      </c>
      <c r="B202" s="91"/>
      <c r="C202" s="84"/>
      <c r="D202" s="85" t="s">
        <v>2853</v>
      </c>
      <c r="E202" s="91"/>
      <c r="F202" s="85"/>
      <c r="G202" s="387">
        <v>6225981.4500000002</v>
      </c>
      <c r="H202" s="387">
        <f>H205+H207+H203</f>
        <v>0</v>
      </c>
      <c r="I202" s="50">
        <f t="shared" si="35"/>
        <v>6225981.4500000002</v>
      </c>
    </row>
    <row r="203" spans="1:9" s="19" customFormat="1" ht="69.75" customHeight="1">
      <c r="A203" s="49" t="str">
        <f>IF(B203&gt;0,VLOOKUP(B203,КВСР!A144:B1309,2),IF(C203&gt;0,VLOOKUP(C203,КФСР!A144:B1656,2),IF(D203&gt;0,VLOOKUP(D203,Программа!A$1:B$5063,2),IF(F203&gt;0,VLOOKUP(F203,КВР!A$1:B$5001,2),IF(E203&gt;0,VLOOKUP(E203,Направление!A$1:B$4746,2))))))</f>
        <v>Субсидии на государственную поддержку молодых семей ЯО в приобретении (строительстве) жилья за счет средств федерального бюджета</v>
      </c>
      <c r="B203" s="91"/>
      <c r="C203" s="84"/>
      <c r="D203" s="85"/>
      <c r="E203" s="91">
        <v>50200</v>
      </c>
      <c r="F203" s="85"/>
      <c r="G203" s="387">
        <v>1511365.57</v>
      </c>
      <c r="H203" s="387">
        <f>H204</f>
        <v>0</v>
      </c>
      <c r="I203" s="50">
        <f t="shared" si="35"/>
        <v>1511365.57</v>
      </c>
    </row>
    <row r="204" spans="1:9" s="19" customFormat="1" ht="16.2">
      <c r="A204" s="49" t="str">
        <f>IF(B204&gt;0,VLOOKUP(B204,КВСР!A145:B1310,2),IF(C204&gt;0,VLOOKUP(C204,КФСР!A145:B1657,2),IF(D204&gt;0,VLOOKUP(D204,Программа!A$1:B$5063,2),IF(F204&gt;0,VLOOKUP(F204,КВР!A$1:B$5001,2),IF(E204&gt;0,VLOOKUP(E204,Направление!A$1:B$4746,2))))))</f>
        <v xml:space="preserve"> Межбюджетные трансферты</v>
      </c>
      <c r="B204" s="91"/>
      <c r="C204" s="84"/>
      <c r="D204" s="85"/>
      <c r="E204" s="91"/>
      <c r="F204" s="85">
        <v>500</v>
      </c>
      <c r="G204" s="387">
        <v>1511365.57</v>
      </c>
      <c r="H204" s="604"/>
      <c r="I204" s="50">
        <f t="shared" si="35"/>
        <v>1511365.57</v>
      </c>
    </row>
    <row r="205" spans="1:9" s="19" customFormat="1" ht="100.5" customHeight="1">
      <c r="A205" s="49" t="str">
        <f>IF(B205&gt;0,VLOOKUP(B205,КВСР!A146:B1311,2),IF(C205&gt;0,VLOOKUP(C205,КФСР!A146:B1658,2),IF(D205&gt;0,VLOOKUP(D205,Программа!A$1:B$5063,2),IF(F205&gt;0,VLOOKUP(F205,КВР!A$1:B$5001,2),IF(E205&gt;0,VLOOKUP(E205,Направление!A$1:B$4746,2))))))</f>
        <v>Субсидия на реализацию подпрограммы «Государственная  поддержка граждан, проживающих на территории Ярославской области,  в сфере ипотечного жилищного кредитования»</v>
      </c>
      <c r="B205" s="91"/>
      <c r="C205" s="84"/>
      <c r="D205" s="85"/>
      <c r="E205" s="91">
        <v>71230</v>
      </c>
      <c r="F205" s="85"/>
      <c r="G205" s="387">
        <v>2914615.88</v>
      </c>
      <c r="H205" s="387">
        <f>H206</f>
        <v>0</v>
      </c>
      <c r="I205" s="50">
        <f t="shared" si="35"/>
        <v>2914615.88</v>
      </c>
    </row>
    <row r="206" spans="1:9" s="19" customFormat="1" ht="23.25" customHeight="1">
      <c r="A206" s="49" t="str">
        <f>IF(B206&gt;0,VLOOKUP(B206,КВСР!A147:B1312,2),IF(C206&gt;0,VLOOKUP(C206,КФСР!A147:B1659,2),IF(D206&gt;0,VLOOKUP(D206,Программа!A$1:B$5063,2),IF(F206&gt;0,VLOOKUP(F206,КВР!A$1:B$5001,2),IF(E206&gt;0,VLOOKUP(E206,Направление!A$1:B$4746,2))))))</f>
        <v xml:space="preserve"> Межбюджетные трансферты</v>
      </c>
      <c r="B206" s="91"/>
      <c r="C206" s="84"/>
      <c r="D206" s="85"/>
      <c r="E206" s="91"/>
      <c r="F206" s="85">
        <v>500</v>
      </c>
      <c r="G206" s="387">
        <v>2914615.88</v>
      </c>
      <c r="H206" s="382"/>
      <c r="I206" s="50">
        <f t="shared" si="35"/>
        <v>2914615.88</v>
      </c>
    </row>
    <row r="207" spans="1:9" s="19" customFormat="1" ht="81" customHeight="1">
      <c r="A207" s="49" t="str">
        <f>IF(B207&gt;0,VLOOKUP(B207,КВСР!A148:B1313,2),IF(C207&gt;0,VLOOKUP(C207,КФСР!A148:B1660,2),IF(D207&gt;0,VLOOKUP(D207,Программа!A$1:B$5063,2),IF(F207&gt;0,VLOOKUP(F207,КВР!A$1:B$5001,2),IF(E207&gt;0,VLOOKUP(E207,Направление!A$1:B$4746,2))))))</f>
        <v>Субсидия на государственную поддержку молодых семей Ярославской области в приобретении (строительстве) жилья за счет средств областного бюджета</v>
      </c>
      <c r="B207" s="91"/>
      <c r="C207" s="84"/>
      <c r="D207" s="85"/>
      <c r="E207" s="91" t="s">
        <v>3202</v>
      </c>
      <c r="F207" s="85"/>
      <c r="G207" s="387">
        <v>1800000</v>
      </c>
      <c r="H207" s="387">
        <f>H208</f>
        <v>0</v>
      </c>
      <c r="I207" s="50">
        <f t="shared" ref="I207:I208" si="48">SUM(G207:H207)</f>
        <v>1800000</v>
      </c>
    </row>
    <row r="208" spans="1:9" s="19" customFormat="1" ht="23.25" customHeight="1">
      <c r="A208" s="49" t="str">
        <f>IF(B208&gt;0,VLOOKUP(B208,КВСР!A149:B1314,2),IF(C208&gt;0,VLOOKUP(C208,КФСР!A149:B1661,2),IF(D208&gt;0,VLOOKUP(D208,Программа!A$1:B$5063,2),IF(F208&gt;0,VLOOKUP(F208,КВР!A$1:B$5001,2),IF(E208&gt;0,VLOOKUP(E208,Направление!A$1:B$4746,2))))))</f>
        <v xml:space="preserve"> Межбюджетные трансферты</v>
      </c>
      <c r="B208" s="91"/>
      <c r="C208" s="84"/>
      <c r="D208" s="85"/>
      <c r="E208" s="91"/>
      <c r="F208" s="85">
        <v>500</v>
      </c>
      <c r="G208" s="387">
        <v>1800000</v>
      </c>
      <c r="H208" s="382"/>
      <c r="I208" s="50">
        <f t="shared" si="48"/>
        <v>1800000</v>
      </c>
    </row>
    <row r="209" spans="1:9" s="19" customFormat="1" ht="31.2" hidden="1">
      <c r="A209" s="49" t="str">
        <f>IF(B209&gt;0,VLOOKUP(B209,КВСР!A150:B1315,2),IF(C209&gt;0,VLOOKUP(C209,КФСР!A150:B1662,2),IF(D209&gt;0,VLOOKUP(D209,Программа!A$1:B$5063,2),IF(F209&gt;0,VLOOKUP(F209,КВР!A$1:B$5001,2),IF(E209&gt;0,VLOOKUP(E209,Направление!A$1:B$4746,2))))))</f>
        <v>Другие вопросы в области социальной политики</v>
      </c>
      <c r="B209" s="91"/>
      <c r="C209" s="84">
        <v>1006</v>
      </c>
      <c r="D209" s="85"/>
      <c r="E209" s="91"/>
      <c r="F209" s="85"/>
      <c r="G209" s="387">
        <v>0</v>
      </c>
      <c r="H209" s="387">
        <f t="shared" ref="H209:I209" si="49">H210</f>
        <v>0</v>
      </c>
      <c r="I209" s="387">
        <f t="shared" si="49"/>
        <v>0</v>
      </c>
    </row>
    <row r="210" spans="1:9" s="19" customFormat="1" ht="16.2" hidden="1">
      <c r="A210" s="49" t="str">
        <f>IF(B210&gt;0,VLOOKUP(B210,КВСР!A151:B1316,2),IF(C210&gt;0,VLOOKUP(C210,КФСР!A151:B1663,2),IF(D210&gt;0,VLOOKUP(D210,Программа!A$1:B$5063,2),IF(F210&gt;0,VLOOKUP(F210,КВР!A$1:B$5001,2),IF(E210&gt;0,VLOOKUP(E210,Направление!A$1:B$4746,2))))))</f>
        <v>Непрограммные расходы бюджета</v>
      </c>
      <c r="B210" s="91"/>
      <c r="C210" s="84"/>
      <c r="D210" s="85" t="s">
        <v>2852</v>
      </c>
      <c r="E210" s="91"/>
      <c r="F210" s="85"/>
      <c r="G210" s="387">
        <v>0</v>
      </c>
      <c r="H210" s="387">
        <f t="shared" ref="H210:I210" si="50">H211</f>
        <v>0</v>
      </c>
      <c r="I210" s="387">
        <f t="shared" si="50"/>
        <v>0</v>
      </c>
    </row>
    <row r="211" spans="1:9" s="19" customFormat="1" ht="31.2" hidden="1">
      <c r="A211" s="49" t="str">
        <f>IF(B211&gt;0,VLOOKUP(B211,КВСР!A152:B1317,2),IF(C211&gt;0,VLOOKUP(C211,КФСР!A152:B1664,2),IF(D211&gt;0,VLOOKUP(D211,Программа!A$1:B$5063,2),IF(F211&gt;0,VLOOKUP(F211,КВР!A$1:B$5001,2),IF(E211&gt;0,VLOOKUP(E211,Направление!A$1:B$4746,2))))))</f>
        <v>Обеспечение деятельности общественных организаций</v>
      </c>
      <c r="B211" s="91"/>
      <c r="C211" s="84"/>
      <c r="D211" s="85"/>
      <c r="E211" s="91">
        <v>29356</v>
      </c>
      <c r="F211" s="85"/>
      <c r="G211" s="387">
        <v>0</v>
      </c>
      <c r="H211" s="387">
        <f t="shared" ref="H211:I211" si="51">H212</f>
        <v>0</v>
      </c>
      <c r="I211" s="387">
        <f t="shared" si="51"/>
        <v>0</v>
      </c>
    </row>
    <row r="212" spans="1:9" s="19" customFormat="1" ht="62.4" hidden="1">
      <c r="A212" s="49" t="str">
        <f>IF(B212&gt;0,VLOOKUP(B212,КВСР!A153:B1318,2),IF(C212&gt;0,VLOOKUP(C212,КФСР!A153:B1665,2),IF(D212&gt;0,VLOOKUP(D212,Программа!A$1:B$5063,2),IF(F212&gt;0,VLOOKUP(F212,КВР!A$1:B$5001,2),IF(E212&gt;0,VLOOKUP(E212,Направление!A$1:B$4746,2))))))</f>
        <v>Предоставление субсидий бюджетным, автономным учреждениям и иным некоммерческим организациям</v>
      </c>
      <c r="B212" s="91"/>
      <c r="C212" s="84"/>
      <c r="D212" s="85"/>
      <c r="E212" s="91"/>
      <c r="F212" s="85">
        <v>600</v>
      </c>
      <c r="G212" s="387">
        <v>0</v>
      </c>
      <c r="H212" s="382"/>
      <c r="I212" s="50">
        <f>G212+H212</f>
        <v>0</v>
      </c>
    </row>
    <row r="213" spans="1:9" s="21" customFormat="1" ht="31.2">
      <c r="A213" s="49" t="str">
        <f>IF(B213&gt;0,VLOOKUP(B213,КВСР!A154:B1319,2),IF(C213&gt;0,VLOOKUP(C213,КФСР!A154:B1666,2),IF(D213&gt;0,VLOOKUP(D213,Программа!A$1:B$5063,2),IF(F213&gt;0,VLOOKUP(F213,КВР!A$1:B$5001,2),IF(E213&gt;0,VLOOKUP(E213,Направление!A$1:B$4746,2))))))</f>
        <v>Департамент муниципального имущества Администрации ТМР</v>
      </c>
      <c r="B213" s="87">
        <v>952</v>
      </c>
      <c r="C213" s="88"/>
      <c r="D213" s="77"/>
      <c r="E213" s="90"/>
      <c r="F213" s="89"/>
      <c r="G213" s="55">
        <v>13844624</v>
      </c>
      <c r="H213" s="55">
        <f>H214+H240+H246</f>
        <v>25000</v>
      </c>
      <c r="I213" s="86">
        <f t="shared" si="35"/>
        <v>13869624</v>
      </c>
    </row>
    <row r="214" spans="1:9" s="21" customFormat="1" ht="31.2">
      <c r="A214" s="49" t="str">
        <f>IF(B214&gt;0,VLOOKUP(B214,КВСР!A155:B1320,2),IF(C214&gt;0,VLOOKUP(C214,КФСР!A155:B1667,2),IF(D214&gt;0,VLOOKUP(D214,Программа!A$1:B$5063,2),IF(F214&gt;0,VLOOKUP(F214,КВР!A$1:B$5001,2),IF(E214&gt;0,VLOOKUP(E214,Направление!A$1:B$4746,2))))))</f>
        <v>Другие общегосударственные вопросы</v>
      </c>
      <c r="B214" s="91"/>
      <c r="C214" s="84">
        <v>113</v>
      </c>
      <c r="D214" s="444"/>
      <c r="E214" s="91"/>
      <c r="F214" s="85"/>
      <c r="G214" s="83">
        <v>12734624</v>
      </c>
      <c r="H214" s="83">
        <f t="shared" ref="H214" si="52">H222+H215</f>
        <v>25000</v>
      </c>
      <c r="I214" s="50">
        <f t="shared" si="35"/>
        <v>12759624</v>
      </c>
    </row>
    <row r="215" spans="1:9" s="21" customFormat="1" ht="63.75" customHeight="1">
      <c r="A215" s="49" t="str">
        <f>IF(B215&gt;0,VLOOKUP(B215,КВСР!A156:B1321,2),IF(C215&gt;0,VLOOKUP(C215,КФСР!A156:B1668,2),IF(D215&gt;0,VLOOKUP(D215,Программа!A$1:B$5063,2),IF(F215&gt;0,VLOOKUP(F215,КВР!A$1:B$5001,2),IF(E215&gt;0,VLOOKUP(E215,Направление!A$1:B$4746,2))))))</f>
        <v>Муниципальная программа "Информатизация управленческой деятельности Администрации Тутаевского муниципального района"</v>
      </c>
      <c r="B215" s="91"/>
      <c r="C215" s="84"/>
      <c r="D215" s="444" t="s">
        <v>2882</v>
      </c>
      <c r="E215" s="91"/>
      <c r="F215" s="85"/>
      <c r="G215" s="83">
        <v>510000</v>
      </c>
      <c r="H215" s="83">
        <f t="shared" ref="H215" si="53">H216+H219</f>
        <v>0</v>
      </c>
      <c r="I215" s="50">
        <f t="shared" si="35"/>
        <v>510000</v>
      </c>
    </row>
    <row r="216" spans="1:9" s="21" customFormat="1" ht="46.8">
      <c r="A216" s="49" t="str">
        <f>IF(B216&gt;0,VLOOKUP(B216,КВСР!A157:B1322,2),IF(C216&gt;0,VLOOKUP(C216,КФСР!A157:B1669,2),IF(D216&gt;0,VLOOKUP(D216,Программа!A$1:B$5063,2),IF(F216&gt;0,VLOOKUP(F216,КВР!A$1:B$5001,2),IF(E216&gt;0,VLOOKUP(E216,Направление!A$1:B$4746,2))))))</f>
        <v>Обеспечение бесперебойного функционирования  программного обеспечения</v>
      </c>
      <c r="B216" s="91"/>
      <c r="C216" s="84"/>
      <c r="D216" s="444" t="s">
        <v>2883</v>
      </c>
      <c r="E216" s="91"/>
      <c r="F216" s="85"/>
      <c r="G216" s="83">
        <v>130000</v>
      </c>
      <c r="H216" s="83">
        <f t="shared" ref="H216:H217" si="54">H217</f>
        <v>0</v>
      </c>
      <c r="I216" s="50">
        <f t="shared" si="35"/>
        <v>130000</v>
      </c>
    </row>
    <row r="217" spans="1:9" s="21" customFormat="1" ht="31.2">
      <c r="A217" s="49" t="str">
        <f>IF(B217&gt;0,VLOOKUP(B217,КВСР!A158:B1323,2),IF(C217&gt;0,VLOOKUP(C217,КФСР!A158:B1670,2),IF(D217&gt;0,VLOOKUP(D217,Программа!A$1:B$5063,2),IF(F217&gt;0,VLOOKUP(F217,КВР!A$1:B$5001,2),IF(E217&gt;0,VLOOKUP(E217,Направление!A$1:B$4746,2))))))</f>
        <v>Расходы на проведение мероприятий по информатизации</v>
      </c>
      <c r="B217" s="91"/>
      <c r="C217" s="84"/>
      <c r="D217" s="444"/>
      <c r="E217" s="91">
        <v>12210</v>
      </c>
      <c r="F217" s="85"/>
      <c r="G217" s="83">
        <v>130000</v>
      </c>
      <c r="H217" s="83">
        <f t="shared" si="54"/>
        <v>0</v>
      </c>
      <c r="I217" s="50">
        <f t="shared" si="35"/>
        <v>130000</v>
      </c>
    </row>
    <row r="218" spans="1:9" s="21" customFormat="1" ht="31.2">
      <c r="A218" s="49" t="str">
        <f>IF(B218&gt;0,VLOOKUP(B218,КВСР!A159:B1324,2),IF(C218&gt;0,VLOOKUP(C218,КФСР!A159:B1671,2),IF(D218&gt;0,VLOOKUP(D218,Программа!A$1:B$5063,2),IF(F218&gt;0,VLOOKUP(F218,КВР!A$1:B$5001,2),IF(E218&gt;0,VLOOKUP(E218,Направление!A$1:B$4746,2))))))</f>
        <v>Закупка товаров, работ и услуг для государственных нужд</v>
      </c>
      <c r="B218" s="91"/>
      <c r="C218" s="84"/>
      <c r="D218" s="444"/>
      <c r="E218" s="91"/>
      <c r="F218" s="85">
        <v>200</v>
      </c>
      <c r="G218" s="393">
        <v>130000</v>
      </c>
      <c r="H218" s="390"/>
      <c r="I218" s="50">
        <f t="shared" si="35"/>
        <v>130000</v>
      </c>
    </row>
    <row r="219" spans="1:9" s="21" customFormat="1" ht="64.5" customHeight="1">
      <c r="A219" s="49" t="str">
        <f>IF(B219&gt;0,VLOOKUP(B219,КВСР!A160:B1325,2),IF(C219&gt;0,VLOOKUP(C219,КФСР!A160:B1672,2),IF(D219&gt;0,VLOOKUP(D219,Программа!A$1:B$5063,2),IF(F219&gt;0,VLOOKUP(F219,КВР!A$1:B$5001,2),IF(E219&gt;0,VLOOKUP(E219,Направление!A$1:B$4746,2))))))</f>
        <v>Закупка компьютерного оборудования  и оргтехники для бесперебойного обеспечения деятельности органов местного самоуправления</v>
      </c>
      <c r="B219" s="91"/>
      <c r="C219" s="84"/>
      <c r="D219" s="444" t="s">
        <v>2891</v>
      </c>
      <c r="E219" s="91"/>
      <c r="F219" s="85"/>
      <c r="G219" s="83">
        <v>380000</v>
      </c>
      <c r="H219" s="83">
        <f t="shared" ref="H219:H220" si="55">H220</f>
        <v>0</v>
      </c>
      <c r="I219" s="50">
        <f t="shared" si="35"/>
        <v>380000</v>
      </c>
    </row>
    <row r="220" spans="1:9" s="21" customFormat="1" ht="31.2">
      <c r="A220" s="49" t="str">
        <f>IF(B220&gt;0,VLOOKUP(B220,КВСР!A161:B1326,2),IF(C220&gt;0,VLOOKUP(C220,КФСР!A161:B1673,2),IF(D220&gt;0,VLOOKUP(D220,Программа!A$1:B$5063,2),IF(F220&gt;0,VLOOKUP(F220,КВР!A$1:B$5001,2),IF(E220&gt;0,VLOOKUP(E220,Направление!A$1:B$4746,2))))))</f>
        <v>Расходы на проведение мероприятий по информатизации</v>
      </c>
      <c r="B220" s="91"/>
      <c r="C220" s="84"/>
      <c r="D220" s="444"/>
      <c r="E220" s="91">
        <v>12210</v>
      </c>
      <c r="F220" s="85"/>
      <c r="G220" s="83">
        <v>380000</v>
      </c>
      <c r="H220" s="83">
        <f t="shared" si="55"/>
        <v>0</v>
      </c>
      <c r="I220" s="50">
        <f t="shared" si="35"/>
        <v>380000</v>
      </c>
    </row>
    <row r="221" spans="1:9" s="21" customFormat="1" ht="31.2">
      <c r="A221" s="49" t="str">
        <f>IF(B221&gt;0,VLOOKUP(B221,КВСР!A162:B1327,2),IF(C221&gt;0,VLOOKUP(C221,КФСР!A162:B1674,2),IF(D221&gt;0,VLOOKUP(D221,Программа!A$1:B$5063,2),IF(F221&gt;0,VLOOKUP(F221,КВР!A$1:B$5001,2),IF(E221&gt;0,VLOOKUP(E221,Направление!A$1:B$4746,2))))))</f>
        <v>Закупка товаров, работ и услуг для государственных нужд</v>
      </c>
      <c r="B221" s="91"/>
      <c r="C221" s="84"/>
      <c r="D221" s="444"/>
      <c r="E221" s="91"/>
      <c r="F221" s="85">
        <v>200</v>
      </c>
      <c r="G221" s="393">
        <v>380000</v>
      </c>
      <c r="H221" s="390"/>
      <c r="I221" s="50">
        <f t="shared" si="35"/>
        <v>380000</v>
      </c>
    </row>
    <row r="222" spans="1:9" s="21" customFormat="1">
      <c r="A222" s="49" t="str">
        <f>IF(B222&gt;0,VLOOKUP(B222,КВСР!A163:B1328,2),IF(C222&gt;0,VLOOKUP(C222,КФСР!A163:B1675,2),IF(D222&gt;0,VLOOKUP(D222,Программа!A$1:B$5063,2),IF(F222&gt;0,VLOOKUP(F222,КВР!A$1:B$5001,2),IF(E222&gt;0,VLOOKUP(E222,Направление!A$1:B$4746,2))))))</f>
        <v>Непрограммные расходы бюджета</v>
      </c>
      <c r="B222" s="91"/>
      <c r="C222" s="84"/>
      <c r="D222" s="444" t="s">
        <v>2852</v>
      </c>
      <c r="E222" s="91"/>
      <c r="F222" s="85"/>
      <c r="G222" s="83">
        <v>12224624</v>
      </c>
      <c r="H222" s="83">
        <f>H223+H227+H229+H233+H1376+H236+H231+H238</f>
        <v>25000</v>
      </c>
      <c r="I222" s="83">
        <f>I223+I227+I229+I233+I1376+I236+I231+I238</f>
        <v>12249624</v>
      </c>
    </row>
    <row r="223" spans="1:9" s="21" customFormat="1">
      <c r="A223" s="49" t="str">
        <f>IF(B223&gt;0,VLOOKUP(B223,КВСР!A164:B1329,2),IF(C223&gt;0,VLOOKUP(C223,КФСР!A164:B1676,2),IF(D223&gt;0,VLOOKUP(D223,Программа!A$1:B$5063,2),IF(F223&gt;0,VLOOKUP(F223,КВР!A$1:B$5001,2),IF(E223&gt;0,VLOOKUP(E223,Направление!A$1:B$4746,2))))))</f>
        <v>Содержание центрального аппарата</v>
      </c>
      <c r="B223" s="91"/>
      <c r="C223" s="84"/>
      <c r="D223" s="444"/>
      <c r="E223" s="91">
        <v>12010</v>
      </c>
      <c r="F223" s="85"/>
      <c r="G223" s="83">
        <v>7937681</v>
      </c>
      <c r="H223" s="83">
        <f t="shared" ref="H223" si="56">H224+H225+H226</f>
        <v>0</v>
      </c>
      <c r="I223" s="50">
        <f t="shared" si="35"/>
        <v>7937681</v>
      </c>
    </row>
    <row r="224" spans="1:9" s="21" customFormat="1" ht="101.25" customHeight="1">
      <c r="A224" s="49" t="str">
        <f>IF(B224&gt;0,VLOOKUP(B224,КВСР!A165:B1330,2),IF(C224&gt;0,VLOOKUP(C224,КФСР!A165:B1677,2),IF(D224&gt;0,VLOOKUP(D224,Программа!A$1:B$5063,2),IF(F224&gt;0,VLOOKUP(F224,КВР!A$1:B$5001,2),IF(E224&gt;0,VLOOKUP(E224,Направление!A$1:B$4746,2))))))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224" s="91"/>
      <c r="C224" s="84"/>
      <c r="D224" s="89"/>
      <c r="E224" s="90"/>
      <c r="F224" s="85">
        <v>100</v>
      </c>
      <c r="G224" s="387">
        <v>7100057</v>
      </c>
      <c r="H224" s="382"/>
      <c r="I224" s="50">
        <f t="shared" si="35"/>
        <v>7100057</v>
      </c>
    </row>
    <row r="225" spans="1:9" s="21" customFormat="1" ht="31.2">
      <c r="A225" s="49" t="str">
        <f>IF(B225&gt;0,VLOOKUP(B225,КВСР!A166:B1331,2),IF(C225&gt;0,VLOOKUP(C225,КФСР!A166:B1678,2),IF(D225&gt;0,VLOOKUP(D225,Программа!A$1:B$5063,2),IF(F225&gt;0,VLOOKUP(F225,КВР!A$1:B$5001,2),IF(E225&gt;0,VLOOKUP(E225,Направление!A$1:B$4746,2))))))</f>
        <v>Закупка товаров, работ и услуг для государственных нужд</v>
      </c>
      <c r="B225" s="91"/>
      <c r="C225" s="84"/>
      <c r="D225" s="89"/>
      <c r="E225" s="90"/>
      <c r="F225" s="85">
        <v>200</v>
      </c>
      <c r="G225" s="387">
        <v>737624</v>
      </c>
      <c r="H225" s="382"/>
      <c r="I225" s="50">
        <f t="shared" si="35"/>
        <v>737624</v>
      </c>
    </row>
    <row r="226" spans="1:9" s="21" customFormat="1">
      <c r="A226" s="49" t="str">
        <f>IF(B226&gt;0,VLOOKUP(B226,КВСР!A167:B1332,2),IF(C226&gt;0,VLOOKUP(C226,КФСР!A167:B1679,2),IF(D226&gt;0,VLOOKUP(D226,Программа!A$1:B$5063,2),IF(F226&gt;0,VLOOKUP(F226,КВР!A$1:B$5001,2),IF(E226&gt;0,VLOOKUP(E226,Направление!A$1:B$4746,2))))))</f>
        <v>Иные бюджетные ассигнования</v>
      </c>
      <c r="B226" s="91"/>
      <c r="C226" s="84"/>
      <c r="D226" s="89"/>
      <c r="E226" s="90"/>
      <c r="F226" s="85">
        <v>800</v>
      </c>
      <c r="G226" s="387">
        <v>100000</v>
      </c>
      <c r="H226" s="382"/>
      <c r="I226" s="50">
        <f t="shared" si="35"/>
        <v>100000</v>
      </c>
    </row>
    <row r="227" spans="1:9" s="21" customFormat="1" ht="31.2">
      <c r="A227" s="49" t="str">
        <f>IF(B227&gt;0,VLOOKUP(B227,КВСР!A168:B1333,2),IF(C227&gt;0,VLOOKUP(C227,КФСР!A168:B1680,2),IF(D227&gt;0,VLOOKUP(D227,Программа!A$1:B$5063,2),IF(F227&gt;0,VLOOKUP(F227,КВР!A$1:B$5001,2),IF(E227&gt;0,VLOOKUP(E227,Направление!A$1:B$4746,2))))))</f>
        <v>Выполнение других обязательств органов местного самоуправления</v>
      </c>
      <c r="B227" s="91"/>
      <c r="C227" s="84"/>
      <c r="D227" s="77"/>
      <c r="E227" s="90">
        <v>12080</v>
      </c>
      <c r="F227" s="85"/>
      <c r="G227" s="50">
        <v>700000</v>
      </c>
      <c r="H227" s="50">
        <f t="shared" ref="H227" si="57">H228</f>
        <v>0</v>
      </c>
      <c r="I227" s="50">
        <f t="shared" si="35"/>
        <v>700000</v>
      </c>
    </row>
    <row r="228" spans="1:9" s="21" customFormat="1" ht="31.2">
      <c r="A228" s="49" t="str">
        <f>IF(B228&gt;0,VLOOKUP(B228,КВСР!A169:B1334,2),IF(C228&gt;0,VLOOKUP(C228,КФСР!A169:B1681,2),IF(D228&gt;0,VLOOKUP(D228,Программа!A$1:B$5063,2),IF(F228&gt;0,VLOOKUP(F228,КВР!A$1:B$5001,2),IF(E228&gt;0,VLOOKUP(E228,Направление!A$1:B$4746,2))))))</f>
        <v>Закупка товаров, работ и услуг для государственных нужд</v>
      </c>
      <c r="B228" s="91"/>
      <c r="C228" s="84"/>
      <c r="D228" s="89"/>
      <c r="E228" s="90"/>
      <c r="F228" s="85">
        <v>200</v>
      </c>
      <c r="G228" s="387">
        <v>700000</v>
      </c>
      <c r="H228" s="382"/>
      <c r="I228" s="50">
        <f t="shared" si="35"/>
        <v>700000</v>
      </c>
    </row>
    <row r="229" spans="1:9" s="21" customFormat="1" ht="46.8">
      <c r="A229" s="49" t="str">
        <f>IF(B229&gt;0,VLOOKUP(B229,КВСР!A170:B1335,2),IF(C229&gt;0,VLOOKUP(C229,КФСР!A170:B1682,2),IF(D229&gt;0,VLOOKUP(D229,Программа!A$1:B$5063,2),IF(F229&gt;0,VLOOKUP(F229,КВР!A$1:B$5001,2),IF(E229&gt;0,VLOOKUP(E229,Направление!A$1:B$4746,2))))))</f>
        <v>Оценка недвижимости, признание прав и регулирование отношений по муниципальной собственности</v>
      </c>
      <c r="B229" s="91"/>
      <c r="C229" s="84"/>
      <c r="D229" s="77"/>
      <c r="E229" s="90">
        <v>12090</v>
      </c>
      <c r="F229" s="85"/>
      <c r="G229" s="50">
        <v>250000</v>
      </c>
      <c r="H229" s="50">
        <f t="shared" ref="H229" si="58">H230</f>
        <v>0</v>
      </c>
      <c r="I229" s="50">
        <f t="shared" si="35"/>
        <v>250000</v>
      </c>
    </row>
    <row r="230" spans="1:9" s="21" customFormat="1" ht="31.2">
      <c r="A230" s="49" t="str">
        <f>IF(B230&gt;0,VLOOKUP(B230,КВСР!A171:B1336,2),IF(C230&gt;0,VLOOKUP(C230,КФСР!A171:B1683,2),IF(D230&gt;0,VLOOKUP(D230,Программа!A$1:B$5063,2),IF(F230&gt;0,VLOOKUP(F230,КВР!A$1:B$5001,2),IF(E230&gt;0,VLOOKUP(E230,Направление!A$1:B$4746,2))))))</f>
        <v>Закупка товаров, работ и услуг для государственных нужд</v>
      </c>
      <c r="B230" s="91"/>
      <c r="C230" s="84"/>
      <c r="D230" s="89"/>
      <c r="E230" s="90"/>
      <c r="F230" s="85">
        <v>200</v>
      </c>
      <c r="G230" s="387">
        <v>250000</v>
      </c>
      <c r="H230" s="382"/>
      <c r="I230" s="50">
        <f t="shared" si="35"/>
        <v>250000</v>
      </c>
    </row>
    <row r="231" spans="1:9" s="21" customFormat="1" ht="46.8">
      <c r="A231" s="49" t="str">
        <f>IF(B231&gt;0,VLOOKUP(B231,КВСР!A172:B1337,2),IF(C231&gt;0,VLOOKUP(C231,КФСР!A172:B1684,2),IF(D231&gt;0,VLOOKUP(D231,Программа!A$1:B$5063,2),IF(F231&gt;0,VLOOKUP(F231,КВР!A$1:B$5001,2),IF(E231&gt;0,VLOOKUP(E231,Направление!A$1:B$4746,2))))))</f>
        <v>Исполнение судебных актов, актов других органов и должностных лиц, иных документов</v>
      </c>
      <c r="B231" s="91"/>
      <c r="C231" s="84"/>
      <c r="D231" s="89"/>
      <c r="E231" s="90">
        <v>12130</v>
      </c>
      <c r="F231" s="85"/>
      <c r="G231" s="387">
        <v>1975085</v>
      </c>
      <c r="H231" s="387">
        <f t="shared" ref="H231:I231" si="59">H232</f>
        <v>0</v>
      </c>
      <c r="I231" s="387">
        <f t="shared" si="59"/>
        <v>1975085</v>
      </c>
    </row>
    <row r="232" spans="1:9" s="21" customFormat="1">
      <c r="A232" s="49" t="str">
        <f>IF(B232&gt;0,VLOOKUP(B232,КВСР!A173:B1338,2),IF(C232&gt;0,VLOOKUP(C232,КФСР!A173:B1685,2),IF(D232&gt;0,VLOOKUP(D232,Программа!A$1:B$5063,2),IF(F232&gt;0,VLOOKUP(F232,КВР!A$1:B$5001,2),IF(E232&gt;0,VLOOKUP(E232,Направление!A$1:B$4746,2))))))</f>
        <v>Иные бюджетные ассигнования</v>
      </c>
      <c r="B232" s="91"/>
      <c r="C232" s="84"/>
      <c r="D232" s="89"/>
      <c r="E232" s="90"/>
      <c r="F232" s="85">
        <v>800</v>
      </c>
      <c r="G232" s="387">
        <v>1975085</v>
      </c>
      <c r="H232" s="382"/>
      <c r="I232" s="50">
        <f>G232+H232</f>
        <v>1975085</v>
      </c>
    </row>
    <row r="233" spans="1:9" s="21" customFormat="1" ht="46.8">
      <c r="A233" s="49" t="str">
        <f>IF(B233&gt;0,VLOOKUP(B233,КВСР!A174:B1339,2),IF(C233&gt;0,VLOOKUP(C233,КФСР!A174:B1686,2),IF(D233&gt;0,VLOOKUP(D233,Программа!A$1:B$5063,2),IF(F233&gt;0,VLOOKUP(F233,КВР!A$1:B$5001,2),IF(E233&gt;0,VLOOKUP(E233,Направление!A$1:B$4746,2))))))</f>
        <v>Содержание органов местного самоуправления за счет средств поселений</v>
      </c>
      <c r="B233" s="91"/>
      <c r="C233" s="84"/>
      <c r="D233" s="89"/>
      <c r="E233" s="90">
        <v>29016</v>
      </c>
      <c r="F233" s="85"/>
      <c r="G233" s="387">
        <v>1207978</v>
      </c>
      <c r="H233" s="387">
        <f t="shared" ref="H233" si="60">H234+H235</f>
        <v>0</v>
      </c>
      <c r="I233" s="50">
        <f t="shared" si="35"/>
        <v>1207978</v>
      </c>
    </row>
    <row r="234" spans="1:9" s="21" customFormat="1" ht="96.75" customHeight="1">
      <c r="A234" s="49" t="str">
        <f>IF(B234&gt;0,VLOOKUP(B234,КВСР!A175:B1340,2),IF(C234&gt;0,VLOOKUP(C234,КФСР!A175:B1687,2),IF(D234&gt;0,VLOOKUP(D234,Программа!A$1:B$5063,2),IF(F234&gt;0,VLOOKUP(F234,КВР!A$1:B$5001,2),IF(E234&gt;0,VLOOKUP(E234,Направление!A$1:B$4746,2))))))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234" s="91"/>
      <c r="C234" s="84"/>
      <c r="D234" s="89"/>
      <c r="E234" s="90"/>
      <c r="F234" s="85">
        <v>100</v>
      </c>
      <c r="G234" s="387">
        <v>1098162</v>
      </c>
      <c r="H234" s="382"/>
      <c r="I234" s="50">
        <f t="shared" si="35"/>
        <v>1098162</v>
      </c>
    </row>
    <row r="235" spans="1:9" s="21" customFormat="1" ht="31.2">
      <c r="A235" s="49" t="str">
        <f>IF(B235&gt;0,VLOOKUP(B235,КВСР!A176:B1341,2),IF(C235&gt;0,VLOOKUP(C235,КФСР!A176:B1688,2),IF(D235&gt;0,VLOOKUP(D235,Программа!A$1:B$5063,2),IF(F235&gt;0,VLOOKUP(F235,КВР!A$1:B$5001,2),IF(E235&gt;0,VLOOKUP(E235,Направление!A$1:B$4746,2))))))</f>
        <v>Закупка товаров, работ и услуг для государственных нужд</v>
      </c>
      <c r="B235" s="91"/>
      <c r="C235" s="84"/>
      <c r="D235" s="89"/>
      <c r="E235" s="90"/>
      <c r="F235" s="85">
        <v>200</v>
      </c>
      <c r="G235" s="387">
        <v>109816</v>
      </c>
      <c r="H235" s="382"/>
      <c r="I235" s="50">
        <f t="shared" si="35"/>
        <v>109816</v>
      </c>
    </row>
    <row r="236" spans="1:9" s="21" customFormat="1" ht="93.6">
      <c r="A236" s="49" t="str">
        <f>IF(B236&gt;0,VLOOKUP(B236,КВСР!A177:B1342,2),IF(C236&gt;0,VLOOKUP(C236,КФСР!A177:B1689,2),IF(D236&gt;0,VLOOKUP(D236,Программа!A$1:B$5063,2),IF(F236&gt;0,VLOOKUP(F236,КВР!A$1:B$5001,2),IF(E236&gt;0,VLOOKUP(E236,Направление!A$1:B$4746,2))))))</f>
        <v xml:space="preserve">Обеспечение мероприятий по управлению, распоряжению имуществом, оценка недвижимости, признанию прав и регулированию отношений по муниципальной собственности поселения </v>
      </c>
      <c r="B236" s="91"/>
      <c r="C236" s="84"/>
      <c r="D236" s="77"/>
      <c r="E236" s="90">
        <v>29026</v>
      </c>
      <c r="F236" s="85"/>
      <c r="G236" s="50">
        <v>100000</v>
      </c>
      <c r="H236" s="387">
        <f>H237</f>
        <v>0</v>
      </c>
      <c r="I236" s="50">
        <f t="shared" si="35"/>
        <v>100000</v>
      </c>
    </row>
    <row r="237" spans="1:9" s="21" customFormat="1" ht="31.2">
      <c r="A237" s="49" t="str">
        <f>IF(B237&gt;0,VLOOKUP(B237,КВСР!A178:B1343,2),IF(C237&gt;0,VLOOKUP(C237,КФСР!A178:B1690,2),IF(D237&gt;0,VLOOKUP(D237,Программа!A$1:B$5063,2),IF(F237&gt;0,VLOOKUP(F237,КВР!A$1:B$5001,2),IF(E237&gt;0,VLOOKUP(E237,Направление!A$1:B$4746,2))))))</f>
        <v>Закупка товаров, работ и услуг для государственных нужд</v>
      </c>
      <c r="B237" s="91"/>
      <c r="C237" s="84"/>
      <c r="D237" s="89"/>
      <c r="E237" s="90"/>
      <c r="F237" s="85">
        <v>200</v>
      </c>
      <c r="G237" s="387">
        <v>100000</v>
      </c>
      <c r="H237" s="382"/>
      <c r="I237" s="50">
        <f t="shared" si="35"/>
        <v>100000</v>
      </c>
    </row>
    <row r="238" spans="1:9" s="21" customFormat="1" ht="62.4">
      <c r="A238" s="49" t="str">
        <f>IF(B238&gt;0,VLOOKUP(B238,КВСР!A179:B1344,2),IF(C238&gt;0,VLOOKUP(C238,КФСР!A179:B1691,2),IF(D238&gt;0,VLOOKUP(D238,Программа!A$1:B$5063,2),IF(F238&gt;0,VLOOKUP(F238,КВР!A$1:B$5001,2),IF(E238&gt;0,VLOOKUP(E238,Направление!A$1:B$4746,2))))))</f>
        <v>Обеспечение других обязательств в рамках передаваемых полномочий по содержанию имущества казны городского поселения Тутаев</v>
      </c>
      <c r="B238" s="91"/>
      <c r="C238" s="84"/>
      <c r="D238" s="89"/>
      <c r="E238" s="90">
        <v>29556</v>
      </c>
      <c r="F238" s="89"/>
      <c r="G238" s="387">
        <v>53880</v>
      </c>
      <c r="H238" s="387">
        <f t="shared" ref="H238:I238" si="61">H239</f>
        <v>25000</v>
      </c>
      <c r="I238" s="387">
        <f t="shared" si="61"/>
        <v>78880</v>
      </c>
    </row>
    <row r="239" spans="1:9" s="21" customFormat="1" ht="31.2">
      <c r="A239" s="49" t="str">
        <f>IF(B239&gt;0,VLOOKUP(B239,КВСР!A180:B1345,2),IF(C239&gt;0,VLOOKUP(C239,КФСР!A180:B1692,2),IF(D239&gt;0,VLOOKUP(D239,Программа!A$1:B$5063,2),IF(F239&gt;0,VLOOKUP(F239,КВР!A$1:B$5001,2),IF(E239&gt;0,VLOOKUP(E239,Направление!A$1:B$4746,2))))))</f>
        <v>Закупка товаров, работ и услуг для государственных нужд</v>
      </c>
      <c r="B239" s="91"/>
      <c r="C239" s="84"/>
      <c r="D239" s="89"/>
      <c r="E239" s="91"/>
      <c r="F239" s="85">
        <v>200</v>
      </c>
      <c r="G239" s="387">
        <v>53880</v>
      </c>
      <c r="H239" s="382">
        <v>25000</v>
      </c>
      <c r="I239" s="50">
        <f>G239+H239</f>
        <v>78880</v>
      </c>
    </row>
    <row r="240" spans="1:9" s="21" customFormat="1" ht="31.2">
      <c r="A240" s="49" t="str">
        <f>IF(B240&gt;0,VLOOKUP(B240,КВСР!A179:B1344,2),IF(C240&gt;0,VLOOKUP(C240,КФСР!A179:B1691,2),IF(D240&gt;0,VLOOKUP(D240,Программа!A$1:B$5063,2),IF(F240&gt;0,VLOOKUP(F240,КВР!A$1:B$5001,2),IF(E240&gt;0,VLOOKUP(E240,Направление!A$1:B$4746,2))))))</f>
        <v>Другие вопросы в области национальной экономики</v>
      </c>
      <c r="B240" s="91"/>
      <c r="C240" s="84">
        <v>412</v>
      </c>
      <c r="D240" s="444"/>
      <c r="E240" s="91"/>
      <c r="F240" s="85"/>
      <c r="G240" s="50">
        <v>760000</v>
      </c>
      <c r="H240" s="50">
        <f>H241</f>
        <v>0</v>
      </c>
      <c r="I240" s="50">
        <f t="shared" si="35"/>
        <v>760000</v>
      </c>
    </row>
    <row r="241" spans="1:9" s="21" customFormat="1">
      <c r="A241" s="49" t="str">
        <f>IF(B241&gt;0,VLOOKUP(B241,КВСР!A180:B1345,2),IF(C241&gt;0,VLOOKUP(C241,КФСР!A180:B1692,2),IF(D241&gt;0,VLOOKUP(D241,Программа!A$1:B$5063,2),IF(F241&gt;0,VLOOKUP(F241,КВР!A$1:B$5001,2),IF(E241&gt;0,VLOOKUP(E241,Направление!A$1:B$4746,2))))))</f>
        <v>Непрограммные расходы бюджета</v>
      </c>
      <c r="B241" s="91"/>
      <c r="C241" s="84"/>
      <c r="D241" s="444" t="s">
        <v>2852</v>
      </c>
      <c r="E241" s="91"/>
      <c r="F241" s="85"/>
      <c r="G241" s="50">
        <v>760000</v>
      </c>
      <c r="H241" s="50">
        <f>H242+H244</f>
        <v>0</v>
      </c>
      <c r="I241" s="50">
        <f t="shared" si="35"/>
        <v>760000</v>
      </c>
    </row>
    <row r="242" spans="1:9" s="21" customFormat="1" ht="31.2">
      <c r="A242" s="49" t="str">
        <f>IF(B242&gt;0,VLOOKUP(B242,КВСР!A181:B1346,2),IF(C242&gt;0,VLOOKUP(C242,КФСР!A181:B1693,2),IF(D242&gt;0,VLOOKUP(D242,Программа!A$1:B$5063,2),IF(F242&gt;0,VLOOKUP(F242,КВР!A$1:B$5001,2),IF(E242&gt;0,VLOOKUP(E242,Направление!A$1:B$4746,2))))))</f>
        <v>Мероприятия по землеустройству и землепользованию</v>
      </c>
      <c r="B242" s="91"/>
      <c r="C242" s="84"/>
      <c r="D242" s="444"/>
      <c r="E242" s="91">
        <v>10510</v>
      </c>
      <c r="F242" s="85"/>
      <c r="G242" s="50">
        <v>510000</v>
      </c>
      <c r="H242" s="50">
        <f t="shared" ref="H242" si="62">H243</f>
        <v>0</v>
      </c>
      <c r="I242" s="50">
        <f t="shared" si="35"/>
        <v>510000</v>
      </c>
    </row>
    <row r="243" spans="1:9" s="21" customFormat="1" ht="31.2">
      <c r="A243" s="49" t="str">
        <f>IF(B243&gt;0,VLOOKUP(B243,КВСР!A182:B1347,2),IF(C243&gt;0,VLOOKUP(C243,КФСР!A182:B1694,2),IF(D243&gt;0,VLOOKUP(D243,Программа!A$1:B$5063,2),IF(F243&gt;0,VLOOKUP(F243,КВР!A$1:B$5001,2),IF(E243&gt;0,VLOOKUP(E243,Направление!A$1:B$4746,2))))))</f>
        <v>Закупка товаров, работ и услуг для государственных нужд</v>
      </c>
      <c r="B243" s="91"/>
      <c r="C243" s="84"/>
      <c r="D243" s="85"/>
      <c r="E243" s="91"/>
      <c r="F243" s="85">
        <v>200</v>
      </c>
      <c r="G243" s="387">
        <v>510000</v>
      </c>
      <c r="H243" s="382"/>
      <c r="I243" s="50">
        <f t="shared" si="35"/>
        <v>510000</v>
      </c>
    </row>
    <row r="244" spans="1:9" s="21" customFormat="1" ht="66.75" customHeight="1">
      <c r="A244" s="49" t="str">
        <f>IF(B244&gt;0,VLOOKUP(B244,КВСР!A183:B1348,2),IF(C244&gt;0,VLOOKUP(C244,КФСР!A183:B1695,2),IF(D244&gt;0,VLOOKUP(D244,Программа!A$1:B$5063,2),IF(F244&gt;0,VLOOKUP(F244,КВР!A$1:B$5001,2),IF(E244&gt;0,VLOOKUP(E244,Направление!A$1:B$4746,2))))))</f>
        <v>Обеспечение мероприятий  по землеустройству и землепользованию,   определению кадастровой стоимости и приобретению прав собственности</v>
      </c>
      <c r="B244" s="91"/>
      <c r="C244" s="84"/>
      <c r="D244" s="85"/>
      <c r="E244" s="91">
        <v>29276</v>
      </c>
      <c r="F244" s="85"/>
      <c r="G244" s="387">
        <v>250000</v>
      </c>
      <c r="H244" s="387">
        <f>H245</f>
        <v>0</v>
      </c>
      <c r="I244" s="50">
        <f t="shared" si="35"/>
        <v>250000</v>
      </c>
    </row>
    <row r="245" spans="1:9" s="21" customFormat="1" ht="31.2">
      <c r="A245" s="49" t="str">
        <f>IF(B245&gt;0,VLOOKUP(B245,КВСР!A184:B1349,2),IF(C245&gt;0,VLOOKUP(C245,КФСР!A184:B1696,2),IF(D245&gt;0,VLOOKUP(D245,Программа!A$1:B$5063,2),IF(F245&gt;0,VLOOKUP(F245,КВР!A$1:B$5001,2),IF(E245&gt;0,VLOOKUP(E245,Направление!A$1:B$4746,2))))))</f>
        <v>Закупка товаров, работ и услуг для государственных нужд</v>
      </c>
      <c r="B245" s="91"/>
      <c r="C245" s="84"/>
      <c r="D245" s="85"/>
      <c r="E245" s="91"/>
      <c r="F245" s="85">
        <v>200</v>
      </c>
      <c r="G245" s="387">
        <v>250000</v>
      </c>
      <c r="H245" s="382"/>
      <c r="I245" s="50">
        <f t="shared" si="35"/>
        <v>250000</v>
      </c>
    </row>
    <row r="246" spans="1:9" s="21" customFormat="1">
      <c r="A246" s="49" t="str">
        <f>IF(B246&gt;0,VLOOKUP(B246,КВСР!A185:B1350,2),IF(C246&gt;0,VLOOKUP(C246,КФСР!A185:B1697,2),IF(D246&gt;0,VLOOKUP(D246,Программа!A$1:B$5063,2),IF(F246&gt;0,VLOOKUP(F246,КВР!A$1:B$5001,2),IF(E246&gt;0,VLOOKUP(E246,Направление!A$1:B$4746,2))))))</f>
        <v>Жилищное хозяйство</v>
      </c>
      <c r="B246" s="91"/>
      <c r="C246" s="84">
        <v>501</v>
      </c>
      <c r="D246" s="85"/>
      <c r="E246" s="91"/>
      <c r="F246" s="85"/>
      <c r="G246" s="387">
        <v>350000</v>
      </c>
      <c r="H246" s="387">
        <f t="shared" ref="H246:H248" si="63">H247</f>
        <v>0</v>
      </c>
      <c r="I246" s="50">
        <f t="shared" si="35"/>
        <v>350000</v>
      </c>
    </row>
    <row r="247" spans="1:9" s="21" customFormat="1">
      <c r="A247" s="49" t="str">
        <f>IF(B247&gt;0,VLOOKUP(B247,КВСР!A186:B1351,2),IF(C247&gt;0,VLOOKUP(C247,КФСР!A186:B1698,2),IF(D247&gt;0,VLOOKUP(D247,Программа!A$1:B$5063,2),IF(F247&gt;0,VLOOKUP(F247,КВР!A$1:B$5001,2),IF(E247&gt;0,VLOOKUP(E247,Направление!A$1:B$4746,2))))))</f>
        <v>Непрограммные расходы бюджета</v>
      </c>
      <c r="B247" s="91"/>
      <c r="C247" s="84"/>
      <c r="D247" s="85" t="s">
        <v>2852</v>
      </c>
      <c r="E247" s="91"/>
      <c r="F247" s="85"/>
      <c r="G247" s="387">
        <v>350000</v>
      </c>
      <c r="H247" s="387">
        <f t="shared" si="63"/>
        <v>0</v>
      </c>
      <c r="I247" s="50">
        <f t="shared" si="35"/>
        <v>350000</v>
      </c>
    </row>
    <row r="248" spans="1:9" s="21" customFormat="1" ht="46.8">
      <c r="A248" s="49" t="str">
        <f>IF(B248&gt;0,VLOOKUP(B248,КВСР!A187:B1352,2),IF(C248&gt;0,VLOOKUP(C248,КФСР!A187:B1699,2),IF(D248&gt;0,VLOOKUP(D248,Программа!A$1:B$5063,2),IF(F248&gt;0,VLOOKUP(F248,КВР!A$1:B$5001,2),IF(E248&gt;0,VLOOKUP(E248,Направление!A$1:B$4746,2))))))</f>
        <v>Взносы на  капитальный ремонт  жилых помещений муниципального жилищного фонда</v>
      </c>
      <c r="B248" s="91"/>
      <c r="C248" s="84"/>
      <c r="D248" s="85"/>
      <c r="E248" s="91">
        <v>10370</v>
      </c>
      <c r="F248" s="85"/>
      <c r="G248" s="387">
        <v>350000</v>
      </c>
      <c r="H248" s="387">
        <f t="shared" si="63"/>
        <v>0</v>
      </c>
      <c r="I248" s="50">
        <f t="shared" si="35"/>
        <v>350000</v>
      </c>
    </row>
    <row r="249" spans="1:9" s="21" customFormat="1" ht="31.2">
      <c r="A249" s="49" t="str">
        <f>IF(B249&gt;0,VLOOKUP(B249,КВСР!A188:B1353,2),IF(C249&gt;0,VLOOKUP(C249,КФСР!A188:B1700,2),IF(D249&gt;0,VLOOKUP(D249,Программа!A$1:B$5063,2),IF(F249&gt;0,VLOOKUP(F249,КВР!A$1:B$5001,2),IF(E249&gt;0,VLOOKUP(E249,Направление!A$1:B$4746,2))))))</f>
        <v>Закупка товаров, работ и услуг для государственных нужд</v>
      </c>
      <c r="B249" s="91"/>
      <c r="C249" s="84"/>
      <c r="D249" s="85"/>
      <c r="E249" s="91"/>
      <c r="F249" s="85">
        <v>200</v>
      </c>
      <c r="G249" s="387">
        <v>350000</v>
      </c>
      <c r="H249" s="382"/>
      <c r="I249" s="50">
        <f t="shared" si="35"/>
        <v>350000</v>
      </c>
    </row>
    <row r="250" spans="1:9" ht="31.2">
      <c r="A250" s="49" t="str">
        <f>IF(B250&gt;0,VLOOKUP(B250,КВСР!A189:B1354,2),IF(C250&gt;0,VLOOKUP(C250,КФСР!A189:B1701,2),IF(D250&gt;0,VLOOKUP(D250,Программа!A$1:B$5063,2),IF(F250&gt;0,VLOOKUP(F250,КВР!A$1:B$5001,2),IF(E250&gt;0,VLOOKUP(E250,Направление!A$1:B$4746,2))))))</f>
        <v>Департамент образования Администрации ТМР</v>
      </c>
      <c r="B250" s="87">
        <v>953</v>
      </c>
      <c r="C250" s="88"/>
      <c r="D250" s="77"/>
      <c r="E250" s="90"/>
      <c r="F250" s="89"/>
      <c r="G250" s="55">
        <v>857772469</v>
      </c>
      <c r="H250" s="55">
        <f>H251+H271+H297+H312+H392+H424+H415</f>
        <v>10332504</v>
      </c>
      <c r="I250" s="86">
        <f t="shared" si="35"/>
        <v>868104973</v>
      </c>
    </row>
    <row r="251" spans="1:9">
      <c r="A251" s="49" t="str">
        <f>IF(B251&gt;0,VLOOKUP(B251,КВСР!A190:B1355,2),IF(C251&gt;0,VLOOKUP(C251,КФСР!A190:B1702,2),IF(D251&gt;0,VLOOKUP(D251,Программа!A$1:B$5063,2),IF(F251&gt;0,VLOOKUP(F251,КВР!A$1:B$5001,2),IF(E251&gt;0,VLOOKUP(E251,Направление!A$1:B$4746,2))))))</f>
        <v>Дошкольное образование</v>
      </c>
      <c r="B251" s="91"/>
      <c r="C251" s="84">
        <v>701</v>
      </c>
      <c r="D251" s="444"/>
      <c r="E251" s="91"/>
      <c r="F251" s="85"/>
      <c r="G251" s="83">
        <v>292370920</v>
      </c>
      <c r="H251" s="83">
        <f>H252+H268+H263</f>
        <v>-479508</v>
      </c>
      <c r="I251" s="50">
        <f t="shared" si="35"/>
        <v>291891412</v>
      </c>
    </row>
    <row r="252" spans="1:9" ht="62.4">
      <c r="A252" s="49" t="str">
        <f>IF(B252&gt;0,VLOOKUP(B252,КВСР!A191:B1356,2),IF(C252&gt;0,VLOOKUP(C252,КФСР!A191:B1703,2),IF(D252&gt;0,VLOOKUP(D252,Программа!A$1:B$5063,2),IF(F252&gt;0,VLOOKUP(F252,КВР!A$1:B$5001,2),IF(E252&gt;0,VLOOKUP(E252,Направление!A$1:B$4746,2))))))</f>
        <v>Муниципальная программа "Развитие образования, физической культуры и спорта в Тутаевском муниципальном районе"</v>
      </c>
      <c r="B252" s="91"/>
      <c r="C252" s="84"/>
      <c r="D252" s="444" t="s">
        <v>2739</v>
      </c>
      <c r="E252" s="91"/>
      <c r="F252" s="85"/>
      <c r="G252" s="83">
        <v>292332920</v>
      </c>
      <c r="H252" s="83">
        <f t="shared" ref="H252" si="64">H254</f>
        <v>-479508</v>
      </c>
      <c r="I252" s="50">
        <f t="shared" si="35"/>
        <v>291853412</v>
      </c>
    </row>
    <row r="253" spans="1:9" ht="62.4">
      <c r="A253" s="49" t="str">
        <f>IF(B253&gt;0,VLOOKUP(B253,КВСР!A192:B1357,2),IF(C253&gt;0,VLOOKUP(C253,КФСР!A192:B1704,2),IF(D253&gt;0,VLOOKUP(D253,Программа!A$1:B$5063,2),IF(F253&gt;0,VLOOKUP(F253,КВР!A$1:B$5001,2),IF(E253&gt;0,VLOOKUP(E253,Направление!A$1:B$4746,2))))))</f>
        <v xml:space="preserve">Ведомственная целевая программа департамента образования Администрации Тутаевского муниципального района </v>
      </c>
      <c r="B253" s="91"/>
      <c r="C253" s="84"/>
      <c r="D253" s="444" t="s">
        <v>2740</v>
      </c>
      <c r="E253" s="91"/>
      <c r="F253" s="85"/>
      <c r="G253" s="83">
        <v>292332920</v>
      </c>
      <c r="H253" s="83">
        <f t="shared" ref="H253" si="65">H254</f>
        <v>-479508</v>
      </c>
      <c r="I253" s="50">
        <f t="shared" si="35"/>
        <v>291853412</v>
      </c>
    </row>
    <row r="254" spans="1:9" ht="64.5" customHeight="1">
      <c r="A254" s="49" t="str">
        <f>IF(B254&gt;0,VLOOKUP(B254,КВСР!A193:B1358,2),IF(C254&gt;0,VLOOKUP(C254,КФСР!A193:B1705,2),IF(D254&gt;0,VLOOKUP(D254,Программа!A$1:B$5063,2),IF(F254&gt;0,VLOOKUP(F254,КВР!A$1:B$5001,2),IF(E254&gt;0,VLOOKUP(E254,Направление!A$1:B$4746,2))))))</f>
        <v>Организация предоставления муниципальных услуг и выполнения работ  муниципальными учреждениями сферы образования</v>
      </c>
      <c r="B254" s="91"/>
      <c r="C254" s="84"/>
      <c r="D254" s="444" t="s">
        <v>2741</v>
      </c>
      <c r="E254" s="91"/>
      <c r="F254" s="85"/>
      <c r="G254" s="83">
        <v>292332920</v>
      </c>
      <c r="H254" s="83">
        <f>H255+H259+H261</f>
        <v>-479508</v>
      </c>
      <c r="I254" s="50">
        <f t="shared" si="35"/>
        <v>291853412</v>
      </c>
    </row>
    <row r="255" spans="1:9" ht="31.2">
      <c r="A255" s="49" t="str">
        <f>IF(B255&gt;0,VLOOKUP(B255,КВСР!A194:B1359,2),IF(C255&gt;0,VLOOKUP(C255,КФСР!A194:B1706,2),IF(D255&gt;0,VLOOKUP(D255,Программа!A$1:B$5063,2),IF(F255&gt;0,VLOOKUP(F255,КВР!A$1:B$5001,2),IF(E255&gt;0,VLOOKUP(E255,Направление!A$1:B$4746,2))))))</f>
        <v>Обеспечение деятельности дошкольных учреждений</v>
      </c>
      <c r="B255" s="91"/>
      <c r="C255" s="84"/>
      <c r="D255" s="444"/>
      <c r="E255" s="91">
        <v>13010</v>
      </c>
      <c r="F255" s="85"/>
      <c r="G255" s="50">
        <v>109923420</v>
      </c>
      <c r="H255" s="50">
        <f>H257+H256+H258</f>
        <v>-479508</v>
      </c>
      <c r="I255" s="50">
        <f>I257+I256+I258</f>
        <v>109443912</v>
      </c>
    </row>
    <row r="256" spans="1:9" ht="109.2">
      <c r="A256" s="49" t="str">
        <f>IF(B256&gt;0,VLOOKUP(B256,КВСР!A195:B1360,2),IF(C256&gt;0,VLOOKUP(C256,КФСР!A195:B1707,2),IF(D256&gt;0,VLOOKUP(D256,Программа!A$1:B$5063,2),IF(F256&gt;0,VLOOKUP(F256,КВР!A$1:B$5001,2),IF(E256&gt;0,VLOOKUP(E256,Направление!A$1:B$4746,2))))))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256" s="91"/>
      <c r="C256" s="84"/>
      <c r="D256" s="444"/>
      <c r="E256" s="91"/>
      <c r="F256" s="85">
        <v>100</v>
      </c>
      <c r="G256" s="50"/>
      <c r="H256" s="50">
        <v>57254</v>
      </c>
      <c r="I256" s="50">
        <f>G256+H256</f>
        <v>57254</v>
      </c>
    </row>
    <row r="257" spans="1:9" ht="62.4">
      <c r="A257" s="49" t="str">
        <f>IF(B257&gt;0,VLOOKUP(B257,КВСР!A195:B1360,2),IF(C257&gt;0,VLOOKUP(C257,КФСР!A195:B1707,2),IF(D257&gt;0,VLOOKUP(D257,Программа!A$1:B$5063,2),IF(F257&gt;0,VLOOKUP(F257,КВР!A$1:B$5001,2),IF(E257&gt;0,VLOOKUP(E257,Направление!A$1:B$4746,2))))))</f>
        <v>Предоставление субсидий бюджетным, автономным учреждениям и иным некоммерческим организациям</v>
      </c>
      <c r="B257" s="91"/>
      <c r="C257" s="84"/>
      <c r="D257" s="85"/>
      <c r="E257" s="91"/>
      <c r="F257" s="85">
        <v>600</v>
      </c>
      <c r="G257" s="387">
        <v>109923420</v>
      </c>
      <c r="H257" s="382">
        <f>-809584+270076</f>
        <v>-539508</v>
      </c>
      <c r="I257" s="50">
        <f t="shared" ref="I257:I321" si="66">SUM(G257:H257)</f>
        <v>109383912</v>
      </c>
    </row>
    <row r="258" spans="1:9" ht="33" customHeight="1">
      <c r="A258" s="49" t="str">
        <f>IF(B258&gt;0,VLOOKUP(B258,КВСР!A196:B1361,2),IF(C258&gt;0,VLOOKUP(C258,КФСР!A196:B1708,2),IF(D258&gt;0,VLOOKUP(D258,Программа!A$1:B$5063,2),IF(F258&gt;0,VLOOKUP(F258,КВР!A$1:B$5001,2),IF(E258&gt;0,VLOOKUP(E258,Направление!A$1:B$4746,2))))))</f>
        <v>Иные бюджетные ассигнования</v>
      </c>
      <c r="B258" s="91"/>
      <c r="C258" s="84"/>
      <c r="D258" s="85"/>
      <c r="E258" s="91"/>
      <c r="F258" s="85">
        <v>800</v>
      </c>
      <c r="G258" s="387"/>
      <c r="H258" s="382">
        <f>1896+850</f>
        <v>2746</v>
      </c>
      <c r="I258" s="50">
        <f>G258+H258</f>
        <v>2746</v>
      </c>
    </row>
    <row r="259" spans="1:9" ht="109.2">
      <c r="A259" s="49" t="str">
        <f>IF(B259&gt;0,VLOOKUP(B259,КВСР!A196:B1361,2),IF(C259&gt;0,VLOOKUP(C259,КФСР!A196:B1708,2),IF(D259&gt;0,VLOOKUP(D259,Программа!A$1:B$5063,2),IF(F259&gt;0,VLOOKUP(F259,КВР!A$1:B$5001,2),IF(E259&gt;0,VLOOKUP(E259,Направление!A$1:B$4746,2))))))</f>
        <v>Расходы на выплаты медицинским работникам, осуществляющим медицинское обслуживание обучающихся и воспитанников муниципальных образовательных учреждений, за счет средств областного бюджета</v>
      </c>
      <c r="B259" s="91"/>
      <c r="C259" s="84"/>
      <c r="D259" s="444"/>
      <c r="E259" s="91">
        <v>70510</v>
      </c>
      <c r="F259" s="85"/>
      <c r="G259" s="50">
        <v>1841000</v>
      </c>
      <c r="H259" s="50">
        <f t="shared" ref="H259" si="67">H260</f>
        <v>0</v>
      </c>
      <c r="I259" s="50">
        <f t="shared" si="66"/>
        <v>1841000</v>
      </c>
    </row>
    <row r="260" spans="1:9" ht="62.4">
      <c r="A260" s="49" t="str">
        <f>IF(B260&gt;0,VLOOKUP(B260,КВСР!A197:B1362,2),IF(C260&gt;0,VLOOKUP(C260,КФСР!A197:B1709,2),IF(D260&gt;0,VLOOKUP(D260,Программа!A$1:B$5063,2),IF(F260&gt;0,VLOOKUP(F260,КВР!A$1:B$5001,2),IF(E260&gt;0,VLOOKUP(E260,Направление!A$1:B$4746,2))))))</f>
        <v>Предоставление субсидий бюджетным, автономным учреждениям и иным некоммерческим организациям</v>
      </c>
      <c r="B260" s="91"/>
      <c r="C260" s="84"/>
      <c r="D260" s="85"/>
      <c r="E260" s="91"/>
      <c r="F260" s="85">
        <v>600</v>
      </c>
      <c r="G260" s="387">
        <v>1841000</v>
      </c>
      <c r="H260" s="382"/>
      <c r="I260" s="50">
        <f t="shared" si="66"/>
        <v>1841000</v>
      </c>
    </row>
    <row r="261" spans="1:9" ht="78">
      <c r="A261" s="49" t="str">
        <f>IF(B261&gt;0,VLOOKUP(B261,КВСР!A198:B1363,2),IF(C261&gt;0,VLOOKUP(C261,КФСР!A198:B1710,2),IF(D261&gt;0,VLOOKUP(D261,Программа!A$1:B$5063,2),IF(F261&gt;0,VLOOKUP(F261,КВР!A$1:B$5001,2),IF(E261&gt;0,VLOOKUP(E261,Направление!A$1:B$4746,2))))))</f>
        <v xml:space="preserve">Расходы на обеспечение предоставления услуг по дошкольному образованию детей в дошкольных образовательных организациях </v>
      </c>
      <c r="B261" s="91"/>
      <c r="C261" s="84"/>
      <c r="D261" s="444"/>
      <c r="E261" s="91">
        <v>73110</v>
      </c>
      <c r="F261" s="85"/>
      <c r="G261" s="50">
        <v>180568500</v>
      </c>
      <c r="H261" s="50">
        <f t="shared" ref="H261" si="68">H262</f>
        <v>0</v>
      </c>
      <c r="I261" s="50">
        <f t="shared" si="66"/>
        <v>180568500</v>
      </c>
    </row>
    <row r="262" spans="1:9" ht="62.4">
      <c r="A262" s="49" t="str">
        <f>IF(B262&gt;0,VLOOKUP(B262,КВСР!A199:B1364,2),IF(C262&gt;0,VLOOKUP(C262,КФСР!A199:B1711,2),IF(D262&gt;0,VLOOKUP(D262,Программа!A$1:B$5063,2),IF(F262&gt;0,VLOOKUP(F262,КВР!A$1:B$5001,2),IF(E262&gt;0,VLOOKUP(E262,Направление!A$1:B$4746,2))))))</f>
        <v>Предоставление субсидий бюджетным, автономным учреждениям и иным некоммерческим организациям</v>
      </c>
      <c r="B262" s="91"/>
      <c r="C262" s="84"/>
      <c r="D262" s="85"/>
      <c r="E262" s="91"/>
      <c r="F262" s="85">
        <v>600</v>
      </c>
      <c r="G262" s="387">
        <v>180568500</v>
      </c>
      <c r="H262" s="382"/>
      <c r="I262" s="50">
        <f t="shared" si="66"/>
        <v>180568500</v>
      </c>
    </row>
    <row r="263" spans="1:9" ht="62.4">
      <c r="A263" s="49" t="str">
        <f>IF(B263&gt;0,VLOOKUP(B263,КВСР!A200:B1365,2),IF(C263&gt;0,VLOOKUP(C263,КФСР!A200:B1712,2),IF(D263&gt;0,VLOOKUP(D263,Программа!A$1:B$5063,2),IF(F263&gt;0,VLOOKUP(F263,КВР!A$1:B$5001,2),IF(E263&gt;0,VLOOKUP(E263,Направление!A$1:B$4746,2))))))</f>
        <v>Муниципальная программа "Социальная поддержка населения Тутаевского муниципального района"</v>
      </c>
      <c r="B263" s="91"/>
      <c r="C263" s="84"/>
      <c r="D263" s="444" t="s">
        <v>2809</v>
      </c>
      <c r="E263" s="91"/>
      <c r="F263" s="85"/>
      <c r="G263" s="50">
        <v>38000</v>
      </c>
      <c r="H263" s="50">
        <f t="shared" ref="H263:H266" si="69">H264</f>
        <v>0</v>
      </c>
      <c r="I263" s="50">
        <f t="shared" si="66"/>
        <v>38000</v>
      </c>
    </row>
    <row r="264" spans="1:9" ht="62.4">
      <c r="A264" s="49" t="str">
        <f>IF(B264&gt;0,VLOOKUP(B264,КВСР!A201:B1366,2),IF(C264&gt;0,VLOOKUP(C264,КФСР!A201:B1713,2),IF(D264&gt;0,VLOOKUP(D264,Программа!A$1:B$5063,2),IF(F264&gt;0,VLOOKUP(F264,КВР!A$1:B$5001,2),IF(E264&gt;0,VLOOKUP(E264,Направление!A$1:B$4746,2))))))</f>
        <v>Муниципальная целевая программа "Улучшение условий и охраны труда" по Тутаевскому муниципальному району</v>
      </c>
      <c r="B264" s="91"/>
      <c r="C264" s="84"/>
      <c r="D264" s="444" t="s">
        <v>2851</v>
      </c>
      <c r="E264" s="91"/>
      <c r="F264" s="85"/>
      <c r="G264" s="50">
        <v>38000</v>
      </c>
      <c r="H264" s="50">
        <f t="shared" si="69"/>
        <v>0</v>
      </c>
      <c r="I264" s="50">
        <f t="shared" si="66"/>
        <v>38000</v>
      </c>
    </row>
    <row r="265" spans="1:9" ht="69.75" customHeight="1">
      <c r="A265" s="49" t="str">
        <f>IF(B265&gt;0,VLOOKUP(B265,КВСР!A202:B1367,2),IF(C265&gt;0,VLOOKUP(C265,КФСР!A202:B1714,2),IF(D265&gt;0,VLOOKUP(D265,Программа!A$1:B$5063,2),IF(F265&gt;0,VLOOKUP(F265,КВР!A$1:B$5001,2),IF(E265&gt;0,VLOOKUP(E265,Направление!A$1:B$4746,2))))))</f>
        <v>Мероприятия по оценке условий труда и  обучение специалистов по охране труда в учреждениях на территории Тутаевского муниципального района</v>
      </c>
      <c r="B265" s="91"/>
      <c r="C265" s="84"/>
      <c r="D265" s="444" t="s">
        <v>2970</v>
      </c>
      <c r="E265" s="91"/>
      <c r="F265" s="85"/>
      <c r="G265" s="50">
        <v>38000</v>
      </c>
      <c r="H265" s="50">
        <f t="shared" si="69"/>
        <v>0</v>
      </c>
      <c r="I265" s="50">
        <f t="shared" si="66"/>
        <v>38000</v>
      </c>
    </row>
    <row r="266" spans="1:9" ht="33" customHeight="1">
      <c r="A266" s="49" t="str">
        <f>IF(B266&gt;0,VLOOKUP(B266,КВСР!A203:B1368,2),IF(C266&gt;0,VLOOKUP(C266,КФСР!A203:B1715,2),IF(D266&gt;0,VLOOKUP(D266,Программа!A$1:B$5063,2),IF(F266&gt;0,VLOOKUP(F266,КВР!A$1:B$5001,2),IF(E266&gt;0,VLOOKUP(E266,Направление!A$1:B$4746,2))))))</f>
        <v>Расходы на реализацию МЦП "Улучшение условий и охраны труда"</v>
      </c>
      <c r="B266" s="91"/>
      <c r="C266" s="84"/>
      <c r="D266" s="444"/>
      <c r="E266" s="91">
        <v>16150</v>
      </c>
      <c r="F266" s="85"/>
      <c r="G266" s="50">
        <v>38000</v>
      </c>
      <c r="H266" s="50">
        <f t="shared" si="69"/>
        <v>0</v>
      </c>
      <c r="I266" s="50">
        <f t="shared" si="66"/>
        <v>38000</v>
      </c>
    </row>
    <row r="267" spans="1:9" ht="78">
      <c r="A267" s="49" t="str">
        <f>IF(B267&gt;0,VLOOKUP(B267,КВСР!A204:B1369,2),IF(C267&gt;0,VLOOKUP(C267,КФСР!A204:B1716,2),IF(D267&gt;0,VLOOKUP(D267,Программа!A$1:B$5063,2),IF(F267&gt;0,VLOOKUP(F267,КВР!A$1:B$5001,2),IF(E267&gt;0,VLOOKUP(E267,Направление!A$1:B$4746,2))))))</f>
        <v>Субсидии бюджетным учреждениям на финансовое обеспечение государственного задания на оказание государственных услуг (выполнение работ)</v>
      </c>
      <c r="B267" s="91"/>
      <c r="C267" s="84"/>
      <c r="D267" s="444"/>
      <c r="E267" s="91"/>
      <c r="F267" s="85">
        <v>611</v>
      </c>
      <c r="G267" s="387">
        <v>38000</v>
      </c>
      <c r="H267" s="382"/>
      <c r="I267" s="50">
        <f t="shared" si="66"/>
        <v>38000</v>
      </c>
    </row>
    <row r="268" spans="1:9" hidden="1">
      <c r="A268" s="49" t="str">
        <f>IF(B268&gt;0,VLOOKUP(B268,КВСР!A205:B1370,2),IF(C268&gt;0,VLOOKUP(C268,КФСР!A205:B1717,2),IF(D268&gt;0,VLOOKUP(D268,Программа!A$1:B$5063,2),IF(F268&gt;0,VLOOKUP(F268,КВР!A$1:B$5001,2),IF(E268&gt;0,VLOOKUP(E268,Направление!A$1:B$4746,2))))))</f>
        <v>Непрограммные расходы бюджета</v>
      </c>
      <c r="B268" s="91"/>
      <c r="C268" s="84"/>
      <c r="D268" s="444" t="s">
        <v>2852</v>
      </c>
      <c r="E268" s="91"/>
      <c r="F268" s="85"/>
      <c r="G268" s="101">
        <v>0</v>
      </c>
      <c r="H268" s="101">
        <f t="shared" ref="H268:H269" si="70">H269</f>
        <v>0</v>
      </c>
      <c r="I268" s="50">
        <f t="shared" si="66"/>
        <v>0</v>
      </c>
    </row>
    <row r="269" spans="1:9" ht="46.8" hidden="1">
      <c r="A269" s="49" t="str">
        <f>IF(B269&gt;0,VLOOKUP(B269,КВСР!A206:B1371,2),IF(C269&gt;0,VLOOKUP(C269,КФСР!A206:B1718,2),IF(D269&gt;0,VLOOKUP(D269,Программа!A$1:B$5063,2),IF(F269&gt;0,VLOOKUP(F269,КВР!A$1:B$5001,2),IF(E269&gt;0,VLOOKUP(E269,Направление!A$1:B$4746,2))))))</f>
        <v>Исполнение судебных актов, актов других органов и должностных лиц, иных документов</v>
      </c>
      <c r="B269" s="91"/>
      <c r="C269" s="84"/>
      <c r="D269" s="444"/>
      <c r="E269" s="91">
        <v>12130</v>
      </c>
      <c r="F269" s="85"/>
      <c r="G269" s="101">
        <v>0</v>
      </c>
      <c r="H269" s="101">
        <f t="shared" si="70"/>
        <v>0</v>
      </c>
      <c r="I269" s="50">
        <f t="shared" si="66"/>
        <v>0</v>
      </c>
    </row>
    <row r="270" spans="1:9" ht="62.4" hidden="1">
      <c r="A270" s="49" t="str">
        <f>IF(B270&gt;0,VLOOKUP(B270,КВСР!A207:B1372,2),IF(C270&gt;0,VLOOKUP(C270,КФСР!A207:B1719,2),IF(D270&gt;0,VLOOKUP(D270,Программа!A$1:B$5063,2),IF(F270&gt;0,VLOOKUP(F270,КВР!A$1:B$5001,2),IF(E270&gt;0,VLOOKUP(E270,Направление!A$1:B$4746,2))))))</f>
        <v>Предоставление субсидий бюджетным, автономным учреждениям и иным некоммерческим организациям</v>
      </c>
      <c r="B270" s="91"/>
      <c r="C270" s="84"/>
      <c r="D270" s="85"/>
      <c r="E270" s="91"/>
      <c r="F270" s="85">
        <v>600</v>
      </c>
      <c r="G270" s="557">
        <v>0</v>
      </c>
      <c r="H270" s="384"/>
      <c r="I270" s="50">
        <f t="shared" si="66"/>
        <v>0</v>
      </c>
    </row>
    <row r="271" spans="1:9">
      <c r="A271" s="49" t="str">
        <f>IF(B271&gt;0,VLOOKUP(B271,КВСР!A208:B1373,2),IF(C271&gt;0,VLOOKUP(C271,КФСР!A208:B1720,2),IF(D271&gt;0,VLOOKUP(D271,Программа!A$1:B$5063,2),IF(F271&gt;0,VLOOKUP(F271,КВР!A$1:B$5001,2),IF(E271&gt;0,VLOOKUP(E271,Направление!A$1:B$4746,2))))))</f>
        <v>Общее образование</v>
      </c>
      <c r="B271" s="91"/>
      <c r="C271" s="84">
        <v>702</v>
      </c>
      <c r="D271" s="444"/>
      <c r="E271" s="91"/>
      <c r="F271" s="85"/>
      <c r="G271" s="83">
        <v>458331483</v>
      </c>
      <c r="H271" s="83">
        <f t="shared" ref="H271" si="71">H272+H294+H289</f>
        <v>7126113</v>
      </c>
      <c r="I271" s="50">
        <f t="shared" si="66"/>
        <v>465457596</v>
      </c>
    </row>
    <row r="272" spans="1:9" ht="62.4">
      <c r="A272" s="49" t="str">
        <f>IF(B272&gt;0,VLOOKUP(B272,КВСР!A209:B1374,2),IF(C272&gt;0,VLOOKUP(C272,КФСР!A209:B1721,2),IF(D272&gt;0,VLOOKUP(D272,Программа!A$1:B$5063,2),IF(F272&gt;0,VLOOKUP(F272,КВР!A$1:B$5001,2),IF(E272&gt;0,VLOOKUP(E272,Направление!A$1:B$4746,2))))))</f>
        <v>Муниципальная программа "Развитие образования, физической культуры и спорта в Тутаевском муниципальном районе"</v>
      </c>
      <c r="B272" s="91"/>
      <c r="C272" s="84"/>
      <c r="D272" s="444" t="s">
        <v>2739</v>
      </c>
      <c r="E272" s="91"/>
      <c r="F272" s="85"/>
      <c r="G272" s="83">
        <v>458241011</v>
      </c>
      <c r="H272" s="83">
        <f t="shared" ref="H272" si="72">H273+H285</f>
        <v>7126113</v>
      </c>
      <c r="I272" s="50">
        <f t="shared" si="66"/>
        <v>465367124</v>
      </c>
    </row>
    <row r="273" spans="1:9" ht="62.4">
      <c r="A273" s="49" t="str">
        <f>IF(B273&gt;0,VLOOKUP(B273,КВСР!A210:B1375,2),IF(C273&gt;0,VLOOKUP(C273,КФСР!A210:B1722,2),IF(D273&gt;0,VLOOKUP(D273,Программа!A$1:B$5063,2),IF(F273&gt;0,VLOOKUP(F273,КВР!A$1:B$5001,2),IF(E273&gt;0,VLOOKUP(E273,Направление!A$1:B$4746,2))))))</f>
        <v xml:space="preserve">Ведомственная целевая программа департамента образования Администрации Тутаевского муниципального района </v>
      </c>
      <c r="B273" s="91"/>
      <c r="C273" s="84"/>
      <c r="D273" s="444" t="s">
        <v>2740</v>
      </c>
      <c r="E273" s="91"/>
      <c r="F273" s="85"/>
      <c r="G273" s="83">
        <v>451241011</v>
      </c>
      <c r="H273" s="83">
        <f t="shared" ref="H273" si="73">H274</f>
        <v>7126113</v>
      </c>
      <c r="I273" s="50">
        <f t="shared" si="66"/>
        <v>458367124</v>
      </c>
    </row>
    <row r="274" spans="1:9" ht="62.4">
      <c r="A274" s="49" t="str">
        <f>IF(B274&gt;0,VLOOKUP(B274,КВСР!A211:B1376,2),IF(C274&gt;0,VLOOKUP(C274,КФСР!A211:B1723,2),IF(D274&gt;0,VLOOKUP(D274,Программа!A$1:B$5063,2),IF(F274&gt;0,VLOOKUP(F274,КВР!A$1:B$5001,2),IF(E274&gt;0,VLOOKUP(E274,Направление!A$1:B$4746,2))))))</f>
        <v>Организация предоставления муниципальных услуг и выполнения работ  муниципальными учреждениями сферы образования</v>
      </c>
      <c r="B274" s="91"/>
      <c r="C274" s="84"/>
      <c r="D274" s="444" t="s">
        <v>2741</v>
      </c>
      <c r="E274" s="91"/>
      <c r="F274" s="85"/>
      <c r="G274" s="83">
        <v>451241011</v>
      </c>
      <c r="H274" s="83">
        <f t="shared" ref="H274" si="74">H275+H277+H279+H281+H283</f>
        <v>7126113</v>
      </c>
      <c r="I274" s="50">
        <f t="shared" si="66"/>
        <v>458367124</v>
      </c>
    </row>
    <row r="275" spans="1:9" ht="31.2">
      <c r="A275" s="49" t="str">
        <f>IF(B275&gt;0,VLOOKUP(B275,КВСР!A212:B1377,2),IF(C275&gt;0,VLOOKUP(C275,КФСР!A212:B1724,2),IF(D275&gt;0,VLOOKUP(D275,Программа!A$1:B$5063,2),IF(F275&gt;0,VLOOKUP(F275,КВР!A$1:B$5001,2),IF(E275&gt;0,VLOOKUP(E275,Направление!A$1:B$4746,2))))))</f>
        <v>Обеспечение деятельности общеобразовательных учреждений</v>
      </c>
      <c r="B275" s="91"/>
      <c r="C275" s="84"/>
      <c r="D275" s="444"/>
      <c r="E275" s="91">
        <v>13110</v>
      </c>
      <c r="F275" s="85"/>
      <c r="G275" s="50">
        <v>95426517</v>
      </c>
      <c r="H275" s="50">
        <f t="shared" ref="H275" si="75">H276</f>
        <v>886313</v>
      </c>
      <c r="I275" s="50">
        <f t="shared" si="66"/>
        <v>96312830</v>
      </c>
    </row>
    <row r="276" spans="1:9" ht="62.4">
      <c r="A276" s="49" t="str">
        <f>IF(B276&gt;0,VLOOKUP(B276,КВСР!A213:B1378,2),IF(C276&gt;0,VLOOKUP(C276,КФСР!A213:B1725,2),IF(D276&gt;0,VLOOKUP(D276,Программа!A$1:B$5063,2),IF(F276&gt;0,VLOOKUP(F276,КВР!A$1:B$5001,2),IF(E276&gt;0,VLOOKUP(E276,Направление!A$1:B$4746,2))))))</f>
        <v>Предоставление субсидий бюджетным, автономным учреждениям и иным некоммерческим организациям</v>
      </c>
      <c r="B276" s="91"/>
      <c r="C276" s="84"/>
      <c r="D276" s="85"/>
      <c r="E276" s="91"/>
      <c r="F276" s="85">
        <v>600</v>
      </c>
      <c r="G276" s="387">
        <v>95426517</v>
      </c>
      <c r="H276" s="382">
        <f>749584-264271+401000</f>
        <v>886313</v>
      </c>
      <c r="I276" s="50">
        <f t="shared" si="66"/>
        <v>96312830</v>
      </c>
    </row>
    <row r="277" spans="1:9" ht="46.8">
      <c r="A277" s="49" t="str">
        <f>IF(B277&gt;0,VLOOKUP(B277,КВСР!A214:B1379,2),IF(C277&gt;0,VLOOKUP(C277,КФСР!A214:B1726,2),IF(D277&gt;0,VLOOKUP(D277,Программа!A$1:B$5063,2),IF(F277&gt;0,VLOOKUP(F277,КВР!A$1:B$5001,2),IF(E277&gt;0,VLOOKUP(E277,Направление!A$1:B$4746,2))))))</f>
        <v>Обеспечение деятельности учреждений дополнительного образования</v>
      </c>
      <c r="B277" s="91"/>
      <c r="C277" s="84"/>
      <c r="D277" s="444"/>
      <c r="E277" s="91">
        <v>13210</v>
      </c>
      <c r="F277" s="85"/>
      <c r="G277" s="83">
        <v>87046694</v>
      </c>
      <c r="H277" s="83">
        <f t="shared" ref="H277" si="76">H278</f>
        <v>0</v>
      </c>
      <c r="I277" s="50">
        <f t="shared" si="66"/>
        <v>87046694</v>
      </c>
    </row>
    <row r="278" spans="1:9" ht="62.4">
      <c r="A278" s="49" t="str">
        <f>IF(B278&gt;0,VLOOKUP(B278,КВСР!A215:B1380,2),IF(C278&gt;0,VLOOKUP(C278,КФСР!A215:B1727,2),IF(D278&gt;0,VLOOKUP(D278,Программа!A$1:B$5063,2),IF(F278&gt;0,VLOOKUP(F278,КВР!A$1:B$5001,2),IF(E278&gt;0,VLOOKUP(E278,Направление!A$1:B$4746,2))))))</f>
        <v>Предоставление субсидий бюджетным, автономным учреждениям и иным некоммерческим организациям</v>
      </c>
      <c r="B278" s="92"/>
      <c r="C278" s="93"/>
      <c r="D278" s="94"/>
      <c r="E278" s="92"/>
      <c r="F278" s="94">
        <v>600</v>
      </c>
      <c r="G278" s="393">
        <v>87046694</v>
      </c>
      <c r="H278" s="383"/>
      <c r="I278" s="50">
        <f t="shared" si="66"/>
        <v>87046694</v>
      </c>
    </row>
    <row r="279" spans="1:9" ht="109.2">
      <c r="A279" s="49" t="str">
        <f>IF(B279&gt;0,VLOOKUP(B279,КВСР!A216:B1381,2),IF(C279&gt;0,VLOOKUP(C279,КФСР!A216:B1728,2),IF(D279&gt;0,VLOOKUP(D279,Программа!A$1:B$5063,2),IF(F279&gt;0,VLOOKUP(F279,КВР!A$1:B$5001,2),IF(E279&gt;0,VLOOKUP(E279,Направление!A$1:B$4746,2))))))</f>
        <v>Расходы на выплаты медицинским работникам, осуществляющим медицинское обслуживание обучающихся и воспитанников муниципальных образовательных учреждений, за счет средств областного бюджета</v>
      </c>
      <c r="B279" s="92"/>
      <c r="C279" s="93"/>
      <c r="D279" s="445"/>
      <c r="E279" s="92">
        <v>70510</v>
      </c>
      <c r="F279" s="94"/>
      <c r="G279" s="83">
        <v>61700</v>
      </c>
      <c r="H279" s="83">
        <f t="shared" ref="H279" si="77">H280</f>
        <v>0</v>
      </c>
      <c r="I279" s="50">
        <f t="shared" si="66"/>
        <v>61700</v>
      </c>
    </row>
    <row r="280" spans="1:9" ht="62.4">
      <c r="A280" s="49" t="str">
        <f>IF(B280&gt;0,VLOOKUP(B280,КВСР!A217:B1382,2),IF(C280&gt;0,VLOOKUP(C280,КФСР!A217:B1729,2),IF(D280&gt;0,VLOOKUP(D280,Программа!A$1:B$5063,2),IF(F280&gt;0,VLOOKUP(F280,КВР!A$1:B$5001,2),IF(E280&gt;0,VLOOKUP(E280,Направление!A$1:B$4746,2))))))</f>
        <v>Предоставление субсидий бюджетным, автономным учреждениям и иным некоммерческим организациям</v>
      </c>
      <c r="B280" s="92"/>
      <c r="C280" s="93"/>
      <c r="D280" s="94"/>
      <c r="E280" s="92"/>
      <c r="F280" s="85">
        <v>600</v>
      </c>
      <c r="G280" s="387">
        <v>61700</v>
      </c>
      <c r="H280" s="382"/>
      <c r="I280" s="50">
        <f t="shared" si="66"/>
        <v>61700</v>
      </c>
    </row>
    <row r="281" spans="1:9" ht="62.4">
      <c r="A281" s="49" t="str">
        <f>IF(B281&gt;0,VLOOKUP(B281,КВСР!A218:B1383,2),IF(C281&gt;0,VLOOKUP(C281,КФСР!A218:B1730,2),IF(D281&gt;0,VLOOKUP(D281,Программа!A$1:B$5063,2),IF(F281&gt;0,VLOOKUP(F281,КВР!A$1:B$5001,2),IF(E281&gt;0,VLOOKUP(E281,Направление!A$1:B$4746,2))))))</f>
        <v>Организация образовательного процесса в образовательных учреждениях за счет средств областного бюджета</v>
      </c>
      <c r="B281" s="92"/>
      <c r="C281" s="93"/>
      <c r="D281" s="445"/>
      <c r="E281" s="92">
        <v>70520</v>
      </c>
      <c r="F281" s="85"/>
      <c r="G281" s="101">
        <v>255086100</v>
      </c>
      <c r="H281" s="101">
        <f t="shared" ref="H281" si="78">H282</f>
        <v>0</v>
      </c>
      <c r="I281" s="50">
        <f t="shared" si="66"/>
        <v>255086100</v>
      </c>
    </row>
    <row r="282" spans="1:9" ht="62.4">
      <c r="A282" s="49" t="str">
        <f>IF(B282&gt;0,VLOOKUP(B282,КВСР!A219:B1384,2),IF(C282&gt;0,VLOOKUP(C282,КФСР!A219:B1731,2),IF(D282&gt;0,VLOOKUP(D282,Программа!A$1:B$5063,2),IF(F282&gt;0,VLOOKUP(F282,КВР!A$1:B$5001,2),IF(E282&gt;0,VLOOKUP(E282,Направление!A$1:B$4746,2))))))</f>
        <v>Предоставление субсидий бюджетным, автономным учреждениям и иным некоммерческим организациям</v>
      </c>
      <c r="B282" s="92"/>
      <c r="C282" s="93"/>
      <c r="D282" s="94"/>
      <c r="E282" s="92"/>
      <c r="F282" s="85">
        <v>600</v>
      </c>
      <c r="G282" s="557">
        <v>255086100</v>
      </c>
      <c r="H282" s="384"/>
      <c r="I282" s="50">
        <f t="shared" si="66"/>
        <v>255086100</v>
      </c>
    </row>
    <row r="283" spans="1:9" ht="62.4">
      <c r="A283" s="49" t="str">
        <f>IF(B283&gt;0,VLOOKUP(B283,КВСР!A220:B1385,2),IF(C283&gt;0,VLOOKUP(C283,КФСР!A220:B1732,2),IF(D283&gt;0,VLOOKUP(D283,Программа!A$1:B$5063,2),IF(F283&gt;0,VLOOKUP(F283,КВР!A$1:B$5001,2),IF(E283&gt;0,VLOOKUP(E283,Направление!A$1:B$4746,2))))))</f>
        <v>Обеспечение бесплатным питанием обучающихся муниципальных образовательных учреждений за счет средств областного бюджета</v>
      </c>
      <c r="B283" s="92"/>
      <c r="C283" s="93"/>
      <c r="D283" s="94"/>
      <c r="E283" s="92">
        <v>70530</v>
      </c>
      <c r="F283" s="85"/>
      <c r="G283" s="101">
        <v>13620000</v>
      </c>
      <c r="H283" s="101">
        <f t="shared" ref="H283" si="79">H284</f>
        <v>6239800</v>
      </c>
      <c r="I283" s="50">
        <f t="shared" si="66"/>
        <v>19859800</v>
      </c>
    </row>
    <row r="284" spans="1:9" ht="62.4">
      <c r="A284" s="49" t="str">
        <f>IF(B284&gt;0,VLOOKUP(B284,КВСР!A221:B1386,2),IF(C284&gt;0,VLOOKUP(C284,КФСР!A221:B1733,2),IF(D284&gt;0,VLOOKUP(D284,Программа!A$1:B$5063,2),IF(F284&gt;0,VLOOKUP(F284,КВР!A$1:B$5001,2),IF(E284&gt;0,VLOOKUP(E284,Направление!A$1:B$4746,2))))))</f>
        <v>Предоставление субсидий бюджетным, автономным учреждениям и иным некоммерческим организациям</v>
      </c>
      <c r="B284" s="92"/>
      <c r="C284" s="93"/>
      <c r="D284" s="94"/>
      <c r="E284" s="92"/>
      <c r="F284" s="85">
        <v>600</v>
      </c>
      <c r="G284" s="557">
        <v>13620000</v>
      </c>
      <c r="H284" s="384">
        <f>6239800</f>
        <v>6239800</v>
      </c>
      <c r="I284" s="50">
        <f t="shared" si="66"/>
        <v>19859800</v>
      </c>
    </row>
    <row r="285" spans="1:9" ht="62.4">
      <c r="A285" s="49" t="str">
        <f>IF(B285&gt;0,VLOOKUP(B285,КВСР!A222:B1387,2),IF(C285&gt;0,VLOOKUP(C285,КФСР!A222:B1734,2),IF(D285&gt;0,VLOOKUP(D285,Программа!A$1:B$5063,2),IF(F285&gt;0,VLOOKUP(F285,КВР!A$1:B$5001,2),IF(E285&gt;0,VLOOKUP(E285,Направление!A$1:B$4746,2))))))</f>
        <v>Муниципальная целевая программа "Развитие физической культуры и спорта в Тутаевском муниципальном районе"</v>
      </c>
      <c r="B285" s="92"/>
      <c r="C285" s="93"/>
      <c r="D285" s="445" t="s">
        <v>2856</v>
      </c>
      <c r="E285" s="92"/>
      <c r="F285" s="94"/>
      <c r="G285" s="101">
        <v>7000000</v>
      </c>
      <c r="H285" s="101">
        <f t="shared" ref="H285" si="80">H287</f>
        <v>0</v>
      </c>
      <c r="I285" s="50">
        <f t="shared" si="66"/>
        <v>7000000</v>
      </c>
    </row>
    <row r="286" spans="1:9" ht="46.8">
      <c r="A286" s="49" t="str">
        <f>IF(B286&gt;0,VLOOKUP(B286,КВСР!A223:B1388,2),IF(C286&gt;0,VLOOKUP(C286,КФСР!A223:B1735,2),IF(D286&gt;0,VLOOKUP(D286,Программа!A$1:B$5063,2),IF(F286&gt;0,VLOOKUP(F286,КВР!A$1:B$5001,2),IF(E286&gt;0,VLOOKUP(E286,Направление!A$1:B$4746,2))))))</f>
        <v>Строительство, реконструкция и капитальный ремонт спортивных сооружений</v>
      </c>
      <c r="B286" s="92"/>
      <c r="C286" s="93"/>
      <c r="D286" s="445" t="s">
        <v>2860</v>
      </c>
      <c r="E286" s="92"/>
      <c r="F286" s="94"/>
      <c r="G286" s="101">
        <v>7000000</v>
      </c>
      <c r="H286" s="101">
        <f t="shared" ref="H286:H287" si="81">H287</f>
        <v>0</v>
      </c>
      <c r="I286" s="50">
        <f t="shared" si="66"/>
        <v>7000000</v>
      </c>
    </row>
    <row r="287" spans="1:9" ht="33.75" customHeight="1">
      <c r="A287" s="49" t="str">
        <f>IF(B287&gt;0,VLOOKUP(B287,КВСР!A224:B1389,2),IF(C287&gt;0,VLOOKUP(C287,КФСР!A224:B1736,2),IF(D287&gt;0,VLOOKUP(D287,Программа!A$1:B$5063,2),IF(F287&gt;0,VLOOKUP(F287,КВР!A$1:B$5001,2),IF(E287&gt;0,VLOOKUP(E287,Направление!A$1:B$4746,2))))))</f>
        <v>Обеспечение деятельности учреждений дополнительного образования</v>
      </c>
      <c r="B287" s="92"/>
      <c r="C287" s="93"/>
      <c r="D287" s="445"/>
      <c r="E287" s="92">
        <v>13210</v>
      </c>
      <c r="F287" s="94"/>
      <c r="G287" s="101">
        <v>7000000</v>
      </c>
      <c r="H287" s="101">
        <f t="shared" si="81"/>
        <v>0</v>
      </c>
      <c r="I287" s="50">
        <f t="shared" si="66"/>
        <v>7000000</v>
      </c>
    </row>
    <row r="288" spans="1:9" ht="62.4">
      <c r="A288" s="49" t="str">
        <f>IF(B288&gt;0,VLOOKUP(B288,КВСР!A225:B1390,2),IF(C288&gt;0,VLOOKUP(C288,КФСР!A225:B1737,2),IF(D288&gt;0,VLOOKUP(D288,Программа!A$1:B$5063,2),IF(F288&gt;0,VLOOKUP(F288,КВР!A$1:B$5001,2),IF(E288&gt;0,VLOOKUP(E288,Направление!A$1:B$4746,2))))))</f>
        <v>Предоставление субсидий бюджетным, автономным учреждениям и иным некоммерческим организациям</v>
      </c>
      <c r="B288" s="92"/>
      <c r="C288" s="93"/>
      <c r="D288" s="94"/>
      <c r="E288" s="92"/>
      <c r="F288" s="94">
        <v>600</v>
      </c>
      <c r="G288" s="387">
        <v>7000000</v>
      </c>
      <c r="H288" s="382"/>
      <c r="I288" s="50">
        <f t="shared" si="66"/>
        <v>7000000</v>
      </c>
    </row>
    <row r="289" spans="1:9" ht="51" customHeight="1">
      <c r="A289" s="49" t="str">
        <f>IF(B289&gt;0,VLOOKUP(B289,КВСР!A226:B1391,2),IF(C289&gt;0,VLOOKUP(C289,КФСР!A226:B1738,2),IF(D289&gt;0,VLOOKUP(D289,Программа!A$1:B$5063,2),IF(F289&gt;0,VLOOKUP(F289,КВР!A$1:B$5001,2),IF(E289&gt;0,VLOOKUP(E289,Направление!A$1:B$4746,2))))))</f>
        <v>Муниципальная программа "Социальная поддержка населения Тутаевского муниципального района"</v>
      </c>
      <c r="B289" s="92"/>
      <c r="C289" s="93"/>
      <c r="D289" s="445" t="s">
        <v>2809</v>
      </c>
      <c r="E289" s="92"/>
      <c r="F289" s="94"/>
      <c r="G289" s="50">
        <v>69600</v>
      </c>
      <c r="H289" s="50">
        <f t="shared" ref="H289" si="82">H292</f>
        <v>0</v>
      </c>
      <c r="I289" s="50">
        <f t="shared" si="66"/>
        <v>69600</v>
      </c>
    </row>
    <row r="290" spans="1:9" ht="62.4">
      <c r="A290" s="49" t="str">
        <f>IF(B290&gt;0,VLOOKUP(B290,КВСР!A227:B1392,2),IF(C290&gt;0,VLOOKUP(C290,КФСР!A227:B1739,2),IF(D290&gt;0,VLOOKUP(D290,Программа!A$1:B$5063,2),IF(F290&gt;0,VLOOKUP(F290,КВР!A$1:B$5001,2),IF(E290&gt;0,VLOOKUP(E290,Направление!A$1:B$4746,2))))))</f>
        <v>Муниципальная целевая программа "Улучшение условий и охраны труда" по Тутаевскому муниципальному району</v>
      </c>
      <c r="B290" s="92"/>
      <c r="C290" s="93"/>
      <c r="D290" s="445" t="s">
        <v>2851</v>
      </c>
      <c r="E290" s="92"/>
      <c r="F290" s="94"/>
      <c r="G290" s="50">
        <v>69600</v>
      </c>
      <c r="H290" s="50">
        <f t="shared" ref="H290:H292" si="83">H291</f>
        <v>0</v>
      </c>
      <c r="I290" s="50">
        <f t="shared" si="66"/>
        <v>69600</v>
      </c>
    </row>
    <row r="291" spans="1:9" ht="70.5" customHeight="1">
      <c r="A291" s="49" t="str">
        <f>IF(B291&gt;0,VLOOKUP(B291,КВСР!A228:B1393,2),IF(C291&gt;0,VLOOKUP(C291,КФСР!A228:B1740,2),IF(D291&gt;0,VLOOKUP(D291,Программа!A$1:B$5063,2),IF(F291&gt;0,VLOOKUP(F291,КВР!A$1:B$5001,2),IF(E291&gt;0,VLOOKUP(E291,Направление!A$1:B$4746,2))))))</f>
        <v>Мероприятия по оценке условий труда и  обучение специалистов по охране труда в учреждениях на территории Тутаевского муниципального района</v>
      </c>
      <c r="B291" s="92"/>
      <c r="C291" s="93"/>
      <c r="D291" s="445" t="s">
        <v>2970</v>
      </c>
      <c r="E291" s="92"/>
      <c r="F291" s="94"/>
      <c r="G291" s="50">
        <v>69600</v>
      </c>
      <c r="H291" s="50">
        <f t="shared" si="83"/>
        <v>0</v>
      </c>
      <c r="I291" s="50">
        <f t="shared" si="66"/>
        <v>69600</v>
      </c>
    </row>
    <row r="292" spans="1:9" ht="38.25" customHeight="1">
      <c r="A292" s="49" t="str">
        <f>IF(B292&gt;0,VLOOKUP(B292,КВСР!A229:B1394,2),IF(C292&gt;0,VLOOKUP(C292,КФСР!A229:B1741,2),IF(D292&gt;0,VLOOKUP(D292,Программа!A$1:B$5063,2),IF(F292&gt;0,VLOOKUP(F292,КВР!A$1:B$5001,2),IF(E292&gt;0,VLOOKUP(E292,Направление!A$1:B$4746,2))))))</f>
        <v>Расходы на реализацию МЦП "Улучшение условий и охраны труда"</v>
      </c>
      <c r="B292" s="92"/>
      <c r="C292" s="93"/>
      <c r="D292" s="445"/>
      <c r="E292" s="92">
        <v>16150</v>
      </c>
      <c r="F292" s="94"/>
      <c r="G292" s="50">
        <v>69600</v>
      </c>
      <c r="H292" s="50">
        <f t="shared" si="83"/>
        <v>0</v>
      </c>
      <c r="I292" s="50">
        <f t="shared" si="66"/>
        <v>69600</v>
      </c>
    </row>
    <row r="293" spans="1:9" ht="62.4">
      <c r="A293" s="49" t="str">
        <f>IF(B293&gt;0,VLOOKUP(B293,КВСР!A230:B1395,2),IF(C293&gt;0,VLOOKUP(C293,КФСР!A230:B1742,2),IF(D293&gt;0,VLOOKUP(D293,Программа!A$1:B$5063,2),IF(F293&gt;0,VLOOKUP(F293,КВР!A$1:B$5001,2),IF(E293&gt;0,VLOOKUP(E293,Направление!A$1:B$4746,2))))))</f>
        <v>Предоставление субсидий бюджетным, автономным учреждениям и иным некоммерческим организациям</v>
      </c>
      <c r="B293" s="92"/>
      <c r="C293" s="93"/>
      <c r="D293" s="94"/>
      <c r="E293" s="92"/>
      <c r="F293" s="94">
        <v>600</v>
      </c>
      <c r="G293" s="387">
        <v>69600</v>
      </c>
      <c r="H293" s="382"/>
      <c r="I293" s="50">
        <f t="shared" si="66"/>
        <v>69600</v>
      </c>
    </row>
    <row r="294" spans="1:9">
      <c r="A294" s="49" t="str">
        <f>IF(B294&gt;0,VLOOKUP(B294,КВСР!A231:B1396,2),IF(C294&gt;0,VLOOKUP(C294,КФСР!A231:B1743,2),IF(D294&gt;0,VLOOKUP(D294,Программа!A$1:B$5063,2),IF(F294&gt;0,VLOOKUP(F294,КВР!A$1:B$5001,2),IF(E294&gt;0,VLOOKUP(E294,Направление!A$1:B$4746,2))))))</f>
        <v>Непрограммные расходы бюджета</v>
      </c>
      <c r="B294" s="92"/>
      <c r="C294" s="93"/>
      <c r="D294" s="445" t="s">
        <v>2852</v>
      </c>
      <c r="E294" s="92"/>
      <c r="F294" s="94"/>
      <c r="G294" s="50">
        <v>20872</v>
      </c>
      <c r="H294" s="50">
        <f t="shared" ref="H294:H295" si="84">H295</f>
        <v>0</v>
      </c>
      <c r="I294" s="50">
        <f t="shared" si="66"/>
        <v>20872</v>
      </c>
    </row>
    <row r="295" spans="1:9" ht="46.8">
      <c r="A295" s="49" t="str">
        <f>IF(B295&gt;0,VLOOKUP(B295,КВСР!A232:B1397,2),IF(C295&gt;0,VLOOKUP(C295,КФСР!A232:B1744,2),IF(D295&gt;0,VLOOKUP(D295,Программа!A$1:B$5063,2),IF(F295&gt;0,VLOOKUP(F295,КВР!A$1:B$5001,2),IF(E295&gt;0,VLOOKUP(E295,Направление!A$1:B$4746,2))))))</f>
        <v>Исполнение судебных актов, актов других органов и должностных лиц, иных документов</v>
      </c>
      <c r="B295" s="92"/>
      <c r="C295" s="93"/>
      <c r="D295" s="445"/>
      <c r="E295" s="92">
        <v>12130</v>
      </c>
      <c r="F295" s="94"/>
      <c r="G295" s="50">
        <v>20872</v>
      </c>
      <c r="H295" s="50">
        <f t="shared" si="84"/>
        <v>0</v>
      </c>
      <c r="I295" s="50">
        <f t="shared" si="66"/>
        <v>20872</v>
      </c>
    </row>
    <row r="296" spans="1:9" ht="62.4">
      <c r="A296" s="49" t="str">
        <f>IF(B296&gt;0,VLOOKUP(B296,КВСР!A233:B1398,2),IF(C296&gt;0,VLOOKUP(C296,КФСР!A233:B1745,2),IF(D296&gt;0,VLOOKUP(D296,Программа!A$1:B$5063,2),IF(F296&gt;0,VLOOKUP(F296,КВР!A$1:B$5001,2),IF(E296&gt;0,VLOOKUP(E296,Направление!A$1:B$4746,2))))))</f>
        <v>Предоставление субсидий бюджетным, автономным учреждениям и иным некоммерческим организациям</v>
      </c>
      <c r="B296" s="92"/>
      <c r="C296" s="93"/>
      <c r="D296" s="94"/>
      <c r="E296" s="92"/>
      <c r="F296" s="94">
        <v>600</v>
      </c>
      <c r="G296" s="387">
        <v>20872</v>
      </c>
      <c r="H296" s="382"/>
      <c r="I296" s="50">
        <f t="shared" si="66"/>
        <v>20872</v>
      </c>
    </row>
    <row r="297" spans="1:9" ht="31.2">
      <c r="A297" s="49" t="str">
        <f>IF(B297&gt;0,VLOOKUP(B297,КВСР!A234:B1399,2),IF(C297&gt;0,VLOOKUP(C297,КФСР!A234:B1746,2),IF(D297&gt;0,VLOOKUP(D297,Программа!A$1:B$5063,2),IF(F297&gt;0,VLOOKUP(F297,КВР!A$1:B$5001,2),IF(E297&gt;0,VLOOKUP(E297,Направление!A$1:B$4746,2))))))</f>
        <v>Молодежная политика и оздоровление детей</v>
      </c>
      <c r="B297" s="92"/>
      <c r="C297" s="93">
        <v>707</v>
      </c>
      <c r="D297" s="445"/>
      <c r="E297" s="92"/>
      <c r="F297" s="94"/>
      <c r="G297" s="83">
        <v>6831930</v>
      </c>
      <c r="H297" s="83">
        <f t="shared" ref="H297" si="85">H298</f>
        <v>0</v>
      </c>
      <c r="I297" s="50">
        <f t="shared" si="66"/>
        <v>6831930</v>
      </c>
    </row>
    <row r="298" spans="1:9" ht="62.4">
      <c r="A298" s="49" t="str">
        <f>IF(B298&gt;0,VLOOKUP(B298,КВСР!A235:B1400,2),IF(C298&gt;0,VLOOKUP(C298,КФСР!A235:B1747,2),IF(D298&gt;0,VLOOKUP(D298,Программа!A$1:B$5063,2),IF(F298&gt;0,VLOOKUP(F298,КВР!A$1:B$5001,2),IF(E298&gt;0,VLOOKUP(E298,Направление!A$1:B$4746,2))))))</f>
        <v>Муниципальная программа "Развитие образования, физической культуры и спорта в Тутаевском муниципальном районе"</v>
      </c>
      <c r="B298" s="92"/>
      <c r="C298" s="93"/>
      <c r="D298" s="445" t="s">
        <v>2739</v>
      </c>
      <c r="E298" s="92"/>
      <c r="F298" s="94"/>
      <c r="G298" s="83">
        <v>6831930</v>
      </c>
      <c r="H298" s="83">
        <f t="shared" ref="H298" si="86">H300</f>
        <v>0</v>
      </c>
      <c r="I298" s="50">
        <f t="shared" si="66"/>
        <v>6831930</v>
      </c>
    </row>
    <row r="299" spans="1:9" ht="62.4">
      <c r="A299" s="49" t="str">
        <f>IF(B299&gt;0,VLOOKUP(B299,КВСР!A236:B1401,2),IF(C299&gt;0,VLOOKUP(C299,КФСР!A236:B1748,2),IF(D299&gt;0,VLOOKUP(D299,Программа!A$1:B$5063,2),IF(F299&gt;0,VLOOKUP(F299,КВР!A$1:B$5001,2),IF(E299&gt;0,VLOOKUP(E299,Направление!A$1:B$4746,2))))))</f>
        <v xml:space="preserve">Ведомственная целевая программа департамента образования Администрации Тутаевского муниципального района </v>
      </c>
      <c r="B299" s="92"/>
      <c r="C299" s="93"/>
      <c r="D299" s="445" t="s">
        <v>2740</v>
      </c>
      <c r="E299" s="92"/>
      <c r="F299" s="94"/>
      <c r="G299" s="83">
        <v>6831930</v>
      </c>
      <c r="H299" s="83">
        <f t="shared" ref="H299" si="87">H300</f>
        <v>0</v>
      </c>
      <c r="I299" s="50">
        <f t="shared" si="66"/>
        <v>6831930</v>
      </c>
    </row>
    <row r="300" spans="1:9" ht="46.8">
      <c r="A300" s="49" t="str">
        <f>IF(B300&gt;0,VLOOKUP(B300,КВСР!A237:B1402,2),IF(C300&gt;0,VLOOKUP(C300,КФСР!A237:B1749,2),IF(D300&gt;0,VLOOKUP(D300,Программа!A$1:B$5063,2),IF(F300&gt;0,VLOOKUP(F300,КВР!A$1:B$5001,2),IF(E300&gt;0,VLOOKUP(E300,Направление!A$1:B$4746,2))))))</f>
        <v>Мероприятия направленные на осуществление отдельных полномочий в области образования</v>
      </c>
      <c r="B300" s="92"/>
      <c r="C300" s="93"/>
      <c r="D300" s="445" t="s">
        <v>2750</v>
      </c>
      <c r="E300" s="92"/>
      <c r="F300" s="94"/>
      <c r="G300" s="83">
        <v>6831930</v>
      </c>
      <c r="H300" s="83">
        <f>H301+H303+H305+H307+H310</f>
        <v>0</v>
      </c>
      <c r="I300" s="50">
        <f t="shared" si="66"/>
        <v>6831930</v>
      </c>
    </row>
    <row r="301" spans="1:9" ht="54.75" customHeight="1">
      <c r="A301" s="49" t="str">
        <f>IF(B301&gt;0,VLOOKUP(B301,КВСР!A238:B1403,2),IF(C301&gt;0,VLOOKUP(C301,КФСР!A238:B1750,2),IF(D301&gt;0,VLOOKUP(D301,Программа!A$1:B$5063,2),IF(F301&gt;0,VLOOKUP(F301,КВР!A$1:B$5001,2),IF(E301&gt;0,VLOOKUP(E301,Направление!A$1:B$4746,2))))))</f>
        <v xml:space="preserve">Расходы на оплату стоимости набора продуктов питания в лагерях с дневной формой пребывания детей </v>
      </c>
      <c r="B301" s="92"/>
      <c r="C301" s="93"/>
      <c r="D301" s="445"/>
      <c r="E301" s="92" t="s">
        <v>2982</v>
      </c>
      <c r="F301" s="94"/>
      <c r="G301" s="83">
        <v>89500</v>
      </c>
      <c r="H301" s="83">
        <f t="shared" ref="H301" si="88">H302</f>
        <v>0</v>
      </c>
      <c r="I301" s="50">
        <f t="shared" si="66"/>
        <v>89500</v>
      </c>
    </row>
    <row r="302" spans="1:9" ht="62.4">
      <c r="A302" s="49" t="str">
        <f>IF(B302&gt;0,VLOOKUP(B302,КВСР!A239:B1404,2),IF(C302&gt;0,VLOOKUP(C302,КФСР!A239:B1751,2),IF(D302&gt;0,VLOOKUP(D302,Программа!A$1:B$5063,2),IF(F302&gt;0,VLOOKUP(F302,КВР!A$1:B$5001,2),IF(E302&gt;0,VLOOKUP(E302,Направление!A$1:B$4746,2))))))</f>
        <v>Предоставление субсидий бюджетным, автономным учреждениям и иным некоммерческим организациям</v>
      </c>
      <c r="B302" s="92"/>
      <c r="C302" s="93"/>
      <c r="D302" s="92"/>
      <c r="E302" s="92"/>
      <c r="F302" s="92">
        <v>600</v>
      </c>
      <c r="G302" s="393">
        <v>89500</v>
      </c>
      <c r="H302" s="383"/>
      <c r="I302" s="50">
        <f t="shared" si="66"/>
        <v>89500</v>
      </c>
    </row>
    <row r="303" spans="1:9" ht="113.25" customHeight="1">
      <c r="A303" s="49" t="str">
        <f>IF(B303&gt;0,VLOOKUP(B303,КВСР!A240:B1405,2),IF(C303&gt;0,VLOOKUP(C303,КФСР!A240:B1752,2),IF(D303&gt;0,VLOOKUP(D303,Программа!A$1:B$5063,2),IF(F303&gt;0,VLOOKUP(F303,КВР!A$1:B$5001,2),IF(E303&gt;0,VLOOKUP(E303,Направление!A$1:B$4746,2))))))</f>
        <v>Расходы на обеспечение отдыха и оздоровления  детей, находящихся в трудной жизненной ситтуации,детей погибших сотрудников правоохранительных органов и военнослужащих,безнадзорных детей за счет средств областного бюджета</v>
      </c>
      <c r="B303" s="92"/>
      <c r="C303" s="93"/>
      <c r="D303" s="92"/>
      <c r="E303" s="92">
        <v>54570</v>
      </c>
      <c r="F303" s="92"/>
      <c r="G303" s="51">
        <v>550000</v>
      </c>
      <c r="H303" s="51">
        <f t="shared" ref="H303" si="89">H304</f>
        <v>0</v>
      </c>
      <c r="I303" s="50">
        <f t="shared" si="66"/>
        <v>550000</v>
      </c>
    </row>
    <row r="304" spans="1:9" ht="31.2">
      <c r="A304" s="49" t="str">
        <f>IF(B304&gt;0,VLOOKUP(B304,КВСР!A241:B1406,2),IF(C304&gt;0,VLOOKUP(C304,КФСР!A241:B1753,2),IF(D304&gt;0,VLOOKUP(D304,Программа!A$1:B$5063,2),IF(F304&gt;0,VLOOKUP(F304,КВР!A$1:B$5001,2),IF(E304&gt;0,VLOOKUP(E304,Направление!A$1:B$4746,2))))))</f>
        <v>Социальное обеспечение и иные выплаты населению</v>
      </c>
      <c r="B304" s="92"/>
      <c r="C304" s="93"/>
      <c r="D304" s="92"/>
      <c r="E304" s="92"/>
      <c r="F304" s="92">
        <v>300</v>
      </c>
      <c r="G304" s="393">
        <v>550000</v>
      </c>
      <c r="H304" s="393"/>
      <c r="I304" s="50">
        <f t="shared" si="66"/>
        <v>550000</v>
      </c>
    </row>
    <row r="305" spans="1:9" ht="93.6">
      <c r="A305" s="49" t="str">
        <f>IF(B305&gt;0,VLOOKUP(B305,КВСР!A242:B1407,2),IF(C305&gt;0,VLOOKUP(C305,КФСР!A242:B1754,2),IF(D305&gt;0,VLOOKUP(D305,Программа!A$1:B$5063,2),IF(F305&gt;0,VLOOKUP(F305,КВР!A$1:B$5001,2),IF(E305&gt;0,VLOOKUP(E305,Направление!A$1:B$4746,2))))))</f>
        <v>Расходы на оплату стоимости набора продуктов питания в лагерях с дневной формой пребывания детей, расположенных на территории Ярославской области, за счет средств областного бюджета</v>
      </c>
      <c r="B305" s="92"/>
      <c r="C305" s="93"/>
      <c r="D305" s="445"/>
      <c r="E305" s="92">
        <v>71000</v>
      </c>
      <c r="F305" s="94"/>
      <c r="G305" s="50">
        <v>805430</v>
      </c>
      <c r="H305" s="50">
        <f t="shared" ref="H305" si="90">H306</f>
        <v>0</v>
      </c>
      <c r="I305" s="50">
        <f t="shared" si="66"/>
        <v>805430</v>
      </c>
    </row>
    <row r="306" spans="1:9" ht="62.4">
      <c r="A306" s="49" t="str">
        <f>IF(B306&gt;0,VLOOKUP(B306,КВСР!A243:B1408,2),IF(C306&gt;0,VLOOKUP(C306,КФСР!A243:B1755,2),IF(D306&gt;0,VLOOKUP(D306,Программа!A$1:B$5063,2),IF(F306&gt;0,VLOOKUP(F306,КВР!A$1:B$5001,2),IF(E306&gt;0,VLOOKUP(E306,Направление!A$1:B$4746,2))))))</f>
        <v>Предоставление субсидий бюджетным, автономным учреждениям и иным некоммерческим организациям</v>
      </c>
      <c r="B306" s="92"/>
      <c r="C306" s="93"/>
      <c r="D306" s="94"/>
      <c r="E306" s="92"/>
      <c r="F306" s="94">
        <v>600</v>
      </c>
      <c r="G306" s="387">
        <v>805430</v>
      </c>
      <c r="H306" s="382"/>
      <c r="I306" s="50">
        <f t="shared" si="66"/>
        <v>805430</v>
      </c>
    </row>
    <row r="307" spans="1:9" ht="124.8">
      <c r="A307" s="49" t="str">
        <f>IF(B307&gt;0,VLOOKUP(B307,КВСР!A244:B1409,2),IF(C307&gt;0,VLOOKUP(C307,КФСР!A244:B1756,2),IF(D307&gt;0,VLOOKUP(D307,Программа!A$1:B$5063,2),IF(F307&gt;0,VLOOKUP(F307,КВР!A$1:B$5001,2),IF(E307&gt;0,VLOOKUP(E307,Направление!A$1:B$4746,2))))))</f>
        <v>Расходы на обеспечение отдыха и оздоровления детей, находящихся в трудной жизненной ситуации, детей погибших сотрудников правоохранительных органов и военнослужащих, безнадзорных детей за счет средств областного бюджета</v>
      </c>
      <c r="B307" s="92"/>
      <c r="C307" s="93"/>
      <c r="D307" s="445"/>
      <c r="E307" s="92">
        <v>71060</v>
      </c>
      <c r="F307" s="94"/>
      <c r="G307" s="50">
        <v>4407000</v>
      </c>
      <c r="H307" s="50">
        <f t="shared" ref="H307" si="91">H308+H309</f>
        <v>0</v>
      </c>
      <c r="I307" s="50">
        <f t="shared" si="66"/>
        <v>4407000</v>
      </c>
    </row>
    <row r="308" spans="1:9" ht="31.2">
      <c r="A308" s="49" t="str">
        <f>IF(B308&gt;0,VLOOKUP(B308,КВСР!A245:B1410,2),IF(C308&gt;0,VLOOKUP(C308,КФСР!A245:B1757,2),IF(D308&gt;0,VLOOKUP(D308,Программа!A$1:B$5063,2),IF(F308&gt;0,VLOOKUP(F308,КВР!A$1:B$5001,2),IF(E308&gt;0,VLOOKUP(E308,Направление!A$1:B$4746,2))))))</f>
        <v>Социальное обеспечение и иные выплаты населению</v>
      </c>
      <c r="B308" s="92"/>
      <c r="C308" s="93"/>
      <c r="D308" s="94"/>
      <c r="E308" s="92"/>
      <c r="F308" s="94">
        <v>300</v>
      </c>
      <c r="G308" s="387">
        <v>3306460</v>
      </c>
      <c r="H308" s="382"/>
      <c r="I308" s="50">
        <f t="shared" si="66"/>
        <v>3306460</v>
      </c>
    </row>
    <row r="309" spans="1:9" ht="62.4">
      <c r="A309" s="49" t="str">
        <f>IF(B309&gt;0,VLOOKUP(B309,КВСР!A246:B1411,2),IF(C309&gt;0,VLOOKUP(C309,КФСР!A246:B1758,2),IF(D309&gt;0,VLOOKUP(D309,Программа!A$1:B$5063,2),IF(F309&gt;0,VLOOKUP(F309,КВР!A$1:B$5001,2),IF(E309&gt;0,VLOOKUP(E309,Направление!A$1:B$4746,2))))))</f>
        <v>Предоставление субсидий бюджетным, автономным учреждениям и иным некоммерческим организациям</v>
      </c>
      <c r="B309" s="92"/>
      <c r="C309" s="93"/>
      <c r="D309" s="94"/>
      <c r="E309" s="92"/>
      <c r="F309" s="94">
        <v>600</v>
      </c>
      <c r="G309" s="387">
        <v>1100540</v>
      </c>
      <c r="H309" s="382"/>
      <c r="I309" s="50">
        <f t="shared" si="66"/>
        <v>1100540</v>
      </c>
    </row>
    <row r="310" spans="1:9" ht="46.8">
      <c r="A310" s="49" t="str">
        <f>IF(B310&gt;0,VLOOKUP(B310,КВСР!A247:B1412,2),IF(C310&gt;0,VLOOKUP(C310,КФСР!A247:B1759,2),IF(D310&gt;0,VLOOKUP(D310,Программа!A$1:B$5063,2),IF(F310&gt;0,VLOOKUP(F310,КВР!A$1:B$5001,2),IF(E310&gt;0,VLOOKUP(E310,Направление!A$1:B$4746,2))))))</f>
        <v>Компенсация части расходов на приобретение путевки в организации отдыха детей и их оздоровления</v>
      </c>
      <c r="B310" s="92"/>
      <c r="C310" s="93"/>
      <c r="D310" s="94"/>
      <c r="E310" s="92">
        <v>74390</v>
      </c>
      <c r="F310" s="94"/>
      <c r="G310" s="50">
        <v>980000</v>
      </c>
      <c r="H310" s="50">
        <f t="shared" ref="H310" si="92">H311</f>
        <v>0</v>
      </c>
      <c r="I310" s="50">
        <f t="shared" si="66"/>
        <v>980000</v>
      </c>
    </row>
    <row r="311" spans="1:9" ht="31.2">
      <c r="A311" s="49" t="str">
        <f>IF(B311&gt;0,VLOOKUP(B311,КВСР!A248:B1413,2),IF(C311&gt;0,VLOOKUP(C311,КФСР!A248:B1760,2),IF(D311&gt;0,VLOOKUP(D311,Программа!A$1:B$5063,2),IF(F311&gt;0,VLOOKUP(F311,КВР!A$1:B$5001,2),IF(E311&gt;0,VLOOKUP(E311,Направление!A$1:B$4746,2))))))</f>
        <v>Социальное обеспечение и иные выплаты населению</v>
      </c>
      <c r="B311" s="92"/>
      <c r="C311" s="93"/>
      <c r="D311" s="94"/>
      <c r="E311" s="92"/>
      <c r="F311" s="94">
        <v>300</v>
      </c>
      <c r="G311" s="387">
        <v>980000</v>
      </c>
      <c r="H311" s="382"/>
      <c r="I311" s="50">
        <f t="shared" si="66"/>
        <v>980000</v>
      </c>
    </row>
    <row r="312" spans="1:9" ht="31.2">
      <c r="A312" s="49" t="str">
        <f>IF(B312&gt;0,VLOOKUP(B312,КВСР!A249:B1414,2),IF(C312&gt;0,VLOOKUP(C312,КФСР!A249:B1761,2),IF(D312&gt;0,VLOOKUP(D312,Программа!A$1:B$5063,2),IF(F312&gt;0,VLOOKUP(F312,КВР!A$1:B$5001,2),IF(E312&gt;0,VLOOKUP(E312,Направление!A$1:B$4746,2))))))</f>
        <v>Другие вопросы в области образования</v>
      </c>
      <c r="B312" s="92"/>
      <c r="C312" s="93">
        <v>709</v>
      </c>
      <c r="D312" s="445"/>
      <c r="E312" s="92"/>
      <c r="F312" s="94"/>
      <c r="G312" s="83">
        <v>57244588</v>
      </c>
      <c r="H312" s="83">
        <f>H313+H324+H385+H389+H375</f>
        <v>1124195</v>
      </c>
      <c r="I312" s="83">
        <f>I313+I324+I385+I389+I375</f>
        <v>58368783</v>
      </c>
    </row>
    <row r="313" spans="1:9" ht="62.4">
      <c r="A313" s="49" t="str">
        <f>IF(B313&gt;0,VLOOKUP(B313,КВСР!A250:B1415,2),IF(C313&gt;0,VLOOKUP(C313,КФСР!A250:B1762,2),IF(D313&gt;0,VLOOKUP(D313,Программа!A$1:B$5063,2),IF(F313&gt;0,VLOOKUP(F313,КВР!A$1:B$5001,2),IF(E313&gt;0,VLOOKUP(E313,Направление!A$1:B$4746,2))))))</f>
        <v>Муниципальная программа  "Развитие культуры, туризма и молодежной политики в Тутаевском муниципальном районе"</v>
      </c>
      <c r="B313" s="92"/>
      <c r="C313" s="93"/>
      <c r="D313" s="445" t="s">
        <v>2721</v>
      </c>
      <c r="E313" s="92"/>
      <c r="F313" s="94"/>
      <c r="G313" s="83">
        <v>196215</v>
      </c>
      <c r="H313" s="83">
        <f t="shared" ref="H313" si="93">H314+H318</f>
        <v>0</v>
      </c>
      <c r="I313" s="50">
        <f t="shared" si="66"/>
        <v>196215</v>
      </c>
    </row>
    <row r="314" spans="1:9" ht="93.6">
      <c r="A314" s="49" t="str">
        <f>IF(B314&gt;0,VLOOKUP(B314,КВСР!A251:B1416,2),IF(C314&gt;0,VLOOKUP(C314,КФСР!A251:B1763,2),IF(D314&gt;0,VLOOKUP(D314,Программа!A$1:B$5063,2),IF(F314&gt;0,VLOOKUP(F314,КВР!A$1:B$5001,2),IF(E314&gt;0,VLOOKUP(E314,Направление!A$1:B$4746,2))))))</f>
        <v>Муниципальная целевая программа «Патриотическое воспитание граждан Российской Федерации, проживающих на территории Тутаевского муниципального района Ярославской области»</v>
      </c>
      <c r="B314" s="92"/>
      <c r="C314" s="93"/>
      <c r="D314" s="445" t="s">
        <v>2724</v>
      </c>
      <c r="E314" s="92"/>
      <c r="F314" s="94"/>
      <c r="G314" s="83">
        <v>57000</v>
      </c>
      <c r="H314" s="83">
        <f t="shared" ref="H314:H316" si="94">H315</f>
        <v>0</v>
      </c>
      <c r="I314" s="50">
        <f t="shared" si="66"/>
        <v>57000</v>
      </c>
    </row>
    <row r="315" spans="1:9" ht="93.6">
      <c r="A315" s="49" t="str">
        <f>IF(B315&gt;0,VLOOKUP(B315,КВСР!A252:B1417,2),IF(C315&gt;0,VLOOKUP(C315,КФСР!A252:B1764,2),IF(D315&gt;0,VLOOKUP(D315,Программа!A$1:B$5063,2),IF(F315&gt;0,VLOOKUP(F315,КВР!A$1:B$5001,2),IF(E315&gt;0,VLOOKUP(E315,Направление!A$1:B$4746,2))))))</f>
        <v>Координирование деятельности, совершенствование организационного, методического и информационного функционирования системы патриотического воспитания</v>
      </c>
      <c r="B315" s="92"/>
      <c r="C315" s="93"/>
      <c r="D315" s="445" t="s">
        <v>2725</v>
      </c>
      <c r="E315" s="92"/>
      <c r="F315" s="94"/>
      <c r="G315" s="83">
        <v>57000</v>
      </c>
      <c r="H315" s="83">
        <f t="shared" si="94"/>
        <v>0</v>
      </c>
      <c r="I315" s="50">
        <f t="shared" si="66"/>
        <v>57000</v>
      </c>
    </row>
    <row r="316" spans="1:9" ht="46.8">
      <c r="A316" s="49" t="str">
        <f>IF(B316&gt;0,VLOOKUP(B316,КВСР!A253:B1418,2),IF(C316&gt;0,VLOOKUP(C316,КФСР!A253:B1765,2),IF(D316&gt;0,VLOOKUP(D316,Программа!A$1:B$5063,2),IF(F316&gt;0,VLOOKUP(F316,КВР!A$1:B$5001,2),IF(E316&gt;0,VLOOKUP(E316,Направление!A$1:B$4746,2))))))</f>
        <v>Расходы на реализацию мероприятий патриотического воспитания молодежи</v>
      </c>
      <c r="B316" s="92"/>
      <c r="C316" s="93"/>
      <c r="D316" s="445"/>
      <c r="E316" s="92">
        <v>14560</v>
      </c>
      <c r="F316" s="94"/>
      <c r="G316" s="83">
        <v>57000</v>
      </c>
      <c r="H316" s="83">
        <f t="shared" si="94"/>
        <v>0</v>
      </c>
      <c r="I316" s="50">
        <f t="shared" si="66"/>
        <v>57000</v>
      </c>
    </row>
    <row r="317" spans="1:9" ht="62.4">
      <c r="A317" s="49" t="str">
        <f>IF(B317&gt;0,VLOOKUP(B317,КВСР!A254:B1419,2),IF(C317&gt;0,VLOOKUP(C317,КФСР!A254:B1766,2),IF(D317&gt;0,VLOOKUP(D317,Программа!A$1:B$5063,2),IF(F317&gt;0,VLOOKUP(F317,КВР!A$1:B$5001,2),IF(E317&gt;0,VLOOKUP(E317,Направление!A$1:B$4746,2))))))</f>
        <v>Предоставление субсидий бюджетным, автономным учреждениям и иным некоммерческим организациям</v>
      </c>
      <c r="B317" s="92"/>
      <c r="C317" s="93"/>
      <c r="D317" s="445"/>
      <c r="E317" s="92"/>
      <c r="F317" s="94">
        <v>600</v>
      </c>
      <c r="G317" s="83">
        <v>57000</v>
      </c>
      <c r="H317" s="383"/>
      <c r="I317" s="50">
        <f t="shared" si="66"/>
        <v>57000</v>
      </c>
    </row>
    <row r="318" spans="1:9" ht="69" customHeight="1">
      <c r="A318" s="49" t="str">
        <f>IF(B318&gt;0,VLOOKUP(B318,КВСР!A255:B1420,2),IF(C318&gt;0,VLOOKUP(C318,КФСР!A255:B1767,2),IF(D318&gt;0,VLOOKUP(D318,Программа!A$1:B$5063,2),IF(F318&gt;0,VLOOKUP(F318,КВР!A$1:B$5001,2),IF(E318&gt;0,VLOOKUP(E318,Направление!A$1:B$4746,2))))))</f>
        <v>Муниципальная целевая программа «Комплексные меры противодействия злоупотреблению наркотиками и их незаконному обороту»</v>
      </c>
      <c r="B318" s="92"/>
      <c r="C318" s="93"/>
      <c r="D318" s="445" t="s">
        <v>2726</v>
      </c>
      <c r="E318" s="92"/>
      <c r="F318" s="94"/>
      <c r="G318" s="83">
        <v>139215</v>
      </c>
      <c r="H318" s="83">
        <f t="shared" ref="H318" si="95">H319</f>
        <v>0</v>
      </c>
      <c r="I318" s="50">
        <f t="shared" si="66"/>
        <v>139215</v>
      </c>
    </row>
    <row r="319" spans="1:9" ht="46.8">
      <c r="A319" s="49" t="str">
        <f>IF(B319&gt;0,VLOOKUP(B319,КВСР!A256:B1421,2),IF(C319&gt;0,VLOOKUP(C319,КФСР!A256:B1768,2),IF(D319&gt;0,VLOOKUP(D319,Программа!A$1:B$5063,2),IF(F319&gt;0,VLOOKUP(F319,КВР!A$1:B$5001,2),IF(E319&gt;0,VLOOKUP(E319,Направление!A$1:B$4746,2))))))</f>
        <v>Развитие системы профилактики немедицинского потребления наркотиков</v>
      </c>
      <c r="B319" s="92"/>
      <c r="C319" s="93"/>
      <c r="D319" s="445" t="s">
        <v>2727</v>
      </c>
      <c r="E319" s="92"/>
      <c r="F319" s="94"/>
      <c r="G319" s="83">
        <v>139215</v>
      </c>
      <c r="H319" s="83">
        <f t="shared" ref="H319" si="96">H320+H322</f>
        <v>0</v>
      </c>
      <c r="I319" s="50">
        <f t="shared" si="66"/>
        <v>139215</v>
      </c>
    </row>
    <row r="320" spans="1:9" ht="78">
      <c r="A320" s="49" t="str">
        <f>IF(B320&gt;0,VLOOKUP(B320,КВСР!A257:B1422,2),IF(C320&gt;0,VLOOKUP(C320,КФСР!A257:B1769,2),IF(D320&gt;0,VLOOKUP(D320,Программа!A$1:B$5063,2),IF(F320&gt;0,VLOOKUP(F320,КВР!A$1:B$5001,2),IF(E320&gt;0,VLOOKUP(E320,Направление!A$1:B$4746,2))))))</f>
        <v>Расходы на обеспечение функционирования в вечернее время спортивных залов общеобразовательных школ для занятий в них обучающихся</v>
      </c>
      <c r="B320" s="92"/>
      <c r="C320" s="93"/>
      <c r="D320" s="445"/>
      <c r="E320" s="92" t="s">
        <v>2983</v>
      </c>
      <c r="F320" s="94"/>
      <c r="G320" s="83">
        <v>18572</v>
      </c>
      <c r="H320" s="83">
        <f t="shared" ref="H320" si="97">H321</f>
        <v>0</v>
      </c>
      <c r="I320" s="50">
        <f t="shared" si="66"/>
        <v>18572</v>
      </c>
    </row>
    <row r="321" spans="1:9" ht="62.4">
      <c r="A321" s="49" t="str">
        <f>IF(B321&gt;0,VLOOKUP(B321,КВСР!A258:B1423,2),IF(C321&gt;0,VLOOKUP(C321,КФСР!A258:B1770,2),IF(D321&gt;0,VLOOKUP(D321,Программа!A$1:B$5063,2),IF(F321&gt;0,VLOOKUP(F321,КВР!A$1:B$5001,2),IF(E321&gt;0,VLOOKUP(E321,Направление!A$1:B$4746,2))))))</f>
        <v>Предоставление субсидий бюджетным, автономным учреждениям и иным некоммерческим организациям</v>
      </c>
      <c r="B321" s="92"/>
      <c r="C321" s="93"/>
      <c r="D321" s="445"/>
      <c r="E321" s="92"/>
      <c r="F321" s="94">
        <v>600</v>
      </c>
      <c r="G321" s="393">
        <v>18572</v>
      </c>
      <c r="H321" s="390"/>
      <c r="I321" s="50">
        <f t="shared" si="66"/>
        <v>18572</v>
      </c>
    </row>
    <row r="322" spans="1:9" ht="93.6">
      <c r="A322" s="49" t="str">
        <f>IF(B322&gt;0,VLOOKUP(B322,КВСР!A259:B1424,2),IF(C322&gt;0,VLOOKUP(C322,КФСР!A259:B1771,2),IF(D322&gt;0,VLOOKUP(D322,Программа!A$1:B$5063,2),IF(F322&gt;0,VLOOKUP(F322,КВР!A$1:B$5001,2),IF(E322&gt;0,VLOOKUP(E322,Направление!A$1:B$4746,2))))))</f>
        <v>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v>
      </c>
      <c r="B322" s="92"/>
      <c r="C322" s="93"/>
      <c r="D322" s="445"/>
      <c r="E322" s="92">
        <v>71430</v>
      </c>
      <c r="F322" s="94"/>
      <c r="G322" s="83">
        <v>120643</v>
      </c>
      <c r="H322" s="83">
        <f t="shared" ref="H322" si="98">H323</f>
        <v>0</v>
      </c>
      <c r="I322" s="50">
        <f t="shared" ref="I322:I399" si="99">SUM(G322:H322)</f>
        <v>120643</v>
      </c>
    </row>
    <row r="323" spans="1:9" ht="62.4">
      <c r="A323" s="49" t="str">
        <f>IF(B323&gt;0,VLOOKUP(B323,КВСР!A260:B1425,2),IF(C323&gt;0,VLOOKUP(C323,КФСР!A260:B1772,2),IF(D323&gt;0,VLOOKUP(D323,Программа!A$1:B$5063,2),IF(F323&gt;0,VLOOKUP(F323,КВР!A$1:B$5001,2),IF(E323&gt;0,VLOOKUP(E323,Направление!A$1:B$4746,2))))))</f>
        <v>Предоставление субсидий бюджетным, автономным учреждениям и иным некоммерческим организациям</v>
      </c>
      <c r="B323" s="92"/>
      <c r="C323" s="93"/>
      <c r="D323" s="445"/>
      <c r="E323" s="92"/>
      <c r="F323" s="94">
        <v>600</v>
      </c>
      <c r="G323" s="393">
        <v>120643</v>
      </c>
      <c r="H323" s="390"/>
      <c r="I323" s="50">
        <f t="shared" si="99"/>
        <v>120643</v>
      </c>
    </row>
    <row r="324" spans="1:9" ht="62.4">
      <c r="A324" s="49" t="str">
        <f>IF(B324&gt;0,VLOOKUP(B324,КВСР!A261:B1426,2),IF(C324&gt;0,VLOOKUP(C324,КФСР!A261:B1773,2),IF(D324&gt;0,VLOOKUP(D324,Программа!A$1:B$5063,2),IF(F324&gt;0,VLOOKUP(F324,КВР!A$1:B$5001,2),IF(E324&gt;0,VLOOKUP(E324,Направление!A$1:B$4746,2))))))</f>
        <v>Муниципальная программа "Развитие образования, физической культуры и спорта в Тутаевском муниципальном районе"</v>
      </c>
      <c r="B324" s="92"/>
      <c r="C324" s="93"/>
      <c r="D324" s="445" t="s">
        <v>2739</v>
      </c>
      <c r="E324" s="92"/>
      <c r="F324" s="94"/>
      <c r="G324" s="83">
        <v>56089478</v>
      </c>
      <c r="H324" s="83">
        <f t="shared" ref="H324" si="100">H325+H367+H371</f>
        <v>24195</v>
      </c>
      <c r="I324" s="50">
        <f t="shared" si="99"/>
        <v>56113673</v>
      </c>
    </row>
    <row r="325" spans="1:9" ht="62.4">
      <c r="A325" s="49" t="str">
        <f>IF(B325&gt;0,VLOOKUP(B325,КВСР!A262:B1427,2),IF(C325&gt;0,VLOOKUP(C325,КФСР!A262:B1774,2),IF(D325&gt;0,VLOOKUP(D325,Программа!A$1:B$5063,2),IF(F325&gt;0,VLOOKUP(F325,КВР!A$1:B$5001,2),IF(E325&gt;0,VLOOKUP(E325,Направление!A$1:B$4746,2))))))</f>
        <v xml:space="preserve">Ведомственная целевая программа департамента образования Администрации Тутаевского муниципального района </v>
      </c>
      <c r="B325" s="92"/>
      <c r="C325" s="93"/>
      <c r="D325" s="445" t="s">
        <v>2740</v>
      </c>
      <c r="E325" s="92"/>
      <c r="F325" s="94"/>
      <c r="G325" s="83">
        <v>56034478</v>
      </c>
      <c r="H325" s="83">
        <f>H335+H340+H348+H329+H326</f>
        <v>24195</v>
      </c>
      <c r="I325" s="50">
        <f t="shared" si="99"/>
        <v>56058673</v>
      </c>
    </row>
    <row r="326" spans="1:9" ht="69" customHeight="1">
      <c r="A326" s="49" t="str">
        <f>IF(B326&gt;0,VLOOKUP(B326,КВСР!A263:B1428,2),IF(C326&gt;0,VLOOKUP(C326,КФСР!A263:B1775,2),IF(D326&gt;0,VLOOKUP(D326,Программа!A$1:B$5063,2),IF(F326&gt;0,VLOOKUP(F326,КВР!A$1:B$5001,2),IF(E326&gt;0,VLOOKUP(E326,Направление!A$1:B$4746,2))))))</f>
        <v>Организация предоставления муниципальных услуг и выполнения работ  муниципальными учреждениями сферы образования</v>
      </c>
      <c r="B326" s="92"/>
      <c r="C326" s="93"/>
      <c r="D326" s="445" t="s">
        <v>2741</v>
      </c>
      <c r="E326" s="92"/>
      <c r="F326" s="94"/>
      <c r="G326" s="83">
        <v>2204737</v>
      </c>
      <c r="H326" s="83">
        <f t="shared" ref="H326:I326" si="101">H327</f>
        <v>0</v>
      </c>
      <c r="I326" s="83">
        <f t="shared" si="101"/>
        <v>2204737</v>
      </c>
    </row>
    <row r="327" spans="1:9" ht="62.4">
      <c r="A327" s="49" t="str">
        <f>IF(B327&gt;0,VLOOKUP(B327,КВСР!A264:B1429,2),IF(C327&gt;0,VLOOKUP(C327,КФСР!A264:B1776,2),IF(D327&gt;0,VLOOKUP(D327,Программа!A$1:B$5063,2),IF(F327&gt;0,VLOOKUP(F327,КВР!A$1:B$5001,2),IF(E327&gt;0,VLOOKUP(E327,Направление!A$1:B$4746,2))))))</f>
        <v>Мероприятия по содействию решению вопросов местного значения по обращению депутатов Ярославской областной Думы</v>
      </c>
      <c r="B327" s="92"/>
      <c r="C327" s="93"/>
      <c r="D327" s="445"/>
      <c r="E327" s="92">
        <v>74430</v>
      </c>
      <c r="F327" s="94"/>
      <c r="G327" s="83">
        <v>2204737</v>
      </c>
      <c r="H327" s="83">
        <f t="shared" ref="H327:I327" si="102">H328</f>
        <v>0</v>
      </c>
      <c r="I327" s="83">
        <f t="shared" si="102"/>
        <v>2204737</v>
      </c>
    </row>
    <row r="328" spans="1:9" ht="62.4">
      <c r="A328" s="49" t="str">
        <f>IF(B328&gt;0,VLOOKUP(B328,КВСР!A265:B1430,2),IF(C328&gt;0,VLOOKUP(C328,КФСР!A265:B1777,2),IF(D328&gt;0,VLOOKUP(D328,Программа!A$1:B$5063,2),IF(F328&gt;0,VLOOKUP(F328,КВР!A$1:B$5001,2),IF(E328&gt;0,VLOOKUP(E328,Направление!A$1:B$4746,2))))))</f>
        <v>Предоставление субсидий бюджетным, автономным учреждениям и иным некоммерческим организациям</v>
      </c>
      <c r="B328" s="92"/>
      <c r="C328" s="93"/>
      <c r="D328" s="445"/>
      <c r="E328" s="92"/>
      <c r="F328" s="94">
        <v>600</v>
      </c>
      <c r="G328" s="83">
        <v>2204737</v>
      </c>
      <c r="H328" s="83"/>
      <c r="I328" s="50">
        <f>G328+H328</f>
        <v>2204737</v>
      </c>
    </row>
    <row r="329" spans="1:9" ht="62.4">
      <c r="A329" s="49" t="str">
        <f>IF(B329&gt;0,VLOOKUP(B329,КВСР!A263:B1428,2),IF(C329&gt;0,VLOOKUP(C329,КФСР!A263:B1775,2),IF(D329&gt;0,VLOOKUP(D329,Программа!A$1:B$5063,2),IF(F329&gt;0,VLOOKUP(F329,КВР!A$1:B$5001,2),IF(E329&gt;0,VLOOKUP(E329,Направление!A$1:B$4746,2))))))</f>
        <v>Методическая и консультационная помощь, психолого-педагогическое и медико-социальное сопровождение детей</v>
      </c>
      <c r="B329" s="92"/>
      <c r="C329" s="93"/>
      <c r="D329" s="445" t="s">
        <v>2746</v>
      </c>
      <c r="E329" s="92"/>
      <c r="F329" s="94"/>
      <c r="G329" s="83">
        <v>11690400</v>
      </c>
      <c r="H329" s="83">
        <f t="shared" ref="H329" si="103">H331+H332+H333+H334</f>
        <v>24195</v>
      </c>
      <c r="I329" s="50">
        <f t="shared" si="99"/>
        <v>11714595</v>
      </c>
    </row>
    <row r="330" spans="1:9" ht="31.2">
      <c r="A330" s="49" t="str">
        <f>IF(B330&gt;0,VLOOKUP(B330,КВСР!A264:B1429,2),IF(C330&gt;0,VLOOKUP(C330,КФСР!A264:B1776,2),IF(D330&gt;0,VLOOKUP(D330,Программа!A$1:B$5063,2),IF(F330&gt;0,VLOOKUP(F330,КВР!A$1:B$5001,2),IF(E330&gt;0,VLOOKUP(E330,Направление!A$1:B$4746,2))))))</f>
        <v>Обеспечение деятельности прочих учреждений в сфере образования</v>
      </c>
      <c r="B330" s="92"/>
      <c r="C330" s="93"/>
      <c r="D330" s="445"/>
      <c r="E330" s="92">
        <v>13310</v>
      </c>
      <c r="F330" s="94"/>
      <c r="G330" s="83">
        <v>11690400</v>
      </c>
      <c r="H330" s="83">
        <f t="shared" ref="H330" si="104">H331+H332+H333+H334</f>
        <v>24195</v>
      </c>
      <c r="I330" s="50">
        <f t="shared" si="99"/>
        <v>11714595</v>
      </c>
    </row>
    <row r="331" spans="1:9" ht="109.2" hidden="1">
      <c r="A331" s="49" t="str">
        <f>IF(B331&gt;0,VLOOKUP(B331,КВСР!A265:B1430,2),IF(C331&gt;0,VLOOKUP(C331,КФСР!A265:B1777,2),IF(D331&gt;0,VLOOKUP(D331,Программа!A$1:B$5063,2),IF(F331&gt;0,VLOOKUP(F331,КВР!A$1:B$5001,2),IF(E331&gt;0,VLOOKUP(E331,Направление!A$1:B$4746,2))))))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331" s="92"/>
      <c r="C331" s="93"/>
      <c r="D331" s="445"/>
      <c r="E331" s="92"/>
      <c r="F331" s="94">
        <v>100</v>
      </c>
      <c r="G331" s="393">
        <v>0</v>
      </c>
      <c r="H331" s="383"/>
      <c r="I331" s="50">
        <f t="shared" si="99"/>
        <v>0</v>
      </c>
    </row>
    <row r="332" spans="1:9" ht="31.2" hidden="1">
      <c r="A332" s="49" t="str">
        <f>IF(B332&gt;0,VLOOKUP(B332,КВСР!A266:B1431,2),IF(C332&gt;0,VLOOKUP(C332,КФСР!A266:B1778,2),IF(D332&gt;0,VLOOKUP(D332,Программа!A$1:B$5063,2),IF(F332&gt;0,VLOOKUP(F332,КВР!A$1:B$5001,2),IF(E332&gt;0,VLOOKUP(E332,Направление!A$1:B$4746,2))))))</f>
        <v>Закупка товаров, работ и услуг для государственных нужд</v>
      </c>
      <c r="B332" s="92"/>
      <c r="C332" s="93"/>
      <c r="D332" s="445"/>
      <c r="E332" s="92"/>
      <c r="F332" s="94">
        <v>200</v>
      </c>
      <c r="G332" s="393">
        <v>0</v>
      </c>
      <c r="H332" s="383"/>
      <c r="I332" s="50">
        <f t="shared" si="99"/>
        <v>0</v>
      </c>
    </row>
    <row r="333" spans="1:9" ht="62.4">
      <c r="A333" s="49" t="str">
        <f>IF(B333&gt;0,VLOOKUP(B333,КВСР!A267:B1432,2),IF(C333&gt;0,VLOOKUP(C333,КФСР!A267:B1779,2),IF(D333&gt;0,VLOOKUP(D333,Программа!A$1:B$5063,2),IF(F333&gt;0,VLOOKUP(F333,КВР!A$1:B$5001,2),IF(E333&gt;0,VLOOKUP(E333,Направление!A$1:B$4746,2))))))</f>
        <v>Предоставление субсидий бюджетным, автономным учреждениям и иным некоммерческим организациям</v>
      </c>
      <c r="B333" s="92"/>
      <c r="C333" s="93"/>
      <c r="D333" s="445"/>
      <c r="E333" s="92"/>
      <c r="F333" s="94">
        <v>600</v>
      </c>
      <c r="G333" s="393">
        <v>11690400</v>
      </c>
      <c r="H333" s="383">
        <v>24195</v>
      </c>
      <c r="I333" s="50">
        <f t="shared" si="99"/>
        <v>11714595</v>
      </c>
    </row>
    <row r="334" spans="1:9" hidden="1">
      <c r="A334" s="49" t="str">
        <f>IF(B334&gt;0,VLOOKUP(B334,КВСР!A268:B1433,2),IF(C334&gt;0,VLOOKUP(C334,КФСР!A268:B1780,2),IF(D334&gt;0,VLOOKUP(D334,Программа!A$1:B$5063,2),IF(F334&gt;0,VLOOKUP(F334,КВР!A$1:B$5001,2),IF(E334&gt;0,VLOOKUP(E334,Направление!A$1:B$4746,2))))))</f>
        <v>Иные бюджетные ассигнования</v>
      </c>
      <c r="B334" s="92"/>
      <c r="C334" s="93"/>
      <c r="D334" s="445"/>
      <c r="E334" s="92"/>
      <c r="F334" s="94">
        <v>800</v>
      </c>
      <c r="G334" s="393">
        <v>0</v>
      </c>
      <c r="H334" s="383"/>
      <c r="I334" s="50">
        <f t="shared" si="99"/>
        <v>0</v>
      </c>
    </row>
    <row r="335" spans="1:9" ht="46.8">
      <c r="A335" s="49" t="str">
        <f>IF(B335&gt;0,VLOOKUP(B335,КВСР!A269:B1434,2),IF(C335&gt;0,VLOOKUP(C335,КФСР!A269:B1781,2),IF(D335&gt;0,VLOOKUP(D335,Программа!A$1:B$5063,2),IF(F335&gt;0,VLOOKUP(F335,КВР!A$1:B$5001,2),IF(E335&gt;0,VLOOKUP(E335,Направление!A$1:B$4746,2))))))</f>
        <v>Мероприятия направленные на поддержку и мотивации участников образовательного процесса</v>
      </c>
      <c r="B335" s="92"/>
      <c r="C335" s="93"/>
      <c r="D335" s="445" t="s">
        <v>2749</v>
      </c>
      <c r="E335" s="92"/>
      <c r="F335" s="94"/>
      <c r="G335" s="83">
        <v>362200</v>
      </c>
      <c r="H335" s="83">
        <f t="shared" ref="H335" si="105">H336+H338</f>
        <v>0</v>
      </c>
      <c r="I335" s="50">
        <f t="shared" si="99"/>
        <v>362200</v>
      </c>
    </row>
    <row r="336" spans="1:9" ht="31.2">
      <c r="A336" s="49" t="str">
        <f>IF(B336&gt;0,VLOOKUP(B336,КВСР!A270:B1435,2),IF(C336&gt;0,VLOOKUP(C336,КФСР!A270:B1782,2),IF(D336&gt;0,VLOOKUP(D336,Программа!A$1:B$5063,2),IF(F336&gt;0,VLOOKUP(F336,КВР!A$1:B$5001,2),IF(E336&gt;0,VLOOKUP(E336,Направление!A$1:B$4746,2))))))</f>
        <v xml:space="preserve">Выплата ежемесячных и разовых стипендий главы </v>
      </c>
      <c r="B336" s="92"/>
      <c r="C336" s="93"/>
      <c r="D336" s="445"/>
      <c r="E336" s="92">
        <v>12700</v>
      </c>
      <c r="F336" s="94"/>
      <c r="G336" s="83">
        <v>232000</v>
      </c>
      <c r="H336" s="83">
        <f t="shared" ref="H336" si="106">H337</f>
        <v>0</v>
      </c>
      <c r="I336" s="50">
        <f t="shared" si="99"/>
        <v>232000</v>
      </c>
    </row>
    <row r="337" spans="1:9" ht="31.2">
      <c r="A337" s="49" t="str">
        <f>IF(B337&gt;0,VLOOKUP(B337,КВСР!A271:B1436,2),IF(C337&gt;0,VLOOKUP(C337,КФСР!A271:B1783,2),IF(D337&gt;0,VLOOKUP(D337,Программа!A$1:B$5063,2),IF(F337&gt;0,VLOOKUP(F337,КВР!A$1:B$5001,2),IF(E337&gt;0,VLOOKUP(E337,Направление!A$1:B$4746,2))))))</f>
        <v>Социальное обеспечение и иные выплаты населению</v>
      </c>
      <c r="B337" s="92"/>
      <c r="C337" s="93"/>
      <c r="D337" s="445"/>
      <c r="E337" s="92"/>
      <c r="F337" s="94">
        <v>300</v>
      </c>
      <c r="G337" s="393">
        <v>232000</v>
      </c>
      <c r="H337" s="390"/>
      <c r="I337" s="50">
        <f t="shared" si="99"/>
        <v>232000</v>
      </c>
    </row>
    <row r="338" spans="1:9" ht="62.4">
      <c r="A338" s="49" t="str">
        <f>IF(B338&gt;0,VLOOKUP(B338,КВСР!A272:B1437,2),IF(C338&gt;0,VLOOKUP(C338,КФСР!A272:B1784,2),IF(D338&gt;0,VLOOKUP(D338,Программа!A$1:B$5063,2),IF(F338&gt;0,VLOOKUP(F338,КВР!A$1:B$5001,2),IF(E338&gt;0,VLOOKUP(E338,Направление!A$1:B$4746,2))))))</f>
        <v>Денежное поощрение лучших руковдящих и педагогических работников за заслуги в сфере образования</v>
      </c>
      <c r="B338" s="92"/>
      <c r="C338" s="93"/>
      <c r="D338" s="445"/>
      <c r="E338" s="92">
        <v>12710</v>
      </c>
      <c r="F338" s="94"/>
      <c r="G338" s="83">
        <v>130200</v>
      </c>
      <c r="H338" s="83">
        <f t="shared" ref="H338" si="107">H339</f>
        <v>0</v>
      </c>
      <c r="I338" s="50">
        <f t="shared" si="99"/>
        <v>130200</v>
      </c>
    </row>
    <row r="339" spans="1:9" ht="31.2">
      <c r="A339" s="49" t="str">
        <f>IF(B339&gt;0,VLOOKUP(B339,КВСР!A273:B1438,2),IF(C339&gt;0,VLOOKUP(C339,КФСР!A273:B1785,2),IF(D339&gt;0,VLOOKUP(D339,Программа!A$1:B$5063,2),IF(F339&gt;0,VLOOKUP(F339,КВР!A$1:B$5001,2),IF(E339&gt;0,VLOOKUP(E339,Направление!A$1:B$4746,2))))))</f>
        <v>Социальное обеспечение и иные выплаты населению</v>
      </c>
      <c r="B339" s="92"/>
      <c r="C339" s="93"/>
      <c r="D339" s="445"/>
      <c r="E339" s="92"/>
      <c r="F339" s="94">
        <v>300</v>
      </c>
      <c r="G339" s="393">
        <v>130200</v>
      </c>
      <c r="H339" s="390"/>
      <c r="I339" s="50">
        <f t="shared" si="99"/>
        <v>130200</v>
      </c>
    </row>
    <row r="340" spans="1:9" ht="46.8">
      <c r="A340" s="49" t="str">
        <f>IF(B340&gt;0,VLOOKUP(B340,КВСР!A274:B1439,2),IF(C340&gt;0,VLOOKUP(C340,КФСР!A274:B1786,2),IF(D340&gt;0,VLOOKUP(D340,Программа!A$1:B$5063,2),IF(F340&gt;0,VLOOKUP(F340,КВР!A$1:B$5001,2),IF(E340&gt;0,VLOOKUP(E340,Направление!A$1:B$4746,2))))))</f>
        <v>Мероприятия направленные на осуществление отдельных полномочий в области образования</v>
      </c>
      <c r="B340" s="92"/>
      <c r="C340" s="93"/>
      <c r="D340" s="445" t="s">
        <v>2750</v>
      </c>
      <c r="E340" s="92"/>
      <c r="F340" s="94"/>
      <c r="G340" s="83">
        <v>11288656</v>
      </c>
      <c r="H340" s="83">
        <f t="shared" ref="H340" si="108">H341+H344+H346</f>
        <v>0</v>
      </c>
      <c r="I340" s="50">
        <f t="shared" si="99"/>
        <v>11288656</v>
      </c>
    </row>
    <row r="341" spans="1:9">
      <c r="A341" s="49" t="str">
        <f>IF(B341&gt;0,VLOOKUP(B341,КВСР!A275:B1440,2),IF(C341&gt;0,VLOOKUP(C341,КФСР!A275:B1787,2),IF(D341&gt;0,VLOOKUP(D341,Программа!A$1:B$5063,2),IF(F341&gt;0,VLOOKUP(F341,КВР!A$1:B$5001,2),IF(E341&gt;0,VLOOKUP(E341,Направление!A$1:B$4746,2))))))</f>
        <v>Мероприятия в сфере образования</v>
      </c>
      <c r="B341" s="92"/>
      <c r="C341" s="93"/>
      <c r="D341" s="445"/>
      <c r="E341" s="92">
        <v>13320</v>
      </c>
      <c r="F341" s="94"/>
      <c r="G341" s="83">
        <v>232000</v>
      </c>
      <c r="H341" s="83">
        <f t="shared" ref="H341" si="109">H342+H343</f>
        <v>0</v>
      </c>
      <c r="I341" s="50">
        <f t="shared" si="99"/>
        <v>232000</v>
      </c>
    </row>
    <row r="342" spans="1:9" ht="31.2">
      <c r="A342" s="49" t="str">
        <f>IF(B342&gt;0,VLOOKUP(B342,КВСР!A276:B1441,2),IF(C342&gt;0,VLOOKUP(C342,КФСР!A276:B1788,2),IF(D342&gt;0,VLOOKUP(D342,Программа!A$1:B$5063,2),IF(F342&gt;0,VLOOKUP(F342,КВР!A$1:B$5001,2),IF(E342&gt;0,VLOOKUP(E342,Направление!A$1:B$4746,2))))))</f>
        <v>Закупка товаров, работ и услуг для государственных нужд</v>
      </c>
      <c r="B342" s="92"/>
      <c r="C342" s="93"/>
      <c r="D342" s="445"/>
      <c r="E342" s="92"/>
      <c r="F342" s="94">
        <v>200</v>
      </c>
      <c r="G342" s="393">
        <v>60000</v>
      </c>
      <c r="H342" s="390"/>
      <c r="I342" s="50">
        <f t="shared" si="99"/>
        <v>60000</v>
      </c>
    </row>
    <row r="343" spans="1:9" ht="62.4">
      <c r="A343" s="49" t="str">
        <f>IF(B343&gt;0,VLOOKUP(B343,КВСР!A277:B1442,2),IF(C343&gt;0,VLOOKUP(C343,КФСР!A277:B1789,2),IF(D343&gt;0,VLOOKUP(D343,Программа!A$1:B$5063,2),IF(F343&gt;0,VLOOKUP(F343,КВР!A$1:B$5001,2),IF(E343&gt;0,VLOOKUP(E343,Направление!A$1:B$4746,2))))))</f>
        <v>Предоставление субсидий бюджетным, автономным учреждениям и иным некоммерческим организациям</v>
      </c>
      <c r="B343" s="92"/>
      <c r="C343" s="93"/>
      <c r="D343" s="445"/>
      <c r="E343" s="92"/>
      <c r="F343" s="94">
        <v>600</v>
      </c>
      <c r="G343" s="393">
        <v>172000</v>
      </c>
      <c r="H343" s="390"/>
      <c r="I343" s="50">
        <f t="shared" si="99"/>
        <v>172000</v>
      </c>
    </row>
    <row r="344" spans="1:9" ht="78">
      <c r="A344" s="49" t="str">
        <f>IF(B344&gt;0,VLOOKUP(B344,КВСР!A278:B1443,2),IF(C344&gt;0,VLOOKUP(C344,КФСР!A278:B1790,2),IF(D344&gt;0,VLOOKUP(D344,Программа!A$1:B$5063,2),IF(F344&gt;0,VLOOKUP(F344,КВР!A$1:B$5001,2),IF(E344&gt;0,VLOOKUP(E344,Направление!A$1:B$4746,2))))))</f>
        <v>Государственная поддержка материально-технической базы образовательных учреждений Ярославской области за счет средств областного бюджета</v>
      </c>
      <c r="B344" s="92"/>
      <c r="C344" s="93"/>
      <c r="D344" s="445"/>
      <c r="E344" s="92" t="s">
        <v>2989</v>
      </c>
      <c r="F344" s="94"/>
      <c r="G344" s="83">
        <v>440500</v>
      </c>
      <c r="H344" s="83">
        <f t="shared" ref="H344" si="110">H345</f>
        <v>0</v>
      </c>
      <c r="I344" s="50">
        <f t="shared" si="99"/>
        <v>440500</v>
      </c>
    </row>
    <row r="345" spans="1:9" ht="62.4">
      <c r="A345" s="49" t="str">
        <f>IF(B345&gt;0,VLOOKUP(B345,КВСР!A279:B1444,2),IF(C345&gt;0,VLOOKUP(C345,КФСР!A279:B1791,2),IF(D345&gt;0,VLOOKUP(D345,Программа!A$1:B$5063,2),IF(F345&gt;0,VLOOKUP(F345,КВР!A$1:B$5001,2),IF(E345&gt;0,VLOOKUP(E345,Направление!A$1:B$4746,2))))))</f>
        <v>Предоставление субсидий бюджетным, автономным учреждениям и иным некоммерческим организациям</v>
      </c>
      <c r="B345" s="92"/>
      <c r="C345" s="93"/>
      <c r="D345" s="445"/>
      <c r="E345" s="92"/>
      <c r="F345" s="94">
        <v>600</v>
      </c>
      <c r="G345" s="393">
        <v>440500</v>
      </c>
      <c r="H345" s="390"/>
      <c r="I345" s="50">
        <f t="shared" si="99"/>
        <v>440500</v>
      </c>
    </row>
    <row r="346" spans="1:9" ht="78">
      <c r="A346" s="49" t="str">
        <f>IF(B346&gt;0,VLOOKUP(B346,КВСР!A280:B1445,2),IF(C346&gt;0,VLOOKUP(C346,КФСР!A280:B1792,2),IF(D346&gt;0,VLOOKUP(D346,Программа!A$1:B$5063,2),IF(F346&gt;0,VLOOKUP(F346,КВР!A$1:B$5001,2),IF(E346&gt;0,VLOOKUP(E346,Направление!A$1:B$4746,2))))))</f>
        <v>Государственная поддержка материально-технической базы образовательных учреждений Ярославской области за счет средств областного бюджета</v>
      </c>
      <c r="B346" s="92"/>
      <c r="C346" s="93"/>
      <c r="D346" s="445"/>
      <c r="E346" s="92">
        <v>70470</v>
      </c>
      <c r="F346" s="94"/>
      <c r="G346" s="83">
        <v>10616156</v>
      </c>
      <c r="H346" s="83">
        <f>H347</f>
        <v>0</v>
      </c>
      <c r="I346" s="50">
        <f t="shared" si="99"/>
        <v>10616156</v>
      </c>
    </row>
    <row r="347" spans="1:9" ht="62.4">
      <c r="A347" s="49" t="str">
        <f>IF(B347&gt;0,VLOOKUP(B347,КВСР!A281:B1446,2),IF(C347&gt;0,VLOOKUP(C347,КФСР!A281:B1793,2),IF(D347&gt;0,VLOOKUP(D347,Программа!A$1:B$5063,2),IF(F347&gt;0,VLOOKUP(F347,КВР!A$1:B$5001,2),IF(E347&gt;0,VLOOKUP(E347,Направление!A$1:B$4746,2))))))</f>
        <v>Предоставление субсидий бюджетным, автономным учреждениям и иным некоммерческим организациям</v>
      </c>
      <c r="B347" s="92"/>
      <c r="C347" s="93"/>
      <c r="D347" s="445"/>
      <c r="E347" s="92"/>
      <c r="F347" s="94">
        <v>600</v>
      </c>
      <c r="G347" s="393">
        <v>10616156</v>
      </c>
      <c r="H347" s="393"/>
      <c r="I347" s="50">
        <f t="shared" si="99"/>
        <v>10616156</v>
      </c>
    </row>
    <row r="348" spans="1:9" ht="31.2">
      <c r="A348" s="49" t="str">
        <f>IF(B348&gt;0,VLOOKUP(B348,КВСР!A282:B1447,2),IF(C348&gt;0,VLOOKUP(C348,КФСР!A282:B1794,2),IF(D348&gt;0,VLOOKUP(D348,Программа!A$1:B$5063,2),IF(F348&gt;0,VLOOKUP(F348,КВР!A$1:B$5001,2),IF(E348&gt;0,VLOOKUP(E348,Направление!A$1:B$4746,2))))))</f>
        <v>Обеспечение эффективности управления системой образования</v>
      </c>
      <c r="B348" s="92"/>
      <c r="C348" s="93"/>
      <c r="D348" s="445" t="s">
        <v>2751</v>
      </c>
      <c r="E348" s="92"/>
      <c r="F348" s="94"/>
      <c r="G348" s="83">
        <v>30488485</v>
      </c>
      <c r="H348" s="83">
        <f t="shared" ref="H348" si="111">H349+H353+H355+H360+H363</f>
        <v>0</v>
      </c>
      <c r="I348" s="50">
        <f t="shared" si="99"/>
        <v>30488485</v>
      </c>
    </row>
    <row r="349" spans="1:9">
      <c r="A349" s="49" t="str">
        <f>IF(B349&gt;0,VLOOKUP(B349,КВСР!A283:B1448,2),IF(C349&gt;0,VLOOKUP(C349,КФСР!A283:B1795,2),IF(D349&gt;0,VLOOKUP(D349,Программа!A$1:B$5063,2),IF(F349&gt;0,VLOOKUP(F349,КВР!A$1:B$5001,2),IF(E349&gt;0,VLOOKUP(E349,Направление!A$1:B$4746,2))))))</f>
        <v>Содержание центрального аппарата</v>
      </c>
      <c r="B349" s="92"/>
      <c r="C349" s="93"/>
      <c r="D349" s="445"/>
      <c r="E349" s="92">
        <v>12010</v>
      </c>
      <c r="F349" s="85"/>
      <c r="G349" s="50">
        <v>6668129</v>
      </c>
      <c r="H349" s="50">
        <f t="shared" ref="H349" si="112">H350+H351+H352</f>
        <v>0</v>
      </c>
      <c r="I349" s="50">
        <f t="shared" si="99"/>
        <v>6668129</v>
      </c>
    </row>
    <row r="350" spans="1:9" ht="100.5" customHeight="1">
      <c r="A350" s="49" t="str">
        <f>IF(B350&gt;0,VLOOKUP(B350,КВСР!A284:B1449,2),IF(C350&gt;0,VLOOKUP(C350,КФСР!A284:B1796,2),IF(D350&gt;0,VLOOKUP(D350,Программа!A$1:B$5063,2),IF(F350&gt;0,VLOOKUP(F350,КВР!A$1:B$5001,2),IF(E350&gt;0,VLOOKUP(E350,Направление!A$1:B$4746,2))))))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350" s="92"/>
      <c r="C350" s="93"/>
      <c r="D350" s="94"/>
      <c r="E350" s="92"/>
      <c r="F350" s="85">
        <v>100</v>
      </c>
      <c r="G350" s="387">
        <v>5260620</v>
      </c>
      <c r="H350" s="382"/>
      <c r="I350" s="50">
        <f t="shared" si="99"/>
        <v>5260620</v>
      </c>
    </row>
    <row r="351" spans="1:9" ht="31.2">
      <c r="A351" s="49" t="str">
        <f>IF(B351&gt;0,VLOOKUP(B351,КВСР!A285:B1450,2),IF(C351&gt;0,VLOOKUP(C351,КФСР!A285:B1797,2),IF(D351&gt;0,VLOOKUP(D351,Программа!A$1:B$5063,2),IF(F351&gt;0,VLOOKUP(F351,КВР!A$1:B$5001,2),IF(E351&gt;0,VLOOKUP(E351,Направление!A$1:B$4746,2))))))</f>
        <v>Закупка товаров, работ и услуг для государственных нужд</v>
      </c>
      <c r="B351" s="92"/>
      <c r="C351" s="93"/>
      <c r="D351" s="94"/>
      <c r="E351" s="92"/>
      <c r="F351" s="85">
        <v>200</v>
      </c>
      <c r="G351" s="387">
        <v>1362509</v>
      </c>
      <c r="H351" s="382"/>
      <c r="I351" s="50">
        <f t="shared" si="99"/>
        <v>1362509</v>
      </c>
    </row>
    <row r="352" spans="1:9">
      <c r="A352" s="49" t="str">
        <f>IF(B352&gt;0,VLOOKUP(B352,КВСР!A286:B1451,2),IF(C352&gt;0,VLOOKUP(C352,КФСР!A286:B1798,2),IF(D352&gt;0,VLOOKUP(D352,Программа!A$1:B$5063,2),IF(F352&gt;0,VLOOKUP(F352,КВР!A$1:B$5001,2),IF(E352&gt;0,VLOOKUP(E352,Направление!A$1:B$4746,2))))))</f>
        <v>Иные бюджетные ассигнования</v>
      </c>
      <c r="B352" s="92"/>
      <c r="C352" s="93"/>
      <c r="D352" s="94"/>
      <c r="E352" s="92"/>
      <c r="F352" s="85">
        <v>800</v>
      </c>
      <c r="G352" s="387">
        <v>45000</v>
      </c>
      <c r="H352" s="382"/>
      <c r="I352" s="50">
        <f t="shared" si="99"/>
        <v>45000</v>
      </c>
    </row>
    <row r="353" spans="1:9" ht="31.2">
      <c r="A353" s="49" t="str">
        <f>IF(B353&gt;0,VLOOKUP(B353,КВСР!A287:B1452,2),IF(C353&gt;0,VLOOKUP(C353,КФСР!A287:B1799,2),IF(D353&gt;0,VLOOKUP(D353,Программа!A$1:B$5063,2),IF(F353&gt;0,VLOOKUP(F353,КВР!A$1:B$5001,2),IF(E353&gt;0,VLOOKUP(E353,Направление!A$1:B$4746,2))))))</f>
        <v>Выполнение других обязательств органов местного самоуправления</v>
      </c>
      <c r="B353" s="92"/>
      <c r="C353" s="93"/>
      <c r="D353" s="445"/>
      <c r="E353" s="92">
        <v>12080</v>
      </c>
      <c r="F353" s="85"/>
      <c r="G353" s="50">
        <v>400000</v>
      </c>
      <c r="H353" s="50">
        <f t="shared" ref="H353" si="113">H354</f>
        <v>0</v>
      </c>
      <c r="I353" s="50">
        <f t="shared" si="99"/>
        <v>400000</v>
      </c>
    </row>
    <row r="354" spans="1:9" ht="31.2">
      <c r="A354" s="49" t="str">
        <f>IF(B354&gt;0,VLOOKUP(B354,КВСР!A288:B1453,2),IF(C354&gt;0,VLOOKUP(C354,КФСР!A288:B1800,2),IF(D354&gt;0,VLOOKUP(D354,Программа!A$1:B$5063,2),IF(F354&gt;0,VLOOKUP(F354,КВР!A$1:B$5001,2),IF(E354&gt;0,VLOOKUP(E354,Направление!A$1:B$4746,2))))))</f>
        <v>Закупка товаров, работ и услуг для государственных нужд</v>
      </c>
      <c r="B354" s="92"/>
      <c r="C354" s="93"/>
      <c r="D354" s="94"/>
      <c r="E354" s="92"/>
      <c r="F354" s="85">
        <v>200</v>
      </c>
      <c r="G354" s="387">
        <v>400000</v>
      </c>
      <c r="H354" s="382"/>
      <c r="I354" s="50">
        <f t="shared" si="99"/>
        <v>400000</v>
      </c>
    </row>
    <row r="355" spans="1:9" ht="31.2">
      <c r="A355" s="49" t="str">
        <f>IF(B355&gt;0,VLOOKUP(B355,КВСР!A289:B1454,2),IF(C355&gt;0,VLOOKUP(C355,КФСР!A289:B1801,2),IF(D355&gt;0,VLOOKUP(D355,Программа!A$1:B$5063,2),IF(F355&gt;0,VLOOKUP(F355,КВР!A$1:B$5001,2),IF(E355&gt;0,VLOOKUP(E355,Направление!A$1:B$4746,2))))))</f>
        <v>Обеспечение деятельности прочих учреждений в сфере образования</v>
      </c>
      <c r="B355" s="92"/>
      <c r="C355" s="93"/>
      <c r="D355" s="445"/>
      <c r="E355" s="92">
        <v>13310</v>
      </c>
      <c r="F355" s="94"/>
      <c r="G355" s="83">
        <v>19673468</v>
      </c>
      <c r="H355" s="83">
        <f t="shared" ref="H355" si="114">H356+H357+H358+H359</f>
        <v>0</v>
      </c>
      <c r="I355" s="50">
        <f t="shared" si="99"/>
        <v>19673468</v>
      </c>
    </row>
    <row r="356" spans="1:9" ht="101.25" customHeight="1">
      <c r="A356" s="49" t="str">
        <f>IF(B356&gt;0,VLOOKUP(B356,КВСР!A290:B1455,2),IF(C356&gt;0,VLOOKUP(C356,КФСР!A290:B1802,2),IF(D356&gt;0,VLOOKUP(D356,Программа!A$1:B$5063,2),IF(F356&gt;0,VLOOKUP(F356,КВР!A$1:B$5001,2),IF(E356&gt;0,VLOOKUP(E356,Направление!A$1:B$4746,2))))))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356" s="92"/>
      <c r="C356" s="93"/>
      <c r="D356" s="94"/>
      <c r="E356" s="92"/>
      <c r="F356" s="94">
        <v>100</v>
      </c>
      <c r="G356" s="393">
        <v>17833468</v>
      </c>
      <c r="H356" s="383"/>
      <c r="I356" s="50">
        <f t="shared" si="99"/>
        <v>17833468</v>
      </c>
    </row>
    <row r="357" spans="1:9" ht="31.2">
      <c r="A357" s="49" t="str">
        <f>IF(B357&gt;0,VLOOKUP(B357,КВСР!A291:B1456,2),IF(C357&gt;0,VLOOKUP(C357,КФСР!A291:B1803,2),IF(D357&gt;0,VLOOKUP(D357,Программа!A$1:B$5063,2),IF(F357&gt;0,VLOOKUP(F357,КВР!A$1:B$5001,2),IF(E357&gt;0,VLOOKUP(E357,Направление!A$1:B$4746,2))))))</f>
        <v>Закупка товаров, работ и услуг для государственных нужд</v>
      </c>
      <c r="B357" s="92"/>
      <c r="C357" s="93"/>
      <c r="D357" s="94"/>
      <c r="E357" s="92"/>
      <c r="F357" s="94">
        <v>200</v>
      </c>
      <c r="G357" s="393">
        <v>1823000</v>
      </c>
      <c r="H357" s="383"/>
      <c r="I357" s="50">
        <f t="shared" si="99"/>
        <v>1823000</v>
      </c>
    </row>
    <row r="358" spans="1:9" ht="62.4" hidden="1">
      <c r="A358" s="49" t="str">
        <f>IF(B358&gt;0,VLOOKUP(B358,КВСР!A292:B1457,2),IF(C358&gt;0,VLOOKUP(C358,КФСР!A292:B1804,2),IF(D358&gt;0,VLOOKUP(D358,Программа!A$1:B$5063,2),IF(F358&gt;0,VLOOKUP(F358,КВР!A$1:B$5001,2),IF(E358&gt;0,VLOOKUP(E358,Направление!A$1:B$4746,2))))))</f>
        <v>Предоставление субсидий бюджетным, автономным учреждениям и иным некоммерческим организациям</v>
      </c>
      <c r="B358" s="92"/>
      <c r="C358" s="93"/>
      <c r="D358" s="94"/>
      <c r="E358" s="92"/>
      <c r="F358" s="94">
        <v>600</v>
      </c>
      <c r="G358" s="393">
        <v>0</v>
      </c>
      <c r="H358" s="393"/>
      <c r="I358" s="50">
        <f t="shared" si="99"/>
        <v>0</v>
      </c>
    </row>
    <row r="359" spans="1:9">
      <c r="A359" s="49" t="str">
        <f>IF(B359&gt;0,VLOOKUP(B359,КВСР!A293:B1458,2),IF(C359&gt;0,VLOOKUP(C359,КФСР!A293:B1805,2),IF(D359&gt;0,VLOOKUP(D359,Программа!A$1:B$5063,2),IF(F359&gt;0,VLOOKUP(F359,КВР!A$1:B$5001,2),IF(E359&gt;0,VLOOKUP(E359,Направление!A$1:B$4746,2))))))</f>
        <v>Иные бюджетные ассигнования</v>
      </c>
      <c r="B359" s="92"/>
      <c r="C359" s="93"/>
      <c r="D359" s="94"/>
      <c r="E359" s="92"/>
      <c r="F359" s="94">
        <v>800</v>
      </c>
      <c r="G359" s="393">
        <v>17000</v>
      </c>
      <c r="H359" s="383"/>
      <c r="I359" s="50">
        <f t="shared" si="99"/>
        <v>17000</v>
      </c>
    </row>
    <row r="360" spans="1:9" ht="46.8">
      <c r="A360" s="49" t="str">
        <f>IF(B360&gt;0,VLOOKUP(B360,КВСР!A294:B1459,2),IF(C360&gt;0,VLOOKUP(C360,КФСР!A294:B1806,2),IF(D360&gt;0,VLOOKUP(D360,Программа!A$1:B$5063,2),IF(F360&gt;0,VLOOKUP(F360,КВР!A$1:B$5001,2),IF(E360&gt;0,VLOOKUP(E360,Направление!A$1:B$4746,2))))))</f>
        <v>Содержание органов местного самоуправления за счет средств поселений</v>
      </c>
      <c r="B360" s="92"/>
      <c r="C360" s="93"/>
      <c r="D360" s="445"/>
      <c r="E360" s="92">
        <v>29016</v>
      </c>
      <c r="F360" s="85"/>
      <c r="G360" s="50">
        <v>60399</v>
      </c>
      <c r="H360" s="50">
        <f t="shared" ref="H360" si="115">H362+H361</f>
        <v>0</v>
      </c>
      <c r="I360" s="50">
        <f t="shared" si="99"/>
        <v>60399</v>
      </c>
    </row>
    <row r="361" spans="1:9" ht="101.25" customHeight="1">
      <c r="A361" s="49" t="str">
        <f>IF(B361&gt;0,VLOOKUP(B361,КВСР!A295:B1460,2),IF(C361&gt;0,VLOOKUP(C361,КФСР!A295:B1807,2),IF(D361&gt;0,VLOOKUP(D361,Программа!A$1:B$5063,2),IF(F361&gt;0,VLOOKUP(F361,КВР!A$1:B$5001,2),IF(E361&gt;0,VLOOKUP(E361,Направление!A$1:B$4746,2))))))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361" s="92"/>
      <c r="C361" s="93"/>
      <c r="D361" s="445"/>
      <c r="E361" s="92"/>
      <c r="F361" s="85">
        <v>100</v>
      </c>
      <c r="G361" s="387">
        <v>54908</v>
      </c>
      <c r="H361" s="391"/>
      <c r="I361" s="50">
        <f t="shared" si="99"/>
        <v>54908</v>
      </c>
    </row>
    <row r="362" spans="1:9" ht="31.2">
      <c r="A362" s="49" t="str">
        <f>IF(B362&gt;0,VLOOKUP(B362,КВСР!A296:B1461,2),IF(C362&gt;0,VLOOKUP(C362,КФСР!A296:B1808,2),IF(D362&gt;0,VLOOKUP(D362,Программа!A$1:B$5063,2),IF(F362&gt;0,VLOOKUP(F362,КВР!A$1:B$5001,2),IF(E362&gt;0,VLOOKUP(E362,Направление!A$1:B$4746,2))))))</f>
        <v>Закупка товаров, работ и услуг для государственных нужд</v>
      </c>
      <c r="B362" s="92"/>
      <c r="C362" s="93"/>
      <c r="D362" s="94"/>
      <c r="E362" s="92"/>
      <c r="F362" s="85">
        <v>200</v>
      </c>
      <c r="G362" s="387">
        <v>5491</v>
      </c>
      <c r="H362" s="382"/>
      <c r="I362" s="50">
        <f t="shared" si="99"/>
        <v>5491</v>
      </c>
    </row>
    <row r="363" spans="1:9" ht="62.4">
      <c r="A363" s="49" t="str">
        <f>IF(B363&gt;0,VLOOKUP(B363,КВСР!A297:B1462,2),IF(C363&gt;0,VLOOKUP(C363,КФСР!A297:B1809,2),IF(D363&gt;0,VLOOKUP(D363,Программа!A$1:B$5063,2),IF(F363&gt;0,VLOOKUP(F363,КВР!A$1:B$5001,2),IF(E363&gt;0,VLOOKUP(E363,Направление!A$1:B$4746,2))))))</f>
        <v>Расходы на обеспечение деятельности органов опеки и попечительства за счет средств областного бюджета</v>
      </c>
      <c r="B363" s="92"/>
      <c r="C363" s="93"/>
      <c r="D363" s="445"/>
      <c r="E363" s="92">
        <v>70550</v>
      </c>
      <c r="F363" s="85"/>
      <c r="G363" s="83">
        <v>3686489</v>
      </c>
      <c r="H363" s="83">
        <f t="shared" ref="H363" si="116">H364+H365+H366</f>
        <v>0</v>
      </c>
      <c r="I363" s="50">
        <f t="shared" si="99"/>
        <v>3686489</v>
      </c>
    </row>
    <row r="364" spans="1:9" ht="97.5" customHeight="1">
      <c r="A364" s="49" t="str">
        <f>IF(B364&gt;0,VLOOKUP(B364,КВСР!A298:B1463,2),IF(C364&gt;0,VLOOKUP(C364,КФСР!A298:B1810,2),IF(D364&gt;0,VLOOKUP(D364,Программа!A$1:B$5063,2),IF(F364&gt;0,VLOOKUP(F364,КВР!A$1:B$5001,2),IF(E364&gt;0,VLOOKUP(E364,Направление!A$1:B$4746,2))))))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364" s="92"/>
      <c r="C364" s="93"/>
      <c r="D364" s="94"/>
      <c r="E364" s="92"/>
      <c r="F364" s="85">
        <v>100</v>
      </c>
      <c r="G364" s="393">
        <v>3208623</v>
      </c>
      <c r="H364" s="383"/>
      <c r="I364" s="50">
        <f t="shared" si="99"/>
        <v>3208623</v>
      </c>
    </row>
    <row r="365" spans="1:9" ht="31.2">
      <c r="A365" s="49" t="str">
        <f>IF(B365&gt;0,VLOOKUP(B365,КВСР!A299:B1464,2),IF(C365&gt;0,VLOOKUP(C365,КФСР!A299:B1811,2),IF(D365&gt;0,VLOOKUP(D365,Программа!A$1:B$5063,2),IF(F365&gt;0,VLOOKUP(F365,КВР!A$1:B$5001,2),IF(E365&gt;0,VLOOKUP(E365,Направление!A$1:B$4746,2))))))</f>
        <v>Закупка товаров, работ и услуг для государственных нужд</v>
      </c>
      <c r="B365" s="92"/>
      <c r="C365" s="93"/>
      <c r="D365" s="94"/>
      <c r="E365" s="92"/>
      <c r="F365" s="85">
        <v>200</v>
      </c>
      <c r="G365" s="387">
        <v>457866</v>
      </c>
      <c r="H365" s="382"/>
      <c r="I365" s="50">
        <f t="shared" si="99"/>
        <v>457866</v>
      </c>
    </row>
    <row r="366" spans="1:9">
      <c r="A366" s="49" t="str">
        <f>IF(B366&gt;0,VLOOKUP(B366,КВСР!A300:B1465,2),IF(C366&gt;0,VLOOKUP(C366,КФСР!A300:B1812,2),IF(D366&gt;0,VLOOKUP(D366,Программа!A$1:B$5063,2),IF(F366&gt;0,VLOOKUP(F366,КВР!A$1:B$5001,2),IF(E366&gt;0,VLOOKUP(E366,Направление!A$1:B$4746,2))))))</f>
        <v>Иные бюджетные ассигнования</v>
      </c>
      <c r="B366" s="92"/>
      <c r="C366" s="93"/>
      <c r="D366" s="94"/>
      <c r="E366" s="92"/>
      <c r="F366" s="85">
        <v>800</v>
      </c>
      <c r="G366" s="387">
        <v>20000</v>
      </c>
      <c r="H366" s="382"/>
      <c r="I366" s="50">
        <f t="shared" si="99"/>
        <v>20000</v>
      </c>
    </row>
    <row r="367" spans="1:9" ht="68.25" customHeight="1">
      <c r="A367" s="49" t="str">
        <f>IF(B367&gt;0,VLOOKUP(B367,КВСР!A301:B1466,2),IF(C367&gt;0,VLOOKUP(C367,КФСР!A301:B1813,2),IF(D367&gt;0,VLOOKUP(D367,Программа!A$1:B$5063,2),IF(F367&gt;0,VLOOKUP(F367,КВР!A$1:B$5001,2),IF(E367&gt;0,VLOOKUP(E367,Направление!A$1:B$4746,2))))))</f>
        <v>Муниципальная целевая программа "Духовно-нравственное воспитание и просвещение населения Тутаевского муниципального района"</v>
      </c>
      <c r="B367" s="92"/>
      <c r="C367" s="93"/>
      <c r="D367" s="445" t="s">
        <v>2855</v>
      </c>
      <c r="E367" s="92"/>
      <c r="F367" s="94"/>
      <c r="G367" s="83">
        <v>55000</v>
      </c>
      <c r="H367" s="83">
        <f t="shared" ref="H367" si="117">H369</f>
        <v>0</v>
      </c>
      <c r="I367" s="50">
        <f t="shared" si="99"/>
        <v>55000</v>
      </c>
    </row>
    <row r="368" spans="1:9" ht="62.4">
      <c r="A368" s="49" t="str">
        <f>IF(B368&gt;0,VLOOKUP(B368,КВСР!A302:B1467,2),IF(C368&gt;0,VLOOKUP(C368,КФСР!A302:B1814,2),IF(D368&gt;0,VLOOKUP(D368,Программа!A$1:B$5063,2),IF(F368&gt;0,VLOOKUP(F368,КВР!A$1:B$5001,2),IF(E368&gt;0,VLOOKUP(E368,Направление!A$1:B$4746,2))))))</f>
        <v>Реализация мер по созданию целостной системы духовно-нравственного воспитания и просвещения населения</v>
      </c>
      <c r="B368" s="92"/>
      <c r="C368" s="93"/>
      <c r="D368" s="445" t="s">
        <v>2857</v>
      </c>
      <c r="E368" s="92"/>
      <c r="F368" s="94"/>
      <c r="G368" s="83">
        <v>55000</v>
      </c>
      <c r="H368" s="83">
        <f t="shared" ref="H368:H369" si="118">H369</f>
        <v>0</v>
      </c>
      <c r="I368" s="50">
        <f t="shared" si="99"/>
        <v>55000</v>
      </c>
    </row>
    <row r="369" spans="1:9" ht="56.25" customHeight="1">
      <c r="A369" s="49" t="str">
        <f>IF(B369&gt;0,VLOOKUP(B369,КВСР!A303:B1468,2),IF(C369&gt;0,VLOOKUP(C369,КФСР!A303:B1815,2),IF(D369&gt;0,VLOOKUP(D369,Программа!A$1:B$5063,2),IF(F369&gt;0,VLOOKUP(F369,КВР!A$1:B$5001,2),IF(E369&gt;0,VLOOKUP(E369,Направление!A$1:B$4746,2))))))</f>
        <v>Расходы на реализацию МЦП "Духовно - нравственное воспитание и просвещение населения ТМР"</v>
      </c>
      <c r="B369" s="92"/>
      <c r="C369" s="93"/>
      <c r="D369" s="445"/>
      <c r="E369" s="92">
        <v>13810</v>
      </c>
      <c r="F369" s="94"/>
      <c r="G369" s="83">
        <v>55000</v>
      </c>
      <c r="H369" s="83">
        <f t="shared" si="118"/>
        <v>0</v>
      </c>
      <c r="I369" s="50">
        <f t="shared" si="99"/>
        <v>55000</v>
      </c>
    </row>
    <row r="370" spans="1:9" ht="62.4">
      <c r="A370" s="49" t="str">
        <f>IF(B370&gt;0,VLOOKUP(B370,КВСР!A304:B1469,2),IF(C370&gt;0,VLOOKUP(C370,КФСР!A304:B1816,2),IF(D370&gt;0,VLOOKUP(D370,Программа!A$1:B$5063,2),IF(F370&gt;0,VLOOKUP(F370,КВР!A$1:B$5001,2),IF(E370&gt;0,VLOOKUP(E370,Направление!A$1:B$4746,2))))))</f>
        <v>Предоставление субсидий бюджетным, автономным учреждениям и иным некоммерческим организациям</v>
      </c>
      <c r="B370" s="92"/>
      <c r="C370" s="93"/>
      <c r="D370" s="445"/>
      <c r="E370" s="92"/>
      <c r="F370" s="94">
        <v>600</v>
      </c>
      <c r="G370" s="393">
        <v>55000</v>
      </c>
      <c r="H370" s="383"/>
      <c r="I370" s="50">
        <f t="shared" si="99"/>
        <v>55000</v>
      </c>
    </row>
    <row r="371" spans="1:9" ht="62.4" hidden="1">
      <c r="A371" s="49" t="str">
        <f>IF(B371&gt;0,VLOOKUP(B371,КВСР!A305:B1470,2),IF(C371&gt;0,VLOOKUP(C371,КФСР!A305:B1817,2),IF(D371&gt;0,VLOOKUP(D371,Программа!A$1:B$5063,2),IF(F371&gt;0,VLOOKUP(F371,КВР!A$1:B$5001,2),IF(E371&gt;0,VLOOKUP(E371,Направление!A$1:B$4746,2))))))</f>
        <v>Муниципальная целевая программа "Развитие физической культуры и спорта в Тутаевском муниципальном районе"</v>
      </c>
      <c r="B371" s="92"/>
      <c r="C371" s="93"/>
      <c r="D371" s="445" t="s">
        <v>2856</v>
      </c>
      <c r="E371" s="92"/>
      <c r="F371" s="94"/>
      <c r="G371" s="83">
        <v>0</v>
      </c>
      <c r="H371" s="83">
        <f>H372</f>
        <v>0</v>
      </c>
      <c r="I371" s="50">
        <f t="shared" si="99"/>
        <v>0</v>
      </c>
    </row>
    <row r="372" spans="1:9" ht="46.8" hidden="1">
      <c r="A372" s="49" t="str">
        <f>IF(B372&gt;0,VLOOKUP(B372,КВСР!A306:B1471,2),IF(C372&gt;0,VLOOKUP(C372,КФСР!A306:B1818,2),IF(D372&gt;0,VLOOKUP(D372,Программа!A$1:B$5063,2),IF(F372&gt;0,VLOOKUP(F372,КВР!A$1:B$5001,2),IF(E372&gt;0,VLOOKUP(E372,Направление!A$1:B$4746,2))))))</f>
        <v>Текущий и капитальный ремонт спортивных залов в общеобразовательных школах</v>
      </c>
      <c r="B372" s="92"/>
      <c r="C372" s="93"/>
      <c r="D372" s="445" t="s">
        <v>2988</v>
      </c>
      <c r="E372" s="92"/>
      <c r="F372" s="94"/>
      <c r="G372" s="83">
        <v>0</v>
      </c>
      <c r="H372" s="83">
        <f t="shared" ref="H372:H373" si="119">H373</f>
        <v>0</v>
      </c>
      <c r="I372" s="50">
        <f t="shared" si="99"/>
        <v>0</v>
      </c>
    </row>
    <row r="373" spans="1:9" ht="46.8" hidden="1">
      <c r="A373" s="49" t="str">
        <f>IF(B373&gt;0,VLOOKUP(B373,КВСР!A307:B1472,2),IF(C373&gt;0,VLOOKUP(C373,КФСР!A307:B1819,2),IF(D373&gt;0,VLOOKUP(D373,Программа!A$1:B$5063,2),IF(F373&gt;0,VLOOKUP(F373,КВР!A$1:B$5001,2),IF(E373&gt;0,VLOOKUP(E373,Направление!A$1:B$4746,2))))))</f>
        <v>Cоздание в общеобразовательных организациях условий для занятий физической культурой и спортом</v>
      </c>
      <c r="B373" s="92"/>
      <c r="C373" s="93"/>
      <c r="D373" s="445"/>
      <c r="E373" s="92" t="s">
        <v>2991</v>
      </c>
      <c r="F373" s="94"/>
      <c r="G373" s="83">
        <v>0</v>
      </c>
      <c r="H373" s="83">
        <f t="shared" si="119"/>
        <v>0</v>
      </c>
      <c r="I373" s="50">
        <f t="shared" si="99"/>
        <v>0</v>
      </c>
    </row>
    <row r="374" spans="1:9" ht="62.4" hidden="1">
      <c r="A374" s="49" t="str">
        <f>IF(B374&gt;0,VLOOKUP(B374,КВСР!A308:B1473,2),IF(C374&gt;0,VLOOKUP(C374,КФСР!A308:B1820,2),IF(D374&gt;0,VLOOKUP(D374,Программа!A$1:B$5063,2),IF(F374&gt;0,VLOOKUP(F374,КВР!A$1:B$5001,2),IF(E374&gt;0,VLOOKUP(E374,Направление!A$1:B$4746,2))))))</f>
        <v>Предоставление субсидий бюджетным, автономным учреждениям и иным некоммерческим организациям</v>
      </c>
      <c r="B374" s="92"/>
      <c r="C374" s="93"/>
      <c r="D374" s="445"/>
      <c r="E374" s="92"/>
      <c r="F374" s="94">
        <v>600</v>
      </c>
      <c r="G374" s="393">
        <v>0</v>
      </c>
      <c r="H374" s="383"/>
      <c r="I374" s="50">
        <f t="shared" si="99"/>
        <v>0</v>
      </c>
    </row>
    <row r="375" spans="1:9" ht="31.2">
      <c r="A375" s="49" t="str">
        <f>IF(B375&gt;0,VLOOKUP(B375,КВСР!A309:B1474,2),IF(C375&gt;0,VLOOKUP(C375,КФСР!A309:B1821,2),IF(D375&gt;0,VLOOKUP(D375,Программа!A$1:B$5063,2),IF(F375&gt;0,VLOOKUP(F375,КВР!A$1:B$5001,2),IF(E375&gt;0,VLOOKUP(E375,Направление!A$1:B$4746,2))))))</f>
        <v>Муниципальная программа "Доступная среда "</v>
      </c>
      <c r="B375" s="92"/>
      <c r="C375" s="93"/>
      <c r="D375" s="445" t="s">
        <v>2867</v>
      </c>
      <c r="E375" s="92"/>
      <c r="F375" s="94"/>
      <c r="G375" s="393">
        <v>57895</v>
      </c>
      <c r="H375" s="393">
        <f t="shared" ref="H375:I375" si="120">H376</f>
        <v>1100000</v>
      </c>
      <c r="I375" s="393">
        <f t="shared" si="120"/>
        <v>1157895</v>
      </c>
    </row>
    <row r="376" spans="1:9" ht="78">
      <c r="A376" s="49" t="str">
        <f>IF(B376&gt;0,VLOOKUP(B376,КВСР!A310:B1475,2),IF(C376&gt;0,VLOOKUP(C376,КФСР!A310:B1822,2),IF(D376&gt;0,VLOOKUP(D376,Программа!A$1:B$5063,2),IF(F376&gt;0,VLOOKUP(F376,КВР!A$1:B$5001,2),IF(E376&gt;0,VLOOKUP(E376,Направление!A$1:B$4746,2))))))</f>
        <v>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v>
      </c>
      <c r="B376" s="92"/>
      <c r="C376" s="93"/>
      <c r="D376" s="445" t="s">
        <v>2869</v>
      </c>
      <c r="E376" s="92"/>
      <c r="F376" s="94"/>
      <c r="G376" s="393">
        <v>57895</v>
      </c>
      <c r="H376" s="393">
        <f>H377+H379+H381+H383</f>
        <v>1100000</v>
      </c>
      <c r="I376" s="393">
        <f>I377+I379+I381+I383</f>
        <v>1157895</v>
      </c>
    </row>
    <row r="377" spans="1:9" ht="62.4" hidden="1">
      <c r="A377" s="49" t="str">
        <f>IF(B377&gt;0,VLOOKUP(B377,КВСР!A311:B1476,2),IF(C377&gt;0,VLOOKUP(C377,КФСР!A311:B1823,2),IF(D377&gt;0,VLOOKUP(D377,Программа!A$1:B$5063,2),IF(F377&gt;0,VLOOKUP(F377,КВР!A$1:B$5001,2),IF(E377&gt;0,VLOOKUP(E377,Направление!A$1:B$4746,2))))))</f>
        <v>Расходы на оборудование социально значимых объектов с целью обеспечения доступности для инвалидов</v>
      </c>
      <c r="B377" s="92"/>
      <c r="C377" s="93"/>
      <c r="D377" s="445"/>
      <c r="E377" s="92">
        <v>16250</v>
      </c>
      <c r="F377" s="94"/>
      <c r="G377" s="393">
        <v>57895</v>
      </c>
      <c r="H377" s="393">
        <f t="shared" ref="H377:I377" si="121">H378</f>
        <v>-57895</v>
      </c>
      <c r="I377" s="393">
        <f t="shared" si="121"/>
        <v>0</v>
      </c>
    </row>
    <row r="378" spans="1:9" ht="62.4" hidden="1">
      <c r="A378" s="49" t="str">
        <f>IF(B378&gt;0,VLOOKUP(B378,КВСР!A312:B1477,2),IF(C378&gt;0,VLOOKUP(C378,КФСР!A312:B1824,2),IF(D378&gt;0,VLOOKUP(D378,Программа!A$1:B$5063,2),IF(F378&gt;0,VLOOKUP(F378,КВР!A$1:B$5001,2),IF(E378&gt;0,VLOOKUP(E378,Направление!A$1:B$4746,2))))))</f>
        <v>Предоставление субсидий бюджетным, автономным учреждениям и иным некоммерческим организациям</v>
      </c>
      <c r="B378" s="92"/>
      <c r="C378" s="93"/>
      <c r="D378" s="445"/>
      <c r="E378" s="92"/>
      <c r="F378" s="94">
        <v>600</v>
      </c>
      <c r="G378" s="393">
        <v>57895</v>
      </c>
      <c r="H378" s="383">
        <v>-57895</v>
      </c>
      <c r="I378" s="50">
        <f>G378+H378</f>
        <v>0</v>
      </c>
    </row>
    <row r="379" spans="1:9" ht="62.4">
      <c r="A379" s="49" t="str">
        <f>IF(B379&gt;0,VLOOKUP(B379,КВСР!A313:B1478,2),IF(C379&gt;0,VLOOKUP(C379,КФСР!A313:B1825,2),IF(D379&gt;0,VLOOKUP(D379,Программа!A$1:B$5063,2),IF(F379&gt;0,VLOOKUP(F379,КВР!A$1:B$5001,2),IF(E379&gt;0,VLOOKUP(E379,Направление!A$1:B$4746,2))))))</f>
        <v>Субсидии на мероприятия государственной программы Российской Федерации "Доступная среда"</v>
      </c>
      <c r="B379" s="92"/>
      <c r="C379" s="93"/>
      <c r="D379" s="445"/>
      <c r="E379" s="92">
        <v>50270</v>
      </c>
      <c r="F379" s="94"/>
      <c r="G379" s="393">
        <f>G380</f>
        <v>0</v>
      </c>
      <c r="H379" s="393">
        <f t="shared" ref="H379:I379" si="122">H380</f>
        <v>770000</v>
      </c>
      <c r="I379" s="393">
        <f t="shared" si="122"/>
        <v>770000</v>
      </c>
    </row>
    <row r="380" spans="1:9" ht="62.4">
      <c r="A380" s="49" t="str">
        <f>IF(B380&gt;0,VLOOKUP(B380,КВСР!A314:B1479,2),IF(C380&gt;0,VLOOKUP(C380,КФСР!A314:B1826,2),IF(D380&gt;0,VLOOKUP(D380,Программа!A$1:B$5063,2),IF(F380&gt;0,VLOOKUP(F380,КВР!A$1:B$5001,2),IF(E380&gt;0,VLOOKUP(E380,Направление!A$1:B$4746,2))))))</f>
        <v>Предоставление субсидий бюджетным, автономным учреждениям и иным некоммерческим организациям</v>
      </c>
      <c r="B380" s="92"/>
      <c r="C380" s="93"/>
      <c r="D380" s="445"/>
      <c r="E380" s="92"/>
      <c r="F380" s="94">
        <v>600</v>
      </c>
      <c r="G380" s="393"/>
      <c r="H380" s="383">
        <v>770000</v>
      </c>
      <c r="I380" s="50">
        <f>G380+H380</f>
        <v>770000</v>
      </c>
    </row>
    <row r="381" spans="1:9" ht="62.4">
      <c r="A381" s="49" t="str">
        <f>IF(B381&gt;0,VLOOKUP(B381,КВСР!A315:B1480,2),IF(C381&gt;0,VLOOKUP(C381,КФСР!A315:B1827,2),IF(D381&gt;0,VLOOKUP(D381,Программа!A$1:B$5063,2),IF(F381&gt;0,VLOOKUP(F381,КВР!A$1:B$5001,2),IF(E381&gt;0,VLOOKUP(E381,Направление!A$1:B$4746,2))))))</f>
        <v>Субсидии на мероприятия государственной программы Российской Федерации "Доступная среда"</v>
      </c>
      <c r="B381" s="92"/>
      <c r="C381" s="93"/>
      <c r="D381" s="445"/>
      <c r="E381" s="92" t="s">
        <v>3257</v>
      </c>
      <c r="F381" s="94"/>
      <c r="G381" s="393"/>
      <c r="H381" s="383">
        <f>H382</f>
        <v>57895</v>
      </c>
      <c r="I381" s="50">
        <f t="shared" ref="I381:I384" si="123">G381+H381</f>
        <v>57895</v>
      </c>
    </row>
    <row r="382" spans="1:9" ht="62.4">
      <c r="A382" s="49" t="str">
        <f>IF(B382&gt;0,VLOOKUP(B382,КВСР!A316:B1481,2),IF(C382&gt;0,VLOOKUP(C382,КФСР!A316:B1828,2),IF(D382&gt;0,VLOOKUP(D382,Программа!A$1:B$5063,2),IF(F382&gt;0,VLOOKUP(F382,КВР!A$1:B$5001,2),IF(E382&gt;0,VLOOKUP(E382,Направление!A$1:B$4746,2))))))</f>
        <v>Предоставление субсидий бюджетным, автономным учреждениям и иным некоммерческим организациям</v>
      </c>
      <c r="B382" s="92"/>
      <c r="C382" s="93"/>
      <c r="D382" s="445"/>
      <c r="E382" s="92"/>
      <c r="F382" s="94">
        <v>600</v>
      </c>
      <c r="G382" s="393"/>
      <c r="H382" s="383">
        <v>57895</v>
      </c>
      <c r="I382" s="50">
        <f t="shared" si="123"/>
        <v>57895</v>
      </c>
    </row>
    <row r="383" spans="1:9" ht="62.4">
      <c r="A383" s="49" t="str">
        <f>IF(B383&gt;0,VLOOKUP(B383,КВСР!A315:B1480,2),IF(C383&gt;0,VLOOKUP(C383,КФСР!A315:B1827,2),IF(D383&gt;0,VLOOKUP(D383,Программа!A$1:B$5063,2),IF(F383&gt;0,VLOOKUP(F383,КВР!A$1:B$5001,2),IF(E383&gt;0,VLOOKUP(E383,Направление!A$1:B$4746,2))))))</f>
        <v>Субсидии на мероприятия государственной программы Российской Федерации "Доступная среда"</v>
      </c>
      <c r="B383" s="92"/>
      <c r="C383" s="93"/>
      <c r="D383" s="445"/>
      <c r="E383" s="92" t="s">
        <v>3258</v>
      </c>
      <c r="F383" s="94"/>
      <c r="G383" s="393"/>
      <c r="H383" s="383">
        <f>H384</f>
        <v>330000</v>
      </c>
      <c r="I383" s="50">
        <f t="shared" si="123"/>
        <v>330000</v>
      </c>
    </row>
    <row r="384" spans="1:9" ht="62.4">
      <c r="A384" s="49" t="str">
        <f>IF(B384&gt;0,VLOOKUP(B384,КВСР!A316:B1481,2),IF(C384&gt;0,VLOOKUP(C384,КФСР!A316:B1828,2),IF(D384&gt;0,VLOOKUP(D384,Программа!A$1:B$5063,2),IF(F384&gt;0,VLOOKUP(F384,КВР!A$1:B$5001,2),IF(E384&gt;0,VLOOKUP(E384,Направление!A$1:B$4746,2))))))</f>
        <v>Предоставление субсидий бюджетным, автономным учреждениям и иным некоммерческим организациям</v>
      </c>
      <c r="B384" s="92"/>
      <c r="C384" s="93"/>
      <c r="D384" s="445"/>
      <c r="E384" s="92"/>
      <c r="F384" s="94">
        <v>600</v>
      </c>
      <c r="G384" s="393"/>
      <c r="H384" s="383">
        <v>330000</v>
      </c>
      <c r="I384" s="50">
        <f t="shared" si="123"/>
        <v>330000</v>
      </c>
    </row>
    <row r="385" spans="1:9" ht="62.4">
      <c r="A385" s="49" t="str">
        <f>IF(B385&gt;0,VLOOKUP(B385,КВСР!A309:B1474,2),IF(C385&gt;0,VLOOKUP(C385,КФСР!A309:B1821,2),IF(D385&gt;0,VLOOKUP(D385,Программа!A$1:B$5063,2),IF(F385&gt;0,VLOOKUP(F385,КВР!A$1:B$5001,2),IF(E385&gt;0,VLOOKUP(E385,Направление!A$1:B$4746,2))))))</f>
        <v>Муниципальная программа "Профилактика правонарушений и усиление борьбы с преступностью в Тутаевском муниципальном районе"</v>
      </c>
      <c r="B385" s="92"/>
      <c r="C385" s="93"/>
      <c r="D385" s="445" t="s">
        <v>2877</v>
      </c>
      <c r="E385" s="92"/>
      <c r="F385" s="94"/>
      <c r="G385" s="83">
        <v>45000</v>
      </c>
      <c r="H385" s="83">
        <f t="shared" ref="H385:I387" si="124">H386</f>
        <v>0</v>
      </c>
      <c r="I385" s="50">
        <f t="shared" si="99"/>
        <v>45000</v>
      </c>
    </row>
    <row r="386" spans="1:9" ht="31.2">
      <c r="A386" s="49" t="str">
        <f>IF(B386&gt;0,VLOOKUP(B386,КВСР!A310:B1475,2),IF(C386&gt;0,VLOOKUP(C386,КФСР!A310:B1822,2),IF(D386&gt;0,VLOOKUP(D386,Программа!A$1:B$5063,2),IF(F386&gt;0,VLOOKUP(F386,КВР!A$1:B$5001,2),IF(E386&gt;0,VLOOKUP(E386,Направление!A$1:B$4746,2))))))</f>
        <v>Реализация мероприятий по профилактике правонарушений</v>
      </c>
      <c r="B386" s="92"/>
      <c r="C386" s="93"/>
      <c r="D386" s="445" t="s">
        <v>2879</v>
      </c>
      <c r="E386" s="92"/>
      <c r="F386" s="94"/>
      <c r="G386" s="83">
        <v>45000</v>
      </c>
      <c r="H386" s="83">
        <f t="shared" si="124"/>
        <v>0</v>
      </c>
      <c r="I386" s="50">
        <f t="shared" si="99"/>
        <v>45000</v>
      </c>
    </row>
    <row r="387" spans="1:9" ht="46.8">
      <c r="A387" s="49" t="str">
        <f>IF(B387&gt;0,VLOOKUP(B387,КВСР!A311:B1476,2),IF(C387&gt;0,VLOOKUP(C387,КФСР!A311:B1823,2),IF(D387&gt;0,VLOOKUP(D387,Программа!A$1:B$5063,2),IF(F387&gt;0,VLOOKUP(F387,КВР!A$1:B$5001,2),IF(E387&gt;0,VLOOKUP(E387,Направление!A$1:B$4746,2))))))</f>
        <v>Расходы на профилактику правонарушений и усиления борьбы с преступностью</v>
      </c>
      <c r="B387" s="92"/>
      <c r="C387" s="93"/>
      <c r="D387" s="445"/>
      <c r="E387" s="92">
        <v>12250</v>
      </c>
      <c r="F387" s="94"/>
      <c r="G387" s="393">
        <v>45000</v>
      </c>
      <c r="H387" s="393">
        <f t="shared" si="124"/>
        <v>0</v>
      </c>
      <c r="I387" s="393">
        <f t="shared" si="124"/>
        <v>45000</v>
      </c>
    </row>
    <row r="388" spans="1:9" ht="62.4">
      <c r="A388" s="49" t="str">
        <f>IF(B388&gt;0,VLOOKUP(B388,КВСР!A312:B1477,2),IF(C388&gt;0,VLOOKUP(C388,КФСР!A312:B1824,2),IF(D388&gt;0,VLOOKUP(D388,Программа!A$1:B$5063,2),IF(F388&gt;0,VLOOKUP(F388,КВР!A$1:B$5001,2),IF(E388&gt;0,VLOOKUP(E388,Направление!A$1:B$4746,2))))))</f>
        <v>Предоставление субсидий бюджетным, автономным учреждениям и иным некоммерческим организациям</v>
      </c>
      <c r="B388" s="92"/>
      <c r="C388" s="93"/>
      <c r="D388" s="445"/>
      <c r="E388" s="92"/>
      <c r="F388" s="94">
        <v>600</v>
      </c>
      <c r="G388" s="393">
        <v>45000</v>
      </c>
      <c r="H388" s="383"/>
      <c r="I388" s="50">
        <v>45000</v>
      </c>
    </row>
    <row r="389" spans="1:9">
      <c r="A389" s="49" t="str">
        <f>IF(B389&gt;0,VLOOKUP(B389,КВСР!A313:B1478,2),IF(C389&gt;0,VLOOKUP(C389,КФСР!A313:B1825,2),IF(D389&gt;0,VLOOKUP(D389,Программа!A$1:B$5063,2),IF(F389&gt;0,VLOOKUP(F389,КВР!A$1:B$5001,2),IF(E389&gt;0,VLOOKUP(E389,Направление!A$1:B$4746,2))))))</f>
        <v>Непрограммные расходы бюджета</v>
      </c>
      <c r="B389" s="91"/>
      <c r="C389" s="84"/>
      <c r="D389" s="444" t="s">
        <v>2852</v>
      </c>
      <c r="E389" s="91"/>
      <c r="F389" s="85"/>
      <c r="G389" s="50">
        <v>856000</v>
      </c>
      <c r="H389" s="50">
        <f t="shared" ref="H389:H390" si="125">H390</f>
        <v>0</v>
      </c>
      <c r="I389" s="50">
        <f t="shared" si="99"/>
        <v>856000</v>
      </c>
    </row>
    <row r="390" spans="1:9" ht="31.2">
      <c r="A390" s="49" t="str">
        <f>IF(B390&gt;0,VLOOKUP(B390,КВСР!A314:B1479,2),IF(C390&gt;0,VLOOKUP(C390,КФСР!A314:B1826,2),IF(D390&gt;0,VLOOKUP(D390,Программа!A$1:B$5063,2),IF(F390&gt;0,VLOOKUP(F390,КВР!A$1:B$5001,2),IF(E390&gt;0,VLOOKUP(E390,Направление!A$1:B$4746,2))))))</f>
        <v>Государственная поддержка в сфере образования</v>
      </c>
      <c r="B390" s="91"/>
      <c r="C390" s="84"/>
      <c r="D390" s="444"/>
      <c r="E390" s="91">
        <v>13710</v>
      </c>
      <c r="F390" s="85"/>
      <c r="G390" s="101">
        <v>856000</v>
      </c>
      <c r="H390" s="101">
        <f t="shared" si="125"/>
        <v>0</v>
      </c>
      <c r="I390" s="50">
        <f t="shared" si="99"/>
        <v>856000</v>
      </c>
    </row>
    <row r="391" spans="1:9" ht="62.4">
      <c r="A391" s="49" t="str">
        <f>IF(B391&gt;0,VLOOKUP(B391,КВСР!A315:B1480,2),IF(C391&gt;0,VLOOKUP(C391,КФСР!A315:B1827,2),IF(D391&gt;0,VLOOKUP(D391,Программа!A$1:B$5063,2),IF(F391&gt;0,VLOOKUP(F391,КВР!A$1:B$5001,2),IF(E391&gt;0,VLOOKUP(E391,Направление!A$1:B$4746,2))))))</f>
        <v>Предоставление субсидий бюджетным, автономным учреждениям и иным некоммерческим организациям</v>
      </c>
      <c r="B391" s="91"/>
      <c r="C391" s="84"/>
      <c r="D391" s="85"/>
      <c r="E391" s="91"/>
      <c r="F391" s="85">
        <v>600</v>
      </c>
      <c r="G391" s="387">
        <v>856000</v>
      </c>
      <c r="H391" s="382"/>
      <c r="I391" s="50">
        <f t="shared" si="99"/>
        <v>856000</v>
      </c>
    </row>
    <row r="392" spans="1:9">
      <c r="A392" s="49" t="str">
        <f>IF(B392&gt;0,VLOOKUP(B392,КВСР!A316:B1481,2),IF(C392&gt;0,VLOOKUP(C392,КФСР!A316:B1828,2),IF(D392&gt;0,VLOOKUP(D392,Программа!A$1:B$5063,2),IF(F392&gt;0,VLOOKUP(F392,КВР!A$1:B$5001,2),IF(E392&gt;0,VLOOKUP(E392,Направление!A$1:B$4746,2))))))</f>
        <v>Охрана семьи и детства</v>
      </c>
      <c r="B392" s="92"/>
      <c r="C392" s="84">
        <v>1004</v>
      </c>
      <c r="D392" s="446"/>
      <c r="E392" s="715"/>
      <c r="F392" s="94"/>
      <c r="G392" s="83">
        <v>36509813</v>
      </c>
      <c r="H392" s="83">
        <f t="shared" ref="H392" si="126">H393</f>
        <v>2591704</v>
      </c>
      <c r="I392" s="50">
        <f t="shared" si="99"/>
        <v>39101517</v>
      </c>
    </row>
    <row r="393" spans="1:9" ht="62.4">
      <c r="A393" s="49" t="str">
        <f>IF(B393&gt;0,VLOOKUP(B393,КВСР!A317:B1482,2),IF(C393&gt;0,VLOOKUP(C393,КФСР!A317:B1829,2),IF(D393&gt;0,VLOOKUP(D393,Программа!A$1:B$5063,2),IF(F393&gt;0,VLOOKUP(F393,КВР!A$1:B$5001,2),IF(E393&gt;0,VLOOKUP(E393,Направление!A$1:B$4746,2))))))</f>
        <v>Муниципальная программа "Развитие образования, физической культуры и спорта в Тутаевском муниципальном районе"</v>
      </c>
      <c r="B393" s="91"/>
      <c r="C393" s="84"/>
      <c r="D393" s="447" t="s">
        <v>2739</v>
      </c>
      <c r="E393" s="564"/>
      <c r="F393" s="94"/>
      <c r="G393" s="83">
        <v>36509813</v>
      </c>
      <c r="H393" s="83">
        <f t="shared" ref="H393" si="127">H395</f>
        <v>2591704</v>
      </c>
      <c r="I393" s="50">
        <f t="shared" si="99"/>
        <v>39101517</v>
      </c>
    </row>
    <row r="394" spans="1:9" ht="62.4">
      <c r="A394" s="49" t="str">
        <f>IF(B394&gt;0,VLOOKUP(B394,КВСР!A318:B1483,2),IF(C394&gt;0,VLOOKUP(C394,КФСР!A318:B1830,2),IF(D394&gt;0,VLOOKUP(D394,Программа!A$1:B$5063,2),IF(F394&gt;0,VLOOKUP(F394,КВР!A$1:B$5001,2),IF(E394&gt;0,VLOOKUP(E394,Направление!A$1:B$4746,2))))))</f>
        <v xml:space="preserve">Ведомственная целевая программа департамента образования Администрации Тутаевского муниципального района </v>
      </c>
      <c r="B394" s="91"/>
      <c r="C394" s="84"/>
      <c r="D394" s="447" t="s">
        <v>2740</v>
      </c>
      <c r="E394" s="564"/>
      <c r="F394" s="94"/>
      <c r="G394" s="83">
        <v>36509813</v>
      </c>
      <c r="H394" s="83">
        <f t="shared" ref="H394" si="128">H395</f>
        <v>2591704</v>
      </c>
      <c r="I394" s="50">
        <f t="shared" si="99"/>
        <v>39101517</v>
      </c>
    </row>
    <row r="395" spans="1:9" ht="62.4">
      <c r="A395" s="49" t="str">
        <f>IF(B395&gt;0,VLOOKUP(B395,КВСР!A319:B1484,2),IF(C395&gt;0,VLOOKUP(C395,КФСР!A319:B1831,2),IF(D395&gt;0,VLOOKUP(D395,Программа!A$1:B$5063,2),IF(F395&gt;0,VLOOKUP(F395,КВР!A$1:B$5001,2),IF(E395&gt;0,VLOOKUP(E395,Направление!A$1:B$4746,2))))))</f>
        <v>Обеспечение качества реализации мер по социальной поддержке детей-сирот и детей оставшихся без попечения родителей</v>
      </c>
      <c r="B395" s="91"/>
      <c r="C395" s="84"/>
      <c r="D395" s="447" t="s">
        <v>2747</v>
      </c>
      <c r="E395" s="564"/>
      <c r="F395" s="94"/>
      <c r="G395" s="83">
        <v>36509813</v>
      </c>
      <c r="H395" s="83">
        <f>H398+H400+H402+H405+H408+H413+H396</f>
        <v>2591704</v>
      </c>
      <c r="I395" s="50">
        <f t="shared" si="99"/>
        <v>39101517</v>
      </c>
    </row>
    <row r="396" spans="1:9" ht="31.2" hidden="1">
      <c r="A396" s="49" t="str">
        <f>IF(B396&gt;0,VLOOKUP(B396,КВСР!A320:B1485,2),IF(C396&gt;0,VLOOKUP(C396,КФСР!A320:B1832,2),IF(D396&gt;0,VLOOKUP(D396,Программа!A$1:B$5063,2),IF(F396&gt;0,VLOOKUP(F396,КВР!A$1:B$5001,2),IF(E396&gt;0,VLOOKUP(E396,Направление!A$1:B$4746,2))))))</f>
        <v xml:space="preserve">Государственная поддержка опеки и попечительства </v>
      </c>
      <c r="B396" s="91"/>
      <c r="C396" s="84"/>
      <c r="D396" s="447"/>
      <c r="E396" s="564">
        <v>13750</v>
      </c>
      <c r="F396" s="94"/>
      <c r="G396" s="83">
        <v>0</v>
      </c>
      <c r="H396" s="83">
        <f t="shared" ref="H396" si="129">H397</f>
        <v>0</v>
      </c>
      <c r="I396" s="50">
        <f t="shared" si="99"/>
        <v>0</v>
      </c>
    </row>
    <row r="397" spans="1:9" ht="31.2" hidden="1">
      <c r="A397" s="49" t="str">
        <f>IF(B397&gt;0,VLOOKUP(B397,КВСР!A321:B1486,2),IF(C397&gt;0,VLOOKUP(C397,КФСР!A321:B1833,2),IF(D397&gt;0,VLOOKUP(D397,Программа!A$1:B$5063,2),IF(F397&gt;0,VLOOKUP(F397,КВР!A$1:B$5001,2),IF(E397&gt;0,VLOOKUP(E397,Направление!A$1:B$4746,2))))))</f>
        <v>Социальное обеспечение и иные выплаты населению</v>
      </c>
      <c r="B397" s="91"/>
      <c r="C397" s="84"/>
      <c r="D397" s="447"/>
      <c r="E397" s="564"/>
      <c r="F397" s="94">
        <v>300</v>
      </c>
      <c r="G397" s="393">
        <v>0</v>
      </c>
      <c r="H397" s="390"/>
      <c r="I397" s="50">
        <f t="shared" si="99"/>
        <v>0</v>
      </c>
    </row>
    <row r="398" spans="1:9" ht="51" customHeight="1">
      <c r="A398" s="49" t="str">
        <f>IF(B398&gt;0,VLOOKUP(B398,КВСР!A322:B1487,2),IF(C398&gt;0,VLOOKUP(C398,КФСР!A322:B1834,2),IF(D398&gt;0,VLOOKUP(D398,Программа!A$1:B$5063,2),IF(F398&gt;0,VLOOKUP(F398,КВР!A$1:B$5001,2),IF(E398&gt;0,VLOOKUP(E398,Направление!A$1:B$4746,2))))))</f>
        <v xml:space="preserve">Расходы на укрепление института семьи, повышение качества жизни семей с несовершеннолетними детьми </v>
      </c>
      <c r="B398" s="91"/>
      <c r="C398" s="84"/>
      <c r="D398" s="447"/>
      <c r="E398" s="564" t="s">
        <v>2996</v>
      </c>
      <c r="F398" s="94"/>
      <c r="G398" s="83">
        <v>3900</v>
      </c>
      <c r="H398" s="83">
        <f t="shared" ref="H398" si="130">H399</f>
        <v>0</v>
      </c>
      <c r="I398" s="50">
        <f t="shared" si="99"/>
        <v>3900</v>
      </c>
    </row>
    <row r="399" spans="1:9" ht="31.2">
      <c r="A399" s="49" t="str">
        <f>IF(B399&gt;0,VLOOKUP(B399,КВСР!A323:B1488,2),IF(C399&gt;0,VLOOKUP(C399,КФСР!A323:B1835,2),IF(D399&gt;0,VLOOKUP(D399,Программа!A$1:B$5063,2),IF(F399&gt;0,VLOOKUP(F399,КВР!A$1:B$5001,2),IF(E399&gt;0,VLOOKUP(E399,Направление!A$1:B$4746,2))))))</f>
        <v>Закупка товаров, работ и услуг для государственных нужд</v>
      </c>
      <c r="B399" s="91"/>
      <c r="C399" s="84"/>
      <c r="D399" s="267"/>
      <c r="E399" s="715"/>
      <c r="F399" s="94">
        <v>200</v>
      </c>
      <c r="G399" s="387">
        <v>3900</v>
      </c>
      <c r="H399" s="382"/>
      <c r="I399" s="50">
        <f t="shared" si="99"/>
        <v>3900</v>
      </c>
    </row>
    <row r="400" spans="1:9" ht="81.75" customHeight="1">
      <c r="A400" s="49" t="str">
        <f>IF(B400&gt;0,VLOOKUP(B400,КВСР!A324:B1489,2),IF(C400&gt;0,VLOOKUP(C400,КФСР!A324:B1836,2),IF(D400&gt;0,VLOOKUP(D400,Программа!A$1:B$5063,2),IF(F400&gt;0,VLOOKUP(F400,КВР!A$1:B$5001,2),IF(E400&gt;0,VLOOKUP(E400,Направление!A$1:B$4746,2))))))</f>
        <v>Расходы на выплату единовременного пособия при всех формах устройства детей, лишенных родительского попечения, в семью за счет средств федерального бюджета</v>
      </c>
      <c r="B400" s="91"/>
      <c r="C400" s="84"/>
      <c r="D400" s="447"/>
      <c r="E400" s="564">
        <v>52600</v>
      </c>
      <c r="F400" s="94"/>
      <c r="G400" s="50">
        <v>123884</v>
      </c>
      <c r="H400" s="50">
        <f t="shared" ref="H400" si="131">H401</f>
        <v>85692</v>
      </c>
      <c r="I400" s="50">
        <f t="shared" ref="I400:I489" si="132">SUM(G400:H400)</f>
        <v>209576</v>
      </c>
    </row>
    <row r="401" spans="1:9" ht="31.2">
      <c r="A401" s="49" t="str">
        <f>IF(B401&gt;0,VLOOKUP(B401,КВСР!A325:B1490,2),IF(C401&gt;0,VLOOKUP(C401,КФСР!A325:B1837,2),IF(D401&gt;0,VLOOKUP(D401,Программа!A$1:B$5063,2),IF(F401&gt;0,VLOOKUP(F401,КВР!A$1:B$5001,2),IF(E401&gt;0,VLOOKUP(E401,Направление!A$1:B$4746,2))))))</f>
        <v>Социальное обеспечение и иные выплаты населению</v>
      </c>
      <c r="B401" s="91"/>
      <c r="C401" s="84"/>
      <c r="D401" s="268"/>
      <c r="E401" s="564"/>
      <c r="F401" s="94">
        <v>300</v>
      </c>
      <c r="G401" s="387">
        <v>123884</v>
      </c>
      <c r="H401" s="382">
        <v>85692</v>
      </c>
      <c r="I401" s="50">
        <f t="shared" si="132"/>
        <v>209576</v>
      </c>
    </row>
    <row r="402" spans="1:9" ht="93.6">
      <c r="A402" s="49" t="str">
        <f>IF(B402&gt;0,VLOOKUP(B402,КВСР!A326:B1491,2),IF(C402&gt;0,VLOOKUP(C402,КФСР!A326:B1838,2),IF(D402&gt;0,VLOOKUP(D402,Программа!A$1:B$5063,2),IF(F402&gt;0,VLOOKUP(F402,КВР!A$1:B$5001,2),IF(E402&gt;0,VLOOKUP(E402,Направление!A$1:B$4746,2))))))</f>
        <v>Компенсация расходов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v>
      </c>
      <c r="B402" s="91"/>
      <c r="C402" s="84"/>
      <c r="D402" s="447"/>
      <c r="E402" s="564">
        <v>70430</v>
      </c>
      <c r="F402" s="94"/>
      <c r="G402" s="50">
        <v>10593925</v>
      </c>
      <c r="H402" s="50">
        <f>H404+H403</f>
        <v>3259269</v>
      </c>
      <c r="I402" s="50">
        <f t="shared" si="132"/>
        <v>13853194</v>
      </c>
    </row>
    <row r="403" spans="1:9" ht="31.2">
      <c r="A403" s="49" t="str">
        <f>IF(B403&gt;0,VLOOKUP(B403,КВСР!A327:B1492,2),IF(C403&gt;0,VLOOKUP(C403,КФСР!A327:B1839,2),IF(D403&gt;0,VLOOKUP(D403,Программа!A$1:B$5063,2),IF(F403&gt;0,VLOOKUP(F403,КВР!A$1:B$5001,2),IF(E403&gt;0,VLOOKUP(E403,Направление!A$1:B$4746,2))))))</f>
        <v>Закупка товаров, работ и услуг для государственных нужд</v>
      </c>
      <c r="B403" s="91"/>
      <c r="C403" s="84"/>
      <c r="D403" s="447"/>
      <c r="E403" s="564"/>
      <c r="F403" s="94">
        <v>200</v>
      </c>
      <c r="G403" s="50">
        <v>156560</v>
      </c>
      <c r="H403" s="50"/>
      <c r="I403" s="50">
        <f>G403+H403</f>
        <v>156560</v>
      </c>
    </row>
    <row r="404" spans="1:9" ht="31.2">
      <c r="A404" s="49" t="str">
        <f>IF(B404&gt;0,VLOOKUP(B404,КВСР!A328:B1493,2),IF(C404&gt;0,VLOOKUP(C404,КФСР!A328:B1840,2),IF(D404&gt;0,VLOOKUP(D404,Программа!A$1:B$5063,2),IF(F404&gt;0,VLOOKUP(F404,КВР!A$1:B$5001,2),IF(E404&gt;0,VLOOKUP(E404,Направление!A$1:B$4746,2))))))</f>
        <v>Социальное обеспечение и иные выплаты населению</v>
      </c>
      <c r="B404" s="91"/>
      <c r="C404" s="84"/>
      <c r="D404" s="268"/>
      <c r="E404" s="564"/>
      <c r="F404" s="94">
        <v>300</v>
      </c>
      <c r="G404" s="387">
        <v>10437365</v>
      </c>
      <c r="H404" s="382">
        <v>3259269</v>
      </c>
      <c r="I404" s="50">
        <f t="shared" si="132"/>
        <v>13696634</v>
      </c>
    </row>
    <row r="405" spans="1:9" ht="84.75" customHeight="1">
      <c r="A405" s="49" t="str">
        <f>IF(B405&gt;0,VLOOKUP(B405,КВСР!A329:B1494,2),IF(C405&gt;0,VLOOKUP(C405,КФСР!A329:B1841,2),IF(D405&gt;0,VLOOKUP(D405,Программа!A$1:B$5063,2),IF(F405&gt;0,VLOOKUP(F405,КВР!A$1:B$5001,2),IF(E405&gt;0,VLOOKUP(E405,Направление!A$1:B$4746,2))))))</f>
        <v>Расходы на содержание ребенка в семье опекуна и приемной семье, а также вознаграждение, причитающееся приемному родителю, за счет средств областного бюджета</v>
      </c>
      <c r="B405" s="91"/>
      <c r="C405" s="84"/>
      <c r="D405" s="447"/>
      <c r="E405" s="564">
        <v>70460</v>
      </c>
      <c r="F405" s="94"/>
      <c r="G405" s="50">
        <v>23943268</v>
      </c>
      <c r="H405" s="50">
        <f t="shared" ref="H405" si="133">H406+H407</f>
        <v>-753257</v>
      </c>
      <c r="I405" s="50">
        <f t="shared" si="132"/>
        <v>23190011</v>
      </c>
    </row>
    <row r="406" spans="1:9" ht="31.2">
      <c r="A406" s="49" t="str">
        <f>IF(B406&gt;0,VLOOKUP(B406,КВСР!A330:B1495,2),IF(C406&gt;0,VLOOKUP(C406,КФСР!A330:B1842,2),IF(D406&gt;0,VLOOKUP(D406,Программа!A$1:B$5063,2),IF(F406&gt;0,VLOOKUP(F406,КВР!A$1:B$5001,2),IF(E406&gt;0,VLOOKUP(E406,Направление!A$1:B$4746,2))))))</f>
        <v>Закупка товаров, работ и услуг для государственных нужд</v>
      </c>
      <c r="B406" s="91"/>
      <c r="C406" s="84"/>
      <c r="D406" s="268"/>
      <c r="E406" s="564"/>
      <c r="F406" s="94">
        <v>200</v>
      </c>
      <c r="G406" s="387">
        <v>86404</v>
      </c>
      <c r="H406" s="382">
        <v>-3748</v>
      </c>
      <c r="I406" s="50">
        <f t="shared" si="132"/>
        <v>82656</v>
      </c>
    </row>
    <row r="407" spans="1:9" ht="31.2">
      <c r="A407" s="49" t="str">
        <f>IF(B407&gt;0,VLOOKUP(B407,КВСР!A331:B1496,2),IF(C407&gt;0,VLOOKUP(C407,КФСР!A331:B1843,2),IF(D407&gt;0,VLOOKUP(D407,Программа!A$1:B$5063,2),IF(F407&gt;0,VLOOKUP(F407,КВР!A$1:B$5001,2),IF(E407&gt;0,VLOOKUP(E407,Направление!A$1:B$4746,2))))))</f>
        <v>Социальное обеспечение и иные выплаты населению</v>
      </c>
      <c r="B407" s="91"/>
      <c r="C407" s="84"/>
      <c r="D407" s="268"/>
      <c r="E407" s="564"/>
      <c r="F407" s="94">
        <v>300</v>
      </c>
      <c r="G407" s="387">
        <v>23856864</v>
      </c>
      <c r="H407" s="382">
        <v>-749509</v>
      </c>
      <c r="I407" s="50">
        <f t="shared" si="132"/>
        <v>23107355</v>
      </c>
    </row>
    <row r="408" spans="1:9" ht="46.8">
      <c r="A408" s="49" t="str">
        <f>IF(B408&gt;0,VLOOKUP(B408,КВСР!A332:B1497,2),IF(C408&gt;0,VLOOKUP(C408,КФСР!A332:B1844,2),IF(D408&gt;0,VLOOKUP(D408,Программа!A$1:B$5063,2),IF(F408&gt;0,VLOOKUP(F408,КВР!A$1:B$5001,2),IF(E408&gt;0,VLOOKUP(E408,Направление!A$1:B$4746,2))))))</f>
        <v>Государственная поддержка опеки и попечительства за счет средств областного бюджета</v>
      </c>
      <c r="B408" s="91"/>
      <c r="C408" s="84"/>
      <c r="D408" s="447"/>
      <c r="E408" s="564">
        <v>70500</v>
      </c>
      <c r="F408" s="94"/>
      <c r="G408" s="50">
        <v>1844836</v>
      </c>
      <c r="H408" s="50">
        <f>H410+H411+H409+H412</f>
        <v>0</v>
      </c>
      <c r="I408" s="50">
        <f t="shared" si="132"/>
        <v>1844836</v>
      </c>
    </row>
    <row r="409" spans="1:9" ht="109.2" hidden="1">
      <c r="A409" s="49" t="str">
        <f>IF(B409&gt;0,VLOOKUP(B409,КВСР!A333:B1498,2),IF(C409&gt;0,VLOOKUP(C409,КФСР!A333:B1845,2),IF(D409&gt;0,VLOOKUP(D409,Программа!A$1:B$5063,2),IF(F409&gt;0,VLOOKUP(F409,КВР!A$1:B$5001,2),IF(E409&gt;0,VLOOKUP(E409,Направление!A$1:B$4746,2))))))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409" s="91"/>
      <c r="C409" s="84"/>
      <c r="D409" s="447"/>
      <c r="E409" s="564"/>
      <c r="F409" s="94">
        <v>100</v>
      </c>
      <c r="G409" s="387">
        <v>0</v>
      </c>
      <c r="H409" s="391"/>
      <c r="I409" s="50">
        <f t="shared" si="132"/>
        <v>0</v>
      </c>
    </row>
    <row r="410" spans="1:9" ht="31.2">
      <c r="A410" s="49" t="str">
        <f>IF(B410&gt;0,VLOOKUP(B410,КВСР!A334:B1499,2),IF(C410&gt;0,VLOOKUP(C410,КФСР!A334:B1846,2),IF(D410&gt;0,VLOOKUP(D410,Программа!A$1:B$5063,2),IF(F410&gt;0,VLOOKUP(F410,КВР!A$1:B$5001,2),IF(E410&gt;0,VLOOKUP(E410,Направление!A$1:B$4746,2))))))</f>
        <v>Закупка товаров, работ и услуг для государственных нужд</v>
      </c>
      <c r="B410" s="91"/>
      <c r="C410" s="84"/>
      <c r="D410" s="268"/>
      <c r="E410" s="564"/>
      <c r="F410" s="94">
        <v>200</v>
      </c>
      <c r="G410" s="387">
        <v>167693</v>
      </c>
      <c r="H410" s="382"/>
      <c r="I410" s="50">
        <f t="shared" si="132"/>
        <v>167693</v>
      </c>
    </row>
    <row r="411" spans="1:9" ht="31.2">
      <c r="A411" s="49" t="str">
        <f>IF(B411&gt;0,VLOOKUP(B411,КВСР!A335:B1500,2),IF(C411&gt;0,VLOOKUP(C411,КФСР!A335:B1847,2),IF(D411&gt;0,VLOOKUP(D411,Программа!A$1:B$5063,2),IF(F411&gt;0,VLOOKUP(F411,КВР!A$1:B$5001,2),IF(E411&gt;0,VLOOKUP(E411,Направление!A$1:B$4746,2))))))</f>
        <v>Социальное обеспечение и иные выплаты населению</v>
      </c>
      <c r="B411" s="91"/>
      <c r="C411" s="84"/>
      <c r="D411" s="268"/>
      <c r="E411" s="564"/>
      <c r="F411" s="94">
        <v>300</v>
      </c>
      <c r="G411" s="387">
        <v>931724</v>
      </c>
      <c r="H411" s="382"/>
      <c r="I411" s="50">
        <f t="shared" si="132"/>
        <v>931724</v>
      </c>
    </row>
    <row r="412" spans="1:9" ht="62.4">
      <c r="A412" s="49" t="str">
        <f>IF(B412&gt;0,VLOOKUP(B412,КВСР!A336:B1501,2),IF(C412&gt;0,VLOOKUP(C412,КФСР!A336:B1848,2),IF(D412&gt;0,VLOOKUP(D412,Программа!A$1:B$5063,2),IF(F412&gt;0,VLOOKUP(F412,КВР!A$1:B$5001,2),IF(E412&gt;0,VLOOKUP(E412,Направление!A$1:B$4746,2))))))</f>
        <v>Предоставление субсидий бюджетным, автономным учреждениям и иным некоммерческим организациям</v>
      </c>
      <c r="B412" s="91"/>
      <c r="C412" s="84"/>
      <c r="D412" s="268"/>
      <c r="E412" s="564"/>
      <c r="F412" s="94">
        <v>600</v>
      </c>
      <c r="G412" s="387">
        <v>745419</v>
      </c>
      <c r="H412" s="382"/>
      <c r="I412" s="50">
        <f>G412+H412</f>
        <v>745419</v>
      </c>
    </row>
    <row r="413" spans="1:9" ht="78" hidden="1">
      <c r="A413" s="49" t="str">
        <f>IF(B413&gt;0,VLOOKUP(B413,КВСР!A337:B1502,2),IF(C413&gt;0,VLOOKUP(C413,КФСР!A337:B1849,2),IF(D413&gt;0,VLOOKUP(D413,Программа!A$1:B$5063,2),IF(F413&gt;0,VLOOKUP(F413,КВР!A$1:B$5001,2),IF(E413&gt;0,VLOOKUP(E413,Направление!A$1:B$4746,2))))))</f>
        <v>Расходы на укрепление института семьи, повышение качества жизни семей с несовершеннолетними детьми за счет средств областного бюджета</v>
      </c>
      <c r="B413" s="91"/>
      <c r="C413" s="84"/>
      <c r="D413" s="447"/>
      <c r="E413" s="564">
        <v>70970</v>
      </c>
      <c r="F413" s="94"/>
      <c r="G413" s="50">
        <v>0</v>
      </c>
      <c r="H413" s="50">
        <f t="shared" ref="H413" si="134">H414</f>
        <v>0</v>
      </c>
      <c r="I413" s="50">
        <f t="shared" si="132"/>
        <v>0</v>
      </c>
    </row>
    <row r="414" spans="1:9" ht="31.2" hidden="1">
      <c r="A414" s="49" t="str">
        <f>IF(B414&gt;0,VLOOKUP(B414,КВСР!A338:B1503,2),IF(C414&gt;0,VLOOKUP(C414,КФСР!A338:B1850,2),IF(D414&gt;0,VLOOKUP(D414,Программа!A$1:B$5063,2),IF(F414&gt;0,VLOOKUP(F414,КВР!A$1:B$5001,2),IF(E414&gt;0,VLOOKUP(E414,Направление!A$1:B$4746,2))))))</f>
        <v>Закупка товаров, работ и услуг для государственных нужд</v>
      </c>
      <c r="B414" s="91"/>
      <c r="C414" s="84"/>
      <c r="D414" s="268"/>
      <c r="E414" s="564"/>
      <c r="F414" s="94">
        <v>200</v>
      </c>
      <c r="G414" s="557">
        <v>0</v>
      </c>
      <c r="H414" s="384"/>
      <c r="I414" s="50">
        <f t="shared" si="132"/>
        <v>0</v>
      </c>
    </row>
    <row r="415" spans="1:9">
      <c r="A415" s="49" t="str">
        <f>IF(B415&gt;0,VLOOKUP(B415,КВСР!A339:B1504,2),IF(C415&gt;0,VLOOKUP(C415,КФСР!A339:B1851,2),IF(D415&gt;0,VLOOKUP(D415,Программа!A$1:B$5063,2),IF(F415&gt;0,VLOOKUP(F415,КВР!A$1:B$5001,2),IF(E415&gt;0,VLOOKUP(E415,Направление!A$1:B$4746,2))))))</f>
        <v xml:space="preserve">Физическая культура </v>
      </c>
      <c r="B415" s="91"/>
      <c r="C415" s="84">
        <v>1101</v>
      </c>
      <c r="D415" s="268"/>
      <c r="E415" s="564"/>
      <c r="F415" s="94"/>
      <c r="G415" s="557">
        <v>200000</v>
      </c>
      <c r="H415" s="557">
        <f t="shared" ref="H415:I417" si="135">H416</f>
        <v>0</v>
      </c>
      <c r="I415" s="557">
        <f t="shared" si="135"/>
        <v>200000</v>
      </c>
    </row>
    <row r="416" spans="1:9" ht="62.4">
      <c r="A416" s="49" t="str">
        <f>IF(B416&gt;0,VLOOKUP(B416,КВСР!A340:B1505,2),IF(C416&gt;0,VLOOKUP(C416,КФСР!A340:B1852,2),IF(D416&gt;0,VLOOKUP(D416,Программа!A$1:B$5063,2),IF(F416&gt;0,VLOOKUP(F416,КВР!A$1:B$5001,2),IF(E416&gt;0,VLOOKUP(E416,Направление!A$1:B$4746,2))))))</f>
        <v>Муниципальная программа "Развитие образования, физической культуры и спорта в Тутаевском муниципальном районе"</v>
      </c>
      <c r="B416" s="91"/>
      <c r="C416" s="84"/>
      <c r="D416" s="447" t="s">
        <v>2739</v>
      </c>
      <c r="E416" s="564"/>
      <c r="F416" s="94"/>
      <c r="G416" s="557">
        <v>200000</v>
      </c>
      <c r="H416" s="557">
        <f t="shared" si="135"/>
        <v>0</v>
      </c>
      <c r="I416" s="557">
        <f t="shared" si="135"/>
        <v>200000</v>
      </c>
    </row>
    <row r="417" spans="1:9" ht="62.4">
      <c r="A417" s="49" t="str">
        <f>IF(B417&gt;0,VLOOKUP(B417,КВСР!A341:B1506,2),IF(C417&gt;0,VLOOKUP(C417,КФСР!A341:B1853,2),IF(D417&gt;0,VLOOKUP(D417,Программа!A$1:B$5063,2),IF(F417&gt;0,VLOOKUP(F417,КВР!A$1:B$5001,2),IF(E417&gt;0,VLOOKUP(E417,Направление!A$1:B$4746,2))))))</f>
        <v>Муниципальная целевая программа "Развитие физической культуры и спорта в Тутаевском муниципальном районе"</v>
      </c>
      <c r="B417" s="91"/>
      <c r="C417" s="84"/>
      <c r="D417" s="447" t="s">
        <v>2856</v>
      </c>
      <c r="E417" s="564"/>
      <c r="F417" s="94"/>
      <c r="G417" s="557">
        <v>200000</v>
      </c>
      <c r="H417" s="557">
        <f t="shared" si="135"/>
        <v>0</v>
      </c>
      <c r="I417" s="557">
        <f t="shared" si="135"/>
        <v>200000</v>
      </c>
    </row>
    <row r="418" spans="1:9" ht="93.6">
      <c r="A418" s="49" t="str">
        <f>IF(B418&gt;0,VLOOKUP(B418,КВСР!A342:B1507,2),IF(C418&gt;0,VLOOKUP(C418,КФСР!A342:B1854,2),IF(D418&gt;0,VLOOKUP(D418,Программа!A$1:B$5063,2),IF(F418&gt;0,VLOOKUP(F418,КВР!A$1:B$5001,2),IF(E418&gt;0,VLOOKUP(E418,Направление!A$1:B$4746,2))))))</f>
        <v>Организация физкультурно-оздоровительной и спортивно-массовой работы среди детей, обучающейся молодежи, населения и людей с ограниченными возможностями здоровья</v>
      </c>
      <c r="B418" s="91"/>
      <c r="C418" s="84"/>
      <c r="D418" s="447" t="s">
        <v>2858</v>
      </c>
      <c r="E418" s="564"/>
      <c r="F418" s="94"/>
      <c r="G418" s="557">
        <v>200000</v>
      </c>
      <c r="H418" s="557">
        <f t="shared" ref="H418:I418" si="136">H419+H422</f>
        <v>0</v>
      </c>
      <c r="I418" s="557">
        <f t="shared" si="136"/>
        <v>200000</v>
      </c>
    </row>
    <row r="419" spans="1:9" ht="36.75" customHeight="1">
      <c r="A419" s="49" t="str">
        <f>IF(B419&gt;0,VLOOKUP(B419,КВСР!A343:B1508,2),IF(C419&gt;0,VLOOKUP(C419,КФСР!A343:B1855,2),IF(D419&gt;0,VLOOKUP(D419,Программа!A$1:B$5063,2),IF(F419&gt;0,VLOOKUP(F419,КВР!A$1:B$5001,2),IF(E419&gt;0,VLOOKUP(E419,Направление!A$1:B$4746,2))))))</f>
        <v>Обеспечение  физкультурно-спортивных мероприятий</v>
      </c>
      <c r="B419" s="91"/>
      <c r="C419" s="84"/>
      <c r="D419" s="447"/>
      <c r="E419" s="564">
        <v>29226</v>
      </c>
      <c r="F419" s="94"/>
      <c r="G419" s="557">
        <v>200000</v>
      </c>
      <c r="H419" s="557">
        <f t="shared" ref="H419:I419" si="137">H420+H421</f>
        <v>0</v>
      </c>
      <c r="I419" s="557">
        <f t="shared" si="137"/>
        <v>200000</v>
      </c>
    </row>
    <row r="420" spans="1:9" ht="101.25" customHeight="1">
      <c r="A420" s="49" t="str">
        <f>IF(B420&gt;0,VLOOKUP(B420,КВСР!A344:B1509,2),IF(C420&gt;0,VLOOKUP(C420,КФСР!A344:B1856,2),IF(D420&gt;0,VLOOKUP(D420,Программа!A$1:B$5063,2),IF(F420&gt;0,VLOOKUP(F420,КВР!A$1:B$5001,2),IF(E420&gt;0,VLOOKUP(E420,Направление!A$1:B$4746,2))))))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420" s="91"/>
      <c r="C420" s="84"/>
      <c r="D420" s="447"/>
      <c r="E420" s="564"/>
      <c r="F420" s="94">
        <v>100</v>
      </c>
      <c r="G420" s="557">
        <v>50000</v>
      </c>
      <c r="H420" s="384"/>
      <c r="I420" s="50">
        <f>G420+H420</f>
        <v>50000</v>
      </c>
    </row>
    <row r="421" spans="1:9" ht="31.2">
      <c r="A421" s="49" t="str">
        <f>IF(B421&gt;0,VLOOKUP(B421,КВСР!A345:B1510,2),IF(C421&gt;0,VLOOKUP(C421,КФСР!A345:B1857,2),IF(D421&gt;0,VLOOKUP(D421,Программа!A$1:B$5063,2),IF(F421&gt;0,VLOOKUP(F421,КВР!A$1:B$5001,2),IF(E421&gt;0,VLOOKUP(E421,Направление!A$1:B$4746,2))))))</f>
        <v>Закупка товаров, работ и услуг для государственных нужд</v>
      </c>
      <c r="B421" s="91"/>
      <c r="C421" s="84"/>
      <c r="D421" s="447"/>
      <c r="E421" s="564"/>
      <c r="F421" s="94">
        <v>200</v>
      </c>
      <c r="G421" s="557">
        <v>150000</v>
      </c>
      <c r="H421" s="384"/>
      <c r="I421" s="50">
        <f>G421+H421</f>
        <v>150000</v>
      </c>
    </row>
    <row r="422" spans="1:9" ht="46.8" hidden="1">
      <c r="A422" s="49" t="str">
        <f>IF(B422&gt;0,VLOOKUP(B422,КВСР!A346:B1511,2),IF(C422&gt;0,VLOOKUP(C422,КФСР!A346:B1858,2),IF(D422&gt;0,VLOOKUP(D422,Программа!A$1:B$5063,2),IF(F422&gt;0,VLOOKUP(F422,КВР!A$1:B$5001,2),IF(E422&gt;0,VLOOKUP(E422,Направление!A$1:B$4746,2))))))</f>
        <v xml:space="preserve">Обеспечение  участия волейбольной команды «Ярославна-ТМЗ» в  соревнованиях  </v>
      </c>
      <c r="B422" s="91"/>
      <c r="C422" s="84"/>
      <c r="D422" s="447"/>
      <c r="E422" s="564">
        <v>29456</v>
      </c>
      <c r="F422" s="94"/>
      <c r="G422" s="557">
        <v>0</v>
      </c>
      <c r="H422" s="557">
        <f t="shared" ref="H422:I422" si="138">H423</f>
        <v>0</v>
      </c>
      <c r="I422" s="557">
        <f t="shared" si="138"/>
        <v>0</v>
      </c>
    </row>
    <row r="423" spans="1:9" ht="62.4" hidden="1">
      <c r="A423" s="49" t="str">
        <f>IF(B423&gt;0,VLOOKUP(B423,КВСР!A347:B1512,2),IF(C423&gt;0,VLOOKUP(C423,КФСР!A347:B1859,2),IF(D423&gt;0,VLOOKUP(D423,Программа!A$1:B$5063,2),IF(F423&gt;0,VLOOKUP(F423,КВР!A$1:B$5001,2),IF(E423&gt;0,VLOOKUP(E423,Направление!A$1:B$4746,2))))))</f>
        <v>Предоставление субсидий бюджетным, автономным учреждениям и иным некоммерческим организациям</v>
      </c>
      <c r="B423" s="91"/>
      <c r="C423" s="84"/>
      <c r="D423" s="447"/>
      <c r="E423" s="564"/>
      <c r="F423" s="94">
        <v>600</v>
      </c>
      <c r="G423" s="557">
        <v>0</v>
      </c>
      <c r="H423" s="384"/>
      <c r="I423" s="50">
        <f>G423+H423</f>
        <v>0</v>
      </c>
    </row>
    <row r="424" spans="1:9" s="20" customFormat="1">
      <c r="A424" s="49" t="str">
        <f>IF(B424&gt;0,VLOOKUP(B424,КВСР!A348:B1513,2),IF(C424&gt;0,VLOOKUP(C424,КФСР!A348:B1860,2),IF(D424&gt;0,VLOOKUP(D424,Программа!A$1:B$5063,2),IF(F424&gt;0,VLOOKUP(F424,КВР!A$1:B$5001,2),IF(E424&gt;0,VLOOKUP(E424,Направление!A$1:B$4746,2))))))</f>
        <v>Массовый спорт</v>
      </c>
      <c r="B424" s="92"/>
      <c r="C424" s="93">
        <v>1102</v>
      </c>
      <c r="D424" s="444"/>
      <c r="E424" s="91"/>
      <c r="F424" s="85"/>
      <c r="G424" s="101">
        <v>6283735</v>
      </c>
      <c r="H424" s="101">
        <f t="shared" ref="H424" si="139">H437+H425</f>
        <v>-30000</v>
      </c>
      <c r="I424" s="50">
        <f t="shared" si="132"/>
        <v>6253735</v>
      </c>
    </row>
    <row r="425" spans="1:9" s="20" customFormat="1" ht="62.4">
      <c r="A425" s="49" t="str">
        <f>IF(B425&gt;0,VLOOKUP(B425,КВСР!A349:B1514,2),IF(C425&gt;0,VLOOKUP(C425,КФСР!A349:B1861,2),IF(D425&gt;0,VLOOKUP(D425,Программа!A$1:B$5063,2),IF(F425&gt;0,VLOOKUP(F425,КВР!A$1:B$5001,2),IF(E425&gt;0,VLOOKUP(E425,Направление!A$1:B$4746,2))))))</f>
        <v>Муниципальная программа  "Развитие культуры, туризма и молодежной политики в Тутаевском муниципальном районе"</v>
      </c>
      <c r="B425" s="92"/>
      <c r="C425" s="93"/>
      <c r="D425" s="444" t="s">
        <v>2721</v>
      </c>
      <c r="E425" s="91"/>
      <c r="F425" s="85"/>
      <c r="G425" s="101">
        <v>440000</v>
      </c>
      <c r="H425" s="101">
        <f t="shared" ref="H425" si="140">H427+H431</f>
        <v>0</v>
      </c>
      <c r="I425" s="50">
        <f t="shared" si="132"/>
        <v>440000</v>
      </c>
    </row>
    <row r="426" spans="1:9" s="20" customFormat="1" ht="93.6">
      <c r="A426" s="49" t="str">
        <f>IF(B426&gt;0,VLOOKUP(B426,КВСР!A350:B1515,2),IF(C426&gt;0,VLOOKUP(C426,КФСР!A350:B1862,2),IF(D426&gt;0,VLOOKUP(D426,Программа!A$1:B$5063,2),IF(F426&gt;0,VLOOKUP(F426,КВР!A$1:B$5001,2),IF(E426&gt;0,VLOOKUP(E426,Направление!A$1:B$4746,2))))))</f>
        <v>Муниципальная целевая программа «Патриотическое воспитание граждан Российской Федерации, проживающих на территории Тутаевского муниципального района Ярославской области»</v>
      </c>
      <c r="B426" s="92"/>
      <c r="C426" s="93"/>
      <c r="D426" s="444" t="s">
        <v>2724</v>
      </c>
      <c r="E426" s="91"/>
      <c r="F426" s="85"/>
      <c r="G426" s="101">
        <v>40000</v>
      </c>
      <c r="H426" s="101">
        <f t="shared" ref="H426:H427" si="141">H427</f>
        <v>0</v>
      </c>
      <c r="I426" s="50">
        <f t="shared" si="132"/>
        <v>40000</v>
      </c>
    </row>
    <row r="427" spans="1:9" s="20" customFormat="1" ht="85.5" customHeight="1">
      <c r="A427" s="49" t="str">
        <f>IF(B427&gt;0,VLOOKUP(B427,КВСР!A351:B1516,2),IF(C427&gt;0,VLOOKUP(C427,КФСР!A351:B1863,2),IF(D427&gt;0,VLOOKUP(D427,Программа!A$1:B$5063,2),IF(F427&gt;0,VLOOKUP(F427,КВР!A$1:B$5001,2),IF(E427&gt;0,VLOOKUP(E427,Направление!A$1:B$4746,2))))))</f>
        <v>Координирование деятельности, совершенствование организационного, методического и информационного функционирования системы патриотического воспитания</v>
      </c>
      <c r="B427" s="92"/>
      <c r="C427" s="93"/>
      <c r="D427" s="444" t="s">
        <v>2725</v>
      </c>
      <c r="E427" s="91"/>
      <c r="F427" s="85"/>
      <c r="G427" s="101">
        <v>40000</v>
      </c>
      <c r="H427" s="101">
        <f t="shared" si="141"/>
        <v>0</v>
      </c>
      <c r="I427" s="50">
        <f t="shared" si="132"/>
        <v>40000</v>
      </c>
    </row>
    <row r="428" spans="1:9" s="20" customFormat="1" ht="31.2">
      <c r="A428" s="49" t="str">
        <f>IF(B428&gt;0,VLOOKUP(B428,КВСР!A352:B1517,2),IF(C428&gt;0,VLOOKUP(C428,КФСР!A352:B1864,2),IF(D428&gt;0,VLOOKUP(D428,Программа!A$1:B$5063,2),IF(F428&gt;0,VLOOKUP(F428,КВР!A$1:B$5001,2),IF(E428&gt;0,VLOOKUP(E428,Направление!A$1:B$4746,2))))))</f>
        <v>Мероприятия в области спорта и физической культуры</v>
      </c>
      <c r="B428" s="92"/>
      <c r="C428" s="93"/>
      <c r="D428" s="444"/>
      <c r="E428" s="91">
        <v>14010</v>
      </c>
      <c r="F428" s="85"/>
      <c r="G428" s="101">
        <v>40000</v>
      </c>
      <c r="H428" s="101">
        <f>H429+H430</f>
        <v>0</v>
      </c>
      <c r="I428" s="50">
        <f t="shared" si="132"/>
        <v>40000</v>
      </c>
    </row>
    <row r="429" spans="1:9" s="20" customFormat="1" ht="100.5" customHeight="1">
      <c r="A429" s="49" t="str">
        <f>IF(B429&gt;0,VLOOKUP(B429,КВСР!A353:B1518,2),IF(C429&gt;0,VLOOKUP(C429,КФСР!A353:B1865,2),IF(D429&gt;0,VLOOKUP(D429,Программа!A$1:B$5063,2),IF(F429&gt;0,VLOOKUP(F429,КВР!A$1:B$5001,2),IF(E429&gt;0,VLOOKUP(E429,Направление!A$1:B$4746,2))))))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429" s="92"/>
      <c r="C429" s="93"/>
      <c r="D429" s="444"/>
      <c r="E429" s="91"/>
      <c r="F429" s="85">
        <v>100</v>
      </c>
      <c r="G429" s="557">
        <v>20000</v>
      </c>
      <c r="H429" s="384"/>
      <c r="I429" s="50">
        <f t="shared" si="132"/>
        <v>20000</v>
      </c>
    </row>
    <row r="430" spans="1:9" s="20" customFormat="1" ht="31.2">
      <c r="A430" s="49" t="str">
        <f>IF(B430&gt;0,VLOOKUP(B430,КВСР!A354:B1519,2),IF(C430&gt;0,VLOOKUP(C430,КФСР!A354:B1866,2),IF(D430&gt;0,VLOOKUP(D430,Программа!A$1:B$5063,2),IF(F430&gt;0,VLOOKUP(F430,КВР!A$1:B$5001,2),IF(E430&gt;0,VLOOKUP(E430,Направление!A$1:B$4746,2))))))</f>
        <v>Закупка товаров, работ и услуг для государственных нужд</v>
      </c>
      <c r="B430" s="92"/>
      <c r="C430" s="93"/>
      <c r="D430" s="444"/>
      <c r="E430" s="91"/>
      <c r="F430" s="85">
        <v>200</v>
      </c>
      <c r="G430" s="557">
        <v>20000</v>
      </c>
      <c r="H430" s="384"/>
      <c r="I430" s="50">
        <f>G430+H430</f>
        <v>20000</v>
      </c>
    </row>
    <row r="431" spans="1:9" s="20" customFormat="1" ht="68.25" customHeight="1">
      <c r="A431" s="49" t="str">
        <f>IF(B431&gt;0,VLOOKUP(B431,КВСР!A355:B1520,2),IF(C431&gt;0,VLOOKUP(C431,КФСР!A355:B1867,2),IF(D431&gt;0,VLOOKUP(D431,Программа!A$1:B$5063,2),IF(F431&gt;0,VLOOKUP(F431,КВР!A$1:B$5001,2),IF(E431&gt;0,VLOOKUP(E431,Направление!A$1:B$4746,2))))))</f>
        <v>Муниципальная целевая программа «Комплексные меры противодействия злоупотреблению наркотиками и их незаконному обороту»</v>
      </c>
      <c r="B431" s="92"/>
      <c r="C431" s="93"/>
      <c r="D431" s="444" t="s">
        <v>2726</v>
      </c>
      <c r="E431" s="91"/>
      <c r="F431" s="85"/>
      <c r="G431" s="101">
        <v>400000</v>
      </c>
      <c r="H431" s="101">
        <f t="shared" ref="H431:H432" si="142">H432</f>
        <v>0</v>
      </c>
      <c r="I431" s="50">
        <f t="shared" si="132"/>
        <v>400000</v>
      </c>
    </row>
    <row r="432" spans="1:9" s="20" customFormat="1" ht="46.8">
      <c r="A432" s="49" t="str">
        <f>IF(B432&gt;0,VLOOKUP(B432,КВСР!A356:B1521,2),IF(C432&gt;0,VLOOKUP(C432,КФСР!A356:B1868,2),IF(D432&gt;0,VLOOKUP(D432,Программа!A$1:B$5063,2),IF(F432&gt;0,VLOOKUP(F432,КВР!A$1:B$5001,2),IF(E432&gt;0,VLOOKUP(E432,Направление!A$1:B$4746,2))))))</f>
        <v>Развитие системы профилактики немедицинского потребления наркотиков</v>
      </c>
      <c r="B432" s="92"/>
      <c r="C432" s="93"/>
      <c r="D432" s="444" t="s">
        <v>2727</v>
      </c>
      <c r="E432" s="91"/>
      <c r="F432" s="85"/>
      <c r="G432" s="101">
        <v>400000</v>
      </c>
      <c r="H432" s="101">
        <f t="shared" si="142"/>
        <v>0</v>
      </c>
      <c r="I432" s="50">
        <f t="shared" si="132"/>
        <v>400000</v>
      </c>
    </row>
    <row r="433" spans="1:9" s="20" customFormat="1" ht="31.2">
      <c r="A433" s="49" t="str">
        <f>IF(B433&gt;0,VLOOKUP(B433,КВСР!A357:B1522,2),IF(C433&gt;0,VLOOKUP(C433,КФСР!A357:B1869,2),IF(D433&gt;0,VLOOKUP(D433,Программа!A$1:B$5063,2),IF(F433&gt;0,VLOOKUP(F433,КВР!A$1:B$5001,2),IF(E433&gt;0,VLOOKUP(E433,Направление!A$1:B$4746,2))))))</f>
        <v>Мероприятия в области спорта и физической культуры</v>
      </c>
      <c r="B433" s="92"/>
      <c r="C433" s="93"/>
      <c r="D433" s="444"/>
      <c r="E433" s="91">
        <v>14010</v>
      </c>
      <c r="F433" s="85"/>
      <c r="G433" s="101">
        <v>400000</v>
      </c>
      <c r="H433" s="101">
        <f t="shared" ref="H433" si="143">H436+H434+H435</f>
        <v>0</v>
      </c>
      <c r="I433" s="50">
        <f t="shared" si="132"/>
        <v>400000</v>
      </c>
    </row>
    <row r="434" spans="1:9" s="20" customFormat="1" ht="101.25" customHeight="1">
      <c r="A434" s="49" t="str">
        <f>IF(B434&gt;0,VLOOKUP(B434,КВСР!A358:B1523,2),IF(C434&gt;0,VLOOKUP(C434,КФСР!A358:B1870,2),IF(D434&gt;0,VLOOKUP(D434,Программа!A$1:B$5063,2),IF(F434&gt;0,VLOOKUP(F434,КВР!A$1:B$5001,2),IF(E434&gt;0,VLOOKUP(E434,Направление!A$1:B$4746,2))))))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434" s="92"/>
      <c r="C434" s="93"/>
      <c r="D434" s="444"/>
      <c r="E434" s="91"/>
      <c r="F434" s="85">
        <v>100</v>
      </c>
      <c r="G434" s="557">
        <v>130000</v>
      </c>
      <c r="H434" s="530"/>
      <c r="I434" s="50">
        <f t="shared" si="132"/>
        <v>130000</v>
      </c>
    </row>
    <row r="435" spans="1:9" s="20" customFormat="1" ht="31.2">
      <c r="A435" s="49" t="str">
        <f>IF(B435&gt;0,VLOOKUP(B435,КВСР!A359:B1524,2),IF(C435&gt;0,VLOOKUP(C435,КФСР!A359:B1871,2),IF(D435&gt;0,VLOOKUP(D435,Программа!A$1:B$5063,2),IF(F435&gt;0,VLOOKUP(F435,КВР!A$1:B$5001,2),IF(E435&gt;0,VLOOKUP(E435,Направление!A$1:B$4746,2))))))</f>
        <v>Закупка товаров, работ и услуг для государственных нужд</v>
      </c>
      <c r="B435" s="92"/>
      <c r="C435" s="93"/>
      <c r="D435" s="444"/>
      <c r="E435" s="91"/>
      <c r="F435" s="85">
        <v>200</v>
      </c>
      <c r="G435" s="557">
        <v>20000</v>
      </c>
      <c r="H435" s="530"/>
      <c r="I435" s="50">
        <f t="shared" si="132"/>
        <v>20000</v>
      </c>
    </row>
    <row r="436" spans="1:9" s="20" customFormat="1" ht="62.4">
      <c r="A436" s="49" t="str">
        <f>IF(B436&gt;0,VLOOKUP(B436,КВСР!A360:B1525,2),IF(C436&gt;0,VLOOKUP(C436,КФСР!A360:B1872,2),IF(D436&gt;0,VLOOKUP(D436,Программа!A$1:B$5063,2),IF(F436&gt;0,VLOOKUP(F436,КВР!A$1:B$5001,2),IF(E436&gt;0,VLOOKUP(E436,Направление!A$1:B$4746,2))))))</f>
        <v>Предоставление субсидий бюджетным, автономным учреждениям и иным некоммерческим организациям</v>
      </c>
      <c r="B436" s="92"/>
      <c r="C436" s="93"/>
      <c r="D436" s="444"/>
      <c r="E436" s="91"/>
      <c r="F436" s="85">
        <v>600</v>
      </c>
      <c r="G436" s="557">
        <v>250000</v>
      </c>
      <c r="H436" s="384"/>
      <c r="I436" s="50">
        <f t="shared" si="132"/>
        <v>250000</v>
      </c>
    </row>
    <row r="437" spans="1:9" s="20" customFormat="1" ht="62.4">
      <c r="A437" s="49" t="str">
        <f>IF(B437&gt;0,VLOOKUP(B437,КВСР!A361:B1526,2),IF(C437&gt;0,VLOOKUP(C437,КФСР!A361:B1873,2),IF(D437&gt;0,VLOOKUP(D437,Программа!A$1:B$5063,2),IF(F437&gt;0,VLOOKUP(F437,КВР!A$1:B$5001,2),IF(E437&gt;0,VLOOKUP(E437,Направление!A$1:B$4746,2))))))</f>
        <v>Муниципальная программа "Развитие образования, физической культуры и спорта в Тутаевском муниципальном районе"</v>
      </c>
      <c r="B437" s="92"/>
      <c r="C437" s="93"/>
      <c r="D437" s="444" t="s">
        <v>2739</v>
      </c>
      <c r="E437" s="91"/>
      <c r="F437" s="85"/>
      <c r="G437" s="101">
        <v>5843735</v>
      </c>
      <c r="H437" s="101">
        <f t="shared" ref="H437" si="144">H438</f>
        <v>-30000</v>
      </c>
      <c r="I437" s="50">
        <f t="shared" si="132"/>
        <v>5813735</v>
      </c>
    </row>
    <row r="438" spans="1:9" s="20" customFormat="1" ht="62.4">
      <c r="A438" s="49" t="str">
        <f>IF(B438&gt;0,VLOOKUP(B438,КВСР!A362:B1527,2),IF(C438&gt;0,VLOOKUP(C438,КФСР!A362:B1874,2),IF(D438&gt;0,VLOOKUP(D438,Программа!A$1:B$5063,2),IF(F438&gt;0,VLOOKUP(F438,КВР!A$1:B$5001,2),IF(E438&gt;0,VLOOKUP(E438,Направление!A$1:B$4746,2))))))</f>
        <v>Муниципальная целевая программа "Развитие физической культуры и спорта в Тутаевском муниципальном районе"</v>
      </c>
      <c r="B438" s="92"/>
      <c r="C438" s="93"/>
      <c r="D438" s="444" t="s">
        <v>2856</v>
      </c>
      <c r="E438" s="91"/>
      <c r="F438" s="85"/>
      <c r="G438" s="101">
        <v>5843735</v>
      </c>
      <c r="H438" s="101">
        <f>H439+H444</f>
        <v>-30000</v>
      </c>
      <c r="I438" s="101">
        <f>I439+I444</f>
        <v>5813735</v>
      </c>
    </row>
    <row r="439" spans="1:9" s="20" customFormat="1" ht="93.6">
      <c r="A439" s="49" t="str">
        <f>IF(B439&gt;0,VLOOKUP(B439,КВСР!A363:B1528,2),IF(C439&gt;0,VLOOKUP(C439,КФСР!A363:B1875,2),IF(D439&gt;0,VLOOKUP(D439,Программа!A$1:B$5063,2),IF(F439&gt;0,VLOOKUP(F439,КВР!A$1:B$5001,2),IF(E439&gt;0,VLOOKUP(E439,Направление!A$1:B$4746,2))))))</f>
        <v>Организация физкультурно-оздоровительной и спортивно-массовой работы среди детей, обучающейся молодежи, населения и людей с ограниченными возможностями здоровья</v>
      </c>
      <c r="B439" s="92"/>
      <c r="C439" s="93"/>
      <c r="D439" s="444" t="s">
        <v>2858</v>
      </c>
      <c r="E439" s="91"/>
      <c r="F439" s="85"/>
      <c r="G439" s="101">
        <v>1860000</v>
      </c>
      <c r="H439" s="101">
        <f t="shared" ref="H439" si="145">H440</f>
        <v>0</v>
      </c>
      <c r="I439" s="50">
        <f t="shared" si="132"/>
        <v>1860000</v>
      </c>
    </row>
    <row r="440" spans="1:9" s="20" customFormat="1" ht="31.2">
      <c r="A440" s="49" t="str">
        <f>IF(B440&gt;0,VLOOKUP(B440,КВСР!A364:B1529,2),IF(C440&gt;0,VLOOKUP(C440,КФСР!A364:B1876,2),IF(D440&gt;0,VLOOKUP(D440,Программа!A$1:B$5063,2),IF(F440&gt;0,VLOOKUP(F440,КВР!A$1:B$5001,2),IF(E440&gt;0,VLOOKUP(E440,Направление!A$1:B$4746,2))))))</f>
        <v>Мероприятия в области спорта и физической культуры</v>
      </c>
      <c r="B440" s="92"/>
      <c r="C440" s="93"/>
      <c r="D440" s="444"/>
      <c r="E440" s="91">
        <v>14010</v>
      </c>
      <c r="F440" s="85"/>
      <c r="G440" s="50">
        <v>1860000</v>
      </c>
      <c r="H440" s="50">
        <f t="shared" ref="H440" si="146">H442+H441+H443</f>
        <v>0</v>
      </c>
      <c r="I440" s="50">
        <f t="shared" si="132"/>
        <v>1860000</v>
      </c>
    </row>
    <row r="441" spans="1:9" s="20" customFormat="1" ht="109.2">
      <c r="A441" s="49" t="str">
        <f>IF(B441&gt;0,VLOOKUP(B441,КВСР!A365:B1530,2),IF(C441&gt;0,VLOOKUP(C441,КФСР!A365:B1877,2),IF(D441&gt;0,VLOOKUP(D441,Программа!A$1:B$5063,2),IF(F441&gt;0,VLOOKUP(F441,КВР!A$1:B$5001,2),IF(E441&gt;0,VLOOKUP(E441,Направление!A$1:B$4746,2))))))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441" s="92"/>
      <c r="C441" s="93"/>
      <c r="D441" s="444"/>
      <c r="E441" s="91"/>
      <c r="F441" s="85">
        <v>100</v>
      </c>
      <c r="G441" s="387">
        <v>240000</v>
      </c>
      <c r="H441" s="391"/>
      <c r="I441" s="50">
        <f t="shared" si="132"/>
        <v>240000</v>
      </c>
    </row>
    <row r="442" spans="1:9" s="20" customFormat="1" ht="31.2">
      <c r="A442" s="49" t="str">
        <f>IF(B442&gt;0,VLOOKUP(B442,КВСР!A366:B1531,2),IF(C442&gt;0,VLOOKUP(C442,КФСР!A366:B1878,2),IF(D442&gt;0,VLOOKUP(D442,Программа!A$1:B$5063,2),IF(F442&gt;0,VLOOKUP(F442,КВР!A$1:B$5001,2),IF(E442&gt;0,VLOOKUP(E442,Направление!A$1:B$4746,2))))))</f>
        <v>Закупка товаров, работ и услуг для государственных нужд</v>
      </c>
      <c r="B442" s="92"/>
      <c r="C442" s="93"/>
      <c r="D442" s="444"/>
      <c r="E442" s="91"/>
      <c r="F442" s="85">
        <v>200</v>
      </c>
      <c r="G442" s="557">
        <v>455000</v>
      </c>
      <c r="H442" s="384"/>
      <c r="I442" s="50">
        <f t="shared" si="132"/>
        <v>455000</v>
      </c>
    </row>
    <row r="443" spans="1:9" s="20" customFormat="1" ht="62.4">
      <c r="A443" s="49" t="str">
        <f>IF(B443&gt;0,VLOOKUP(B443,КВСР!A367:B1532,2),IF(C443&gt;0,VLOOKUP(C443,КФСР!A367:B1879,2),IF(D443&gt;0,VLOOKUP(D443,Программа!A$1:B$5063,2),IF(F443&gt;0,VLOOKUP(F443,КВР!A$1:B$5001,2),IF(E443&gt;0,VLOOKUP(E443,Направление!A$1:B$4746,2))))))</f>
        <v>Предоставление субсидий бюджетным, автономным учреждениям и иным некоммерческим организациям</v>
      </c>
      <c r="B443" s="92"/>
      <c r="C443" s="93"/>
      <c r="D443" s="444"/>
      <c r="E443" s="91"/>
      <c r="F443" s="85">
        <v>600</v>
      </c>
      <c r="G443" s="557">
        <v>1165000</v>
      </c>
      <c r="H443" s="384"/>
      <c r="I443" s="50">
        <f t="shared" si="132"/>
        <v>1165000</v>
      </c>
    </row>
    <row r="444" spans="1:9" s="20" customFormat="1" ht="46.8">
      <c r="A444" s="49" t="str">
        <f>IF(B444&gt;0,VLOOKUP(B444,КВСР!A368:B1533,2),IF(C444&gt;0,VLOOKUP(C444,КФСР!A368:B1880,2),IF(D444&gt;0,VLOOKUP(D444,Программа!A$1:B$5063,2),IF(F444&gt;0,VLOOKUP(F444,КВР!A$1:B$5001,2),IF(E444&gt;0,VLOOKUP(E444,Направление!A$1:B$4746,2))))))</f>
        <v>Строительство, реконструкция и капитальный ремонт спортивных сооружений</v>
      </c>
      <c r="B444" s="92"/>
      <c r="C444" s="93"/>
      <c r="D444" s="444" t="s">
        <v>2860</v>
      </c>
      <c r="E444" s="91"/>
      <c r="F444" s="85"/>
      <c r="G444" s="557">
        <v>3983735</v>
      </c>
      <c r="H444" s="557">
        <f>H445+H447</f>
        <v>-30000</v>
      </c>
      <c r="I444" s="557">
        <f>I445+I447</f>
        <v>3953735</v>
      </c>
    </row>
    <row r="445" spans="1:9" s="20" customFormat="1" ht="31.2">
      <c r="A445" s="49" t="str">
        <f>IF(B445&gt;0,VLOOKUP(B445,КВСР!A369:B1534,2),IF(C445&gt;0,VLOOKUP(C445,КФСР!A369:B1881,2),IF(D445&gt;0,VLOOKUP(D445,Программа!A$1:B$5063,2),IF(F445&gt;0,VLOOKUP(F445,КВР!A$1:B$5001,2),IF(E445&gt;0,VLOOKUP(E445,Направление!A$1:B$4746,2))))))</f>
        <v>Обеспечение деятельности общеобразовательных учреждений</v>
      </c>
      <c r="B445" s="92"/>
      <c r="C445" s="93"/>
      <c r="D445" s="444"/>
      <c r="E445" s="91">
        <v>13110</v>
      </c>
      <c r="F445" s="85"/>
      <c r="G445" s="557">
        <v>267205</v>
      </c>
      <c r="H445" s="557">
        <f t="shared" ref="H445:I445" si="147">H446</f>
        <v>-30000</v>
      </c>
      <c r="I445" s="557">
        <f t="shared" si="147"/>
        <v>237205</v>
      </c>
    </row>
    <row r="446" spans="1:9" s="20" customFormat="1" ht="62.4">
      <c r="A446" s="49" t="str">
        <f>IF(B446&gt;0,VLOOKUP(B446,КВСР!A370:B1535,2),IF(C446&gt;0,VLOOKUP(C446,КФСР!A370:B1882,2),IF(D446&gt;0,VLOOKUP(D446,Программа!A$1:B$5063,2),IF(F446&gt;0,VLOOKUP(F446,КВР!A$1:B$5001,2),IF(E446&gt;0,VLOOKUP(E446,Направление!A$1:B$4746,2))))))</f>
        <v>Предоставление субсидий бюджетным, автономным учреждениям и иным некоммерческим организациям</v>
      </c>
      <c r="B446" s="92"/>
      <c r="C446" s="93"/>
      <c r="D446" s="444"/>
      <c r="E446" s="91"/>
      <c r="F446" s="85">
        <v>600</v>
      </c>
      <c r="G446" s="557">
        <v>267205</v>
      </c>
      <c r="H446" s="384">
        <v>-30000</v>
      </c>
      <c r="I446" s="50">
        <f>G446+H446</f>
        <v>237205</v>
      </c>
    </row>
    <row r="447" spans="1:9" s="20" customFormat="1" ht="46.8">
      <c r="A447" s="49" t="str">
        <f>IF(B447&gt;0,VLOOKUP(B447,КВСР!A371:B1536,2),IF(C447&gt;0,VLOOKUP(C447,КФСР!A371:B1883,2),IF(D447&gt;0,VLOOKUP(D447,Программа!A$1:B$5063,2),IF(F447&gt;0,VLOOKUP(F447,КВР!A$1:B$5001,2),IF(E447&gt;0,VLOOKUP(E447,Направление!A$1:B$4746,2))))))</f>
        <v xml:space="preserve">Развитие сети плоскостных спортивных сооружений в муниципальных образованиях </v>
      </c>
      <c r="B447" s="92"/>
      <c r="C447" s="93"/>
      <c r="D447" s="444"/>
      <c r="E447" s="91">
        <v>71970</v>
      </c>
      <c r="F447" s="85"/>
      <c r="G447" s="557">
        <v>3716530</v>
      </c>
      <c r="H447" s="557">
        <f t="shared" ref="H447:I447" si="148">H448</f>
        <v>0</v>
      </c>
      <c r="I447" s="557">
        <f t="shared" si="148"/>
        <v>3716530</v>
      </c>
    </row>
    <row r="448" spans="1:9" s="20" customFormat="1" ht="62.4">
      <c r="A448" s="49" t="str">
        <f>IF(B448&gt;0,VLOOKUP(B448,КВСР!A372:B1537,2),IF(C448&gt;0,VLOOKUP(C448,КФСР!A372:B1884,2),IF(D448&gt;0,VLOOKUP(D448,Программа!A$1:B$5063,2),IF(F448&gt;0,VLOOKUP(F448,КВР!A$1:B$5001,2),IF(E448&gt;0,VLOOKUP(E448,Направление!A$1:B$4746,2))))))</f>
        <v>Предоставление субсидий бюджетным, автономным учреждениям и иным некоммерческим организациям</v>
      </c>
      <c r="B448" s="92"/>
      <c r="C448" s="93"/>
      <c r="D448" s="444"/>
      <c r="E448" s="91"/>
      <c r="F448" s="85">
        <v>600</v>
      </c>
      <c r="G448" s="557">
        <v>3716530</v>
      </c>
      <c r="H448" s="384"/>
      <c r="I448" s="50">
        <f>G448+H448</f>
        <v>3716530</v>
      </c>
    </row>
    <row r="449" spans="1:9" s="20" customFormat="1" ht="31.2">
      <c r="A449" s="49" t="str">
        <f>IF(B449&gt;0,VLOOKUP(B449,КВСР!A373:B1538,2),IF(C449&gt;0,VLOOKUP(C449,КФСР!A373:B1885,2),IF(D449&gt;0,VLOOKUP(D449,Программа!A$1:B$5063,2),IF(F449&gt;0,VLOOKUP(F449,КВР!A$1:B$5001,2),IF(E449&gt;0,VLOOKUP(E449,Направление!A$1:B$4746,2))))))</f>
        <v>Департамент труда и соц. развития Администрации ТМР</v>
      </c>
      <c r="B449" s="87">
        <v>954</v>
      </c>
      <c r="C449" s="88"/>
      <c r="D449" s="77"/>
      <c r="E449" s="90"/>
      <c r="F449" s="89"/>
      <c r="G449" s="55">
        <v>307468951</v>
      </c>
      <c r="H449" s="55">
        <f>H455+H462+H472+H521+H541+H450</f>
        <v>13619089</v>
      </c>
      <c r="I449" s="55">
        <f>I455+I462+I472+I521+I541+I450</f>
        <v>321088040</v>
      </c>
    </row>
    <row r="450" spans="1:9" s="20" customFormat="1" ht="31.2" hidden="1">
      <c r="A450" s="49" t="str">
        <f>IF(B450&gt;0,VLOOKUP(B450,КВСР!A374:B1539,2),IF(C450&gt;0,VLOOKUP(C450,КФСР!A374:B1886,2),IF(D450&gt;0,VLOOKUP(D450,Программа!A$1:B$5063,2),IF(F450&gt;0,VLOOKUP(F450,КВР!A$1:B$5001,2),IF(E450&gt;0,VLOOKUP(E450,Направление!A$1:B$4746,2))))))</f>
        <v>Другие общегосударственные вопросы</v>
      </c>
      <c r="B450" s="87"/>
      <c r="C450" s="88">
        <v>113</v>
      </c>
      <c r="D450" s="77"/>
      <c r="E450" s="90"/>
      <c r="F450" s="89"/>
      <c r="G450" s="50">
        <v>0</v>
      </c>
      <c r="H450" s="50">
        <f t="shared" ref="H450:I450" si="149">H451</f>
        <v>0</v>
      </c>
      <c r="I450" s="50">
        <f t="shared" si="149"/>
        <v>0</v>
      </c>
    </row>
    <row r="451" spans="1:9" s="20" customFormat="1" ht="62.4" hidden="1">
      <c r="A451" s="49" t="str">
        <f>IF(B451&gt;0,VLOOKUP(B451,КВСР!A375:B1540,2),IF(C451&gt;0,VLOOKUP(C451,КФСР!A375:B1887,2),IF(D451&gt;0,VLOOKUP(D451,Программа!A$1:B$5063,2),IF(F451&gt;0,VLOOKUP(F451,КВР!A$1:B$5001,2),IF(E451&gt;0,VLOOKUP(E451,Направление!A$1:B$4746,2))))))</f>
        <v>Муниципальная программа "Профилактика правонарушений и усиление борьбы с преступностью в Тутаевском муниципальном районе"</v>
      </c>
      <c r="B451" s="87"/>
      <c r="C451" s="88"/>
      <c r="D451" s="77" t="s">
        <v>2877</v>
      </c>
      <c r="E451" s="90"/>
      <c r="F451" s="89"/>
      <c r="G451" s="50">
        <v>0</v>
      </c>
      <c r="H451" s="50">
        <f t="shared" ref="H451:I451" si="150">H452</f>
        <v>0</v>
      </c>
      <c r="I451" s="50">
        <f t="shared" si="150"/>
        <v>0</v>
      </c>
    </row>
    <row r="452" spans="1:9" s="20" customFormat="1" ht="31.2" hidden="1">
      <c r="A452" s="49" t="str">
        <f>IF(B452&gt;0,VLOOKUP(B452,КВСР!A376:B1541,2),IF(C452&gt;0,VLOOKUP(C452,КФСР!A376:B1888,2),IF(D452&gt;0,VLOOKUP(D452,Программа!A$1:B$5063,2),IF(F452&gt;0,VLOOKUP(F452,КВР!A$1:B$5001,2),IF(E452&gt;0,VLOOKUP(E452,Направление!A$1:B$4746,2))))))</f>
        <v>Реализация мероприятий по профилактике правонарушений</v>
      </c>
      <c r="B452" s="87"/>
      <c r="C452" s="88"/>
      <c r="D452" s="77" t="s">
        <v>2879</v>
      </c>
      <c r="E452" s="90"/>
      <c r="F452" s="89"/>
      <c r="G452" s="50">
        <v>0</v>
      </c>
      <c r="H452" s="50">
        <f t="shared" ref="H452:I453" si="151">H453</f>
        <v>0</v>
      </c>
      <c r="I452" s="50">
        <f t="shared" si="151"/>
        <v>0</v>
      </c>
    </row>
    <row r="453" spans="1:9" s="20" customFormat="1" ht="46.8" hidden="1">
      <c r="A453" s="49" t="str">
        <f>IF(B453&gt;0,VLOOKUP(B453,КВСР!A377:B1542,2),IF(C453&gt;0,VLOOKUP(C453,КФСР!A377:B1889,2),IF(D453&gt;0,VLOOKUP(D453,Программа!A$1:B$5063,2),IF(F453&gt;0,VLOOKUP(F453,КВР!A$1:B$5001,2),IF(E453&gt;0,VLOOKUP(E453,Направление!A$1:B$4746,2))))))</f>
        <v>Расходы на профилактику правонарушений и усиления борьбы с преступностью</v>
      </c>
      <c r="B453" s="87"/>
      <c r="C453" s="88"/>
      <c r="D453" s="77"/>
      <c r="E453" s="90">
        <v>12250</v>
      </c>
      <c r="F453" s="89"/>
      <c r="G453" s="50">
        <v>0</v>
      </c>
      <c r="H453" s="50">
        <f t="shared" si="151"/>
        <v>0</v>
      </c>
      <c r="I453" s="50">
        <f t="shared" si="151"/>
        <v>0</v>
      </c>
    </row>
    <row r="454" spans="1:9" s="20" customFormat="1" ht="34.5" hidden="1" customHeight="1">
      <c r="A454" s="49" t="str">
        <f>IF(B454&gt;0,VLOOKUP(B454,КВСР!A378:B1543,2),IF(C454&gt;0,VLOOKUP(C454,КФСР!A378:B1890,2),IF(D454&gt;0,VLOOKUP(D454,Программа!A$1:B$5063,2),IF(F454&gt;0,VLOOKUP(F454,КВР!A$1:B$5001,2),IF(E454&gt;0,VLOOKUP(E454,Направление!A$1:B$4746,2))))))</f>
        <v>Закупка товаров, работ и услуг для государственных нужд</v>
      </c>
      <c r="B454" s="87"/>
      <c r="C454" s="88"/>
      <c r="D454" s="77"/>
      <c r="E454" s="90"/>
      <c r="F454" s="89">
        <v>200</v>
      </c>
      <c r="G454" s="50">
        <v>0</v>
      </c>
      <c r="H454" s="50"/>
      <c r="I454" s="50">
        <f>G454+H454</f>
        <v>0</v>
      </c>
    </row>
    <row r="455" spans="1:9" s="20" customFormat="1">
      <c r="A455" s="49" t="str">
        <f>IF(B455&gt;0,VLOOKUP(B455,КВСР!A379:B1544,2),IF(C455&gt;0,VLOOKUP(C455,КФСР!A379:B1891,2),IF(D455&gt;0,VLOOKUP(D455,Программа!A$1:B$5063,2),IF(F455&gt;0,VLOOKUP(F455,КВР!A$1:B$5001,2),IF(E455&gt;0,VLOOKUP(E455,Направление!A$1:B$4746,2))))))</f>
        <v>Пенсионное обеспечение</v>
      </c>
      <c r="B455" s="91"/>
      <c r="C455" s="84">
        <v>1001</v>
      </c>
      <c r="D455" s="444"/>
      <c r="E455" s="91"/>
      <c r="F455" s="85"/>
      <c r="G455" s="83">
        <v>3000000</v>
      </c>
      <c r="H455" s="83">
        <f t="shared" ref="H455:H458" si="152">H456</f>
        <v>0</v>
      </c>
      <c r="I455" s="50">
        <f t="shared" si="132"/>
        <v>3000000</v>
      </c>
    </row>
    <row r="456" spans="1:9" s="20" customFormat="1" ht="55.5" customHeight="1">
      <c r="A456" s="49" t="str">
        <f>IF(B456&gt;0,VLOOKUP(B456,КВСР!A380:B1545,2),IF(C456&gt;0,VLOOKUP(C456,КФСР!A380:B1892,2),IF(D456&gt;0,VLOOKUP(D456,Программа!A$1:B$5063,2),IF(F456&gt;0,VLOOKUP(F456,КВР!A$1:B$5001,2),IF(E456&gt;0,VLOOKUP(E456,Направление!A$1:B$4746,2))))))</f>
        <v>Муниципальная программа "Социальная поддержка населения Тутаевского муниципального района"</v>
      </c>
      <c r="B456" s="91"/>
      <c r="C456" s="84"/>
      <c r="D456" s="445" t="s">
        <v>2809</v>
      </c>
      <c r="E456" s="92"/>
      <c r="F456" s="85"/>
      <c r="G456" s="83">
        <v>3000000</v>
      </c>
      <c r="H456" s="83">
        <f t="shared" ref="H456" si="153">H458</f>
        <v>0</v>
      </c>
      <c r="I456" s="50">
        <f t="shared" si="132"/>
        <v>3000000</v>
      </c>
    </row>
    <row r="457" spans="1:9" s="20" customFormat="1" ht="62.4">
      <c r="A457" s="49" t="str">
        <f>IF(B457&gt;0,VLOOKUP(B457,КВСР!A381:B1546,2),IF(C457&gt;0,VLOOKUP(C457,КФСР!A381:B1893,2),IF(D457&gt;0,VLOOKUP(D457,Программа!A$1:B$5063,2),IF(F457&gt;0,VLOOKUP(F457,КВР!A$1:B$5001,2),IF(E457&gt;0,VLOOKUP(E457,Направление!A$1:B$4746,2))))))</f>
        <v xml:space="preserve">Ведомственная целевая программа «Социальная поддержка населения Тутаевского муниципального района» </v>
      </c>
      <c r="B457" s="91"/>
      <c r="C457" s="84"/>
      <c r="D457" s="445" t="s">
        <v>2811</v>
      </c>
      <c r="E457" s="92"/>
      <c r="F457" s="85"/>
      <c r="G457" s="83">
        <v>3000000</v>
      </c>
      <c r="H457" s="83">
        <f t="shared" ref="H457" si="154">H458</f>
        <v>0</v>
      </c>
      <c r="I457" s="50">
        <f t="shared" si="132"/>
        <v>3000000</v>
      </c>
    </row>
    <row r="458" spans="1:9" s="20" customFormat="1" ht="46.8">
      <c r="A458" s="49" t="str">
        <f>IF(B458&gt;0,VLOOKUP(B458,КВСР!A382:B1547,2),IF(C458&gt;0,VLOOKUP(C458,КФСР!A382:B1894,2),IF(D458&gt;0,VLOOKUP(D458,Программа!A$1:B$5063,2),IF(F458&gt;0,VLOOKUP(F458,КВР!A$1:B$5001,2),IF(E458&gt;0,VLOOKUP(E458,Направление!A$1:B$4746,2))))))</f>
        <v>Исполнение публичных обязательств по предоставлению выплат, пособий и компенсаций</v>
      </c>
      <c r="B458" s="91"/>
      <c r="C458" s="84"/>
      <c r="D458" s="445" t="s">
        <v>2862</v>
      </c>
      <c r="E458" s="92"/>
      <c r="F458" s="85"/>
      <c r="G458" s="83">
        <v>3000000</v>
      </c>
      <c r="H458" s="83">
        <f t="shared" si="152"/>
        <v>0</v>
      </c>
      <c r="I458" s="50">
        <f t="shared" si="132"/>
        <v>3000000</v>
      </c>
    </row>
    <row r="459" spans="1:9" s="20" customFormat="1" ht="31.2">
      <c r="A459" s="49" t="str">
        <f>IF(B459&gt;0,VLOOKUP(B459,КВСР!A383:B1548,2),IF(C459&gt;0,VLOOKUP(C459,КФСР!A383:B1895,2),IF(D459&gt;0,VLOOKUP(D459,Программа!A$1:B$5063,2),IF(F459&gt;0,VLOOKUP(F459,КВР!A$1:B$5001,2),IF(E459&gt;0,VLOOKUP(E459,Направление!A$1:B$4746,2))))))</f>
        <v>Доплаты к пенсиям муниципальных служащих</v>
      </c>
      <c r="B459" s="91"/>
      <c r="C459" s="84"/>
      <c r="D459" s="444"/>
      <c r="E459" s="91">
        <v>16010</v>
      </c>
      <c r="F459" s="85"/>
      <c r="G459" s="83">
        <v>3000000</v>
      </c>
      <c r="H459" s="83">
        <f t="shared" ref="H459" si="155">H461+H460</f>
        <v>0</v>
      </c>
      <c r="I459" s="50">
        <f t="shared" si="132"/>
        <v>3000000</v>
      </c>
    </row>
    <row r="460" spans="1:9" s="20" customFormat="1" ht="31.2">
      <c r="A460" s="49" t="str">
        <f>IF(B460&gt;0,VLOOKUP(B460,КВСР!A384:B1549,2),IF(C460&gt;0,VLOOKUP(C460,КФСР!A384:B1896,2),IF(D460&gt;0,VLOOKUP(D460,Программа!A$1:B$5063,2),IF(F460&gt;0,VLOOKUP(F460,КВР!A$1:B$5001,2),IF(E460&gt;0,VLOOKUP(E460,Направление!A$1:B$4746,2))))))</f>
        <v>Закупка товаров, работ и услуг для государственных нужд</v>
      </c>
      <c r="B460" s="91"/>
      <c r="C460" s="84"/>
      <c r="D460" s="85"/>
      <c r="E460" s="91"/>
      <c r="F460" s="85">
        <v>200</v>
      </c>
      <c r="G460" s="393">
        <v>45000</v>
      </c>
      <c r="H460" s="390"/>
      <c r="I460" s="50">
        <f t="shared" si="132"/>
        <v>45000</v>
      </c>
    </row>
    <row r="461" spans="1:9" s="20" customFormat="1" ht="31.2">
      <c r="A461" s="49" t="str">
        <f>IF(B461&gt;0,VLOOKUP(B461,КВСР!A385:B1550,2),IF(C461&gt;0,VLOOKUP(C461,КФСР!A385:B1897,2),IF(D461&gt;0,VLOOKUP(D461,Программа!A$1:B$5063,2),IF(F461&gt;0,VLOOKUP(F461,КВР!A$1:B$5001,2),IF(E461&gt;0,VLOOKUP(E461,Направление!A$1:B$4746,2))))))</f>
        <v>Социальное обеспечение и иные выплаты населению</v>
      </c>
      <c r="B461" s="91"/>
      <c r="C461" s="84"/>
      <c r="D461" s="85"/>
      <c r="E461" s="91"/>
      <c r="F461" s="85">
        <v>300</v>
      </c>
      <c r="G461" s="387">
        <v>2955000</v>
      </c>
      <c r="H461" s="382"/>
      <c r="I461" s="50">
        <f t="shared" si="132"/>
        <v>2955000</v>
      </c>
    </row>
    <row r="462" spans="1:9" s="20" customFormat="1" ht="25.5" customHeight="1">
      <c r="A462" s="49" t="str">
        <f>IF(B462&gt;0,VLOOKUP(B462,КВСР!A386:B1551,2),IF(C462&gt;0,VLOOKUP(C462,КФСР!A386:B1898,2),IF(D462&gt;0,VLOOKUP(D462,Программа!A$1:B$5063,2),IF(F462&gt;0,VLOOKUP(F462,КВР!A$1:B$5001,2),IF(E462&gt;0,VLOOKUP(E462,Направление!A$1:B$4746,2))))))</f>
        <v>Социальное обслуживание населения</v>
      </c>
      <c r="B462" s="91"/>
      <c r="C462" s="84">
        <v>1002</v>
      </c>
      <c r="D462" s="444"/>
      <c r="E462" s="91"/>
      <c r="F462" s="85"/>
      <c r="G462" s="101">
        <v>46076965</v>
      </c>
      <c r="H462" s="101">
        <f>H463+H468</f>
        <v>-49500</v>
      </c>
      <c r="I462" s="50">
        <f t="shared" si="132"/>
        <v>46027465</v>
      </c>
    </row>
    <row r="463" spans="1:9" s="20" customFormat="1" ht="54" customHeight="1">
      <c r="A463" s="49" t="str">
        <f>IF(B463&gt;0,VLOOKUP(B463,КВСР!A387:B1552,2),IF(C463&gt;0,VLOOKUP(C463,КФСР!A387:B1899,2),IF(D463&gt;0,VLOOKUP(D463,Программа!A$1:B$5063,2),IF(F463&gt;0,VLOOKUP(F463,КВР!A$1:B$5001,2),IF(E463&gt;0,VLOOKUP(E463,Направление!A$1:B$4746,2))))))</f>
        <v>Муниципальная программа "Социальная поддержка населения Тутаевского муниципального района"</v>
      </c>
      <c r="B463" s="91"/>
      <c r="C463" s="84"/>
      <c r="D463" s="444" t="s">
        <v>2809</v>
      </c>
      <c r="E463" s="91"/>
      <c r="F463" s="85"/>
      <c r="G463" s="101">
        <v>44976965</v>
      </c>
      <c r="H463" s="101">
        <f t="shared" ref="H463" si="156">H465</f>
        <v>0</v>
      </c>
      <c r="I463" s="50">
        <f t="shared" si="132"/>
        <v>44976965</v>
      </c>
    </row>
    <row r="464" spans="1:9" s="20" customFormat="1" ht="54.75" customHeight="1">
      <c r="A464" s="49" t="str">
        <f>IF(B464&gt;0,VLOOKUP(B464,КВСР!A388:B1553,2),IF(C464&gt;0,VLOOKUP(C464,КФСР!A388:B1900,2),IF(D464&gt;0,VLOOKUP(D464,Программа!A$1:B$5063,2),IF(F464&gt;0,VLOOKUP(F464,КВР!A$1:B$5001,2),IF(E464&gt;0,VLOOKUP(E464,Направление!A$1:B$4746,2))))))</f>
        <v xml:space="preserve">Ведомственная целевая программа «Социальная поддержка населения Тутаевского муниципального района» </v>
      </c>
      <c r="B464" s="91"/>
      <c r="C464" s="84"/>
      <c r="D464" s="444" t="s">
        <v>2811</v>
      </c>
      <c r="E464" s="91"/>
      <c r="F464" s="85"/>
      <c r="G464" s="101">
        <v>44976965</v>
      </c>
      <c r="H464" s="101">
        <f t="shared" ref="H464" si="157">H465</f>
        <v>0</v>
      </c>
      <c r="I464" s="50">
        <f t="shared" si="132"/>
        <v>44976965</v>
      </c>
    </row>
    <row r="465" spans="1:9" s="20" customFormat="1" ht="71.25" customHeight="1">
      <c r="A465" s="49" t="str">
        <f>IF(B465&gt;0,VLOOKUP(B465,КВСР!A389:B1554,2),IF(C465&gt;0,VLOOKUP(C465,КФСР!A389:B1901,2),IF(D465&gt;0,VLOOKUP(D465,Программа!A$1:B$5063,2),IF(F465&gt;0,VLOOKUP(F465,КВР!A$1:B$5001,2),IF(E465&gt;0,VLOOKUP(E465,Направление!A$1:B$4746,2))))))</f>
        <v>Предоставление социальных услуг населению Тутаевского муниципального района на основе соблюдения стандартов и нормативов</v>
      </c>
      <c r="B465" s="91"/>
      <c r="C465" s="84"/>
      <c r="D465" s="444" t="s">
        <v>2863</v>
      </c>
      <c r="E465" s="91"/>
      <c r="F465" s="85"/>
      <c r="G465" s="101">
        <v>44976965</v>
      </c>
      <c r="H465" s="101">
        <f t="shared" ref="H465:H466" si="158">H466</f>
        <v>0</v>
      </c>
      <c r="I465" s="50">
        <f t="shared" si="132"/>
        <v>44976965</v>
      </c>
    </row>
    <row r="466" spans="1:9" s="20" customFormat="1" ht="147.75" customHeight="1">
      <c r="A466" s="49" t="str">
        <f>IF(B466&gt;0,VLOOKUP(B466,КВСР!A390:B1555,2),IF(C466&gt;0,VLOOKUP(C466,КФСР!A390:B1902,2),IF(D466&gt;0,VLOOKUP(D466,Программа!A$1:B$5063,2),IF(F466&gt;0,VLOOKUP(F466,КВР!A$1:B$5001,2),IF(E466&gt;0,VLOOKUP(E466,Направление!A$1:B$4746,2))))))</f>
        <v>Расходы на содержание муниципальных казенных учреждений социального обслуживания населения, на предоставление субсидий муниципальным бюджетным учреждениям социального обслуживания населения на выполнение муниципальных заданий и иные цели</v>
      </c>
      <c r="B466" s="91"/>
      <c r="C466" s="84"/>
      <c r="D466" s="444"/>
      <c r="E466" s="91">
        <v>70850</v>
      </c>
      <c r="F466" s="85"/>
      <c r="G466" s="50">
        <v>44976965</v>
      </c>
      <c r="H466" s="50">
        <f t="shared" si="158"/>
        <v>0</v>
      </c>
      <c r="I466" s="50">
        <f t="shared" si="132"/>
        <v>44976965</v>
      </c>
    </row>
    <row r="467" spans="1:9" s="20" customFormat="1" ht="62.4">
      <c r="A467" s="49" t="str">
        <f>IF(B467&gt;0,VLOOKUP(B467,КВСР!A391:B1556,2),IF(C467&gt;0,VLOOKUP(C467,КФСР!A391:B1903,2),IF(D467&gt;0,VLOOKUP(D467,Программа!A$1:B$5063,2),IF(F467&gt;0,VLOOKUP(F467,КВР!A$1:B$5001,2),IF(E467&gt;0,VLOOKUP(E467,Направление!A$1:B$4746,2))))))</f>
        <v>Предоставление субсидий бюджетным, автономным учреждениям и иным некоммерческим организациям</v>
      </c>
      <c r="B467" s="91"/>
      <c r="C467" s="84"/>
      <c r="D467" s="85"/>
      <c r="E467" s="91"/>
      <c r="F467" s="85">
        <v>600</v>
      </c>
      <c r="G467" s="387">
        <v>44976965</v>
      </c>
      <c r="H467" s="382"/>
      <c r="I467" s="50">
        <f t="shared" si="132"/>
        <v>44976965</v>
      </c>
    </row>
    <row r="468" spans="1:9" s="20" customFormat="1" ht="31.2">
      <c r="A468" s="49" t="str">
        <f>IF(B468&gt;0,VLOOKUP(B468,КВСР!A392:B1557,2),IF(C468&gt;0,VLOOKUP(C468,КФСР!A392:B1904,2),IF(D468&gt;0,VLOOKUP(D468,Программа!A$1:B$5063,2),IF(F468&gt;0,VLOOKUP(F468,КВР!A$1:B$5001,2),IF(E468&gt;0,VLOOKUP(E468,Направление!A$1:B$4746,2))))))</f>
        <v>Муниципальная программа "Доступная среда "</v>
      </c>
      <c r="B468" s="91"/>
      <c r="C468" s="84"/>
      <c r="D468" s="85" t="s">
        <v>2867</v>
      </c>
      <c r="E468" s="91"/>
      <c r="F468" s="85"/>
      <c r="G468" s="387">
        <v>1100000</v>
      </c>
      <c r="H468" s="387">
        <f t="shared" ref="H468:I470" si="159">H469</f>
        <v>-49500</v>
      </c>
      <c r="I468" s="387">
        <f t="shared" si="159"/>
        <v>1050500</v>
      </c>
    </row>
    <row r="469" spans="1:9" s="20" customFormat="1" ht="78">
      <c r="A469" s="49" t="str">
        <f>IF(B469&gt;0,VLOOKUP(B469,КВСР!A393:B1558,2),IF(C469&gt;0,VLOOKUP(C469,КФСР!A393:B1905,2),IF(D469&gt;0,VLOOKUP(D469,Программа!A$1:B$5063,2),IF(F469&gt;0,VLOOKUP(F469,КВР!A$1:B$5001,2),IF(E469&gt;0,VLOOKUP(E469,Направление!A$1:B$4746,2))))))</f>
        <v>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v>
      </c>
      <c r="B469" s="91"/>
      <c r="C469" s="84"/>
      <c r="D469" s="85" t="s">
        <v>2869</v>
      </c>
      <c r="E469" s="91"/>
      <c r="F469" s="85"/>
      <c r="G469" s="387">
        <v>1100000</v>
      </c>
      <c r="H469" s="387">
        <f t="shared" si="159"/>
        <v>-49500</v>
      </c>
      <c r="I469" s="387">
        <f t="shared" si="159"/>
        <v>1050500</v>
      </c>
    </row>
    <row r="470" spans="1:9" s="20" customFormat="1" ht="147" customHeight="1">
      <c r="A470" s="49" t="str">
        <f>IF(B470&gt;0,VLOOKUP(B470,КВСР!A394:B1559,2),IF(C470&gt;0,VLOOKUP(C470,КФСР!A394:B1906,2),IF(D470&gt;0,VLOOKUP(D470,Программа!A$1:B$5063,2),IF(F470&gt;0,VLOOKUP(F470,КВР!A$1:B$5001,2),IF(E470&gt;0,VLOOKUP(E470,Направление!A$1:B$4746,2))))))</f>
        <v>Расходы на содержание муниципальных казенных учреждений социального обслуживания населения, на предоставление субсидий муниципальным бюджетным учреждениям социального обслуживания населения на выполнение муниципальных заданий и иные цели</v>
      </c>
      <c r="B470" s="91"/>
      <c r="C470" s="84"/>
      <c r="D470" s="85"/>
      <c r="E470" s="91">
        <v>70850</v>
      </c>
      <c r="F470" s="85"/>
      <c r="G470" s="387">
        <v>1100000</v>
      </c>
      <c r="H470" s="387">
        <f t="shared" si="159"/>
        <v>-49500</v>
      </c>
      <c r="I470" s="387">
        <f t="shared" si="159"/>
        <v>1050500</v>
      </c>
    </row>
    <row r="471" spans="1:9" s="20" customFormat="1" ht="62.4">
      <c r="A471" s="49" t="str">
        <f>IF(B471&gt;0,VLOOKUP(B471,КВСР!A395:B1560,2),IF(C471&gt;0,VLOOKUP(C471,КФСР!A395:B1907,2),IF(D471&gt;0,VLOOKUP(D471,Программа!A$1:B$5063,2),IF(F471&gt;0,VLOOKUP(F471,КВР!A$1:B$5001,2),IF(E471&gt;0,VLOOKUP(E471,Направление!A$1:B$4746,2))))))</f>
        <v>Предоставление субсидий бюджетным, автономным учреждениям и иным некоммерческим организациям</v>
      </c>
      <c r="B471" s="91"/>
      <c r="C471" s="84"/>
      <c r="D471" s="85"/>
      <c r="E471" s="91"/>
      <c r="F471" s="85">
        <v>600</v>
      </c>
      <c r="G471" s="387">
        <v>1100000</v>
      </c>
      <c r="H471" s="382">
        <v>-49500</v>
      </c>
      <c r="I471" s="50">
        <f>G471+H471</f>
        <v>1050500</v>
      </c>
    </row>
    <row r="472" spans="1:9" s="20" customFormat="1">
      <c r="A472" s="49" t="str">
        <f>IF(B472&gt;0,VLOOKUP(B472,КВСР!A396:B1561,2),IF(C472&gt;0,VLOOKUP(C472,КФСР!A396:B1908,2),IF(D472&gt;0,VLOOKUP(D472,Программа!A$1:B$5063,2),IF(F472&gt;0,VLOOKUP(F472,КВР!A$1:B$5001,2),IF(E472&gt;0,VLOOKUP(E472,Направление!A$1:B$4746,2))))))</f>
        <v>Социальное обеспечение населения</v>
      </c>
      <c r="B472" s="91"/>
      <c r="C472" s="84">
        <v>1003</v>
      </c>
      <c r="D472" s="444"/>
      <c r="E472" s="91"/>
      <c r="F472" s="85"/>
      <c r="G472" s="83">
        <v>195733530</v>
      </c>
      <c r="H472" s="83">
        <f>H473+H516</f>
        <v>13836589</v>
      </c>
      <c r="I472" s="50">
        <f t="shared" si="132"/>
        <v>209570119</v>
      </c>
    </row>
    <row r="473" spans="1:9" s="20" customFormat="1" ht="52.5" customHeight="1">
      <c r="A473" s="49" t="str">
        <f>IF(B473&gt;0,VLOOKUP(B473,КВСР!A397:B1562,2),IF(C473&gt;0,VLOOKUP(C473,КФСР!A397:B1909,2),IF(D473&gt;0,VLOOKUP(D473,Программа!A$1:B$5063,2),IF(F473&gt;0,VLOOKUP(F473,КВР!A$1:B$5001,2),IF(E473&gt;0,VLOOKUP(E473,Направление!A$1:B$4746,2))))))</f>
        <v>Муниципальная программа "Социальная поддержка населения Тутаевского муниципального района"</v>
      </c>
      <c r="B473" s="91"/>
      <c r="C473" s="84"/>
      <c r="D473" s="444" t="s">
        <v>2809</v>
      </c>
      <c r="E473" s="91"/>
      <c r="F473" s="85"/>
      <c r="G473" s="83">
        <v>195688530</v>
      </c>
      <c r="H473" s="83">
        <f>H474</f>
        <v>13603089</v>
      </c>
      <c r="I473" s="50">
        <f t="shared" si="132"/>
        <v>209291619</v>
      </c>
    </row>
    <row r="474" spans="1:9" s="20" customFormat="1" ht="65.400000000000006" customHeight="1">
      <c r="A474" s="49" t="str">
        <f>IF(B474&gt;0,VLOOKUP(B474,КВСР!A398:B1563,2),IF(C474&gt;0,VLOOKUP(C474,КФСР!A398:B1910,2),IF(D474&gt;0,VLOOKUP(D474,Программа!A$1:B$5063,2),IF(F474&gt;0,VLOOKUP(F474,КВР!A$1:B$5001,2),IF(E474&gt;0,VLOOKUP(E474,Направление!A$1:B$4746,2))))))</f>
        <v xml:space="preserve">Ведомственная целевая программа «Социальная поддержка населения Тутаевского муниципального района» </v>
      </c>
      <c r="B474" s="91"/>
      <c r="C474" s="84"/>
      <c r="D474" s="444" t="s">
        <v>2811</v>
      </c>
      <c r="E474" s="91"/>
      <c r="F474" s="85"/>
      <c r="G474" s="83">
        <v>195688530</v>
      </c>
      <c r="H474" s="83">
        <f>H475+H509</f>
        <v>13603089</v>
      </c>
      <c r="I474" s="50">
        <f t="shared" si="132"/>
        <v>209291619</v>
      </c>
    </row>
    <row r="475" spans="1:9" s="20" customFormat="1" ht="57" customHeight="1">
      <c r="A475" s="49" t="str">
        <f>IF(B475&gt;0,VLOOKUP(B475,КВСР!A399:B1564,2),IF(C475&gt;0,VLOOKUP(C475,КФСР!A399:B1911,2),IF(D475&gt;0,VLOOKUP(D475,Программа!A$1:B$5063,2),IF(F475&gt;0,VLOOKUP(F475,КВР!A$1:B$5001,2),IF(E475&gt;0,VLOOKUP(E475,Направление!A$1:B$4746,2))))))</f>
        <v>Исполнение публичных обязательств по предоставлению выплат, пособий и компенсаций</v>
      </c>
      <c r="B475" s="91"/>
      <c r="C475" s="84"/>
      <c r="D475" s="444" t="s">
        <v>2862</v>
      </c>
      <c r="E475" s="91"/>
      <c r="F475" s="85"/>
      <c r="G475" s="83">
        <v>194958530</v>
      </c>
      <c r="H475" s="83">
        <f t="shared" ref="H475" si="160">H476+H479+H482+H484+H487+H489+H491+H494+H497+H500+H503+H506</f>
        <v>13603089</v>
      </c>
      <c r="I475" s="50">
        <f t="shared" si="132"/>
        <v>208561619</v>
      </c>
    </row>
    <row r="476" spans="1:9" s="20" customFormat="1" ht="46.8">
      <c r="A476" s="49" t="str">
        <f>IF(B476&gt;0,VLOOKUP(B476,КВСР!A400:B1565,2),IF(C476&gt;0,VLOOKUP(C476,КФСР!A400:B1912,2),IF(D476&gt;0,VLOOKUP(D476,Программа!A$1:B$5063,2),IF(F476&gt;0,VLOOKUP(F476,КВР!A$1:B$5001,2),IF(E476&gt;0,VLOOKUP(E476,Направление!A$1:B$4746,2))))))</f>
        <v>Субвенция на социальную поддержку граждан, подвергшихся воздействию радиации</v>
      </c>
      <c r="B476" s="91"/>
      <c r="C476" s="84"/>
      <c r="D476" s="444"/>
      <c r="E476" s="91">
        <v>51370</v>
      </c>
      <c r="F476" s="85"/>
      <c r="G476" s="83">
        <v>1580000</v>
      </c>
      <c r="H476" s="83">
        <f t="shared" ref="H476" si="161">H477+H478</f>
        <v>0</v>
      </c>
      <c r="I476" s="50">
        <f t="shared" si="132"/>
        <v>1580000</v>
      </c>
    </row>
    <row r="477" spans="1:9" s="20" customFormat="1" ht="31.2">
      <c r="A477" s="49" t="str">
        <f>IF(B477&gt;0,VLOOKUP(B477,КВСР!A401:B1566,2),IF(C477&gt;0,VLOOKUP(C477,КФСР!A401:B1913,2),IF(D477&gt;0,VLOOKUP(D477,Программа!A$1:B$5063,2),IF(F477&gt;0,VLOOKUP(F477,КВР!A$1:B$5001,2),IF(E477&gt;0,VLOOKUP(E477,Направление!A$1:B$4746,2))))))</f>
        <v>Закупка товаров, работ и услуг для государственных нужд</v>
      </c>
      <c r="B477" s="91"/>
      <c r="C477" s="84"/>
      <c r="D477" s="85"/>
      <c r="E477" s="716"/>
      <c r="F477" s="85">
        <v>200</v>
      </c>
      <c r="G477" s="393">
        <v>25000</v>
      </c>
      <c r="H477" s="383"/>
      <c r="I477" s="50">
        <f t="shared" si="132"/>
        <v>25000</v>
      </c>
    </row>
    <row r="478" spans="1:9" s="20" customFormat="1" ht="31.2">
      <c r="A478" s="49" t="str">
        <f>IF(B478&gt;0,VLOOKUP(B478,КВСР!A402:B1567,2),IF(C478&gt;0,VLOOKUP(C478,КФСР!A402:B1914,2),IF(D478&gt;0,VLOOKUP(D478,Программа!A$1:B$5063,2),IF(F478&gt;0,VLOOKUP(F478,КВР!A$1:B$5001,2),IF(E478&gt;0,VLOOKUP(E478,Направление!A$1:B$4746,2))))))</f>
        <v>Социальное обеспечение и иные выплаты населению</v>
      </c>
      <c r="B478" s="91"/>
      <c r="C478" s="84"/>
      <c r="D478" s="85"/>
      <c r="E478" s="716"/>
      <c r="F478" s="85">
        <v>300</v>
      </c>
      <c r="G478" s="393">
        <v>1555000</v>
      </c>
      <c r="H478" s="383"/>
      <c r="I478" s="50">
        <f t="shared" si="132"/>
        <v>1555000</v>
      </c>
    </row>
    <row r="479" spans="1:9" s="20" customFormat="1" ht="121.5" customHeight="1">
      <c r="A479" s="49" t="str">
        <f>IF(B479&gt;0,VLOOKUP(B479,КВСР!A403:B1568,2),IF(C479&gt;0,VLOOKUP(C479,КФСР!A403:B1915,2),IF(D479&gt;0,VLOOKUP(D479,Программа!A$1:B$5063,2),IF(F479&gt;0,VLOOKUP(F479,КВР!A$1:B$5001,2),IF(E479&gt;0,VLOOKUP(E479,Направление!A$1:B$4746,2))))))</f>
        <v>Расходы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за счет средств федерального бюджета</v>
      </c>
      <c r="B479" s="91"/>
      <c r="C479" s="84"/>
      <c r="D479" s="444"/>
      <c r="E479" s="91">
        <v>52200</v>
      </c>
      <c r="F479" s="85"/>
      <c r="G479" s="83">
        <v>4818996</v>
      </c>
      <c r="H479" s="83">
        <f t="shared" ref="H479" si="162">H480+H481</f>
        <v>3089</v>
      </c>
      <c r="I479" s="50">
        <f t="shared" si="132"/>
        <v>4822085</v>
      </c>
    </row>
    <row r="480" spans="1:9" s="20" customFormat="1" ht="31.2">
      <c r="A480" s="49" t="str">
        <f>IF(B480&gt;0,VLOOKUP(B480,КВСР!A404:B1569,2),IF(C480&gt;0,VLOOKUP(C480,КФСР!A404:B1916,2),IF(D480&gt;0,VLOOKUP(D480,Программа!A$1:B$5063,2),IF(F480&gt;0,VLOOKUP(F480,КВР!A$1:B$5001,2),IF(E480&gt;0,VLOOKUP(E480,Направление!A$1:B$4746,2))))))</f>
        <v>Закупка товаров, работ и услуг для государственных нужд</v>
      </c>
      <c r="B480" s="91"/>
      <c r="C480" s="84"/>
      <c r="D480" s="85"/>
      <c r="E480" s="716"/>
      <c r="F480" s="85">
        <v>200</v>
      </c>
      <c r="G480" s="393">
        <v>71216.689999999988</v>
      </c>
      <c r="H480" s="383">
        <v>45.63</v>
      </c>
      <c r="I480" s="50">
        <f t="shared" si="132"/>
        <v>71262.319999999992</v>
      </c>
    </row>
    <row r="481" spans="1:9" s="20" customFormat="1" ht="31.2">
      <c r="A481" s="49" t="str">
        <f>IF(B481&gt;0,VLOOKUP(B481,КВСР!A405:B1570,2),IF(C481&gt;0,VLOOKUP(C481,КФСР!A405:B1917,2),IF(D481&gt;0,VLOOKUP(D481,Программа!A$1:B$5063,2),IF(F481&gt;0,VLOOKUP(F481,КВР!A$1:B$5001,2),IF(E481&gt;0,VLOOKUP(E481,Направление!A$1:B$4746,2))))))</f>
        <v>Социальное обеспечение и иные выплаты населению</v>
      </c>
      <c r="B481" s="91"/>
      <c r="C481" s="84"/>
      <c r="D481" s="85"/>
      <c r="E481" s="716"/>
      <c r="F481" s="85">
        <v>300</v>
      </c>
      <c r="G481" s="393">
        <v>4747779.3099999996</v>
      </c>
      <c r="H481" s="383">
        <v>3043.37</v>
      </c>
      <c r="I481" s="50">
        <f t="shared" si="132"/>
        <v>4750822.68</v>
      </c>
    </row>
    <row r="482" spans="1:9" s="20" customFormat="1" ht="93.6" hidden="1">
      <c r="A482" s="49" t="str">
        <f>IF(B482&gt;0,VLOOKUP(B482,КВСР!A406:B1571,2),IF(C482&gt;0,VLOOKUP(C482,КФСР!A406:B1918,2),IF(D482&gt;0,VLOOKUP(D482,Программа!A$1:B$5063,2),IF(F482&gt;0,VLOOKUP(F482,КВР!A$1:B$5001,2),IF(E482&gt;0,VLOOKUP(E482,Направление!A$1:B$4746,2))))))</f>
        <v>Выплата государственных единовременных пособий и ежемесячных денежных компенсаций гражданам при возникновении поствакцинальных осложнений</v>
      </c>
      <c r="B482" s="91"/>
      <c r="C482" s="84"/>
      <c r="D482" s="444"/>
      <c r="E482" s="91">
        <v>52400</v>
      </c>
      <c r="F482" s="85"/>
      <c r="G482" s="83">
        <v>0</v>
      </c>
      <c r="H482" s="83">
        <f t="shared" ref="H482" si="163">H483</f>
        <v>0</v>
      </c>
      <c r="I482" s="50">
        <f t="shared" si="132"/>
        <v>0</v>
      </c>
    </row>
    <row r="483" spans="1:9" s="20" customFormat="1" ht="31.2" hidden="1">
      <c r="A483" s="49" t="str">
        <f>IF(B483&gt;0,VLOOKUP(B483,КВСР!A407:B1572,2),IF(C483&gt;0,VLOOKUP(C483,КФСР!A407:B1919,2),IF(D483&gt;0,VLOOKUP(D483,Программа!A$1:B$5063,2),IF(F483&gt;0,VLOOKUP(F483,КВР!A$1:B$5001,2),IF(E483&gt;0,VLOOKUP(E483,Направление!A$1:B$4746,2))))))</f>
        <v>Социальное обеспечение и иные выплаты населению</v>
      </c>
      <c r="B483" s="91"/>
      <c r="C483" s="84"/>
      <c r="D483" s="85"/>
      <c r="E483" s="716"/>
      <c r="F483" s="85">
        <v>300</v>
      </c>
      <c r="G483" s="393">
        <v>0</v>
      </c>
      <c r="H483" s="383"/>
      <c r="I483" s="50">
        <f t="shared" si="132"/>
        <v>0</v>
      </c>
    </row>
    <row r="484" spans="1:9" s="20" customFormat="1" ht="51" customHeight="1">
      <c r="A484" s="49" t="str">
        <f>IF(B484&gt;0,VLOOKUP(B484,КВСР!A408:B1573,2),IF(C484&gt;0,VLOOKUP(C484,КФСР!A408:B1920,2),IF(D484&gt;0,VLOOKUP(D484,Программа!A$1:B$5063,2),IF(F484&gt;0,VLOOKUP(F484,КВР!A$1:B$5001,2),IF(E484&gt;0,VLOOKUP(E484,Направление!A$1:B$4746,2))))))</f>
        <v>Оплата жилищно-коммунальных услуг отдельным категориям граждан за счет средств федерального бюджета</v>
      </c>
      <c r="B484" s="91"/>
      <c r="C484" s="84"/>
      <c r="D484" s="444"/>
      <c r="E484" s="91">
        <v>52500</v>
      </c>
      <c r="F484" s="85"/>
      <c r="G484" s="83">
        <v>35994000</v>
      </c>
      <c r="H484" s="83">
        <f t="shared" ref="H484" si="164">H486+H485</f>
        <v>0</v>
      </c>
      <c r="I484" s="50">
        <f t="shared" si="132"/>
        <v>35994000</v>
      </c>
    </row>
    <row r="485" spans="1:9" s="20" customFormat="1" ht="31.2">
      <c r="A485" s="49" t="str">
        <f>IF(B485&gt;0,VLOOKUP(B485,КВСР!A409:B1574,2),IF(C485&gt;0,VLOOKUP(C485,КФСР!A409:B1921,2),IF(D485&gt;0,VLOOKUP(D485,Программа!A$1:B$5063,2),IF(F485&gt;0,VLOOKUP(F485,КВР!A$1:B$5001,2),IF(E485&gt;0,VLOOKUP(E485,Направление!A$1:B$4746,2))))))</f>
        <v>Закупка товаров, работ и услуг для государственных нужд</v>
      </c>
      <c r="B485" s="91"/>
      <c r="C485" s="84"/>
      <c r="D485" s="85"/>
      <c r="E485" s="716"/>
      <c r="F485" s="85">
        <v>200</v>
      </c>
      <c r="G485" s="393">
        <v>530000</v>
      </c>
      <c r="H485" s="383"/>
      <c r="I485" s="50">
        <f t="shared" si="132"/>
        <v>530000</v>
      </c>
    </row>
    <row r="486" spans="1:9" s="20" customFormat="1" ht="31.2">
      <c r="A486" s="49" t="str">
        <f>IF(B486&gt;0,VLOOKUP(B486,КВСР!A410:B1575,2),IF(C486&gt;0,VLOOKUP(C486,КФСР!A410:B1922,2),IF(D486&gt;0,VLOOKUP(D486,Программа!A$1:B$5063,2),IF(F486&gt;0,VLOOKUP(F486,КВР!A$1:B$5001,2),IF(E486&gt;0,VLOOKUP(E486,Направление!A$1:B$4746,2))))))</f>
        <v>Социальное обеспечение и иные выплаты населению</v>
      </c>
      <c r="B486" s="91"/>
      <c r="C486" s="84"/>
      <c r="D486" s="85"/>
      <c r="E486" s="716"/>
      <c r="F486" s="85">
        <v>300</v>
      </c>
      <c r="G486" s="387">
        <v>35464000</v>
      </c>
      <c r="H486" s="382"/>
      <c r="I486" s="50">
        <f t="shared" si="132"/>
        <v>35464000</v>
      </c>
    </row>
    <row r="487" spans="1:9" s="20" customFormat="1" ht="109.2" hidden="1">
      <c r="A487" s="49" t="str">
        <f>IF(B487&gt;0,VLOOKUP(B487,КВСР!A411:B1576,2),IF(C487&gt;0,VLOOKUP(C487,КФСР!A411:B1923,2),IF(D487&gt;0,VLOOKUP(D487,Программа!A$1:B$5063,2),IF(F487&gt;0,VLOOKUP(F487,КВР!A$1:B$5001,2),IF(E487&gt;0,VLOOKUP(E487,Направление!A$1:B$4746,2))))))</f>
        <v>Расходы на выплату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v>
      </c>
      <c r="B487" s="91"/>
      <c r="C487" s="84"/>
      <c r="D487" s="444"/>
      <c r="E487" s="91">
        <v>53810</v>
      </c>
      <c r="F487" s="85"/>
      <c r="G487" s="50">
        <v>0</v>
      </c>
      <c r="H487" s="50">
        <f t="shared" ref="H487" si="165">H488</f>
        <v>0</v>
      </c>
      <c r="I487" s="50">
        <f t="shared" si="132"/>
        <v>0</v>
      </c>
    </row>
    <row r="488" spans="1:9" s="20" customFormat="1" ht="31.2" hidden="1">
      <c r="A488" s="49" t="str">
        <f>IF(B488&gt;0,VLOOKUP(B488,КВСР!A412:B1577,2),IF(C488&gt;0,VLOOKUP(C488,КФСР!A412:B1924,2),IF(D488&gt;0,VLOOKUP(D488,Программа!A$1:B$5063,2),IF(F488&gt;0,VLOOKUP(F488,КВР!A$1:B$5001,2),IF(E488&gt;0,VLOOKUP(E488,Направление!A$1:B$4746,2))))))</f>
        <v>Социальное обеспечение и иные выплаты населению</v>
      </c>
      <c r="B488" s="91"/>
      <c r="C488" s="84"/>
      <c r="D488" s="85"/>
      <c r="E488" s="716"/>
      <c r="F488" s="85">
        <v>300</v>
      </c>
      <c r="G488" s="387">
        <v>0</v>
      </c>
      <c r="H488" s="382"/>
      <c r="I488" s="50">
        <v>0</v>
      </c>
    </row>
    <row r="489" spans="1:9" s="20" customFormat="1" ht="93.6" hidden="1">
      <c r="A489" s="49" t="str">
        <f>IF(B489&gt;0,VLOOKUP(B489,КВСР!A413:B1578,2),IF(C489&gt;0,VLOOKUP(C489,КФСР!A413:B1925,2),IF(D489&gt;0,VLOOKUP(D489,Программа!A$1:B$5063,2),IF(F489&gt;0,VLOOKUP(F489,КВР!A$1:B$5001,2),IF(E489&gt;0,VLOOKUP(E489,Направление!A$1:B$4746,2))))))</f>
        <v>Расходы на выплаты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v>
      </c>
      <c r="B489" s="91"/>
      <c r="C489" s="84"/>
      <c r="D489" s="444"/>
      <c r="E489" s="91">
        <v>53850</v>
      </c>
      <c r="F489" s="85"/>
      <c r="G489" s="50">
        <v>0</v>
      </c>
      <c r="H489" s="50">
        <f t="shared" ref="H489" si="166">H490</f>
        <v>0</v>
      </c>
      <c r="I489" s="50">
        <f t="shared" si="132"/>
        <v>0</v>
      </c>
    </row>
    <row r="490" spans="1:9" s="20" customFormat="1" ht="31.2" hidden="1">
      <c r="A490" s="49" t="str">
        <f>IF(B490&gt;0,VLOOKUP(B490,КВСР!A414:B1579,2),IF(C490&gt;0,VLOOKUP(C490,КФСР!A414:B1926,2),IF(D490&gt;0,VLOOKUP(D490,Программа!A$1:B$5063,2),IF(F490&gt;0,VLOOKUP(F490,КВР!A$1:B$5001,2),IF(E490&gt;0,VLOOKUP(E490,Направление!A$1:B$4746,2))))))</f>
        <v>Социальное обеспечение и иные выплаты населению</v>
      </c>
      <c r="B490" s="91"/>
      <c r="C490" s="84"/>
      <c r="D490" s="85"/>
      <c r="E490" s="716"/>
      <c r="F490" s="85">
        <v>300</v>
      </c>
      <c r="G490" s="387">
        <v>0</v>
      </c>
      <c r="H490" s="382"/>
      <c r="I490" s="50">
        <f t="shared" ref="I490:I570" si="167">SUM(G490:H490)</f>
        <v>0</v>
      </c>
    </row>
    <row r="491" spans="1:9" s="20" customFormat="1" ht="62.4">
      <c r="A491" s="49" t="str">
        <f>IF(B491&gt;0,VLOOKUP(B491,КВСР!A415:B1580,2),IF(C491&gt;0,VLOOKUP(C491,КФСР!A415:B1927,2),IF(D491&gt;0,VLOOKUP(D491,Программа!A$1:B$5063,2),IF(F491&gt;0,VLOOKUP(F491,КВР!A$1:B$5001,2),IF(E491&gt;0,VLOOKUP(E491,Направление!A$1:B$4746,2))))))</f>
        <v>Предоставление гражданам субсидий на оплату жилого помещения и коммунальных услуг за счет средств областного бюджета</v>
      </c>
      <c r="B491" s="91"/>
      <c r="C491" s="84"/>
      <c r="D491" s="444"/>
      <c r="E491" s="91">
        <v>70740</v>
      </c>
      <c r="F491" s="85"/>
      <c r="G491" s="50">
        <v>18261000</v>
      </c>
      <c r="H491" s="50">
        <f t="shared" ref="H491" si="168">SUM(H492:H493)</f>
        <v>0</v>
      </c>
      <c r="I491" s="50">
        <f t="shared" si="167"/>
        <v>18261000</v>
      </c>
    </row>
    <row r="492" spans="1:9" s="20" customFormat="1" ht="31.2">
      <c r="A492" s="49" t="str">
        <f>IF(B492&gt;0,VLOOKUP(B492,КВСР!A416:B1581,2),IF(C492&gt;0,VLOOKUP(C492,КФСР!A416:B1928,2),IF(D492&gt;0,VLOOKUP(D492,Программа!A$1:B$5063,2),IF(F492&gt;0,VLOOKUP(F492,КВР!A$1:B$5001,2),IF(E492&gt;0,VLOOKUP(E492,Направление!A$1:B$4746,2))))))</f>
        <v>Закупка товаров, работ и услуг для государственных нужд</v>
      </c>
      <c r="B492" s="91"/>
      <c r="C492" s="84"/>
      <c r="D492" s="85"/>
      <c r="E492" s="716"/>
      <c r="F492" s="85">
        <v>200</v>
      </c>
      <c r="G492" s="387">
        <v>271000</v>
      </c>
      <c r="H492" s="382"/>
      <c r="I492" s="50">
        <f t="shared" si="167"/>
        <v>271000</v>
      </c>
    </row>
    <row r="493" spans="1:9" s="20" customFormat="1" ht="31.2">
      <c r="A493" s="49" t="str">
        <f>IF(B493&gt;0,VLOOKUP(B493,КВСР!A417:B1582,2),IF(C493&gt;0,VLOOKUP(C493,КФСР!A417:B1929,2),IF(D493&gt;0,VLOOKUP(D493,Программа!A$1:B$5063,2),IF(F493&gt;0,VLOOKUP(F493,КВР!A$1:B$5001,2),IF(E493&gt;0,VLOOKUP(E493,Направление!A$1:B$4746,2))))))</f>
        <v>Социальное обеспечение и иные выплаты населению</v>
      </c>
      <c r="B493" s="91"/>
      <c r="C493" s="84"/>
      <c r="D493" s="85"/>
      <c r="E493" s="716"/>
      <c r="F493" s="85">
        <v>300</v>
      </c>
      <c r="G493" s="387">
        <v>17990000</v>
      </c>
      <c r="H493" s="382"/>
      <c r="I493" s="50">
        <f t="shared" si="167"/>
        <v>17990000</v>
      </c>
    </row>
    <row r="494" spans="1:9" s="20" customFormat="1" ht="81.75" customHeight="1">
      <c r="A494" s="49" t="str">
        <f>IF(B494&gt;0,VLOOKUP(B494,КВСР!A418:B1583,2),IF(C494&gt;0,VLOOKUP(C494,КФСР!A418:B1930,2),IF(D494&gt;0,VLOOKUP(D494,Программа!A$1:B$5063,2),IF(F494&gt;0,VLOOKUP(F494,КВР!A$1:B$5001,2),IF(E494&gt;0,VLOOKUP(E494,Направление!A$1:B$4746,2))))))</f>
        <v>Расходы на социальную поддержку отдельных категорий граждан в части ежемесячной денежной выплаты ветеранам труда, труженикам тыла, реабилитированным лицам</v>
      </c>
      <c r="B494" s="91"/>
      <c r="C494" s="84"/>
      <c r="D494" s="444"/>
      <c r="E494" s="91">
        <v>70750</v>
      </c>
      <c r="F494" s="85"/>
      <c r="G494" s="50">
        <v>35700000</v>
      </c>
      <c r="H494" s="50">
        <f t="shared" ref="H494" si="169">H495+H496</f>
        <v>0</v>
      </c>
      <c r="I494" s="50">
        <f t="shared" si="167"/>
        <v>35700000</v>
      </c>
    </row>
    <row r="495" spans="1:9" s="20" customFormat="1" ht="31.2">
      <c r="A495" s="49" t="str">
        <f>IF(B495&gt;0,VLOOKUP(B495,КВСР!A419:B1584,2),IF(C495&gt;0,VLOOKUP(C495,КФСР!A419:B1931,2),IF(D495&gt;0,VLOOKUP(D495,Программа!A$1:B$5063,2),IF(F495&gt;0,VLOOKUP(F495,КВР!A$1:B$5001,2),IF(E495&gt;0,VLOOKUP(E495,Направление!A$1:B$4746,2))))))</f>
        <v>Закупка товаров, работ и услуг для государственных нужд</v>
      </c>
      <c r="B495" s="91"/>
      <c r="C495" s="84"/>
      <c r="D495" s="85"/>
      <c r="E495" s="716"/>
      <c r="F495" s="85">
        <v>200</v>
      </c>
      <c r="G495" s="387">
        <v>585000</v>
      </c>
      <c r="H495" s="391"/>
      <c r="I495" s="50">
        <f t="shared" si="167"/>
        <v>585000</v>
      </c>
    </row>
    <row r="496" spans="1:9" s="20" customFormat="1" ht="31.2">
      <c r="A496" s="49" t="str">
        <f>IF(B496&gt;0,VLOOKUP(B496,КВСР!A420:B1585,2),IF(C496&gt;0,VLOOKUP(C496,КФСР!A420:B1932,2),IF(D496&gt;0,VLOOKUP(D496,Программа!A$1:B$5063,2),IF(F496&gt;0,VLOOKUP(F496,КВР!A$1:B$5001,2),IF(E496&gt;0,VLOOKUP(E496,Направление!A$1:B$4746,2))))))</f>
        <v>Социальное обеспечение и иные выплаты населению</v>
      </c>
      <c r="B496" s="91"/>
      <c r="C496" s="84"/>
      <c r="D496" s="85"/>
      <c r="E496" s="716"/>
      <c r="F496" s="85">
        <v>300</v>
      </c>
      <c r="G496" s="387">
        <v>35115000</v>
      </c>
      <c r="H496" s="382"/>
      <c r="I496" s="50">
        <f t="shared" si="167"/>
        <v>35115000</v>
      </c>
    </row>
    <row r="497" spans="1:9" s="20" customFormat="1" ht="109.2">
      <c r="A497" s="49" t="str">
        <f>IF(B497&gt;0,VLOOKUP(B497,КВСР!A421:B1586,2),IF(C497&gt;0,VLOOKUP(C497,КФСР!A421:B1933,2),IF(D497&gt;0,VLOOKUP(D497,Программа!A$1:B$5063,2),IF(F497&gt;0,VLOOKUP(F497,КВР!A$1:B$5001,2),IF(E497&gt;0,VLOOKUP(E497,Направление!A$1:B$4746,2))))))</f>
        <v>Оплата жилого помещения и коммунальных услуг отдельным категориям граждан, оказание мер социальной поддержки которым относится к полномочиям Ярославской области, за счет средств областного бюджета</v>
      </c>
      <c r="B497" s="91"/>
      <c r="C497" s="84"/>
      <c r="D497" s="444"/>
      <c r="E497" s="91">
        <v>70840</v>
      </c>
      <c r="F497" s="85"/>
      <c r="G497" s="83">
        <v>40000000</v>
      </c>
      <c r="H497" s="83">
        <f t="shared" ref="H497" si="170">H499+H498</f>
        <v>13600000</v>
      </c>
      <c r="I497" s="50">
        <f t="shared" si="167"/>
        <v>53600000</v>
      </c>
    </row>
    <row r="498" spans="1:9" s="20" customFormat="1" ht="31.2">
      <c r="A498" s="49" t="str">
        <f>IF(B498&gt;0,VLOOKUP(B498,КВСР!A422:B1587,2),IF(C498&gt;0,VLOOKUP(C498,КФСР!A422:B1934,2),IF(D498&gt;0,VLOOKUP(D498,Программа!A$1:B$5063,2),IF(F498&gt;0,VLOOKUP(F498,КВР!A$1:B$5001,2),IF(E498&gt;0,VLOOKUP(E498,Направление!A$1:B$4746,2))))))</f>
        <v>Закупка товаров, работ и услуг для государственных нужд</v>
      </c>
      <c r="B498" s="91"/>
      <c r="C498" s="84"/>
      <c r="D498" s="85"/>
      <c r="E498" s="716"/>
      <c r="F498" s="85">
        <v>200</v>
      </c>
      <c r="G498" s="393">
        <v>640000</v>
      </c>
      <c r="H498" s="383">
        <v>230000</v>
      </c>
      <c r="I498" s="50">
        <f t="shared" si="167"/>
        <v>870000</v>
      </c>
    </row>
    <row r="499" spans="1:9" s="20" customFormat="1" ht="31.2">
      <c r="A499" s="49" t="str">
        <f>IF(B499&gt;0,VLOOKUP(B499,КВСР!A423:B1588,2),IF(C499&gt;0,VLOOKUP(C499,КФСР!A423:B1935,2),IF(D499&gt;0,VLOOKUP(D499,Программа!A$1:B$5063,2),IF(F499&gt;0,VLOOKUP(F499,КВР!A$1:B$5001,2),IF(E499&gt;0,VLOOKUP(E499,Направление!A$1:B$4746,2))))))</f>
        <v>Социальное обеспечение и иные выплаты населению</v>
      </c>
      <c r="B499" s="91"/>
      <c r="C499" s="84"/>
      <c r="D499" s="85"/>
      <c r="E499" s="716"/>
      <c r="F499" s="85">
        <v>300</v>
      </c>
      <c r="G499" s="393">
        <v>39360000</v>
      </c>
      <c r="H499" s="383">
        <v>13370000</v>
      </c>
      <c r="I499" s="50">
        <f t="shared" si="167"/>
        <v>52730000</v>
      </c>
    </row>
    <row r="500" spans="1:9" s="20" customFormat="1" ht="31.2">
      <c r="A500" s="49" t="str">
        <f>IF(B500&gt;0,VLOOKUP(B500,КВСР!A424:B1589,2),IF(C500&gt;0,VLOOKUP(C500,КФСР!A424:B1936,2),IF(D500&gt;0,VLOOKUP(D500,Программа!A$1:B$5063,2),IF(F500&gt;0,VLOOKUP(F500,КВР!A$1:B$5001,2),IF(E500&gt;0,VLOOKUP(E500,Направление!A$1:B$4746,2))))))</f>
        <v>Денежные выплаты за счет средств областного бюджета</v>
      </c>
      <c r="B500" s="91"/>
      <c r="C500" s="84"/>
      <c r="D500" s="444"/>
      <c r="E500" s="91">
        <v>70860</v>
      </c>
      <c r="F500" s="85"/>
      <c r="G500" s="83">
        <v>19500000</v>
      </c>
      <c r="H500" s="83">
        <f t="shared" ref="H500" si="171">H501+H502</f>
        <v>0</v>
      </c>
      <c r="I500" s="50">
        <f t="shared" si="167"/>
        <v>19500000</v>
      </c>
    </row>
    <row r="501" spans="1:9" s="20" customFormat="1" ht="31.2">
      <c r="A501" s="49" t="str">
        <f>IF(B501&gt;0,VLOOKUP(B501,КВСР!A425:B1590,2),IF(C501&gt;0,VLOOKUP(C501,КФСР!A425:B1937,2),IF(D501&gt;0,VLOOKUP(D501,Программа!A$1:B$5063,2),IF(F501&gt;0,VLOOKUP(F501,КВР!A$1:B$5001,2),IF(E501&gt;0,VLOOKUP(E501,Направление!A$1:B$4746,2))))))</f>
        <v>Закупка товаров, работ и услуг для государственных нужд</v>
      </c>
      <c r="B501" s="91"/>
      <c r="C501" s="84"/>
      <c r="D501" s="85"/>
      <c r="E501" s="716"/>
      <c r="F501" s="85">
        <v>200</v>
      </c>
      <c r="G501" s="393">
        <v>294000</v>
      </c>
      <c r="H501" s="383"/>
      <c r="I501" s="50">
        <f t="shared" si="167"/>
        <v>294000</v>
      </c>
    </row>
    <row r="502" spans="1:9" s="20" customFormat="1" ht="31.2">
      <c r="A502" s="49" t="str">
        <f>IF(B502&gt;0,VLOOKUP(B502,КВСР!A426:B1591,2),IF(C502&gt;0,VLOOKUP(C502,КФСР!A426:B1938,2),IF(D502&gt;0,VLOOKUP(D502,Программа!A$1:B$5063,2),IF(F502&gt;0,VLOOKUP(F502,КВР!A$1:B$5001,2),IF(E502&gt;0,VLOOKUP(E502,Направление!A$1:B$4746,2))))))</f>
        <v>Социальное обеспечение и иные выплаты населению</v>
      </c>
      <c r="B502" s="91"/>
      <c r="C502" s="84"/>
      <c r="D502" s="85"/>
      <c r="E502" s="716"/>
      <c r="F502" s="85">
        <v>300</v>
      </c>
      <c r="G502" s="393">
        <v>19206000</v>
      </c>
      <c r="H502" s="383"/>
      <c r="I502" s="50">
        <f t="shared" si="167"/>
        <v>19206000</v>
      </c>
    </row>
    <row r="503" spans="1:9" s="20" customFormat="1" ht="46.8">
      <c r="A503" s="49" t="str">
        <f>IF(B503&gt;0,VLOOKUP(B503,КВСР!A427:B1592,2),IF(C503&gt;0,VLOOKUP(C503,КФСР!A427:B1939,2),IF(D503&gt;0,VLOOKUP(D503,Программа!A$1:B$5063,2),IF(F503&gt;0,VLOOKUP(F503,КВР!A$1:B$5001,2),IF(E503&gt;0,VLOOKUP(E503,Направление!A$1:B$4746,2))))))</f>
        <v>Оказание социальной помощи отдельным категориям граждан за счет средств областного бюджета</v>
      </c>
      <c r="B503" s="91"/>
      <c r="C503" s="84"/>
      <c r="D503" s="444"/>
      <c r="E503" s="91">
        <v>70890</v>
      </c>
      <c r="F503" s="85"/>
      <c r="G503" s="393">
        <v>4204534</v>
      </c>
      <c r="H503" s="393">
        <f t="shared" ref="H503" si="172">H504+H505</f>
        <v>0</v>
      </c>
      <c r="I503" s="50">
        <f t="shared" si="167"/>
        <v>4204534</v>
      </c>
    </row>
    <row r="504" spans="1:9" s="20" customFormat="1" ht="31.2">
      <c r="A504" s="49" t="str">
        <f>IF(B504&gt;0,VLOOKUP(B504,КВСР!A428:B1593,2),IF(C504&gt;0,VLOOKUP(C504,КФСР!A428:B1940,2),IF(D504&gt;0,VLOOKUP(D504,Программа!A$1:B$5063,2),IF(F504&gt;0,VLOOKUP(F504,КВР!A$1:B$5001,2),IF(E504&gt;0,VLOOKUP(E504,Направление!A$1:B$4746,2))))))</f>
        <v>Закупка товаров, работ и услуг для государственных нужд</v>
      </c>
      <c r="B504" s="91"/>
      <c r="C504" s="84"/>
      <c r="D504" s="444"/>
      <c r="E504" s="716"/>
      <c r="F504" s="85">
        <v>200</v>
      </c>
      <c r="G504" s="393">
        <v>177534</v>
      </c>
      <c r="H504" s="383">
        <v>-31380</v>
      </c>
      <c r="I504" s="50">
        <f t="shared" si="167"/>
        <v>146154</v>
      </c>
    </row>
    <row r="505" spans="1:9" s="20" customFormat="1" ht="31.2">
      <c r="A505" s="49" t="str">
        <f>IF(B505&gt;0,VLOOKUP(B505,КВСР!A429:B1594,2),IF(C505&gt;0,VLOOKUP(C505,КФСР!A429:B1941,2),IF(D505&gt;0,VLOOKUP(D505,Программа!A$1:B$5063,2),IF(F505&gt;0,VLOOKUP(F505,КВР!A$1:B$5001,2),IF(E505&gt;0,VLOOKUP(E505,Направление!A$1:B$4746,2))))))</f>
        <v>Социальное обеспечение и иные выплаты населению</v>
      </c>
      <c r="B505" s="91"/>
      <c r="C505" s="84"/>
      <c r="D505" s="444"/>
      <c r="E505" s="716"/>
      <c r="F505" s="85">
        <v>300</v>
      </c>
      <c r="G505" s="393">
        <v>4027000</v>
      </c>
      <c r="H505" s="383">
        <v>31380</v>
      </c>
      <c r="I505" s="50">
        <f t="shared" si="167"/>
        <v>4058380</v>
      </c>
    </row>
    <row r="506" spans="1:9" s="20" customFormat="1" ht="49.5" customHeight="1">
      <c r="A506" s="49" t="str">
        <f>IF(B506&gt;0,VLOOKUP(B506,КВСР!A430:B1595,2),IF(C506&gt;0,VLOOKUP(C506,КФСР!A430:B1942,2),IF(D506&gt;0,VLOOKUP(D506,Программа!A$1:B$5063,2),IF(F506&gt;0,VLOOKUP(F506,КВР!A$1:B$5001,2),IF(E506&gt;0,VLOOKUP(E506,Направление!A$1:B$4746,2))))))</f>
        <v>Расходы на социальную поддержку отдельных категорий граждан в части ежемесячного пособия на ребенка</v>
      </c>
      <c r="B506" s="91"/>
      <c r="C506" s="84"/>
      <c r="D506" s="444"/>
      <c r="E506" s="91">
        <v>73040</v>
      </c>
      <c r="F506" s="85"/>
      <c r="G506" s="50">
        <v>34900000</v>
      </c>
      <c r="H506" s="50">
        <f t="shared" ref="H506" si="173">H508+H507</f>
        <v>0</v>
      </c>
      <c r="I506" s="50">
        <f t="shared" si="167"/>
        <v>34900000</v>
      </c>
    </row>
    <row r="507" spans="1:9" s="20" customFormat="1" ht="31.2">
      <c r="A507" s="49" t="str">
        <f>IF(B507&gt;0,VLOOKUP(B507,КВСР!A431:B1596,2),IF(C507&gt;0,VLOOKUP(C507,КФСР!A431:B1943,2),IF(D507&gt;0,VLOOKUP(D507,Программа!A$1:B$5063,2),IF(F507&gt;0,VLOOKUP(F507,КВР!A$1:B$5001,2),IF(E507&gt;0,VLOOKUP(E507,Направление!A$1:B$4746,2))))))</f>
        <v>Закупка товаров, работ и услуг для государственных нужд</v>
      </c>
      <c r="B507" s="91"/>
      <c r="C507" s="84"/>
      <c r="D507" s="444"/>
      <c r="E507" s="91"/>
      <c r="F507" s="85">
        <v>200</v>
      </c>
      <c r="G507" s="387">
        <v>9000</v>
      </c>
      <c r="H507" s="391"/>
      <c r="I507" s="50">
        <f t="shared" si="167"/>
        <v>9000</v>
      </c>
    </row>
    <row r="508" spans="1:9" s="20" customFormat="1" ht="31.2">
      <c r="A508" s="49" t="str">
        <f>IF(B508&gt;0,VLOOKUP(B508,КВСР!A432:B1597,2),IF(C508&gt;0,VLOOKUP(C508,КФСР!A432:B1944,2),IF(D508&gt;0,VLOOKUP(D508,Программа!A$1:B$5063,2),IF(F508&gt;0,VLOOKUP(F508,КВР!A$1:B$5001,2),IF(E508&gt;0,VLOOKUP(E508,Направление!A$1:B$4746,2))))))</f>
        <v>Социальное обеспечение и иные выплаты населению</v>
      </c>
      <c r="B508" s="91"/>
      <c r="C508" s="84"/>
      <c r="D508" s="444"/>
      <c r="E508" s="91"/>
      <c r="F508" s="85">
        <v>300</v>
      </c>
      <c r="G508" s="393">
        <v>34891000</v>
      </c>
      <c r="H508" s="383"/>
      <c r="I508" s="50">
        <f t="shared" si="167"/>
        <v>34891000</v>
      </c>
    </row>
    <row r="509" spans="1:9" s="20" customFormat="1" ht="62.4">
      <c r="A509" s="49" t="str">
        <f>IF(B509&gt;0,VLOOKUP(B509,КВСР!A433:B1598,2),IF(C509&gt;0,VLOOKUP(C509,КФСР!A433:B1945,2),IF(D509&gt;0,VLOOKUP(D509,Программа!A$1:B$5063,2),IF(F509&gt;0,VLOOKUP(F509,КВР!A$1:B$5001,2),IF(E509&gt;0,VLOOKUP(E509,Направление!A$1:B$4746,2))))))</f>
        <v>Социальная защита семей с детьми, инвалидов, ветеранов, граждан и детей, оказавшихся в трудной жизненной ситуации</v>
      </c>
      <c r="B509" s="91"/>
      <c r="C509" s="84"/>
      <c r="D509" s="444" t="s">
        <v>2865</v>
      </c>
      <c r="E509" s="91"/>
      <c r="F509" s="85"/>
      <c r="G509" s="83">
        <v>730000</v>
      </c>
      <c r="H509" s="83">
        <f t="shared" ref="H509" si="174">H510+H513</f>
        <v>0</v>
      </c>
      <c r="I509" s="50">
        <f t="shared" si="167"/>
        <v>730000</v>
      </c>
    </row>
    <row r="510" spans="1:9" s="20" customFormat="1" ht="46.8">
      <c r="A510" s="49" t="str">
        <f>IF(B510&gt;0,VLOOKUP(B510,КВСР!A434:B1599,2),IF(C510&gt;0,VLOOKUP(C510,КФСР!A434:B1946,2),IF(D510&gt;0,VLOOKUP(D510,Программа!A$1:B$5063,2),IF(F510&gt;0,VLOOKUP(F510,КВР!A$1:B$5001,2),IF(E510&gt;0,VLOOKUP(E510,Направление!A$1:B$4746,2))))))</f>
        <v>Организация перевозок больных, нуждающихся в амбулаторном гемодиализе</v>
      </c>
      <c r="B510" s="91"/>
      <c r="C510" s="84"/>
      <c r="D510" s="444"/>
      <c r="E510" s="91">
        <v>16210</v>
      </c>
      <c r="F510" s="85"/>
      <c r="G510" s="83">
        <v>530000</v>
      </c>
      <c r="H510" s="83">
        <f>H511+H512</f>
        <v>0</v>
      </c>
      <c r="I510" s="50">
        <f t="shared" si="167"/>
        <v>530000</v>
      </c>
    </row>
    <row r="511" spans="1:9" s="20" customFormat="1" ht="31.2" hidden="1">
      <c r="A511" s="49" t="str">
        <f>IF(B511&gt;0,VLOOKUP(B511,КВСР!A435:B1600,2),IF(C511&gt;0,VLOOKUP(C511,КФСР!A435:B1947,2),IF(D511&gt;0,VLOOKUP(D511,Программа!A$1:B$5063,2),IF(F511&gt;0,VLOOKUP(F511,КВР!A$1:B$5001,2),IF(E511&gt;0,VLOOKUP(E511,Направление!A$1:B$4746,2))))))</f>
        <v>Закупка товаров, работ и услуг для государственных нужд</v>
      </c>
      <c r="B511" s="91"/>
      <c r="C511" s="84"/>
      <c r="D511" s="444"/>
      <c r="E511" s="716"/>
      <c r="F511" s="85">
        <v>200</v>
      </c>
      <c r="G511" s="393">
        <v>0</v>
      </c>
      <c r="H511" s="383"/>
      <c r="I511" s="50">
        <f t="shared" si="167"/>
        <v>0</v>
      </c>
    </row>
    <row r="512" spans="1:9" s="20" customFormat="1" ht="31.2">
      <c r="A512" s="49" t="str">
        <f>IF(B512&gt;0,VLOOKUP(B512,КВСР!A436:B1601,2),IF(C512&gt;0,VLOOKUP(C512,КФСР!A436:B1948,2),IF(D512&gt;0,VLOOKUP(D512,Программа!A$1:B$5063,2),IF(F512&gt;0,VLOOKUP(F512,КВР!A$1:B$5001,2),IF(E512&gt;0,VLOOKUP(E512,Направление!A$1:B$4746,2))))))</f>
        <v>Социальное обеспечение и иные выплаты населению</v>
      </c>
      <c r="B512" s="91"/>
      <c r="C512" s="84"/>
      <c r="D512" s="444"/>
      <c r="E512" s="716"/>
      <c r="F512" s="85">
        <v>300</v>
      </c>
      <c r="G512" s="393">
        <v>530000</v>
      </c>
      <c r="H512" s="383"/>
      <c r="I512" s="50">
        <f t="shared" si="167"/>
        <v>530000</v>
      </c>
    </row>
    <row r="513" spans="1:9" s="565" customFormat="1" ht="31.2">
      <c r="A513" s="49" t="str">
        <f>IF(B513&gt;0,VLOOKUP(B513,КВСР!A437:B1602,2),IF(C513&gt;0,VLOOKUP(C513,КФСР!A437:B1949,2),IF(D513&gt;0,VLOOKUP(D513,Программа!A$1:B$5063,2),IF(F513&gt;0,VLOOKUP(F513,КВР!A$1:B$5001,2),IF(E513&gt;0,VLOOKUP(E513,Направление!A$1:B$4746,2))))))</f>
        <v>Оказание адресной материальной помощи</v>
      </c>
      <c r="B513" s="564"/>
      <c r="C513" s="272"/>
      <c r="D513" s="447"/>
      <c r="E513" s="564">
        <v>16220</v>
      </c>
      <c r="F513" s="268"/>
      <c r="G513" s="50">
        <v>200000</v>
      </c>
      <c r="H513" s="50">
        <f t="shared" ref="H513" si="175">H514+H515</f>
        <v>0</v>
      </c>
      <c r="I513" s="50">
        <f t="shared" si="167"/>
        <v>200000</v>
      </c>
    </row>
    <row r="514" spans="1:9" s="20" customFormat="1" ht="31.2">
      <c r="A514" s="49" t="str">
        <f>IF(B514&gt;0,VLOOKUP(B514,КВСР!A438:B1603,2),IF(C514&gt;0,VLOOKUP(C514,КФСР!A438:B1950,2),IF(D514&gt;0,VLOOKUP(D514,Программа!A$1:B$5063,2),IF(F514&gt;0,VLOOKUP(F514,КВР!A$1:B$5001,2),IF(E514&gt;0,VLOOKUP(E514,Направление!A$1:B$4746,2))))))</f>
        <v>Закупка товаров, работ и услуг для государственных нужд</v>
      </c>
      <c r="B514" s="91"/>
      <c r="C514" s="84"/>
      <c r="D514" s="444"/>
      <c r="E514" s="91"/>
      <c r="F514" s="85">
        <v>200</v>
      </c>
      <c r="G514" s="393">
        <v>2955</v>
      </c>
      <c r="H514" s="383"/>
      <c r="I514" s="50">
        <f t="shared" si="167"/>
        <v>2955</v>
      </c>
    </row>
    <row r="515" spans="1:9" s="20" customFormat="1" ht="31.2">
      <c r="A515" s="49" t="str">
        <f>IF(B515&gt;0,VLOOKUP(B515,КВСР!A439:B1604,2),IF(C515&gt;0,VLOOKUP(C515,КФСР!A439:B1951,2),IF(D515&gt;0,VLOOKUP(D515,Программа!A$1:B$5063,2),IF(F515&gt;0,VLOOKUP(F515,КВР!A$1:B$5001,2),IF(E515&gt;0,VLOOKUP(E515,Направление!A$1:B$4746,2))))))</f>
        <v>Социальное обеспечение и иные выплаты населению</v>
      </c>
      <c r="B515" s="91"/>
      <c r="C515" s="84"/>
      <c r="D515" s="444"/>
      <c r="E515" s="91"/>
      <c r="F515" s="85">
        <v>300</v>
      </c>
      <c r="G515" s="393">
        <v>197045</v>
      </c>
      <c r="H515" s="383"/>
      <c r="I515" s="50">
        <f t="shared" si="167"/>
        <v>197045</v>
      </c>
    </row>
    <row r="516" spans="1:9" s="20" customFormat="1">
      <c r="A516" s="49" t="str">
        <f>IF(B516&gt;0,VLOOKUP(B516,КВСР!A440:B1605,2),IF(C516&gt;0,VLOOKUP(C516,КФСР!A440:B1952,2),IF(D516&gt;0,VLOOKUP(D516,Программа!A$1:B$5063,2),IF(F516&gt;0,VLOOKUP(F516,КВР!A$1:B$5001,2),IF(E516&gt;0,VLOOKUP(E516,Направление!A$1:B$4746,2))))))</f>
        <v>Непрограммные расходы бюджета</v>
      </c>
      <c r="B516" s="91"/>
      <c r="C516" s="84"/>
      <c r="D516" s="444" t="s">
        <v>2852</v>
      </c>
      <c r="E516" s="91"/>
      <c r="F516" s="85"/>
      <c r="G516" s="393">
        <v>45000</v>
      </c>
      <c r="H516" s="393">
        <f>H517+H519</f>
        <v>233500</v>
      </c>
      <c r="I516" s="393">
        <f>SUM(G516:H516)</f>
        <v>278500</v>
      </c>
    </row>
    <row r="517" spans="1:9" s="20" customFormat="1" ht="31.2">
      <c r="A517" s="49" t="str">
        <f>IF(B517&gt;0,VLOOKUP(B517,КВСР!A441:B1606,2),IF(C517&gt;0,VLOOKUP(C517,КФСР!A441:B1953,2),IF(D517&gt;0,VLOOKUP(D517,Программа!A$1:B$5063,2),IF(F517&gt;0,VLOOKUP(F517,КВР!A$1:B$5001,2),IF(E517&gt;0,VLOOKUP(E517,Направление!A$1:B$4746,2))))))</f>
        <v>Резервные фонды местных администраций</v>
      </c>
      <c r="B517" s="91"/>
      <c r="C517" s="84"/>
      <c r="D517" s="444"/>
      <c r="E517" s="91">
        <v>12900</v>
      </c>
      <c r="F517" s="85"/>
      <c r="G517" s="393">
        <v>45000</v>
      </c>
      <c r="H517" s="393">
        <f t="shared" ref="H517:I517" si="176">H518</f>
        <v>160000</v>
      </c>
      <c r="I517" s="393">
        <f t="shared" si="176"/>
        <v>205000</v>
      </c>
    </row>
    <row r="518" spans="1:9" s="20" customFormat="1" ht="31.2">
      <c r="A518" s="49" t="str">
        <f>IF(B518&gt;0,VLOOKUP(B518,КВСР!A442:B1607,2),IF(C518&gt;0,VLOOKUP(C518,КФСР!A442:B1954,2),IF(D518&gt;0,VLOOKUP(D518,Программа!A$1:B$5063,2),IF(F518&gt;0,VLOOKUP(F518,КВР!A$1:B$5001,2),IF(E518&gt;0,VLOOKUP(E518,Направление!A$1:B$4746,2))))))</f>
        <v>Социальное обеспечение и иные выплаты населению</v>
      </c>
      <c r="B518" s="91"/>
      <c r="C518" s="84"/>
      <c r="D518" s="444"/>
      <c r="E518" s="91"/>
      <c r="F518" s="85">
        <v>300</v>
      </c>
      <c r="G518" s="393">
        <v>45000</v>
      </c>
      <c r="H518" s="383">
        <v>160000</v>
      </c>
      <c r="I518" s="50">
        <f>G518+H518</f>
        <v>205000</v>
      </c>
    </row>
    <row r="519" spans="1:9" s="20" customFormat="1" ht="46.8">
      <c r="A519" s="49" t="str">
        <f>IF(B519&gt;0,VLOOKUP(B519,КВСР!A443:B1608,2),IF(C519&gt;0,VLOOKUP(C519,КФСР!A443:B1955,2),IF(D519&gt;0,VLOOKUP(D519,Программа!A$1:B$5063,2),IF(F519&gt;0,VLOOKUP(F519,КВР!A$1:B$5001,2),IF(E519&gt;0,VLOOKUP(E519,Направление!A$1:B$4746,2))))))</f>
        <v>Резервные фонды исполнительных органов государственной власти субъектов Российской Федерации</v>
      </c>
      <c r="B519" s="91"/>
      <c r="C519" s="84"/>
      <c r="D519" s="444"/>
      <c r="E519" s="91">
        <v>80120</v>
      </c>
      <c r="F519" s="85"/>
      <c r="G519" s="393"/>
      <c r="H519" s="393">
        <f>H520</f>
        <v>73500</v>
      </c>
      <c r="I519" s="393">
        <f>I520</f>
        <v>73500</v>
      </c>
    </row>
    <row r="520" spans="1:9" s="20" customFormat="1" ht="31.2">
      <c r="A520" s="49" t="str">
        <f>IF(B520&gt;0,VLOOKUP(B520,КВСР!A444:B1609,2),IF(C520&gt;0,VLOOKUP(C520,КФСР!A444:B1956,2),IF(D520&gt;0,VLOOKUP(D520,Программа!A$1:B$5063,2),IF(F520&gt;0,VLOOKUP(F520,КВР!A$1:B$5001,2),IF(E520&gt;0,VLOOKUP(E520,Направление!A$1:B$4746,2))))))</f>
        <v>Социальное обеспечение и иные выплаты населению</v>
      </c>
      <c r="B520" s="91"/>
      <c r="C520" s="84"/>
      <c r="D520" s="444"/>
      <c r="E520" s="91"/>
      <c r="F520" s="85">
        <v>300</v>
      </c>
      <c r="G520" s="393"/>
      <c r="H520" s="383">
        <v>73500</v>
      </c>
      <c r="I520" s="50">
        <f>SUM(G520:H520)</f>
        <v>73500</v>
      </c>
    </row>
    <row r="521" spans="1:9" s="21" customFormat="1">
      <c r="A521" s="49" t="str">
        <f>IF(B521&gt;0,VLOOKUP(B521,КВСР!A443:B1608,2),IF(C521&gt;0,VLOOKUP(C521,КФСР!A443:B1955,2),IF(D521&gt;0,VLOOKUP(D521,Программа!A$1:B$5063,2),IF(F521&gt;0,VLOOKUP(F521,КВР!A$1:B$5001,2),IF(E521&gt;0,VLOOKUP(E521,Направление!A$1:B$4746,2))))))</f>
        <v>Охрана семьи и детства</v>
      </c>
      <c r="B521" s="91"/>
      <c r="C521" s="84">
        <v>1004</v>
      </c>
      <c r="D521" s="444"/>
      <c r="E521" s="91"/>
      <c r="F521" s="85"/>
      <c r="G521" s="83">
        <v>49936600</v>
      </c>
      <c r="H521" s="83">
        <f t="shared" ref="H521:H522" si="177">H522</f>
        <v>-168000</v>
      </c>
      <c r="I521" s="50">
        <f t="shared" si="167"/>
        <v>49768600</v>
      </c>
    </row>
    <row r="522" spans="1:9" s="21" customFormat="1" ht="53.25" customHeight="1">
      <c r="A522" s="49" t="str">
        <f>IF(B522&gt;0,VLOOKUP(B522,КВСР!A444:B1609,2),IF(C522&gt;0,VLOOKUP(C522,КФСР!A444:B1956,2),IF(D522&gt;0,VLOOKUP(D522,Программа!A$1:B$5063,2),IF(F522&gt;0,VLOOKUP(F522,КВР!A$1:B$5001,2),IF(E522&gt;0,VLOOKUP(E522,Направление!A$1:B$4746,2))))))</f>
        <v>Муниципальная программа "Социальная поддержка населения Тутаевского муниципального района"</v>
      </c>
      <c r="B522" s="91"/>
      <c r="C522" s="84"/>
      <c r="D522" s="444" t="s">
        <v>2809</v>
      </c>
      <c r="E522" s="91"/>
      <c r="F522" s="85"/>
      <c r="G522" s="83">
        <v>49936600</v>
      </c>
      <c r="H522" s="83">
        <f t="shared" si="177"/>
        <v>-168000</v>
      </c>
      <c r="I522" s="50">
        <f t="shared" si="167"/>
        <v>49768600</v>
      </c>
    </row>
    <row r="523" spans="1:9" s="21" customFormat="1" ht="53.25" customHeight="1">
      <c r="A523" s="49" t="str">
        <f>IF(B523&gt;0,VLOOKUP(B523,КВСР!A445:B1610,2),IF(C523&gt;0,VLOOKUP(C523,КФСР!A445:B1957,2),IF(D523&gt;0,VLOOKUP(D523,Программа!A$1:B$5063,2),IF(F523&gt;0,VLOOKUP(F523,КВР!A$1:B$5001,2),IF(E523&gt;0,VLOOKUP(E523,Направление!A$1:B$4746,2))))))</f>
        <v xml:space="preserve">Ведомственная целевая программа «Социальная поддержка населения Тутаевского муниципального района» </v>
      </c>
      <c r="B523" s="91"/>
      <c r="C523" s="84"/>
      <c r="D523" s="444" t="s">
        <v>2811</v>
      </c>
      <c r="E523" s="91"/>
      <c r="F523" s="85"/>
      <c r="G523" s="83">
        <v>49936600</v>
      </c>
      <c r="H523" s="83">
        <f>H524+H536</f>
        <v>-168000</v>
      </c>
      <c r="I523" s="50">
        <f t="shared" si="167"/>
        <v>49768600</v>
      </c>
    </row>
    <row r="524" spans="1:9" s="21" customFormat="1" ht="46.8">
      <c r="A524" s="49" t="str">
        <f>IF(B524&gt;0,VLOOKUP(B524,КВСР!A446:B1611,2),IF(C524&gt;0,VLOOKUP(C524,КФСР!A446:B1958,2),IF(D524&gt;0,VLOOKUP(D524,Программа!A$1:B$5063,2),IF(F524&gt;0,VLOOKUP(F524,КВР!A$1:B$5001,2),IF(E524&gt;0,VLOOKUP(E524,Направление!A$1:B$4746,2))))))</f>
        <v>Исполнение публичных обязательств по предоставлению выплат, пособий и компенсаций</v>
      </c>
      <c r="B524" s="91"/>
      <c r="C524" s="84"/>
      <c r="D524" s="447" t="s">
        <v>2862</v>
      </c>
      <c r="E524" s="564"/>
      <c r="F524" s="85"/>
      <c r="G524" s="83">
        <v>49933000</v>
      </c>
      <c r="H524" s="83">
        <f>H527+H525+H533+H529+H531</f>
        <v>-168000</v>
      </c>
      <c r="I524" s="83">
        <f>I527+I525+I533+I529+I531</f>
        <v>49765000</v>
      </c>
    </row>
    <row r="525" spans="1:9" s="21" customFormat="1" ht="78">
      <c r="A525" s="49" t="str">
        <f>IF(B525&gt;0,VLOOKUP(B525,КВСР!A447:B1612,2),IF(C525&gt;0,VLOOKUP(C525,КФСР!A447:B1959,2),IF(D525&gt;0,VLOOKUP(D525,Программа!A$1:B$5063,2),IF(F525&gt;0,VLOOKUP(F525,КВР!A$1:B$5001,2),IF(E525&gt;0,VLOOKUP(E525,Направление!A$1:B$4746,2))))))</f>
        <v>Ежемесячная денежная выплата, назначаемая в случае рождения третьего ребенка или последующих детей до достижения ребенком возраста трех лет</v>
      </c>
      <c r="B525" s="91"/>
      <c r="C525" s="84"/>
      <c r="D525" s="447"/>
      <c r="E525" s="564">
        <v>50840</v>
      </c>
      <c r="F525" s="85"/>
      <c r="G525" s="83">
        <v>10200000</v>
      </c>
      <c r="H525" s="83">
        <f t="shared" ref="H525:I525" si="178">H526</f>
        <v>0</v>
      </c>
      <c r="I525" s="83">
        <f t="shared" si="178"/>
        <v>10200000</v>
      </c>
    </row>
    <row r="526" spans="1:9" s="21" customFormat="1" ht="31.2">
      <c r="A526" s="49" t="str">
        <f>IF(B526&gt;0,VLOOKUP(B526,КВСР!A448:B1613,2),IF(C526&gt;0,VLOOKUP(C526,КФСР!A448:B1960,2),IF(D526&gt;0,VLOOKUP(D526,Программа!A$1:B$5063,2),IF(F526&gt;0,VLOOKUP(F526,КВР!A$1:B$5001,2),IF(E526&gt;0,VLOOKUP(E526,Направление!A$1:B$4746,2))))))</f>
        <v>Социальное обеспечение и иные выплаты населению</v>
      </c>
      <c r="B526" s="91"/>
      <c r="C526" s="84"/>
      <c r="D526" s="268"/>
      <c r="E526" s="564"/>
      <c r="F526" s="85">
        <v>300</v>
      </c>
      <c r="G526" s="393">
        <v>10200000</v>
      </c>
      <c r="H526" s="621"/>
      <c r="I526" s="50">
        <f t="shared" si="167"/>
        <v>10200000</v>
      </c>
    </row>
    <row r="527" spans="1:9" s="21" customFormat="1" ht="128.25" customHeight="1">
      <c r="A527" s="49" t="str">
        <f>IF(B527&gt;0,VLOOKUP(B527,КВСР!A449:B1614,2),IF(C527&gt;0,VLOOKUP(C527,КФСР!A449:B1961,2),IF(D527&gt;0,VLOOKUP(D527,Программа!A$1:B$5063,2),IF(F527&gt;0,VLOOKUP(F527,КВР!A$1:B$5001,2),IF(E527&gt;0,VLOOKUP(E527,Направление!A$1:B$4746,2))))))</f>
        <v>Расходы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за счет средств федерального бюджета</v>
      </c>
      <c r="B527" s="91"/>
      <c r="C527" s="84"/>
      <c r="D527" s="447"/>
      <c r="E527" s="564">
        <v>52700</v>
      </c>
      <c r="F527" s="85"/>
      <c r="G527" s="83">
        <v>679000</v>
      </c>
      <c r="H527" s="83">
        <f t="shared" ref="H527" si="179">H528</f>
        <v>-168000</v>
      </c>
      <c r="I527" s="50">
        <f t="shared" si="167"/>
        <v>511000</v>
      </c>
    </row>
    <row r="528" spans="1:9" s="21" customFormat="1" ht="31.2">
      <c r="A528" s="49" t="str">
        <f>IF(B528&gt;0,VLOOKUP(B528,КВСР!A450:B1615,2),IF(C528&gt;0,VLOOKUP(C528,КФСР!A450:B1962,2),IF(D528&gt;0,VLOOKUP(D528,Программа!A$1:B$5063,2),IF(F528&gt;0,VLOOKUP(F528,КВР!A$1:B$5001,2),IF(E528&gt;0,VLOOKUP(E528,Направление!A$1:B$4746,2))))))</f>
        <v>Социальное обеспечение и иные выплаты населению</v>
      </c>
      <c r="B528" s="91"/>
      <c r="C528" s="84"/>
      <c r="D528" s="268"/>
      <c r="E528" s="564"/>
      <c r="F528" s="85">
        <v>300</v>
      </c>
      <c r="G528" s="393">
        <v>679000</v>
      </c>
      <c r="H528" s="383">
        <v>-168000</v>
      </c>
      <c r="I528" s="50">
        <f t="shared" si="167"/>
        <v>511000</v>
      </c>
    </row>
    <row r="529" spans="1:9" s="21" customFormat="1" ht="116.25" customHeight="1">
      <c r="A529" s="49" t="str">
        <f>IF(B529&gt;0,VLOOKUP(B529,КВСР!A451:B1616,2),IF(C529&gt;0,VLOOKUP(C529,КФСР!A451:B1963,2),IF(D529&gt;0,VLOOKUP(D529,Программа!A$1:B$5063,2),IF(F529&gt;0,VLOOKUP(F529,КВР!A$1:B$5001,2),IF(E529&gt;0,VLOOKUP(E529,Направление!A$1:B$4746,2))))))</f>
        <v>Расходы на выплату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v>
      </c>
      <c r="B529" s="91"/>
      <c r="C529" s="84"/>
      <c r="D529" s="268"/>
      <c r="E529" s="564">
        <v>53810</v>
      </c>
      <c r="F529" s="85"/>
      <c r="G529" s="393">
        <v>16045000</v>
      </c>
      <c r="H529" s="393">
        <f t="shared" ref="H529:I529" si="180">H530</f>
        <v>0</v>
      </c>
      <c r="I529" s="393">
        <f t="shared" si="180"/>
        <v>16045000</v>
      </c>
    </row>
    <row r="530" spans="1:9" s="21" customFormat="1" ht="31.2">
      <c r="A530" s="49" t="str">
        <f>IF(B530&gt;0,VLOOKUP(B530,КВСР!A452:B1617,2),IF(C530&gt;0,VLOOKUP(C530,КФСР!A452:B1964,2),IF(D530&gt;0,VLOOKUP(D530,Программа!A$1:B$5063,2),IF(F530&gt;0,VLOOKUP(F530,КВР!A$1:B$5001,2),IF(E530&gt;0,VLOOKUP(E530,Направление!A$1:B$4746,2))))))</f>
        <v>Социальное обеспечение и иные выплаты населению</v>
      </c>
      <c r="B530" s="91"/>
      <c r="C530" s="84"/>
      <c r="D530" s="268"/>
      <c r="E530" s="564"/>
      <c r="F530" s="85">
        <v>300</v>
      </c>
      <c r="G530" s="393">
        <v>16045000</v>
      </c>
      <c r="H530" s="383"/>
      <c r="I530" s="50">
        <f>G530+H530</f>
        <v>16045000</v>
      </c>
    </row>
    <row r="531" spans="1:9" s="21" customFormat="1" ht="100.5" customHeight="1">
      <c r="A531" s="49" t="str">
        <f>IF(B531&gt;0,VLOOKUP(B531,КВСР!A453:B1618,2),IF(C531&gt;0,VLOOKUP(C531,КФСР!A453:B1965,2),IF(D531&gt;0,VLOOKUP(D531,Программа!A$1:B$5063,2),IF(F531&gt;0,VLOOKUP(F531,КВР!A$1:B$5001,2),IF(E531&gt;0,VLOOKUP(E531,Направление!A$1:B$4746,2))))))</f>
        <v>Расходы на выплаты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v>
      </c>
      <c r="B531" s="91"/>
      <c r="C531" s="84"/>
      <c r="D531" s="268"/>
      <c r="E531" s="564">
        <v>53850</v>
      </c>
      <c r="F531" s="85"/>
      <c r="G531" s="393">
        <v>1825000</v>
      </c>
      <c r="H531" s="393">
        <f t="shared" ref="H531:I531" si="181">H532</f>
        <v>0</v>
      </c>
      <c r="I531" s="393">
        <f t="shared" si="181"/>
        <v>1825000</v>
      </c>
    </row>
    <row r="532" spans="1:9" s="21" customFormat="1" ht="31.2">
      <c r="A532" s="49" t="str">
        <f>IF(B532&gt;0,VLOOKUP(B532,КВСР!A454:B1619,2),IF(C532&gt;0,VLOOKUP(C532,КФСР!A454:B1966,2),IF(D532&gt;0,VLOOKUP(D532,Программа!A$1:B$5063,2),IF(F532&gt;0,VLOOKUP(F532,КВР!A$1:B$5001,2),IF(E532&gt;0,VLOOKUP(E532,Направление!A$1:B$4746,2))))))</f>
        <v>Социальное обеспечение и иные выплаты населению</v>
      </c>
      <c r="B532" s="91"/>
      <c r="C532" s="84"/>
      <c r="D532" s="268"/>
      <c r="E532" s="564"/>
      <c r="F532" s="85">
        <v>300</v>
      </c>
      <c r="G532" s="393">
        <v>1825000</v>
      </c>
      <c r="H532" s="383"/>
      <c r="I532" s="50">
        <f>G532+H532</f>
        <v>1825000</v>
      </c>
    </row>
    <row r="533" spans="1:9" s="21" customFormat="1" ht="78">
      <c r="A533" s="49" t="str">
        <f>IF(B533&gt;0,VLOOKUP(B533,КВСР!A455:B1620,2),IF(C533&gt;0,VLOOKUP(C533,КФСР!A455:B1967,2),IF(D533&gt;0,VLOOKUP(D533,Программа!A$1:B$5063,2),IF(F533&gt;0,VLOOKUP(F533,КВР!A$1:B$5001,2),IF(E533&gt;0,VLOOKUP(E533,Направление!A$1:B$4746,2))))))</f>
        <v>Ежемесячная денежная выплата, назначаемая в случае рождения третьего ребенка или последующих детей до достижения ребенком возраста трех лет</v>
      </c>
      <c r="B533" s="91"/>
      <c r="C533" s="84"/>
      <c r="D533" s="447"/>
      <c r="E533" s="564" t="s">
        <v>3142</v>
      </c>
      <c r="F533" s="85"/>
      <c r="G533" s="83">
        <v>21184000</v>
      </c>
      <c r="H533" s="83">
        <f t="shared" ref="H533" si="182">H534+H535</f>
        <v>0</v>
      </c>
      <c r="I533" s="50">
        <f t="shared" si="167"/>
        <v>21184000</v>
      </c>
    </row>
    <row r="534" spans="1:9" s="21" customFormat="1" ht="31.2">
      <c r="A534" s="49" t="str">
        <f>IF(B534&gt;0,VLOOKUP(B534,КВСР!A456:B1621,2),IF(C534&gt;0,VLOOKUP(C534,КФСР!A456:B1968,2),IF(D534&gt;0,VLOOKUP(D534,Программа!A$1:B$5063,2),IF(F534&gt;0,VLOOKUP(F534,КВР!A$1:B$5001,2),IF(E534&gt;0,VLOOKUP(E534,Направление!A$1:B$4746,2))))))</f>
        <v>Закупка товаров, работ и услуг для государственных нужд</v>
      </c>
      <c r="B534" s="91"/>
      <c r="C534" s="84"/>
      <c r="D534" s="268"/>
      <c r="E534" s="564"/>
      <c r="F534" s="85">
        <v>200</v>
      </c>
      <c r="G534" s="393">
        <v>314000</v>
      </c>
      <c r="H534" s="383">
        <v>190000</v>
      </c>
      <c r="I534" s="50">
        <f t="shared" si="167"/>
        <v>504000</v>
      </c>
    </row>
    <row r="535" spans="1:9" s="21" customFormat="1" ht="31.2">
      <c r="A535" s="49" t="str">
        <f>IF(B535&gt;0,VLOOKUP(B535,КВСР!A457:B1622,2),IF(C535&gt;0,VLOOKUP(C535,КФСР!A457:B1969,2),IF(D535&gt;0,VLOOKUP(D535,Программа!A$1:B$5063,2),IF(F535&gt;0,VLOOKUP(F535,КВР!A$1:B$5001,2),IF(E535&gt;0,VLOOKUP(E535,Направление!A$1:B$4746,2))))))</f>
        <v>Социальное обеспечение и иные выплаты населению</v>
      </c>
      <c r="B535" s="91"/>
      <c r="C535" s="84"/>
      <c r="D535" s="268"/>
      <c r="E535" s="564"/>
      <c r="F535" s="85">
        <v>300</v>
      </c>
      <c r="G535" s="393">
        <v>20870000</v>
      </c>
      <c r="H535" s="383">
        <v>-190000</v>
      </c>
      <c r="I535" s="50">
        <f t="shared" si="167"/>
        <v>20680000</v>
      </c>
    </row>
    <row r="536" spans="1:9" s="21" customFormat="1" ht="62.4">
      <c r="A536" s="49" t="str">
        <f>IF(B536&gt;0,VLOOKUP(B536,КВСР!A458:B1623,2),IF(C536&gt;0,VLOOKUP(C536,КФСР!A458:B1970,2),IF(D536&gt;0,VLOOKUP(D536,Программа!A$1:B$5063,2),IF(F536&gt;0,VLOOKUP(F536,КВР!A$1:B$5001,2),IF(E536&gt;0,VLOOKUP(E536,Направление!A$1:B$4746,2))))))</f>
        <v>Социальная защита семей с детьми, инвалидов, ветеранов, граждан и детей, оказавшихся в трудной жизненной ситуации</v>
      </c>
      <c r="B536" s="91"/>
      <c r="C536" s="84"/>
      <c r="D536" s="447" t="s">
        <v>2865</v>
      </c>
      <c r="E536" s="564"/>
      <c r="F536" s="85"/>
      <c r="G536" s="50">
        <v>3600</v>
      </c>
      <c r="H536" s="50">
        <f t="shared" ref="H536" si="183">H537+H539</f>
        <v>0</v>
      </c>
      <c r="I536" s="50">
        <f t="shared" si="167"/>
        <v>3600</v>
      </c>
    </row>
    <row r="537" spans="1:9" s="21" customFormat="1" ht="51" customHeight="1">
      <c r="A537" s="49" t="str">
        <f>IF(B537&gt;0,VLOOKUP(B537,КВСР!A459:B1624,2),IF(C537&gt;0,VLOOKUP(C537,КФСР!A459:B1971,2),IF(D537&gt;0,VLOOKUP(D537,Программа!A$1:B$5063,2),IF(F537&gt;0,VLOOKUP(F537,КВР!A$1:B$5001,2),IF(E537&gt;0,VLOOKUP(E537,Направление!A$1:B$4746,2))))))</f>
        <v xml:space="preserve">Расходы на укрепление института семьи, повышение качества жизни семей с несовершеннолетними детьми </v>
      </c>
      <c r="B537" s="91"/>
      <c r="C537" s="84"/>
      <c r="D537" s="447"/>
      <c r="E537" s="564" t="s">
        <v>2996</v>
      </c>
      <c r="F537" s="85"/>
      <c r="G537" s="50">
        <v>3600</v>
      </c>
      <c r="H537" s="50">
        <f t="shared" ref="H537" si="184">H538</f>
        <v>0</v>
      </c>
      <c r="I537" s="50">
        <f t="shared" si="167"/>
        <v>3600</v>
      </c>
    </row>
    <row r="538" spans="1:9" s="21" customFormat="1" ht="31.2">
      <c r="A538" s="49" t="str">
        <f>IF(B538&gt;0,VLOOKUP(B538,КВСР!A460:B1625,2),IF(C538&gt;0,VLOOKUP(C538,КФСР!A460:B1972,2),IF(D538&gt;0,VLOOKUP(D538,Программа!A$1:B$5063,2),IF(F538&gt;0,VLOOKUP(F538,КВР!A$1:B$5001,2),IF(E538&gt;0,VLOOKUP(E538,Направление!A$1:B$4746,2))))))</f>
        <v>Закупка товаров, работ и услуг для государственных нужд</v>
      </c>
      <c r="B538" s="91"/>
      <c r="C538" s="84"/>
      <c r="D538" s="268"/>
      <c r="E538" s="564"/>
      <c r="F538" s="85">
        <v>200</v>
      </c>
      <c r="G538" s="387">
        <v>3600</v>
      </c>
      <c r="H538" s="382"/>
      <c r="I538" s="50">
        <f t="shared" si="167"/>
        <v>3600</v>
      </c>
    </row>
    <row r="539" spans="1:9" s="21" customFormat="1" ht="78" hidden="1">
      <c r="A539" s="49" t="str">
        <f>IF(B539&gt;0,VLOOKUP(B539,КВСР!A461:B1626,2),IF(C539&gt;0,VLOOKUP(C539,КФСР!A461:B1973,2),IF(D539&gt;0,VLOOKUP(D539,Программа!A$1:B$5063,2),IF(F539&gt;0,VLOOKUP(F539,КВР!A$1:B$5001,2),IF(E539&gt;0,VLOOKUP(E539,Направление!A$1:B$4746,2))))))</f>
        <v>Расходы на укрепление института семьи, повышение качества жизни семей с несовершеннолетними детьми за счет средств областного бюджета</v>
      </c>
      <c r="B539" s="91"/>
      <c r="C539" s="84"/>
      <c r="D539" s="85"/>
      <c r="E539" s="91">
        <v>70970</v>
      </c>
      <c r="F539" s="85"/>
      <c r="G539" s="50">
        <v>0</v>
      </c>
      <c r="H539" s="50">
        <f t="shared" ref="H539" si="185">H540</f>
        <v>0</v>
      </c>
      <c r="I539" s="50">
        <f t="shared" si="167"/>
        <v>0</v>
      </c>
    </row>
    <row r="540" spans="1:9" s="21" customFormat="1" ht="31.2" hidden="1">
      <c r="A540" s="49" t="str">
        <f>IF(B540&gt;0,VLOOKUP(B540,КВСР!A462:B1627,2),IF(C540&gt;0,VLOOKUP(C540,КФСР!A462:B1974,2),IF(D540&gt;0,VLOOKUP(D540,Программа!A$1:B$5063,2),IF(F540&gt;0,VLOOKUP(F540,КВР!A$1:B$5001,2),IF(E540&gt;0,VLOOKUP(E540,Направление!A$1:B$4746,2))))))</f>
        <v>Закупка товаров, работ и услуг для государственных нужд</v>
      </c>
      <c r="B540" s="91"/>
      <c r="C540" s="84"/>
      <c r="D540" s="85"/>
      <c r="E540" s="91"/>
      <c r="F540" s="85">
        <v>200</v>
      </c>
      <c r="G540" s="387">
        <v>0</v>
      </c>
      <c r="H540" s="382"/>
      <c r="I540" s="50">
        <f t="shared" si="167"/>
        <v>0</v>
      </c>
    </row>
    <row r="541" spans="1:9" s="21" customFormat="1" ht="31.2">
      <c r="A541" s="49" t="str">
        <f>IF(B541&gt;0,VLOOKUP(B541,КВСР!A463:B1628,2),IF(C541&gt;0,VLOOKUP(C541,КФСР!A463:B1975,2),IF(D541&gt;0,VLOOKUP(D541,Программа!A$1:B$5063,2),IF(F541&gt;0,VLOOKUP(F541,КВР!A$1:B$5001,2),IF(E541&gt;0,VLOOKUP(E541,Направление!A$1:B$4746,2))))))</f>
        <v>Другие вопросы в области социальной политики</v>
      </c>
      <c r="B541" s="91"/>
      <c r="C541" s="84">
        <v>1006</v>
      </c>
      <c r="D541" s="77"/>
      <c r="E541" s="90"/>
      <c r="F541" s="85"/>
      <c r="G541" s="83">
        <v>12721856</v>
      </c>
      <c r="H541" s="83">
        <f>H547+H542+H560</f>
        <v>0</v>
      </c>
      <c r="I541" s="83">
        <f>I547+I542+I560</f>
        <v>12721856</v>
      </c>
    </row>
    <row r="542" spans="1:9" s="21" customFormat="1" ht="62.4">
      <c r="A542" s="49" t="str">
        <f>IF(B542&gt;0,VLOOKUP(B542,КВСР!A464:B1629,2),IF(C542&gt;0,VLOOKUP(C542,КФСР!A464:B1976,2),IF(D542&gt;0,VLOOKUP(D542,Программа!A$1:B$5063,2),IF(F542&gt;0,VLOOKUP(F542,КВР!A$1:B$5001,2),IF(E542&gt;0,VLOOKUP(E542,Направление!A$1:B$4746,2))))))</f>
        <v>Муниципальная программа "Развитие образования, физической культуры и спорта в Тутаевском муниципальном районе"</v>
      </c>
      <c r="B542" s="91"/>
      <c r="C542" s="84"/>
      <c r="D542" s="77" t="s">
        <v>2739</v>
      </c>
      <c r="E542" s="90"/>
      <c r="F542" s="85"/>
      <c r="G542" s="83">
        <v>5000</v>
      </c>
      <c r="H542" s="83">
        <f t="shared" ref="H542:H545" si="186">H543</f>
        <v>0</v>
      </c>
      <c r="I542" s="50">
        <f t="shared" si="167"/>
        <v>5000</v>
      </c>
    </row>
    <row r="543" spans="1:9" s="21" customFormat="1" ht="66" customHeight="1">
      <c r="A543" s="49" t="str">
        <f>IF(B543&gt;0,VLOOKUP(B543,КВСР!A465:B1630,2),IF(C543&gt;0,VLOOKUP(C543,КФСР!A465:B1977,2),IF(D543&gt;0,VLOOKUP(D543,Программа!A$1:B$5063,2),IF(F543&gt;0,VLOOKUP(F543,КВР!A$1:B$5001,2),IF(E543&gt;0,VLOOKUP(E543,Направление!A$1:B$4746,2))))))</f>
        <v>Муниципальная целевая программа "Духовно-нравственное воспитание и просвещение населения Тутаевского муниципального района"</v>
      </c>
      <c r="B543" s="91"/>
      <c r="C543" s="84"/>
      <c r="D543" s="77" t="s">
        <v>2855</v>
      </c>
      <c r="E543" s="90"/>
      <c r="F543" s="85"/>
      <c r="G543" s="83">
        <v>5000</v>
      </c>
      <c r="H543" s="83">
        <f t="shared" si="186"/>
        <v>0</v>
      </c>
      <c r="I543" s="50">
        <f t="shared" si="167"/>
        <v>5000</v>
      </c>
    </row>
    <row r="544" spans="1:9" s="21" customFormat="1" ht="62.4">
      <c r="A544" s="49" t="str">
        <f>IF(B544&gt;0,VLOOKUP(B544,КВСР!A466:B1631,2),IF(C544&gt;0,VLOOKUP(C544,КФСР!A466:B1978,2),IF(D544&gt;0,VLOOKUP(D544,Программа!A$1:B$5063,2),IF(F544&gt;0,VLOOKUP(F544,КВР!A$1:B$5001,2),IF(E544&gt;0,VLOOKUP(E544,Направление!A$1:B$4746,2))))))</f>
        <v>Реализация мер по созданию целостной системы духовно-нравственного воспитания и просвещения населения</v>
      </c>
      <c r="B544" s="91"/>
      <c r="C544" s="84"/>
      <c r="D544" s="77" t="s">
        <v>2857</v>
      </c>
      <c r="E544" s="90"/>
      <c r="F544" s="85"/>
      <c r="G544" s="83">
        <v>5000</v>
      </c>
      <c r="H544" s="83">
        <f t="shared" si="186"/>
        <v>0</v>
      </c>
      <c r="I544" s="50">
        <f t="shared" si="167"/>
        <v>5000</v>
      </c>
    </row>
    <row r="545" spans="1:9" s="21" customFormat="1" ht="48" customHeight="1">
      <c r="A545" s="49" t="str">
        <f>IF(B545&gt;0,VLOOKUP(B545,КВСР!A467:B1632,2),IF(C545&gt;0,VLOOKUP(C545,КФСР!A467:B1979,2),IF(D545&gt;0,VLOOKUP(D545,Программа!A$1:B$5063,2),IF(F545&gt;0,VLOOKUP(F545,КВР!A$1:B$5001,2),IF(E545&gt;0,VLOOKUP(E545,Направление!A$1:B$4746,2))))))</f>
        <v>Расходы на реализацию МЦП "Духовно - нравственное воспитание и просвещение населения ТМР"</v>
      </c>
      <c r="B545" s="91"/>
      <c r="C545" s="84"/>
      <c r="D545" s="77"/>
      <c r="E545" s="90">
        <v>13810</v>
      </c>
      <c r="F545" s="85"/>
      <c r="G545" s="83">
        <v>5000</v>
      </c>
      <c r="H545" s="83">
        <f t="shared" si="186"/>
        <v>0</v>
      </c>
      <c r="I545" s="50">
        <f t="shared" si="167"/>
        <v>5000</v>
      </c>
    </row>
    <row r="546" spans="1:9" s="21" customFormat="1" ht="31.2">
      <c r="A546" s="49" t="str">
        <f>IF(B546&gt;0,VLOOKUP(B546,КВСР!A468:B1633,2),IF(C546&gt;0,VLOOKUP(C546,КФСР!A468:B1980,2),IF(D546&gt;0,VLOOKUP(D546,Программа!A$1:B$5063,2),IF(F546&gt;0,VLOOKUP(F546,КВР!A$1:B$5001,2),IF(E546&gt;0,VLOOKUP(E546,Направление!A$1:B$4746,2))))))</f>
        <v>Закупка товаров, работ и услуг для государственных нужд</v>
      </c>
      <c r="B546" s="91"/>
      <c r="C546" s="84"/>
      <c r="D546" s="77"/>
      <c r="E546" s="90"/>
      <c r="F546" s="85">
        <v>200</v>
      </c>
      <c r="G546" s="393">
        <v>5000</v>
      </c>
      <c r="H546" s="390"/>
      <c r="I546" s="50">
        <f t="shared" si="167"/>
        <v>5000</v>
      </c>
    </row>
    <row r="547" spans="1:9" s="21" customFormat="1" ht="49.5" customHeight="1">
      <c r="A547" s="49" t="str">
        <f>IF(B547&gt;0,VLOOKUP(B547,КВСР!A469:B1634,2),IF(C547&gt;0,VLOOKUP(C547,КФСР!A469:B1981,2),IF(D547&gt;0,VLOOKUP(D547,Программа!A$1:B$5063,2),IF(F547&gt;0,VLOOKUP(F547,КВР!A$1:B$5001,2),IF(E547&gt;0,VLOOKUP(E547,Направление!A$1:B$4746,2))))))</f>
        <v>Муниципальная программа "Социальная поддержка населения Тутаевского муниципального района"</v>
      </c>
      <c r="B547" s="91"/>
      <c r="C547" s="84"/>
      <c r="D547" s="77" t="s">
        <v>2809</v>
      </c>
      <c r="E547" s="90"/>
      <c r="F547" s="85"/>
      <c r="G547" s="83">
        <v>12710856</v>
      </c>
      <c r="H547" s="83">
        <f t="shared" ref="H547" si="187">H549</f>
        <v>0</v>
      </c>
      <c r="I547" s="50">
        <f t="shared" si="167"/>
        <v>12710856</v>
      </c>
    </row>
    <row r="548" spans="1:9" s="21" customFormat="1" ht="48" customHeight="1">
      <c r="A548" s="49" t="str">
        <f>IF(B548&gt;0,VLOOKUP(B548,КВСР!A470:B1635,2),IF(C548&gt;0,VLOOKUP(C548,КФСР!A470:B1982,2),IF(D548&gt;0,VLOOKUP(D548,Программа!A$1:B$5063,2),IF(F548&gt;0,VLOOKUP(F548,КВР!A$1:B$5001,2),IF(E548&gt;0,VLOOKUP(E548,Направление!A$1:B$4746,2))))))</f>
        <v xml:space="preserve">Ведомственная целевая программа «Социальная поддержка населения Тутаевского муниципального района» </v>
      </c>
      <c r="B548" s="91"/>
      <c r="C548" s="84"/>
      <c r="D548" s="77" t="s">
        <v>2811</v>
      </c>
      <c r="E548" s="90"/>
      <c r="F548" s="85"/>
      <c r="G548" s="83">
        <v>12710856</v>
      </c>
      <c r="H548" s="83">
        <f t="shared" ref="H548" si="188">H549</f>
        <v>0</v>
      </c>
      <c r="I548" s="50">
        <f t="shared" si="167"/>
        <v>12710856</v>
      </c>
    </row>
    <row r="549" spans="1:9" s="21" customFormat="1" ht="46.8">
      <c r="A549" s="49" t="str">
        <f>IF(B549&gt;0,VLOOKUP(B549,КВСР!A471:B1636,2),IF(C549&gt;0,VLOOKUP(C549,КФСР!A471:B1983,2),IF(D549&gt;0,VLOOKUP(D549,Программа!A$1:B$5063,2),IF(F549&gt;0,VLOOKUP(F549,КВР!A$1:B$5001,2),IF(E549&gt;0,VLOOKUP(E549,Направление!A$1:B$4746,2))))))</f>
        <v>Исполнение публичных обязательств по предоставлению выплат, пособий и компенсаций</v>
      </c>
      <c r="B549" s="91"/>
      <c r="C549" s="84"/>
      <c r="D549" s="77" t="s">
        <v>2862</v>
      </c>
      <c r="E549" s="90"/>
      <c r="F549" s="85"/>
      <c r="G549" s="83">
        <v>12710856</v>
      </c>
      <c r="H549" s="83">
        <f>H550+H556+H554</f>
        <v>0</v>
      </c>
      <c r="I549" s="50">
        <f t="shared" si="167"/>
        <v>12710856</v>
      </c>
    </row>
    <row r="550" spans="1:9" s="21" customFormat="1">
      <c r="A550" s="49" t="str">
        <f>IF(B550&gt;0,VLOOKUP(B550,КВСР!A472:B1637,2),IF(C550&gt;0,VLOOKUP(C550,КФСР!A472:B1984,2),IF(D550&gt;0,VLOOKUP(D550,Программа!A$1:B$5063,2),IF(F550&gt;0,VLOOKUP(F550,КВР!A$1:B$5001,2),IF(E550&gt;0,VLOOKUP(E550,Направление!A$1:B$4746,2))))))</f>
        <v>Содержание центрального аппарата</v>
      </c>
      <c r="B550" s="91"/>
      <c r="C550" s="84"/>
      <c r="D550" s="77"/>
      <c r="E550" s="90">
        <v>12010</v>
      </c>
      <c r="F550" s="85"/>
      <c r="G550" s="83">
        <v>429756</v>
      </c>
      <c r="H550" s="83">
        <f>H551+H552+H553</f>
        <v>0</v>
      </c>
      <c r="I550" s="83">
        <f>I551+I552+I553</f>
        <v>429756</v>
      </c>
    </row>
    <row r="551" spans="1:9" s="21" customFormat="1" ht="92.25" customHeight="1">
      <c r="A551" s="49" t="str">
        <f>IF(B551&gt;0,VLOOKUP(B551,КВСР!A473:B1638,2),IF(C551&gt;0,VLOOKUP(C551,КФСР!A473:B1985,2),IF(D551&gt;0,VLOOKUP(D551,Программа!A$1:B$5063,2),IF(F551&gt;0,VLOOKUP(F551,КВР!A$1:B$5001,2),IF(E551&gt;0,VLOOKUP(E551,Направление!A$1:B$4746,2))))))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551" s="91"/>
      <c r="C551" s="84"/>
      <c r="D551" s="89"/>
      <c r="E551" s="90"/>
      <c r="F551" s="85">
        <v>100</v>
      </c>
      <c r="G551" s="393">
        <v>347700</v>
      </c>
      <c r="H551" s="383"/>
      <c r="I551" s="50">
        <f t="shared" si="167"/>
        <v>347700</v>
      </c>
    </row>
    <row r="552" spans="1:9" s="21" customFormat="1" ht="31.2">
      <c r="A552" s="49" t="str">
        <f>IF(B552&gt;0,VLOOKUP(B552,КВСР!A474:B1639,2),IF(C552&gt;0,VLOOKUP(C552,КФСР!A474:B1986,2),IF(D552&gt;0,VLOOKUP(D552,Программа!A$1:B$5063,2),IF(F552&gt;0,VLOOKUP(F552,КВР!A$1:B$5001,2),IF(E552&gt;0,VLOOKUP(E552,Направление!A$1:B$4746,2))))))</f>
        <v>Закупка товаров, работ и услуг для государственных нужд</v>
      </c>
      <c r="B552" s="91"/>
      <c r="C552" s="84"/>
      <c r="D552" s="89"/>
      <c r="E552" s="90"/>
      <c r="F552" s="85">
        <v>200</v>
      </c>
      <c r="G552" s="393">
        <v>25336</v>
      </c>
      <c r="H552" s="383"/>
      <c r="I552" s="50">
        <f t="shared" si="167"/>
        <v>25336</v>
      </c>
    </row>
    <row r="553" spans="1:9" s="21" customFormat="1">
      <c r="A553" s="49" t="str">
        <f>IF(B553&gt;0,VLOOKUP(B553,КВСР!A475:B1640,2),IF(C553&gt;0,VLOOKUP(C553,КФСР!A475:B1987,2),IF(D553&gt;0,VLOOKUP(D553,Программа!A$1:B$5063,2),IF(F553&gt;0,VLOOKUP(F553,КВР!A$1:B$5001,2),IF(E553&gt;0,VLOOKUP(E553,Направление!A$1:B$4746,2))))))</f>
        <v>Иные бюджетные ассигнования</v>
      </c>
      <c r="B553" s="91"/>
      <c r="C553" s="84"/>
      <c r="D553" s="89"/>
      <c r="E553" s="90"/>
      <c r="F553" s="85">
        <v>800</v>
      </c>
      <c r="G553" s="393">
        <v>56720</v>
      </c>
      <c r="H553" s="383"/>
      <c r="I553" s="50">
        <f>G553+H553</f>
        <v>56720</v>
      </c>
    </row>
    <row r="554" spans="1:9" s="21" customFormat="1" ht="46.8" hidden="1">
      <c r="A554" s="49" t="str">
        <f>IF(B554&gt;0,VLOOKUP(B554,КВСР!A476:B1641,2),IF(C554&gt;0,VLOOKUP(C554,КФСР!A476:B1988,2),IF(D554&gt;0,VLOOKUP(D554,Программа!A$1:B$5063,2),IF(F554&gt;0,VLOOKUP(F554,КВР!A$1:B$5001,2),IF(E554&gt;0,VLOOKUP(E554,Направление!A$1:B$4746,2))))))</f>
        <v>Исполнение судебных актов, актов других органов и должностных лиц, иных документов</v>
      </c>
      <c r="B554" s="91"/>
      <c r="C554" s="84"/>
      <c r="D554" s="89"/>
      <c r="E554" s="90">
        <v>12130</v>
      </c>
      <c r="F554" s="85"/>
      <c r="G554" s="393">
        <v>0</v>
      </c>
      <c r="H554" s="393">
        <f t="shared" ref="H554:I554" si="189">H555</f>
        <v>0</v>
      </c>
      <c r="I554" s="393">
        <f t="shared" si="189"/>
        <v>0</v>
      </c>
    </row>
    <row r="555" spans="1:9" s="21" customFormat="1" hidden="1">
      <c r="A555" s="49" t="str">
        <f>IF(B555&gt;0,VLOOKUP(B555,КВСР!A477:B1642,2),IF(C555&gt;0,VLOOKUP(C555,КФСР!A477:B1989,2),IF(D555&gt;0,VLOOKUP(D555,Программа!A$1:B$5063,2),IF(F555&gt;0,VLOOKUP(F555,КВР!A$1:B$5001,2),IF(E555&gt;0,VLOOKUP(E555,Направление!A$1:B$4746,2))))))</f>
        <v>Иные бюджетные ассигнования</v>
      </c>
      <c r="B555" s="91"/>
      <c r="C555" s="84"/>
      <c r="D555" s="89"/>
      <c r="E555" s="90"/>
      <c r="F555" s="85">
        <v>800</v>
      </c>
      <c r="G555" s="393">
        <v>0</v>
      </c>
      <c r="H555" s="383"/>
      <c r="I555" s="50">
        <f>+H555+G555</f>
        <v>0</v>
      </c>
    </row>
    <row r="556" spans="1:9" s="21" customFormat="1" ht="69.75" customHeight="1">
      <c r="A556" s="49" t="str">
        <f>IF(B556&gt;0,VLOOKUP(B556,КВСР!A478:B1643,2),IF(C556&gt;0,VLOOKUP(C556,КФСР!A478:B1990,2),IF(D556&gt;0,VLOOKUP(D556,Программа!A$1:B$5063,2),IF(F556&gt;0,VLOOKUP(F556,КВР!A$1:B$5001,2),IF(E556&gt;0,VLOOKUP(E556,Направление!A$1:B$4746,2))))))</f>
        <v>Расходы на обеспечение деятельности органов местного самоуправления в сфере социальной защиты населения за счет средств областного бюджета</v>
      </c>
      <c r="B556" s="91"/>
      <c r="C556" s="84"/>
      <c r="D556" s="444"/>
      <c r="E556" s="91">
        <v>70870</v>
      </c>
      <c r="F556" s="85"/>
      <c r="G556" s="83">
        <v>12281100</v>
      </c>
      <c r="H556" s="83">
        <f t="shared" ref="H556" si="190">H557+H558+H559</f>
        <v>0</v>
      </c>
      <c r="I556" s="50">
        <f t="shared" si="167"/>
        <v>12281100</v>
      </c>
    </row>
    <row r="557" spans="1:9" s="21" customFormat="1" ht="98.25" customHeight="1">
      <c r="A557" s="49" t="str">
        <f>IF(B557&gt;0,VLOOKUP(B557,КВСР!A479:B1644,2),IF(C557&gt;0,VLOOKUP(C557,КФСР!A479:B1991,2),IF(D557&gt;0,VLOOKUP(D557,Программа!A$1:B$5063,2),IF(F557&gt;0,VLOOKUP(F557,КВР!A$1:B$5001,2),IF(E557&gt;0,VLOOKUP(E557,Направление!A$1:B$4746,2))))))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557" s="91"/>
      <c r="C557" s="84"/>
      <c r="D557" s="85"/>
      <c r="E557" s="91"/>
      <c r="F557" s="85">
        <v>100</v>
      </c>
      <c r="G557" s="393">
        <v>10545000</v>
      </c>
      <c r="H557" s="383"/>
      <c r="I557" s="50">
        <f t="shared" si="167"/>
        <v>10545000</v>
      </c>
    </row>
    <row r="558" spans="1:9" s="21" customFormat="1" ht="31.2">
      <c r="A558" s="49" t="str">
        <f>IF(B558&gt;0,VLOOKUP(B558,КВСР!A480:B1645,2),IF(C558&gt;0,VLOOKUP(C558,КФСР!A480:B1992,2),IF(D558&gt;0,VLOOKUP(D558,Программа!A$1:B$5063,2),IF(F558&gt;0,VLOOKUP(F558,КВР!A$1:B$5001,2),IF(E558&gt;0,VLOOKUP(E558,Направление!A$1:B$4746,2))))))</f>
        <v>Закупка товаров, работ и услуг для государственных нужд</v>
      </c>
      <c r="B558" s="91"/>
      <c r="C558" s="84"/>
      <c r="D558" s="85"/>
      <c r="E558" s="91"/>
      <c r="F558" s="85">
        <v>200</v>
      </c>
      <c r="G558" s="393">
        <v>1722700</v>
      </c>
      <c r="H558" s="383">
        <v>-1600</v>
      </c>
      <c r="I558" s="50">
        <f t="shared" si="167"/>
        <v>1721100</v>
      </c>
    </row>
    <row r="559" spans="1:9" s="21" customFormat="1">
      <c r="A559" s="49" t="str">
        <f>IF(B559&gt;0,VLOOKUP(B559,КВСР!A481:B1646,2),IF(C559&gt;0,VLOOKUP(C559,КФСР!A481:B1993,2),IF(D559&gt;0,VLOOKUP(D559,Программа!A$1:B$5063,2),IF(F559&gt;0,VLOOKUP(F559,КВР!A$1:B$5001,2),IF(E559&gt;0,VLOOKUP(E559,Направление!A$1:B$4746,2))))))</f>
        <v>Иные бюджетные ассигнования</v>
      </c>
      <c r="B559" s="91"/>
      <c r="C559" s="84"/>
      <c r="D559" s="85"/>
      <c r="E559" s="91"/>
      <c r="F559" s="85">
        <v>800</v>
      </c>
      <c r="G559" s="393">
        <v>13400</v>
      </c>
      <c r="H559" s="383">
        <v>1600</v>
      </c>
      <c r="I559" s="50">
        <f t="shared" si="167"/>
        <v>15000</v>
      </c>
    </row>
    <row r="560" spans="1:9" s="21" customFormat="1" ht="62.4">
      <c r="A560" s="49" t="str">
        <f>IF(B560&gt;0,VLOOKUP(B560,КВСР!A482:B1647,2),IF(C560&gt;0,VLOOKUP(C560,КФСР!A482:B1994,2),IF(D560&gt;0,VLOOKUP(D560,Программа!A$1:B$5063,2),IF(F560&gt;0,VLOOKUP(F560,КВР!A$1:B$5001,2),IF(E560&gt;0,VLOOKUP(E560,Направление!A$1:B$4746,2))))))</f>
        <v>Муниципальная программа "Профилактика правонарушений и усиление борьбы с преступностью в Тутаевском муниципальном районе"</v>
      </c>
      <c r="B560" s="91"/>
      <c r="C560" s="84"/>
      <c r="D560" s="85" t="s">
        <v>2877</v>
      </c>
      <c r="E560" s="91"/>
      <c r="F560" s="85"/>
      <c r="G560" s="393">
        <v>6000</v>
      </c>
      <c r="H560" s="393">
        <f t="shared" ref="H560:I560" si="191">H561</f>
        <v>0</v>
      </c>
      <c r="I560" s="393">
        <f t="shared" si="191"/>
        <v>6000</v>
      </c>
    </row>
    <row r="561" spans="1:9" s="21" customFormat="1" ht="31.2">
      <c r="A561" s="49" t="str">
        <f>IF(B561&gt;0,VLOOKUP(B561,КВСР!A483:B1648,2),IF(C561&gt;0,VLOOKUP(C561,КФСР!A483:B1995,2),IF(D561&gt;0,VLOOKUP(D561,Программа!A$1:B$5063,2),IF(F561&gt;0,VLOOKUP(F561,КВР!A$1:B$5001,2),IF(E561&gt;0,VLOOKUP(E561,Направление!A$1:B$4746,2))))))</f>
        <v>Реализация мероприятий по профилактике правонарушений</v>
      </c>
      <c r="B561" s="91"/>
      <c r="C561" s="84"/>
      <c r="D561" s="85" t="s">
        <v>2879</v>
      </c>
      <c r="E561" s="91"/>
      <c r="F561" s="85"/>
      <c r="G561" s="393">
        <v>6000</v>
      </c>
      <c r="H561" s="393">
        <f t="shared" ref="H561:I561" si="192">H562</f>
        <v>0</v>
      </c>
      <c r="I561" s="393">
        <f t="shared" si="192"/>
        <v>6000</v>
      </c>
    </row>
    <row r="562" spans="1:9" s="21" customFormat="1" ht="46.8">
      <c r="A562" s="49" t="str">
        <f>IF(B562&gt;0,VLOOKUP(B562,КВСР!A484:B1649,2),IF(C562&gt;0,VLOOKUP(C562,КФСР!A484:B1996,2),IF(D562&gt;0,VLOOKUP(D562,Программа!A$1:B$5063,2),IF(F562&gt;0,VLOOKUP(F562,КВР!A$1:B$5001,2),IF(E562&gt;0,VLOOKUP(E562,Направление!A$1:B$4746,2))))))</f>
        <v>Расходы на профилактику правонарушений и усиления борьбы с преступностью</v>
      </c>
      <c r="B562" s="91"/>
      <c r="C562" s="84"/>
      <c r="D562" s="85"/>
      <c r="E562" s="91">
        <v>12250</v>
      </c>
      <c r="F562" s="85"/>
      <c r="G562" s="393">
        <v>6000</v>
      </c>
      <c r="H562" s="393">
        <f t="shared" ref="H562:I562" si="193">H563</f>
        <v>0</v>
      </c>
      <c r="I562" s="393">
        <f t="shared" si="193"/>
        <v>6000</v>
      </c>
    </row>
    <row r="563" spans="1:9" s="21" customFormat="1" ht="62.4">
      <c r="A563" s="49" t="str">
        <f>IF(B563&gt;0,VLOOKUP(B563,КВСР!A485:B1650,2),IF(C563&gt;0,VLOOKUP(C563,КФСР!A485:B1997,2),IF(D563&gt;0,VLOOKUP(D563,Программа!A$1:B$5063,2),IF(F563&gt;0,VLOOKUP(F563,КВР!A$1:B$5001,2),IF(E563&gt;0,VLOOKUP(E563,Направление!A$1:B$4746,2))))))</f>
        <v>Предоставление субсидий бюджетным, автономным учреждениям и иным некоммерческим организациям</v>
      </c>
      <c r="B563" s="91"/>
      <c r="C563" s="84"/>
      <c r="D563" s="85"/>
      <c r="E563" s="91"/>
      <c r="F563" s="85">
        <v>600</v>
      </c>
      <c r="G563" s="393">
        <v>6000</v>
      </c>
      <c r="H563" s="383"/>
      <c r="I563" s="50">
        <f>G563+H563</f>
        <v>6000</v>
      </c>
    </row>
    <row r="564" spans="1:9" s="21" customFormat="1" ht="31.2">
      <c r="A564" s="49" t="str">
        <f>IF(B564&gt;0,VLOOKUP(B564,КВСР!A482:B1647,2),IF(C564&gt;0,VLOOKUP(C564,КФСР!A482:B1994,2),IF(D564&gt;0,VLOOKUP(D564,Программа!A$1:B$5063,2),IF(F564&gt;0,VLOOKUP(F564,КВР!A$1:B$5001,2),IF(E564&gt;0,VLOOKUP(E564,Направление!A$1:B$4746,2))))))</f>
        <v>Департамент финансов администрации ТМР</v>
      </c>
      <c r="B564" s="87">
        <v>955</v>
      </c>
      <c r="C564" s="88"/>
      <c r="D564" s="77"/>
      <c r="E564" s="90"/>
      <c r="F564" s="89"/>
      <c r="G564" s="55">
        <v>43477789</v>
      </c>
      <c r="H564" s="55">
        <f t="shared" ref="H564" si="194">H565+H576+H589+H593+H598</f>
        <v>-200000</v>
      </c>
      <c r="I564" s="86">
        <f t="shared" si="167"/>
        <v>43277789</v>
      </c>
    </row>
    <row r="565" spans="1:9" s="21" customFormat="1" ht="78">
      <c r="A565" s="49" t="str">
        <f>IF(B565&gt;0,VLOOKUP(B565,КВСР!A483:B1648,2),IF(C565&gt;0,VLOOKUP(C565,КФСР!A483:B1995,2),IF(D565&gt;0,VLOOKUP(D565,Программа!A$1:B$5063,2),IF(F565&gt;0,VLOOKUP(F565,КВР!A$1:B$5001,2),IF(E565&gt;0,VLOOKUP(E565,Направление!A$1:B$4746,2))))))</f>
        <v>Обеспечение деятельности финансовых, налоговых и таможенных органов и органов финансового (финансово-бюджетного) надзора</v>
      </c>
      <c r="B565" s="91"/>
      <c r="C565" s="84">
        <v>106</v>
      </c>
      <c r="D565" s="444"/>
      <c r="E565" s="91"/>
      <c r="F565" s="85"/>
      <c r="G565" s="51">
        <v>16547637</v>
      </c>
      <c r="H565" s="51">
        <f t="shared" ref="H565" si="195">H566</f>
        <v>0</v>
      </c>
      <c r="I565" s="50">
        <f t="shared" si="167"/>
        <v>16547637</v>
      </c>
    </row>
    <row r="566" spans="1:9" s="21" customFormat="1" ht="62.4">
      <c r="A566" s="49" t="str">
        <f>IF(B566&gt;0,VLOOKUP(B566,КВСР!A484:B1649,2),IF(C566&gt;0,VLOOKUP(C566,КФСР!A484:B1996,2),IF(D566&gt;0,VLOOKUP(D566,Программа!A$1:B$5063,2),IF(F566&gt;0,VLOOKUP(F566,КВР!A$1:B$5001,2),IF(E566&gt;0,VLOOKUP(E566,Направление!A$1:B$4746,2))))))</f>
        <v>Муниципальная программа "Повышение эффективности управления муниципальными финансами"</v>
      </c>
      <c r="B566" s="91"/>
      <c r="C566" s="84"/>
      <c r="D566" s="444" t="s">
        <v>2839</v>
      </c>
      <c r="E566" s="91"/>
      <c r="F566" s="85"/>
      <c r="G566" s="51">
        <v>16547637</v>
      </c>
      <c r="H566" s="51">
        <f t="shared" ref="H566" si="196">H569+H573</f>
        <v>0</v>
      </c>
      <c r="I566" s="50">
        <f t="shared" si="167"/>
        <v>16547637</v>
      </c>
    </row>
    <row r="567" spans="1:9" s="21" customFormat="1" ht="54" customHeight="1">
      <c r="A567" s="49" t="str">
        <f>IF(B567&gt;0,VLOOKUP(B567,КВСР!A485:B1650,2),IF(C567&gt;0,VLOOKUP(C567,КФСР!A485:B1997,2),IF(D567&gt;0,VLOOKUP(D567,Программа!A$1:B$5063,2),IF(F567&gt;0,VLOOKUP(F567,КВР!A$1:B$5001,2),IF(E567&gt;0,VLOOKUP(E567,Направление!A$1:B$4746,2))))))</f>
        <v>Ведомственная целевая программа департамента финансов администрации Тутаевского муниципального района</v>
      </c>
      <c r="B567" s="91"/>
      <c r="C567" s="84"/>
      <c r="D567" s="444" t="s">
        <v>2844</v>
      </c>
      <c r="E567" s="91"/>
      <c r="F567" s="85"/>
      <c r="G567" s="51">
        <v>16547637</v>
      </c>
      <c r="H567" s="51">
        <f t="shared" ref="H567" si="197">H568</f>
        <v>0</v>
      </c>
      <c r="I567" s="50">
        <f t="shared" si="167"/>
        <v>16547637</v>
      </c>
    </row>
    <row r="568" spans="1:9" s="21" customFormat="1" ht="31.2">
      <c r="A568" s="49" t="str">
        <f>IF(B568&gt;0,VLOOKUP(B568,КВСР!A486:B1651,2),IF(C568&gt;0,VLOOKUP(C568,КФСР!A486:B1998,2),IF(D568&gt;0,VLOOKUP(D568,Программа!A$1:B$5063,2),IF(F568&gt;0,VLOOKUP(F568,КВР!A$1:B$5001,2),IF(E568&gt;0,VLOOKUP(E568,Направление!A$1:B$4746,2))))))</f>
        <v>Обеспечение деятельности финансового органа</v>
      </c>
      <c r="B568" s="91"/>
      <c r="C568" s="84"/>
      <c r="D568" s="444" t="s">
        <v>2873</v>
      </c>
      <c r="E568" s="91"/>
      <c r="F568" s="85"/>
      <c r="G568" s="51">
        <v>16547637</v>
      </c>
      <c r="H568" s="51">
        <f t="shared" ref="H568" si="198">H569+H573</f>
        <v>0</v>
      </c>
      <c r="I568" s="50">
        <f t="shared" si="167"/>
        <v>16547637</v>
      </c>
    </row>
    <row r="569" spans="1:9" s="21" customFormat="1">
      <c r="A569" s="49" t="str">
        <f>IF(B569&gt;0,VLOOKUP(B569,КВСР!A487:B1652,2),IF(C569&gt;0,VLOOKUP(C569,КФСР!A487:B1999,2),IF(D569&gt;0,VLOOKUP(D569,Программа!A$1:B$5063,2),IF(F569&gt;0,VLOOKUP(F569,КВР!A$1:B$5001,2),IF(E569&gt;0,VLOOKUP(E569,Направление!A$1:B$4746,2))))))</f>
        <v>Содержание центрального аппарата</v>
      </c>
      <c r="B569" s="91"/>
      <c r="C569" s="84"/>
      <c r="D569" s="77"/>
      <c r="E569" s="90">
        <v>12010</v>
      </c>
      <c r="F569" s="85"/>
      <c r="G569" s="83">
        <v>14131681</v>
      </c>
      <c r="H569" s="83">
        <f t="shared" ref="H569" si="199">H570+H571+H572</f>
        <v>0</v>
      </c>
      <c r="I569" s="50">
        <f t="shared" si="167"/>
        <v>14131681</v>
      </c>
    </row>
    <row r="570" spans="1:9" ht="98.25" customHeight="1">
      <c r="A570" s="49" t="str">
        <f>IF(B570&gt;0,VLOOKUP(B570,КВСР!A488:B1653,2),IF(C570&gt;0,VLOOKUP(C570,КФСР!A488:B2000,2),IF(D570&gt;0,VLOOKUP(D570,Программа!A$1:B$5063,2),IF(F570&gt;0,VLOOKUP(F570,КВР!A$1:B$5001,2),IF(E570&gt;0,VLOOKUP(E570,Направление!A$1:B$4746,2))))))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570" s="91"/>
      <c r="C570" s="84"/>
      <c r="D570" s="85"/>
      <c r="E570" s="91"/>
      <c r="F570" s="85">
        <v>100</v>
      </c>
      <c r="G570" s="387">
        <v>12245414</v>
      </c>
      <c r="H570" s="382"/>
      <c r="I570" s="50">
        <f t="shared" si="167"/>
        <v>12245414</v>
      </c>
    </row>
    <row r="571" spans="1:9" ht="31.2">
      <c r="A571" s="49" t="str">
        <f>IF(B571&gt;0,VLOOKUP(B571,КВСР!A489:B1654,2),IF(C571&gt;0,VLOOKUP(C571,КФСР!A489:B2001,2),IF(D571&gt;0,VLOOKUP(D571,Программа!A$1:B$5063,2),IF(F571&gt;0,VLOOKUP(F571,КВР!A$1:B$5001,2),IF(E571&gt;0,VLOOKUP(E571,Направление!A$1:B$4746,2))))))</f>
        <v>Закупка товаров, работ и услуг для государственных нужд</v>
      </c>
      <c r="B571" s="91"/>
      <c r="C571" s="84"/>
      <c r="D571" s="85"/>
      <c r="E571" s="91"/>
      <c r="F571" s="85">
        <v>200</v>
      </c>
      <c r="G571" s="387">
        <v>1811767</v>
      </c>
      <c r="H571" s="382"/>
      <c r="I571" s="50">
        <f t="shared" ref="I571:I654" si="200">SUM(G571:H571)</f>
        <v>1811767</v>
      </c>
    </row>
    <row r="572" spans="1:9">
      <c r="A572" s="49" t="str">
        <f>IF(B572&gt;0,VLOOKUP(B572,КВСР!A490:B1655,2),IF(C572&gt;0,VLOOKUP(C572,КФСР!A490:B2002,2),IF(D572&gt;0,VLOOKUP(D572,Программа!A$1:B$5063,2),IF(F572&gt;0,VLOOKUP(F572,КВР!A$1:B$5001,2),IF(E572&gt;0,VLOOKUP(E572,Направление!A$1:B$4746,2))))))</f>
        <v>Иные бюджетные ассигнования</v>
      </c>
      <c r="B572" s="91"/>
      <c r="C572" s="84"/>
      <c r="D572" s="85"/>
      <c r="E572" s="91"/>
      <c r="F572" s="85">
        <v>800</v>
      </c>
      <c r="G572" s="387">
        <v>74500</v>
      </c>
      <c r="H572" s="382"/>
      <c r="I572" s="50">
        <f t="shared" si="200"/>
        <v>74500</v>
      </c>
    </row>
    <row r="573" spans="1:9" ht="46.8">
      <c r="A573" s="49" t="str">
        <f>IF(B573&gt;0,VLOOKUP(B573,КВСР!A491:B1656,2),IF(C573&gt;0,VLOOKUP(C573,КФСР!A491:B2003,2),IF(D573&gt;0,VLOOKUP(D573,Программа!A$1:B$5063,2),IF(F573&gt;0,VLOOKUP(F573,КВР!A$1:B$5001,2),IF(E573&gt;0,VLOOKUP(E573,Направление!A$1:B$4746,2))))))</f>
        <v>Содержание органов местного самоуправления за счет средств поселений</v>
      </c>
      <c r="B573" s="91"/>
      <c r="C573" s="84"/>
      <c r="D573" s="444"/>
      <c r="E573" s="91">
        <v>29016</v>
      </c>
      <c r="F573" s="85"/>
      <c r="G573" s="50">
        <v>2415956</v>
      </c>
      <c r="H573" s="50">
        <f t="shared" ref="H573" si="201">H575+H574</f>
        <v>0</v>
      </c>
      <c r="I573" s="50">
        <f t="shared" si="200"/>
        <v>2415956</v>
      </c>
    </row>
    <row r="574" spans="1:9" ht="96" customHeight="1">
      <c r="A574" s="49" t="str">
        <f>IF(B574&gt;0,VLOOKUP(B574,КВСР!A492:B1657,2),IF(C574&gt;0,VLOOKUP(C574,КФСР!A492:B2004,2),IF(D574&gt;0,VLOOKUP(D574,Программа!A$1:B$5063,2),IF(F574&gt;0,VLOOKUP(F574,КВР!A$1:B$5001,2),IF(E574&gt;0,VLOOKUP(E574,Направление!A$1:B$4746,2))))))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574" s="91"/>
      <c r="C574" s="84"/>
      <c r="D574" s="444"/>
      <c r="E574" s="91"/>
      <c r="F574" s="85">
        <v>100</v>
      </c>
      <c r="G574" s="387">
        <v>2196323</v>
      </c>
      <c r="H574" s="391"/>
      <c r="I574" s="50">
        <f t="shared" si="200"/>
        <v>2196323</v>
      </c>
    </row>
    <row r="575" spans="1:9" ht="31.2">
      <c r="A575" s="49" t="str">
        <f>IF(B575&gt;0,VLOOKUP(B575,КВСР!A493:B1658,2),IF(C575&gt;0,VLOOKUP(C575,КФСР!A493:B2005,2),IF(D575&gt;0,VLOOKUP(D575,Программа!A$1:B$5063,2),IF(F575&gt;0,VLOOKUP(F575,КВР!A$1:B$5001,2),IF(E575&gt;0,VLOOKUP(E575,Направление!A$1:B$4746,2))))))</f>
        <v>Закупка товаров, работ и услуг для государственных нужд</v>
      </c>
      <c r="B575" s="91"/>
      <c r="C575" s="84"/>
      <c r="D575" s="85"/>
      <c r="E575" s="91"/>
      <c r="F575" s="85">
        <v>200</v>
      </c>
      <c r="G575" s="387">
        <v>219633</v>
      </c>
      <c r="H575" s="382"/>
      <c r="I575" s="50">
        <f t="shared" si="200"/>
        <v>219633</v>
      </c>
    </row>
    <row r="576" spans="1:9" ht="31.2">
      <c r="A576" s="49" t="str">
        <f>IF(B576&gt;0,VLOOKUP(B576,КВСР!A494:B1659,2),IF(C576&gt;0,VLOOKUP(C576,КФСР!A494:B2006,2),IF(D576&gt;0,VLOOKUP(D576,Программа!A$1:B$5063,2),IF(F576&gt;0,VLOOKUP(F576,КВР!A$1:B$5001,2),IF(E576&gt;0,VLOOKUP(E576,Направление!A$1:B$4746,2))))))</f>
        <v>Другие общегосударственные вопросы</v>
      </c>
      <c r="B576" s="91"/>
      <c r="C576" s="84">
        <v>113</v>
      </c>
      <c r="D576" s="85"/>
      <c r="E576" s="91"/>
      <c r="F576" s="85"/>
      <c r="G576" s="50">
        <v>3499250</v>
      </c>
      <c r="H576" s="50">
        <f>H577+H584</f>
        <v>0</v>
      </c>
      <c r="I576" s="50">
        <f>I577+I584</f>
        <v>3499250</v>
      </c>
    </row>
    <row r="577" spans="1:9" ht="78">
      <c r="A577" s="49" t="str">
        <f>IF(B577&gt;0,VLOOKUP(B577,КВСР!A495:B1660,2),IF(C577&gt;0,VLOOKUP(C577,КФСР!A495:B2007,2),IF(D577&gt;0,VLOOKUP(D577,Программа!A$1:B$5063,2),IF(F577&gt;0,VLOOKUP(F577,КВР!A$1:B$5001,2),IF(E577&gt;0,VLOOKUP(E577,Направление!A$1:B$4746,2))))))</f>
        <v>Муниципальная программа "Информатизация управленческой деятельности Администрации Тутаевского муниципального района"</v>
      </c>
      <c r="B577" s="91"/>
      <c r="C577" s="84"/>
      <c r="D577" s="85" t="s">
        <v>2882</v>
      </c>
      <c r="E577" s="91"/>
      <c r="F577" s="85"/>
      <c r="G577" s="50">
        <v>1412400</v>
      </c>
      <c r="H577" s="50">
        <f t="shared" ref="H577" si="202">H578+H581</f>
        <v>0</v>
      </c>
      <c r="I577" s="50">
        <f t="shared" si="200"/>
        <v>1412400</v>
      </c>
    </row>
    <row r="578" spans="1:9" ht="46.8">
      <c r="A578" s="49" t="str">
        <f>IF(B578&gt;0,VLOOKUP(B578,КВСР!A496:B1661,2),IF(C578&gt;0,VLOOKUP(C578,КФСР!A496:B2008,2),IF(D578&gt;0,VLOOKUP(D578,Программа!A$1:B$5063,2),IF(F578&gt;0,VLOOKUP(F578,КВР!A$1:B$5001,2),IF(E578&gt;0,VLOOKUP(E578,Направление!A$1:B$4746,2))))))</f>
        <v>Обеспечение бесперебойного функционирования  программного обеспечения</v>
      </c>
      <c r="B578" s="91"/>
      <c r="C578" s="84"/>
      <c r="D578" s="85" t="s">
        <v>2883</v>
      </c>
      <c r="E578" s="91"/>
      <c r="F578" s="85"/>
      <c r="G578" s="50">
        <v>1200400</v>
      </c>
      <c r="H578" s="50">
        <f t="shared" ref="H578:H579" si="203">H579</f>
        <v>0</v>
      </c>
      <c r="I578" s="50">
        <f t="shared" si="200"/>
        <v>1200400</v>
      </c>
    </row>
    <row r="579" spans="1:9" ht="31.2">
      <c r="A579" s="49" t="str">
        <f>IF(B579&gt;0,VLOOKUP(B579,КВСР!A497:B1662,2),IF(C579&gt;0,VLOOKUP(C579,КФСР!A497:B2009,2),IF(D579&gt;0,VLOOKUP(D579,Программа!A$1:B$5063,2),IF(F579&gt;0,VLOOKUP(F579,КВР!A$1:B$5001,2),IF(E579&gt;0,VLOOKUP(E579,Направление!A$1:B$4746,2))))))</f>
        <v>Расходы на проведение мероприятий по информатизации</v>
      </c>
      <c r="B579" s="91"/>
      <c r="C579" s="84"/>
      <c r="D579" s="85"/>
      <c r="E579" s="91">
        <v>12210</v>
      </c>
      <c r="F579" s="85"/>
      <c r="G579" s="50">
        <v>1200400</v>
      </c>
      <c r="H579" s="50">
        <f t="shared" si="203"/>
        <v>0</v>
      </c>
      <c r="I579" s="50">
        <f t="shared" si="200"/>
        <v>1200400</v>
      </c>
    </row>
    <row r="580" spans="1:9" ht="31.2">
      <c r="A580" s="49" t="str">
        <f>IF(B580&gt;0,VLOOKUP(B580,КВСР!A498:B1663,2),IF(C580&gt;0,VLOOKUP(C580,КФСР!A498:B2010,2),IF(D580&gt;0,VLOOKUP(D580,Программа!A$1:B$5063,2),IF(F580&gt;0,VLOOKUP(F580,КВР!A$1:B$5001,2),IF(E580&gt;0,VLOOKUP(E580,Направление!A$1:B$4746,2))))))</f>
        <v>Закупка товаров, работ и услуг для государственных нужд</v>
      </c>
      <c r="B580" s="91"/>
      <c r="C580" s="84"/>
      <c r="D580" s="85"/>
      <c r="E580" s="91"/>
      <c r="F580" s="85">
        <v>200</v>
      </c>
      <c r="G580" s="387">
        <v>1200400</v>
      </c>
      <c r="H580" s="382"/>
      <c r="I580" s="50">
        <f t="shared" si="200"/>
        <v>1200400</v>
      </c>
    </row>
    <row r="581" spans="1:9" ht="66" customHeight="1">
      <c r="A581" s="49" t="str">
        <f>IF(B581&gt;0,VLOOKUP(B581,КВСР!A499:B1664,2),IF(C581&gt;0,VLOOKUP(C581,КФСР!A499:B2011,2),IF(D581&gt;0,VLOOKUP(D581,Программа!A$1:B$5063,2),IF(F581&gt;0,VLOOKUP(F581,КВР!A$1:B$5001,2),IF(E581&gt;0,VLOOKUP(E581,Направление!A$1:B$4746,2))))))</f>
        <v>Закупка компьютерного оборудования  и оргтехники для бесперебойного обеспечения деятельности органов местного самоуправления</v>
      </c>
      <c r="B581" s="91"/>
      <c r="C581" s="84"/>
      <c r="D581" s="85" t="s">
        <v>2891</v>
      </c>
      <c r="E581" s="91"/>
      <c r="F581" s="85"/>
      <c r="G581" s="50">
        <v>212000</v>
      </c>
      <c r="H581" s="50">
        <f t="shared" ref="H581:H582" si="204">H582</f>
        <v>0</v>
      </c>
      <c r="I581" s="50">
        <f t="shared" si="200"/>
        <v>212000</v>
      </c>
    </row>
    <row r="582" spans="1:9" ht="31.2">
      <c r="A582" s="49" t="str">
        <f>IF(B582&gt;0,VLOOKUP(B582,КВСР!A500:B1665,2),IF(C582&gt;0,VLOOKUP(C582,КФСР!A500:B2012,2),IF(D582&gt;0,VLOOKUP(D582,Программа!A$1:B$5063,2),IF(F582&gt;0,VLOOKUP(F582,КВР!A$1:B$5001,2),IF(E582&gt;0,VLOOKUP(E582,Направление!A$1:B$4746,2))))))</f>
        <v>Расходы на проведение мероприятий по информатизации</v>
      </c>
      <c r="B582" s="91"/>
      <c r="C582" s="84"/>
      <c r="D582" s="85"/>
      <c r="E582" s="91">
        <v>12210</v>
      </c>
      <c r="F582" s="85"/>
      <c r="G582" s="50">
        <v>212000</v>
      </c>
      <c r="H582" s="50">
        <f t="shared" si="204"/>
        <v>0</v>
      </c>
      <c r="I582" s="50">
        <f t="shared" si="200"/>
        <v>212000</v>
      </c>
    </row>
    <row r="583" spans="1:9" ht="31.2">
      <c r="A583" s="49" t="str">
        <f>IF(B583&gt;0,VLOOKUP(B583,КВСР!A501:B1666,2),IF(C583&gt;0,VLOOKUP(C583,КФСР!A501:B2013,2),IF(D583&gt;0,VLOOKUP(D583,Программа!A$1:B$5063,2),IF(F583&gt;0,VLOOKUP(F583,КВР!A$1:B$5001,2),IF(E583&gt;0,VLOOKUP(E583,Направление!A$1:B$4746,2))))))</f>
        <v>Закупка товаров, работ и услуг для государственных нужд</v>
      </c>
      <c r="B583" s="91"/>
      <c r="C583" s="84"/>
      <c r="D583" s="85"/>
      <c r="E583" s="91"/>
      <c r="F583" s="85">
        <v>200</v>
      </c>
      <c r="G583" s="387">
        <v>212000</v>
      </c>
      <c r="H583" s="382"/>
      <c r="I583" s="50">
        <f t="shared" si="200"/>
        <v>212000</v>
      </c>
    </row>
    <row r="584" spans="1:9" ht="31.2">
      <c r="A584" s="49" t="str">
        <f>IF(B584&gt;0,VLOOKUP(B584,КВСР!A502:B1667,2),IF(C584&gt;0,VLOOKUP(C584,КФСР!A502:B2014,2),IF(D584&gt;0,VLOOKUP(D584,Программа!A$1:B$5063,2),IF(F584&gt;0,VLOOKUP(F584,КВР!A$1:B$5001,2),IF(E584&gt;0,VLOOKUP(E584,Направление!A$1:B$4746,2))))))</f>
        <v>Межбюджетные трансферты  поселениям района</v>
      </c>
      <c r="B584" s="91"/>
      <c r="C584" s="84"/>
      <c r="D584" s="85" t="s">
        <v>2853</v>
      </c>
      <c r="E584" s="91"/>
      <c r="F584" s="85"/>
      <c r="G584" s="387">
        <v>2086850</v>
      </c>
      <c r="H584" s="387">
        <f>H585+H587</f>
        <v>0</v>
      </c>
      <c r="I584" s="387">
        <f>I585+I587</f>
        <v>2086850</v>
      </c>
    </row>
    <row r="585" spans="1:9" ht="46.8">
      <c r="A585" s="49" t="str">
        <f>IF(B585&gt;0,VLOOKUP(B585,КВСР!A503:B1668,2),IF(C585&gt;0,VLOOKUP(C585,КФСР!A503:B2015,2),IF(D585&gt;0,VLOOKUP(D585,Программа!A$1:B$5063,2),IF(F585&gt;0,VLOOKUP(F585,КВР!A$1:B$5001,2),IF(E585&gt;0,VLOOKUP(E585,Направление!A$1:B$4746,2))))))</f>
        <v>Расходы на развитие органов местного самоуправления на территории ЯО</v>
      </c>
      <c r="B585" s="91"/>
      <c r="C585" s="84"/>
      <c r="D585" s="85"/>
      <c r="E585" s="91">
        <v>72280</v>
      </c>
      <c r="F585" s="85"/>
      <c r="G585" s="387">
        <v>1697000</v>
      </c>
      <c r="H585" s="387">
        <f t="shared" ref="H585:I585" si="205">H586</f>
        <v>0</v>
      </c>
      <c r="I585" s="387">
        <f t="shared" si="205"/>
        <v>1697000</v>
      </c>
    </row>
    <row r="586" spans="1:9">
      <c r="A586" s="49" t="str">
        <f>IF(B586&gt;0,VLOOKUP(B586,КВСР!A504:B1669,2),IF(C586&gt;0,VLOOKUP(C586,КФСР!A504:B2016,2),IF(D586&gt;0,VLOOKUP(D586,Программа!A$1:B$5063,2),IF(F586&gt;0,VLOOKUP(F586,КВР!A$1:B$5001,2),IF(E586&gt;0,VLOOKUP(E586,Направление!A$1:B$4746,2))))))</f>
        <v xml:space="preserve"> Межбюджетные трансферты</v>
      </c>
      <c r="B586" s="91"/>
      <c r="C586" s="84"/>
      <c r="D586" s="85"/>
      <c r="E586" s="91"/>
      <c r="F586" s="85">
        <v>500</v>
      </c>
      <c r="G586" s="387">
        <v>1697000</v>
      </c>
      <c r="H586" s="382"/>
      <c r="I586" s="50">
        <f>G586+H586</f>
        <v>1697000</v>
      </c>
    </row>
    <row r="587" spans="1:9" ht="62.4">
      <c r="A587" s="49" t="str">
        <f>IF(B587&gt;0,VLOOKUP(B587,КВСР!A505:B1670,2),IF(C587&gt;0,VLOOKUP(C587,КФСР!A505:B2017,2),IF(D587&gt;0,VLOOKUP(D587,Программа!A$1:B$5063,2),IF(F587&gt;0,VLOOKUP(F587,КВР!A$1:B$5001,2),IF(E587&gt;0,VLOOKUP(E587,Направление!A$1:B$4746,2))))))</f>
        <v>Мероприятия по содействию решению вопросов местного значения по обращению депутатов Ярославской областной Думы</v>
      </c>
      <c r="B587" s="91"/>
      <c r="C587" s="84"/>
      <c r="D587" s="85"/>
      <c r="E587" s="91">
        <v>74430</v>
      </c>
      <c r="F587" s="85"/>
      <c r="G587" s="387">
        <v>389850</v>
      </c>
      <c r="H587" s="387">
        <f t="shared" ref="H587:I587" si="206">H588</f>
        <v>0</v>
      </c>
      <c r="I587" s="387">
        <f t="shared" si="206"/>
        <v>389850</v>
      </c>
    </row>
    <row r="588" spans="1:9">
      <c r="A588" s="49" t="str">
        <f>IF(B588&gt;0,VLOOKUP(B588,КВСР!A506:B1671,2),IF(C588&gt;0,VLOOKUP(C588,КФСР!A506:B2018,2),IF(D588&gt;0,VLOOKUP(D588,Программа!A$1:B$5063,2),IF(F588&gt;0,VLOOKUP(F588,КВР!A$1:B$5001,2),IF(E588&gt;0,VLOOKUP(E588,Направление!A$1:B$4746,2))))))</f>
        <v xml:space="preserve"> Межбюджетные трансферты</v>
      </c>
      <c r="B588" s="91"/>
      <c r="C588" s="84"/>
      <c r="D588" s="85"/>
      <c r="E588" s="91"/>
      <c r="F588" s="85">
        <v>500</v>
      </c>
      <c r="G588" s="387">
        <v>389850</v>
      </c>
      <c r="H588" s="382"/>
      <c r="I588" s="50">
        <f>G588+H588</f>
        <v>389850</v>
      </c>
    </row>
    <row r="589" spans="1:9" ht="31.2">
      <c r="A589" s="49" t="str">
        <f>IF(B589&gt;0,VLOOKUP(B589,КВСР!A505:B1670,2),IF(C589&gt;0,VLOOKUP(C589,КФСР!A505:B2017,2),IF(D589&gt;0,VLOOKUP(D589,Программа!A$1:B$5063,2),IF(F589&gt;0,VLOOKUP(F589,КВР!A$1:B$5001,2),IF(E589&gt;0,VLOOKUP(E589,Направление!A$1:B$4746,2))))))</f>
        <v>Мобилизационная и вневойсковая подготовка</v>
      </c>
      <c r="B589" s="91"/>
      <c r="C589" s="84">
        <v>203</v>
      </c>
      <c r="D589" s="444"/>
      <c r="E589" s="91"/>
      <c r="F589" s="85"/>
      <c r="G589" s="50">
        <v>682902</v>
      </c>
      <c r="H589" s="50">
        <f t="shared" ref="H589:H591" si="207">H590</f>
        <v>0</v>
      </c>
      <c r="I589" s="50">
        <f t="shared" si="200"/>
        <v>682902</v>
      </c>
    </row>
    <row r="590" spans="1:9" ht="31.2">
      <c r="A590" s="49" t="str">
        <f>IF(B590&gt;0,VLOOKUP(B590,КВСР!A506:B1671,2),IF(C590&gt;0,VLOOKUP(C590,КФСР!A506:B2018,2),IF(D590&gt;0,VLOOKUP(D590,Программа!A$1:B$5063,2),IF(F590&gt;0,VLOOKUP(F590,КВР!A$1:B$5001,2),IF(E590&gt;0,VLOOKUP(E590,Направление!A$1:B$4746,2))))))</f>
        <v>Межбюджетные трансферты  поселениям района</v>
      </c>
      <c r="B590" s="91"/>
      <c r="C590" s="84"/>
      <c r="D590" s="444" t="s">
        <v>2853</v>
      </c>
      <c r="E590" s="91"/>
      <c r="F590" s="85"/>
      <c r="G590" s="50">
        <v>682902</v>
      </c>
      <c r="H590" s="50">
        <f t="shared" si="207"/>
        <v>0</v>
      </c>
      <c r="I590" s="50">
        <f t="shared" si="200"/>
        <v>682902</v>
      </c>
    </row>
    <row r="591" spans="1:9" ht="62.4">
      <c r="A591" s="49" t="str">
        <f>IF(B591&gt;0,VLOOKUP(B591,КВСР!A507:B1672,2),IF(C591&gt;0,VLOOKUP(C591,КФСР!A507:B2019,2),IF(D591&gt;0,VLOOKUP(D591,Программа!A$1:B$5063,2),IF(F591&gt;0,VLOOKUP(F591,КВР!A$1:B$5001,2),IF(E591&gt;0,VLOOKUP(E591,Направление!A$1:B$4746,2))))))</f>
        <v>Субвенция  на осуществление первичного воинского учета на территориях, где отсутствуют военные комиссариаты</v>
      </c>
      <c r="B591" s="91"/>
      <c r="C591" s="84"/>
      <c r="D591" s="444"/>
      <c r="E591" s="91">
        <v>51180</v>
      </c>
      <c r="F591" s="85"/>
      <c r="G591" s="50">
        <v>682902</v>
      </c>
      <c r="H591" s="50">
        <f t="shared" si="207"/>
        <v>0</v>
      </c>
      <c r="I591" s="50">
        <f t="shared" si="200"/>
        <v>682902</v>
      </c>
    </row>
    <row r="592" spans="1:9">
      <c r="A592" s="49" t="str">
        <f>IF(B592&gt;0,VLOOKUP(B592,КВСР!A508:B1673,2),IF(C592&gt;0,VLOOKUP(C592,КФСР!A508:B2020,2),IF(D592&gt;0,VLOOKUP(D592,Программа!A$1:B$5063,2),IF(F592&gt;0,VLOOKUP(F592,КВР!A$1:B$5001,2),IF(E592&gt;0,VLOOKUP(E592,Направление!A$1:B$4746,2))))))</f>
        <v xml:space="preserve"> Межбюджетные трансферты</v>
      </c>
      <c r="B592" s="91"/>
      <c r="C592" s="84"/>
      <c r="D592" s="85"/>
      <c r="E592" s="91"/>
      <c r="F592" s="85">
        <v>500</v>
      </c>
      <c r="G592" s="387">
        <v>682902</v>
      </c>
      <c r="H592" s="382"/>
      <c r="I592" s="50">
        <f t="shared" si="200"/>
        <v>682902</v>
      </c>
    </row>
    <row r="593" spans="1:9" ht="46.8">
      <c r="A593" s="49" t="str">
        <f>IF(B593&gt;0,VLOOKUP(B593,КВСР!A509:B1674,2),IF(C593&gt;0,VLOOKUP(C593,КФСР!A509:B2021,2),IF(D593&gt;0,VLOOKUP(D593,Программа!A$1:B$5063,2),IF(F593&gt;0,VLOOKUP(F593,КВР!A$1:B$5001,2),IF(E593&gt;0,VLOOKUP(E593,Направление!A$1:B$4746,2))))))</f>
        <v>Обслуживание внутреннего государственного и муниципального долга</v>
      </c>
      <c r="B593" s="91"/>
      <c r="C593" s="84">
        <v>1301</v>
      </c>
      <c r="D593" s="444"/>
      <c r="E593" s="91"/>
      <c r="F593" s="85"/>
      <c r="G593" s="51">
        <v>2000000</v>
      </c>
      <c r="H593" s="51">
        <f t="shared" ref="H593" si="208">H595</f>
        <v>-200000</v>
      </c>
      <c r="I593" s="50">
        <f t="shared" si="200"/>
        <v>1800000</v>
      </c>
    </row>
    <row r="594" spans="1:9" ht="62.4">
      <c r="A594" s="49" t="str">
        <f>IF(B594&gt;0,VLOOKUP(B594,КВСР!A510:B1675,2),IF(C594&gt;0,VLOOKUP(C594,КФСР!A510:B2022,2),IF(D594&gt;0,VLOOKUP(D594,Программа!A$1:B$5063,2),IF(F594&gt;0,VLOOKUP(F594,КВР!A$1:B$5001,2),IF(E594&gt;0,VLOOKUP(E594,Направление!A$1:B$4746,2))))))</f>
        <v>Муниципальная программа "Повышение эффективности управления муниципальными финансами"</v>
      </c>
      <c r="B594" s="91"/>
      <c r="C594" s="84"/>
      <c r="D594" s="444" t="s">
        <v>2839</v>
      </c>
      <c r="E594" s="91"/>
      <c r="F594" s="85"/>
      <c r="G594" s="51">
        <v>2000000</v>
      </c>
      <c r="H594" s="51">
        <f t="shared" ref="H594" si="209">H595</f>
        <v>-200000</v>
      </c>
      <c r="I594" s="50">
        <f t="shared" si="200"/>
        <v>1800000</v>
      </c>
    </row>
    <row r="595" spans="1:9" ht="31.2">
      <c r="A595" s="49" t="str">
        <f>IF(B595&gt;0,VLOOKUP(B595,КВСР!A511:B1676,2),IF(C595&gt;0,VLOOKUP(C595,КФСР!A511:B2023,2),IF(D595&gt;0,VLOOKUP(D595,Программа!A$1:B$5063,2),IF(F595&gt;0,VLOOKUP(F595,КВР!A$1:B$5001,2),IF(E595&gt;0,VLOOKUP(E595,Направление!A$1:B$4746,2))))))</f>
        <v xml:space="preserve">Повышение эффективности управления муниципальным долгом </v>
      </c>
      <c r="B595" s="91"/>
      <c r="C595" s="84"/>
      <c r="D595" s="444" t="s">
        <v>2842</v>
      </c>
      <c r="E595" s="91"/>
      <c r="F595" s="85"/>
      <c r="G595" s="51">
        <v>2000000</v>
      </c>
      <c r="H595" s="51">
        <f t="shared" ref="H595:H596" si="210">H596</f>
        <v>-200000</v>
      </c>
      <c r="I595" s="50">
        <f t="shared" si="200"/>
        <v>1800000</v>
      </c>
    </row>
    <row r="596" spans="1:9" ht="38.25" customHeight="1">
      <c r="A596" s="49" t="str">
        <f>IF(B596&gt;0,VLOOKUP(B596,КВСР!A512:B1677,2),IF(C596&gt;0,VLOOKUP(C596,КФСР!A512:B2024,2),IF(D596&gt;0,VLOOKUP(D596,Программа!A$1:B$5063,2),IF(F596&gt;0,VLOOKUP(F596,КВР!A$1:B$5001,2),IF(E596&gt;0,VLOOKUP(E596,Направление!A$1:B$4746,2))))))</f>
        <v>Процентные платежи по обслуживанию муниципального долга</v>
      </c>
      <c r="B596" s="91"/>
      <c r="C596" s="84"/>
      <c r="D596" s="444"/>
      <c r="E596" s="91">
        <v>12800</v>
      </c>
      <c r="F596" s="85"/>
      <c r="G596" s="51">
        <v>2000000</v>
      </c>
      <c r="H596" s="51">
        <f t="shared" si="210"/>
        <v>-200000</v>
      </c>
      <c r="I596" s="50">
        <f t="shared" si="200"/>
        <v>1800000</v>
      </c>
    </row>
    <row r="597" spans="1:9" ht="31.2">
      <c r="A597" s="49" t="str">
        <f>IF(B597&gt;0,VLOOKUP(B597,КВСР!A513:B1678,2),IF(C597&gt;0,VLOOKUP(C597,КФСР!A513:B2025,2),IF(D597&gt;0,VLOOKUP(D597,Программа!A$1:B$5063,2),IF(F597&gt;0,VLOOKUP(F597,КВР!A$1:B$5001,2),IF(E597&gt;0,VLOOKUP(E597,Направление!A$1:B$4746,2))))))</f>
        <v>Обслуживание государственного долга Российской Федерации</v>
      </c>
      <c r="B597" s="91"/>
      <c r="C597" s="84"/>
      <c r="D597" s="85"/>
      <c r="E597" s="91"/>
      <c r="F597" s="85">
        <v>700</v>
      </c>
      <c r="G597" s="387">
        <v>2000000</v>
      </c>
      <c r="H597" s="382">
        <v>-200000</v>
      </c>
      <c r="I597" s="50">
        <f t="shared" si="200"/>
        <v>1800000</v>
      </c>
    </row>
    <row r="598" spans="1:9" ht="62.4">
      <c r="A598" s="49" t="str">
        <f>IF(B598&gt;0,VLOOKUP(B598,КВСР!A514:B1679,2),IF(C598&gt;0,VLOOKUP(C598,КФСР!A514:B2026,2),IF(D598&gt;0,VLOOKUP(D598,Программа!A$1:B$5063,2),IF(F598&gt;0,VLOOKUP(F598,КВР!A$1:B$5001,2),IF(E598&gt;0,VLOOKUP(E598,Направление!A$1:B$4746,2))))))</f>
        <v>Дотации на выравнивание бюджетной обеспеченности субъектов Российской Федерации и муниципальных образований</v>
      </c>
      <c r="B598" s="91"/>
      <c r="C598" s="84">
        <v>1401</v>
      </c>
      <c r="D598" s="444"/>
      <c r="E598" s="91"/>
      <c r="F598" s="85"/>
      <c r="G598" s="51">
        <v>20748000</v>
      </c>
      <c r="H598" s="51">
        <f t="shared" ref="H598" si="211">H600</f>
        <v>0</v>
      </c>
      <c r="I598" s="50">
        <f t="shared" si="200"/>
        <v>20748000</v>
      </c>
    </row>
    <row r="599" spans="1:9" ht="62.4">
      <c r="A599" s="49" t="str">
        <f>IF(B599&gt;0,VLOOKUP(B599,КВСР!A515:B1680,2),IF(C599&gt;0,VLOOKUP(C599,КФСР!A515:B2027,2),IF(D599&gt;0,VLOOKUP(D599,Программа!A$1:B$5063,2),IF(F599&gt;0,VLOOKUP(F599,КВР!A$1:B$5001,2),IF(E599&gt;0,VLOOKUP(E599,Направление!A$1:B$4746,2))))))</f>
        <v>Муниципальная программа "Повышение эффективности управления муниципальными финансами"</v>
      </c>
      <c r="B599" s="91"/>
      <c r="C599" s="84"/>
      <c r="D599" s="444" t="s">
        <v>2839</v>
      </c>
      <c r="E599" s="91"/>
      <c r="F599" s="85"/>
      <c r="G599" s="51">
        <v>20748000</v>
      </c>
      <c r="H599" s="51">
        <f t="shared" ref="H599" si="212">H600</f>
        <v>0</v>
      </c>
      <c r="I599" s="50">
        <f t="shared" si="200"/>
        <v>20748000</v>
      </c>
    </row>
    <row r="600" spans="1:9" ht="31.2">
      <c r="A600" s="49" t="str">
        <f>IF(B600&gt;0,VLOOKUP(B600,КВСР!A516:B1681,2),IF(C600&gt;0,VLOOKUP(C600,КФСР!A516:B2028,2),IF(D600&gt;0,VLOOKUP(D600,Программа!A$1:B$5063,2),IF(F600&gt;0,VLOOKUP(F600,КВР!A$1:B$5001,2),IF(E600&gt;0,VLOOKUP(E600,Направление!A$1:B$4746,2))))))</f>
        <v>Совершенствование межбюджетных отношений</v>
      </c>
      <c r="B600" s="91"/>
      <c r="C600" s="84"/>
      <c r="D600" s="444" t="s">
        <v>2840</v>
      </c>
      <c r="E600" s="91"/>
      <c r="F600" s="85"/>
      <c r="G600" s="50">
        <v>20748000</v>
      </c>
      <c r="H600" s="50">
        <f t="shared" ref="H600" si="213">H601+H603</f>
        <v>0</v>
      </c>
      <c r="I600" s="50">
        <f t="shared" si="200"/>
        <v>20748000</v>
      </c>
    </row>
    <row r="601" spans="1:9" ht="46.8">
      <c r="A601" s="49" t="str">
        <f>IF(B601&gt;0,VLOOKUP(B601,КВСР!A517:B1682,2),IF(C601&gt;0,VLOOKUP(C601,КФСР!A517:B2029,2),IF(D601&gt;0,VLOOKUP(D601,Программа!A$1:B$5063,2),IF(F601&gt;0,VLOOKUP(F601,КВР!A$1:B$5001,2),IF(E601&gt;0,VLOOKUP(E601,Направление!A$1:B$4746,2))))))</f>
        <v>Дотации поселениям района  на выравнивание бюджетной обеспеченности</v>
      </c>
      <c r="B601" s="91"/>
      <c r="C601" s="84"/>
      <c r="D601" s="444"/>
      <c r="E601" s="91">
        <v>10800</v>
      </c>
      <c r="F601" s="85"/>
      <c r="G601" s="101">
        <v>400000</v>
      </c>
      <c r="H601" s="101">
        <f t="shared" ref="H601" si="214">H602</f>
        <v>0</v>
      </c>
      <c r="I601" s="50">
        <f t="shared" si="200"/>
        <v>400000</v>
      </c>
    </row>
    <row r="602" spans="1:9">
      <c r="A602" s="49" t="str">
        <f>IF(B602&gt;0,VLOOKUP(B602,КВСР!A518:B1683,2),IF(C602&gt;0,VLOOKUP(C602,КФСР!A518:B2030,2),IF(D602&gt;0,VLOOKUP(D602,Программа!A$1:B$5063,2),IF(F602&gt;0,VLOOKUP(F602,КВР!A$1:B$5001,2),IF(E602&gt;0,VLOOKUP(E602,Направление!A$1:B$4746,2))))))</f>
        <v xml:space="preserve"> Межбюджетные трансферты</v>
      </c>
      <c r="B602" s="91"/>
      <c r="C602" s="84"/>
      <c r="D602" s="85"/>
      <c r="E602" s="91"/>
      <c r="F602" s="85">
        <v>500</v>
      </c>
      <c r="G602" s="557">
        <v>400000</v>
      </c>
      <c r="H602" s="384"/>
      <c r="I602" s="50">
        <f t="shared" si="200"/>
        <v>400000</v>
      </c>
    </row>
    <row r="603" spans="1:9" ht="46.8">
      <c r="A603" s="49" t="str">
        <f>IF(B603&gt;0,VLOOKUP(B603,КВСР!A519:B1684,2),IF(C603&gt;0,VLOOKUP(C603,КФСР!A519:B2031,2),IF(D603&gt;0,VLOOKUP(D603,Программа!A$1:B$5063,2),IF(F603&gt;0,VLOOKUP(F603,КВР!A$1:B$5001,2),IF(E603&gt;0,VLOOKUP(E603,Направление!A$1:B$4746,2))))))</f>
        <v>Дотации поселениям Ярославской области на выравнивание бюджетной обеспеченности</v>
      </c>
      <c r="B603" s="91"/>
      <c r="C603" s="84"/>
      <c r="D603" s="444"/>
      <c r="E603" s="91">
        <v>72970</v>
      </c>
      <c r="F603" s="85"/>
      <c r="G603" s="101">
        <v>20348000</v>
      </c>
      <c r="H603" s="101">
        <f t="shared" ref="H603" si="215">H604</f>
        <v>0</v>
      </c>
      <c r="I603" s="50">
        <f t="shared" si="200"/>
        <v>20348000</v>
      </c>
    </row>
    <row r="604" spans="1:9">
      <c r="A604" s="49" t="str">
        <f>IF(B604&gt;0,VLOOKUP(B604,КВСР!A520:B1685,2),IF(C604&gt;0,VLOOKUP(C604,КФСР!A520:B2032,2),IF(D604&gt;0,VLOOKUP(D604,Программа!A$1:B$5063,2),IF(F604&gt;0,VLOOKUP(F604,КВР!A$1:B$5001,2),IF(E604&gt;0,VLOOKUP(E604,Направление!A$1:B$4746,2))))))</f>
        <v xml:space="preserve"> Межбюджетные трансферты</v>
      </c>
      <c r="B604" s="91"/>
      <c r="C604" s="84"/>
      <c r="D604" s="85"/>
      <c r="E604" s="91"/>
      <c r="F604" s="85">
        <v>500</v>
      </c>
      <c r="G604" s="557">
        <v>20348000</v>
      </c>
      <c r="H604" s="384"/>
      <c r="I604" s="50">
        <f t="shared" si="200"/>
        <v>20348000</v>
      </c>
    </row>
    <row r="605" spans="1:9" ht="46.8">
      <c r="A605" s="49" t="str">
        <f>IF(B605&gt;0,VLOOKUP(B605,КВСР!A521:B1686,2),IF(C605&gt;0,VLOOKUP(C605,КФСР!A521:B2033,2),IF(D605&gt;0,VLOOKUP(D605,Программа!A$1:B$5063,2),IF(F605&gt;0,VLOOKUP(F605,КВР!A$1:B$5001,2),IF(E605&gt;0,VLOOKUP(E605,Направление!A$1:B$4746,2))))))</f>
        <v>Департамент культуры, туризма и молодежной политики Администрации ТМР</v>
      </c>
      <c r="B605" s="87">
        <v>956</v>
      </c>
      <c r="C605" s="88"/>
      <c r="D605" s="77"/>
      <c r="E605" s="90"/>
      <c r="F605" s="89"/>
      <c r="G605" s="55">
        <v>170937665</v>
      </c>
      <c r="H605" s="55">
        <f>H611+H627+H637+H667+H712+H748+H606+H617</f>
        <v>586844</v>
      </c>
      <c r="I605" s="86">
        <f t="shared" si="200"/>
        <v>171524509</v>
      </c>
    </row>
    <row r="606" spans="1:9" ht="46.8">
      <c r="A606" s="49" t="str">
        <f>IF(B606&gt;0,VLOOKUP(B606,КВСР!A522:B1687,2),IF(C606&gt;0,VLOOKUP(C606,КФСР!A522:B2034,2),IF(D606&gt;0,VLOOKUP(D606,Программа!A$1:B$5063,2),IF(F606&gt;0,VLOOKUP(F606,КВР!A$1:B$5001,2),IF(E606&gt;0,VLOOKUP(E606,Направление!A$1:B$4746,2))))))</f>
        <v>Другие вопросы в области национальной безопасности и правоохранительной деятельности</v>
      </c>
      <c r="B606" s="87"/>
      <c r="C606" s="88">
        <v>314</v>
      </c>
      <c r="D606" s="77"/>
      <c r="E606" s="90"/>
      <c r="F606" s="89"/>
      <c r="G606" s="50">
        <v>150000</v>
      </c>
      <c r="H606" s="50">
        <f t="shared" ref="H606:H608" si="216">H607</f>
        <v>0</v>
      </c>
      <c r="I606" s="50">
        <f t="shared" si="200"/>
        <v>150000</v>
      </c>
    </row>
    <row r="607" spans="1:9" ht="62.4">
      <c r="A607" s="49" t="str">
        <f>IF(B607&gt;0,VLOOKUP(B607,КВСР!A523:B1688,2),IF(C607&gt;0,VLOOKUP(C607,КФСР!A523:B2035,2),IF(D607&gt;0,VLOOKUP(D607,Программа!A$1:B$5063,2),IF(F607&gt;0,VLOOKUP(F607,КВР!A$1:B$5001,2),IF(E607&gt;0,VLOOKUP(E607,Направление!A$1:B$4746,2))))))</f>
        <v>Муниципальная программа "Профилактика правонарушений и усиление борьбы с преступностью в Тутаевском муниципальном районе"</v>
      </c>
      <c r="B607" s="87"/>
      <c r="C607" s="88"/>
      <c r="D607" s="77" t="s">
        <v>2877</v>
      </c>
      <c r="E607" s="90"/>
      <c r="F607" s="89"/>
      <c r="G607" s="50">
        <v>150000</v>
      </c>
      <c r="H607" s="50">
        <f t="shared" si="216"/>
        <v>0</v>
      </c>
      <c r="I607" s="50">
        <f t="shared" si="200"/>
        <v>150000</v>
      </c>
    </row>
    <row r="608" spans="1:9" ht="31.2">
      <c r="A608" s="49" t="str">
        <f>IF(B608&gt;0,VLOOKUP(B608,КВСР!A524:B1689,2),IF(C608&gt;0,VLOOKUP(C608,КФСР!A524:B2036,2),IF(D608&gt;0,VLOOKUP(D608,Программа!A$1:B$5063,2),IF(F608&gt;0,VLOOKUP(F608,КВР!A$1:B$5001,2),IF(E608&gt;0,VLOOKUP(E608,Направление!A$1:B$4746,2))))))</f>
        <v>Реализация мероприятий по деятельности народных дружин</v>
      </c>
      <c r="B608" s="87"/>
      <c r="C608" s="88"/>
      <c r="D608" s="77" t="s">
        <v>3064</v>
      </c>
      <c r="E608" s="90"/>
      <c r="F608" s="89"/>
      <c r="G608" s="50">
        <v>150000</v>
      </c>
      <c r="H608" s="50">
        <f t="shared" si="216"/>
        <v>0</v>
      </c>
      <c r="I608" s="50">
        <f t="shared" si="200"/>
        <v>150000</v>
      </c>
    </row>
    <row r="609" spans="1:9" ht="31.2">
      <c r="A609" s="49" t="str">
        <f>IF(B609&gt;0,VLOOKUP(B609,КВСР!A525:B1690,2),IF(C609&gt;0,VLOOKUP(C609,КФСР!A525:B2037,2),IF(D609&gt;0,VLOOKUP(D609,Программа!A$1:B$5063,2),IF(F609&gt;0,VLOOKUP(F609,КВР!A$1:B$5001,2),IF(E609&gt;0,VLOOKUP(E609,Направление!A$1:B$4746,2))))))</f>
        <v>Расходы на обеспечение деятельности народных дружин</v>
      </c>
      <c r="B609" s="87"/>
      <c r="C609" s="88"/>
      <c r="D609" s="77"/>
      <c r="E609" s="90">
        <v>29486</v>
      </c>
      <c r="F609" s="89"/>
      <c r="G609" s="50">
        <v>150000</v>
      </c>
      <c r="H609" s="50">
        <f>H610</f>
        <v>0</v>
      </c>
      <c r="I609" s="50">
        <f t="shared" si="200"/>
        <v>150000</v>
      </c>
    </row>
    <row r="610" spans="1:9" ht="62.4">
      <c r="A610" s="49" t="str">
        <f>IF(B610&gt;0,VLOOKUP(B610,КВСР!A526:B1691,2),IF(C610&gt;0,VLOOKUP(C610,КФСР!A526:B2038,2),IF(D610&gt;0,VLOOKUP(D610,Программа!A$1:B$5063,2),IF(F610&gt;0,VLOOKUP(F610,КВР!A$1:B$5001,2),IF(E610&gt;0,VLOOKUP(E610,Направление!A$1:B$4746,2))))))</f>
        <v>Предоставление субсидий бюджетным, автономным учреждениям и иным некоммерческим организациям</v>
      </c>
      <c r="B610" s="87"/>
      <c r="C610" s="88"/>
      <c r="D610" s="77"/>
      <c r="E610" s="90"/>
      <c r="F610" s="89">
        <v>600</v>
      </c>
      <c r="G610" s="50">
        <v>150000</v>
      </c>
      <c r="H610" s="604"/>
      <c r="I610" s="50">
        <f t="shared" si="200"/>
        <v>150000</v>
      </c>
    </row>
    <row r="611" spans="1:9" ht="31.2">
      <c r="A611" s="49" t="str">
        <f>IF(B611&gt;0,VLOOKUP(B611,КВСР!A527:B1692,2),IF(C611&gt;0,VLOOKUP(C611,КФСР!A527:B2039,2),IF(D611&gt;0,VLOOKUP(D611,Программа!A$1:B$5063,2),IF(F611&gt;0,VLOOKUP(F611,КВР!A$1:B$5001,2),IF(E611&gt;0,VLOOKUP(E611,Направление!A$1:B$4746,2))))))</f>
        <v>Другие вопросы в области национальной экономики</v>
      </c>
      <c r="B611" s="87"/>
      <c r="C611" s="88">
        <v>412</v>
      </c>
      <c r="D611" s="89"/>
      <c r="E611" s="90"/>
      <c r="F611" s="89"/>
      <c r="G611" s="198">
        <v>650000</v>
      </c>
      <c r="H611" s="198">
        <f t="shared" ref="H611:H614" si="217">H612</f>
        <v>0</v>
      </c>
      <c r="I611" s="50">
        <f t="shared" si="200"/>
        <v>650000</v>
      </c>
    </row>
    <row r="612" spans="1:9" ht="62.4">
      <c r="A612" s="49" t="str">
        <f>IF(B612&gt;0,VLOOKUP(B612,КВСР!A528:B1693,2),IF(C612&gt;0,VLOOKUP(C612,КФСР!A528:B2040,2),IF(D612&gt;0,VLOOKUP(D612,Программа!A$1:B$5063,2),IF(F612&gt;0,VLOOKUP(F612,КВР!A$1:B$5001,2),IF(E612&gt;0,VLOOKUP(E612,Направление!A$1:B$4746,2))))))</f>
        <v>Муниципальная программа  "Развитие культуры, туризма и молодежной политики в Тутаевском муниципальном районе"</v>
      </c>
      <c r="B612" s="87"/>
      <c r="C612" s="88"/>
      <c r="D612" s="77" t="s">
        <v>2721</v>
      </c>
      <c r="E612" s="90"/>
      <c r="F612" s="89"/>
      <c r="G612" s="198">
        <v>650000</v>
      </c>
      <c r="H612" s="198">
        <f t="shared" si="217"/>
        <v>0</v>
      </c>
      <c r="I612" s="50">
        <f t="shared" si="200"/>
        <v>650000</v>
      </c>
    </row>
    <row r="613" spans="1:9" ht="62.4">
      <c r="A613" s="49" t="str">
        <f>IF(B613&gt;0,VLOOKUP(B613,КВСР!A529:B1694,2),IF(C613&gt;0,VLOOKUP(C613,КФСР!A529:B2041,2),IF(D613&gt;0,VLOOKUP(D613,Программа!A$1:B$5063,2),IF(F613&gt;0,VLOOKUP(F613,КВР!A$1:B$5001,2),IF(E613&gt;0,VLOOKUP(E613,Направление!A$1:B$4746,2))))))</f>
        <v>Муниципальная целевая программа «Развитие въездного и внутреннего туризма на территории Тутаевского муниципального района»</v>
      </c>
      <c r="B613" s="87"/>
      <c r="C613" s="88"/>
      <c r="D613" s="77" t="s">
        <v>2736</v>
      </c>
      <c r="E613" s="90"/>
      <c r="F613" s="89"/>
      <c r="G613" s="198">
        <v>650000</v>
      </c>
      <c r="H613" s="198">
        <f t="shared" si="217"/>
        <v>0</v>
      </c>
      <c r="I613" s="50">
        <f t="shared" si="200"/>
        <v>650000</v>
      </c>
    </row>
    <row r="614" spans="1:9" ht="31.2">
      <c r="A614" s="49" t="str">
        <f>IF(B614&gt;0,VLOOKUP(B614,КВСР!A530:B1695,2),IF(C614&gt;0,VLOOKUP(C614,КФСР!A530:B2042,2),IF(D614&gt;0,VLOOKUP(D614,Программа!A$1:B$5063,2),IF(F614&gt;0,VLOOKUP(F614,КВР!A$1:B$5001,2),IF(E614&gt;0,VLOOKUP(E614,Направление!A$1:B$4746,2))))))</f>
        <v>Создание благоприятных условий для развития туризма</v>
      </c>
      <c r="B614" s="87"/>
      <c r="C614" s="88"/>
      <c r="D614" s="77" t="s">
        <v>2737</v>
      </c>
      <c r="E614" s="90"/>
      <c r="F614" s="89"/>
      <c r="G614" s="198">
        <v>650000</v>
      </c>
      <c r="H614" s="198">
        <f t="shared" si="217"/>
        <v>0</v>
      </c>
      <c r="I614" s="50">
        <f t="shared" si="200"/>
        <v>650000</v>
      </c>
    </row>
    <row r="615" spans="1:9" ht="31.2">
      <c r="A615" s="49" t="str">
        <f>IF(B615&gt;0,VLOOKUP(B615,КВСР!A531:B1696,2),IF(C615&gt;0,VLOOKUP(C615,КФСР!A531:B2043,2),IF(D615&gt;0,VLOOKUP(D615,Программа!A$1:B$5063,2),IF(F615&gt;0,VLOOKUP(F615,КВР!A$1:B$5001,2),IF(E615&gt;0,VLOOKUP(E615,Направление!A$1:B$4746,2))))))</f>
        <v>Мероприятия по развитию въездного и внутреннего туризма</v>
      </c>
      <c r="B615" s="87"/>
      <c r="C615" s="88"/>
      <c r="D615" s="89"/>
      <c r="E615" s="90">
        <v>10900</v>
      </c>
      <c r="F615" s="89"/>
      <c r="G615" s="198">
        <v>650000</v>
      </c>
      <c r="H615" s="198">
        <f t="shared" ref="H615" si="218">SUM(H616:H616)</f>
        <v>0</v>
      </c>
      <c r="I615" s="50">
        <f t="shared" si="200"/>
        <v>650000</v>
      </c>
    </row>
    <row r="616" spans="1:9" ht="62.4">
      <c r="A616" s="49" t="str">
        <f>IF(B616&gt;0,VLOOKUP(B616,КВСР!A532:B1697,2),IF(C616&gt;0,VLOOKUP(C616,КФСР!A532:B2044,2),IF(D616&gt;0,VLOOKUP(D616,Программа!A$1:B$5063,2),IF(F616&gt;0,VLOOKUP(F616,КВР!A$1:B$5001,2),IF(E616&gt;0,VLOOKUP(E616,Направление!A$1:B$4746,2))))))</f>
        <v>Предоставление субсидий бюджетным, автономным учреждениям и иным некоммерческим организациям</v>
      </c>
      <c r="B616" s="87"/>
      <c r="C616" s="88"/>
      <c r="D616" s="89"/>
      <c r="E616" s="90"/>
      <c r="F616" s="89">
        <v>600</v>
      </c>
      <c r="G616" s="387">
        <v>650000</v>
      </c>
      <c r="H616" s="382"/>
      <c r="I616" s="50">
        <f t="shared" si="200"/>
        <v>650000</v>
      </c>
    </row>
    <row r="617" spans="1:9" ht="21" customHeight="1">
      <c r="A617" s="49" t="str">
        <f>IF(B617&gt;0,VLOOKUP(B617,КВСР!A533:B1698,2),IF(C617&gt;0,VLOOKUP(C617,КФСР!A533:B2045,2),IF(D617&gt;0,VLOOKUP(D617,Программа!A$1:B$5063,2),IF(F617&gt;0,VLOOKUP(F617,КВР!A$1:B$5001,2),IF(E617&gt;0,VLOOKUP(E617,Направление!A$1:B$4746,2))))))</f>
        <v>Благоустройство</v>
      </c>
      <c r="B617" s="87"/>
      <c r="C617" s="88">
        <v>503</v>
      </c>
      <c r="D617" s="89"/>
      <c r="E617" s="90"/>
      <c r="F617" s="89"/>
      <c r="G617" s="387">
        <v>2100000</v>
      </c>
      <c r="H617" s="387">
        <f>H618</f>
        <v>0</v>
      </c>
      <c r="I617" s="50">
        <f>SUM(G617:H617)</f>
        <v>2100000</v>
      </c>
    </row>
    <row r="618" spans="1:9" ht="62.4">
      <c r="A618" s="49" t="str">
        <f>IF(B618&gt;0,VLOOKUP(B618,КВСР!A534:B1699,2),IF(C618&gt;0,VLOOKUP(C618,КФСР!A534:B2046,2),IF(D618&gt;0,VLOOKUP(D618,Программа!A$1:B$5063,2),IF(F618&gt;0,VLOOKUP(F618,КВР!A$1:B$5001,2),IF(E618&gt;0,VLOOKUP(E618,Направление!A$1:B$4746,2))))))</f>
        <v>Муниципальная программа  "Развитие культуры, туризма и молодежной политики в Тутаевском муниципальном районе"</v>
      </c>
      <c r="B618" s="87"/>
      <c r="C618" s="88"/>
      <c r="D618" s="77" t="s">
        <v>2721</v>
      </c>
      <c r="E618" s="90"/>
      <c r="F618" s="89"/>
      <c r="G618" s="387">
        <v>2100000</v>
      </c>
      <c r="H618" s="387">
        <f>H619+H623</f>
        <v>0</v>
      </c>
      <c r="I618" s="387">
        <f>I619+I623</f>
        <v>2100000</v>
      </c>
    </row>
    <row r="619" spans="1:9" ht="101.25" customHeight="1">
      <c r="A619" s="49" t="str">
        <f>IF(B619&gt;0,VLOOKUP(B619,КВСР!A535:B1700,2),IF(C619&gt;0,VLOOKUP(C619,КФСР!A535:B2047,2),IF(D619&gt;0,VLOOKUP(D619,Программа!A$1:B$5063,2),IF(F619&gt;0,VLOOKUP(F619,КВР!A$1:B$5001,2),IF(E619&gt;0,VLOOKUP(E619,Направление!A$1:B$4746,2))))))</f>
        <v>Муниципальная целевая программа «Патриотическое воспитание граждан Российской Федерации, проживающих на территории Тутаевского муниципального района Ярославской области»</v>
      </c>
      <c r="B619" s="87"/>
      <c r="C619" s="88"/>
      <c r="D619" s="77" t="s">
        <v>2724</v>
      </c>
      <c r="E619" s="90"/>
      <c r="F619" s="89"/>
      <c r="G619" s="387">
        <v>1500000</v>
      </c>
      <c r="H619" s="387">
        <f>H621</f>
        <v>0</v>
      </c>
      <c r="I619" s="50">
        <f>I621</f>
        <v>1500000</v>
      </c>
    </row>
    <row r="620" spans="1:9" ht="99.6" customHeight="1">
      <c r="A620" s="49" t="str">
        <f>IF(B620&gt;0,VLOOKUP(B620,КВСР!A536:B1701,2),IF(C620&gt;0,VLOOKUP(C620,КФСР!A536:B2048,2),IF(D620&gt;0,VLOOKUP(D620,Программа!A$1:B$5063,2),IF(F620&gt;0,VLOOKUP(F620,КВР!A$1:B$5001,2),IF(E620&gt;0,VLOOKUP(E620,Направление!A$1:B$4746,2))))))</f>
        <v>Координирование деятельности, совершенствование организационного, методического и информационного функционирования системы патриотического воспитания</v>
      </c>
      <c r="B620" s="87"/>
      <c r="C620" s="88"/>
      <c r="D620" s="77" t="s">
        <v>2725</v>
      </c>
      <c r="E620" s="90"/>
      <c r="F620" s="89"/>
      <c r="G620" s="387">
        <v>1500000</v>
      </c>
      <c r="H620" s="387">
        <f>H621</f>
        <v>0</v>
      </c>
      <c r="I620" s="387">
        <f>I621</f>
        <v>1500000</v>
      </c>
    </row>
    <row r="621" spans="1:9" ht="46.8">
      <c r="A621" s="49" t="str">
        <f>IF(B621&gt;0,VLOOKUP(B621,КВСР!A537:B1702,2),IF(C621&gt;0,VLOOKUP(C621,КФСР!A537:B2049,2),IF(D621&gt;0,VLOOKUP(D621,Программа!A$1:B$5063,2),IF(F621&gt;0,VLOOKUP(F621,КВР!A$1:B$5001,2),IF(E621&gt;0,VLOOKUP(E621,Направление!A$1:B$4746,2))))))</f>
        <v>Обеспечение мероприятий по строительству, реконструкции и ремонту памятников</v>
      </c>
      <c r="B621" s="87"/>
      <c r="C621" s="88"/>
      <c r="D621" s="77"/>
      <c r="E621" s="90">
        <v>29476</v>
      </c>
      <c r="F621" s="89"/>
      <c r="G621" s="387">
        <v>1500000</v>
      </c>
      <c r="H621" s="387">
        <f t="shared" ref="H621:I621" si="219">H622</f>
        <v>0</v>
      </c>
      <c r="I621" s="50">
        <f t="shared" si="219"/>
        <v>1500000</v>
      </c>
    </row>
    <row r="622" spans="1:9" ht="62.4">
      <c r="A622" s="49" t="str">
        <f>IF(B622&gt;0,VLOOKUP(B622,КВСР!A538:B1703,2),IF(C622&gt;0,VLOOKUP(C622,КФСР!A538:B2050,2),IF(D622&gt;0,VLOOKUP(D622,Программа!A$1:B$5063,2),IF(F622&gt;0,VLOOKUP(F622,КВР!A$1:B$5001,2),IF(E622&gt;0,VLOOKUP(E622,Направление!A$1:B$4746,2))))))</f>
        <v>Предоставление субсидий бюджетным, автономным учреждениям и иным некоммерческим организациям</v>
      </c>
      <c r="B622" s="87"/>
      <c r="C622" s="88"/>
      <c r="D622" s="77"/>
      <c r="E622" s="90"/>
      <c r="F622" s="89">
        <v>600</v>
      </c>
      <c r="G622" s="387">
        <v>1500000</v>
      </c>
      <c r="H622" s="382"/>
      <c r="I622" s="50">
        <f>SUM(G622:H622)</f>
        <v>1500000</v>
      </c>
    </row>
    <row r="623" spans="1:9" ht="62.4">
      <c r="A623" s="49" t="str">
        <f>IF(B623&gt;0,VLOOKUP(B623,КВСР!A539:B1704,2),IF(C623&gt;0,VLOOKUP(C623,КФСР!A539:B2051,2),IF(D623&gt;0,VLOOKUP(D623,Программа!A$1:B$5063,2),IF(F623&gt;0,VLOOKUP(F623,КВР!A$1:B$5001,2),IF(E623&gt;0,VLOOKUP(E623,Направление!A$1:B$4746,2))))))</f>
        <v>Муниципальная целевая программа «Развитие въездного и внутреннего туризма на территории Тутаевского муниципального района»</v>
      </c>
      <c r="B623" s="87"/>
      <c r="C623" s="88"/>
      <c r="D623" s="77" t="s">
        <v>2736</v>
      </c>
      <c r="E623" s="90"/>
      <c r="F623" s="89"/>
      <c r="G623" s="387">
        <v>600000</v>
      </c>
      <c r="H623" s="387">
        <f>H625</f>
        <v>0</v>
      </c>
      <c r="I623" s="387">
        <f>I625</f>
        <v>600000</v>
      </c>
    </row>
    <row r="624" spans="1:9" ht="31.2">
      <c r="A624" s="49" t="str">
        <f>IF(B624&gt;0,VLOOKUP(B624,КВСР!A540:B1705,2),IF(C624&gt;0,VLOOKUP(C624,КФСР!A540:B2052,2),IF(D624&gt;0,VLOOKUP(D624,Программа!A$1:B$5063,2),IF(F624&gt;0,VLOOKUP(F624,КВР!A$1:B$5001,2),IF(E624&gt;0,VLOOKUP(E624,Направление!A$1:B$4746,2))))))</f>
        <v>Создание благоприятных условий для развития туризма</v>
      </c>
      <c r="B624" s="87"/>
      <c r="C624" s="88"/>
      <c r="D624" s="77" t="s">
        <v>2737</v>
      </c>
      <c r="E624" s="90"/>
      <c r="F624" s="89"/>
      <c r="G624" s="387">
        <v>600000</v>
      </c>
      <c r="H624" s="387">
        <f>H625</f>
        <v>0</v>
      </c>
      <c r="I624" s="387">
        <f>I625</f>
        <v>600000</v>
      </c>
    </row>
    <row r="625" spans="1:9" ht="53.25" customHeight="1">
      <c r="A625" s="49" t="str">
        <f>IF(B625&gt;0,VLOOKUP(B625,КВСР!A541:B1706,2),IF(C625&gt;0,VLOOKUP(C625,КФСР!A541:B2053,2),IF(D625&gt;0,VLOOKUP(D625,Программа!A$1:B$5063,2),IF(F625&gt;0,VLOOKUP(F625,КВР!A$1:B$5001,2),IF(E625&gt;0,VLOOKUP(E625,Направление!A$1:B$4746,2))))))</f>
        <v>Обеспечение мероприятий по строительству, реконструкции и ремонту общественных туалетов</v>
      </c>
      <c r="B625" s="87"/>
      <c r="C625" s="88"/>
      <c r="D625" s="77"/>
      <c r="E625" s="90">
        <v>29506</v>
      </c>
      <c r="F625" s="89"/>
      <c r="G625" s="387">
        <v>600000</v>
      </c>
      <c r="H625" s="387">
        <f>H626</f>
        <v>0</v>
      </c>
      <c r="I625" s="387">
        <f>I626</f>
        <v>600000</v>
      </c>
    </row>
    <row r="626" spans="1:9" ht="62.4">
      <c r="A626" s="49" t="str">
        <f>IF(B626&gt;0,VLOOKUP(B626,КВСР!A542:B1707,2),IF(C626&gt;0,VLOOKUP(C626,КФСР!A542:B2054,2),IF(D626&gt;0,VLOOKUP(D626,Программа!A$1:B$5063,2),IF(F626&gt;0,VLOOKUP(F626,КВР!A$1:B$5001,2),IF(E626&gt;0,VLOOKUP(E626,Направление!A$1:B$4746,2))))))</f>
        <v>Предоставление субсидий бюджетным, автономным учреждениям и иным некоммерческим организациям</v>
      </c>
      <c r="B626" s="87"/>
      <c r="C626" s="88"/>
      <c r="D626" s="77"/>
      <c r="E626" s="90"/>
      <c r="F626" s="89">
        <v>600</v>
      </c>
      <c r="G626" s="387">
        <v>600000</v>
      </c>
      <c r="H626" s="382"/>
      <c r="I626" s="50">
        <f>SUM(G626:H626)</f>
        <v>600000</v>
      </c>
    </row>
    <row r="627" spans="1:9" s="20" customFormat="1">
      <c r="A627" s="49" t="str">
        <f>IF(B627&gt;0,VLOOKUP(B627,КВСР!A543:B1708,2),IF(C627&gt;0,VLOOKUP(C627,КФСР!A543:B2055,2),IF(D627&gt;0,VLOOKUP(D627,Программа!A$1:B$5063,2),IF(F627&gt;0,VLOOKUP(F627,КВР!A$1:B$5001,2),IF(E627&gt;0,VLOOKUP(E627,Направление!A$1:B$4746,2))))))</f>
        <v>Общее образование</v>
      </c>
      <c r="B627" s="91"/>
      <c r="C627" s="84">
        <v>702</v>
      </c>
      <c r="D627" s="444"/>
      <c r="E627" s="91"/>
      <c r="F627" s="85"/>
      <c r="G627" s="51">
        <v>29866453</v>
      </c>
      <c r="H627" s="51">
        <f t="shared" ref="H627" si="220">H628</f>
        <v>0</v>
      </c>
      <c r="I627" s="50">
        <f t="shared" si="200"/>
        <v>29866453</v>
      </c>
    </row>
    <row r="628" spans="1:9" s="20" customFormat="1" ht="62.4">
      <c r="A628" s="49" t="str">
        <f>IF(B628&gt;0,VLOOKUP(B628,КВСР!A544:B1709,2),IF(C628&gt;0,VLOOKUP(C628,КФСР!A544:B2056,2),IF(D628&gt;0,VLOOKUP(D628,Программа!A$1:B$5063,2),IF(F628&gt;0,VLOOKUP(F628,КВР!A$1:B$5001,2),IF(E628&gt;0,VLOOKUP(E628,Направление!A$1:B$4746,2))))))</f>
        <v>Муниципальная программа  "Развитие культуры, туризма и молодежной политики в Тутаевском муниципальном районе"</v>
      </c>
      <c r="B628" s="91"/>
      <c r="C628" s="84"/>
      <c r="D628" s="445" t="s">
        <v>2721</v>
      </c>
      <c r="E628" s="92"/>
      <c r="F628" s="85"/>
      <c r="G628" s="51">
        <v>29866453</v>
      </c>
      <c r="H628" s="51">
        <f t="shared" ref="H628" si="221">H630</f>
        <v>0</v>
      </c>
      <c r="I628" s="50">
        <f t="shared" si="200"/>
        <v>29866453</v>
      </c>
    </row>
    <row r="629" spans="1:9" s="20" customFormat="1" ht="62.4">
      <c r="A629" s="49" t="str">
        <f>IF(B629&gt;0,VLOOKUP(B629,КВСР!A545:B1710,2),IF(C629&gt;0,VLOOKUP(C629,КФСР!A545:B2057,2),IF(D629&gt;0,VLOOKUP(D629,Программа!A$1:B$5063,2),IF(F629&gt;0,VLOOKUP(F629,КВР!A$1:B$5001,2),IF(E629&gt;0,VLOOKUP(E629,Направление!A$1:B$4746,2))))))</f>
        <v>Ведомственная целевая программа «Сохранение и развитие культуры Тутаевского муниципального района»</v>
      </c>
      <c r="B629" s="91"/>
      <c r="C629" s="84"/>
      <c r="D629" s="445" t="s">
        <v>2728</v>
      </c>
      <c r="E629" s="92"/>
      <c r="F629" s="85"/>
      <c r="G629" s="51">
        <v>29866453</v>
      </c>
      <c r="H629" s="51">
        <f t="shared" ref="H629" si="222">H630</f>
        <v>0</v>
      </c>
      <c r="I629" s="50">
        <f t="shared" si="200"/>
        <v>29866453</v>
      </c>
    </row>
    <row r="630" spans="1:9" s="20" customFormat="1" ht="46.8">
      <c r="A630" s="49" t="str">
        <f>IF(B630&gt;0,VLOOKUP(B630,КВСР!A546:B1711,2),IF(C630&gt;0,VLOOKUP(C630,КФСР!A546:B2058,2),IF(D630&gt;0,VLOOKUP(D630,Программа!A$1:B$5063,2),IF(F630&gt;0,VLOOKUP(F630,КВР!A$1:B$5001,2),IF(E630&gt;0,VLOOKUP(E630,Направление!A$1:B$4746,2))))))</f>
        <v>Реализация дополнительных образовательных программ в сфере культуры</v>
      </c>
      <c r="B630" s="91"/>
      <c r="C630" s="84"/>
      <c r="D630" s="444" t="s">
        <v>2729</v>
      </c>
      <c r="E630" s="91"/>
      <c r="F630" s="85"/>
      <c r="G630" s="51">
        <v>29866453</v>
      </c>
      <c r="H630" s="51">
        <f t="shared" ref="H630" si="223">H633+H635+H631</f>
        <v>0</v>
      </c>
      <c r="I630" s="50">
        <f t="shared" si="200"/>
        <v>29866453</v>
      </c>
    </row>
    <row r="631" spans="1:9" s="20" customFormat="1" ht="31.2">
      <c r="A631" s="49" t="str">
        <f>IF(B631&gt;0,VLOOKUP(B631,КВСР!A547:B1712,2),IF(C631&gt;0,VLOOKUP(C631,КФСР!A547:B2059,2),IF(D631&gt;0,VLOOKUP(D631,Программа!A$1:B$5063,2),IF(F631&gt;0,VLOOKUP(F631,КВР!A$1:B$5001,2),IF(E631&gt;0,VLOOKUP(E631,Направление!A$1:B$4746,2))))))</f>
        <v xml:space="preserve">Выплата ежемесячных и разовых стипендий главы </v>
      </c>
      <c r="B631" s="91"/>
      <c r="C631" s="84"/>
      <c r="D631" s="444"/>
      <c r="E631" s="91">
        <v>12700</v>
      </c>
      <c r="F631" s="85"/>
      <c r="G631" s="51">
        <v>40000</v>
      </c>
      <c r="H631" s="51">
        <f t="shared" ref="H631" si="224">H632</f>
        <v>0</v>
      </c>
      <c r="I631" s="50">
        <f t="shared" si="200"/>
        <v>40000</v>
      </c>
    </row>
    <row r="632" spans="1:9" s="20" customFormat="1" ht="62.4">
      <c r="A632" s="49" t="str">
        <f>IF(B632&gt;0,VLOOKUP(B632,КВСР!A548:B1713,2),IF(C632&gt;0,VLOOKUP(C632,КФСР!A548:B2060,2),IF(D632&gt;0,VLOOKUP(D632,Программа!A$1:B$5063,2),IF(F632&gt;0,VLOOKUP(F632,КВР!A$1:B$5001,2),IF(E632&gt;0,VLOOKUP(E632,Направление!A$1:B$4746,2))))))</f>
        <v>Предоставление субсидий бюджетным, автономным учреждениям и иным некоммерческим организациям</v>
      </c>
      <c r="B632" s="91"/>
      <c r="C632" s="84"/>
      <c r="D632" s="85"/>
      <c r="E632" s="91"/>
      <c r="F632" s="85">
        <v>600</v>
      </c>
      <c r="G632" s="393">
        <v>40000</v>
      </c>
      <c r="H632" s="390"/>
      <c r="I632" s="50">
        <f t="shared" si="200"/>
        <v>40000</v>
      </c>
    </row>
    <row r="633" spans="1:9" s="20" customFormat="1" ht="34.5" customHeight="1">
      <c r="A633" s="49" t="str">
        <f>IF(B633&gt;0,VLOOKUP(B633,КВСР!A549:B1714,2),IF(C633&gt;0,VLOOKUP(C633,КФСР!A549:B2061,2),IF(D633&gt;0,VLOOKUP(D633,Программа!A$1:B$5063,2),IF(F633&gt;0,VLOOKUP(F633,КВР!A$1:B$5001,2),IF(E633&gt;0,VLOOKUP(E633,Направление!A$1:B$4746,2))))))</f>
        <v>Обеспечение деятельности учреждений дополнительного образования</v>
      </c>
      <c r="B633" s="91"/>
      <c r="C633" s="84"/>
      <c r="D633" s="444"/>
      <c r="E633" s="91">
        <v>13210</v>
      </c>
      <c r="F633" s="85"/>
      <c r="G633" s="50">
        <v>29521453</v>
      </c>
      <c r="H633" s="50">
        <f t="shared" ref="H633" si="225">H634</f>
        <v>0</v>
      </c>
      <c r="I633" s="50">
        <f t="shared" si="200"/>
        <v>29521453</v>
      </c>
    </row>
    <row r="634" spans="1:9" s="20" customFormat="1" ht="62.4">
      <c r="A634" s="49" t="str">
        <f>IF(B634&gt;0,VLOOKUP(B634,КВСР!A550:B1715,2),IF(C634&gt;0,VLOOKUP(C634,КФСР!A550:B2062,2),IF(D634&gt;0,VLOOKUP(D634,Программа!A$1:B$5063,2),IF(F634&gt;0,VLOOKUP(F634,КВР!A$1:B$5001,2),IF(E634&gt;0,VLOOKUP(E634,Направление!A$1:B$4746,2))))))</f>
        <v>Предоставление субсидий бюджетным, автономным учреждениям и иным некоммерческим организациям</v>
      </c>
      <c r="B634" s="91"/>
      <c r="C634" s="84"/>
      <c r="D634" s="85"/>
      <c r="E634" s="91"/>
      <c r="F634" s="85">
        <v>600</v>
      </c>
      <c r="G634" s="387">
        <v>29521453</v>
      </c>
      <c r="H634" s="382"/>
      <c r="I634" s="50">
        <f t="shared" si="200"/>
        <v>29521453</v>
      </c>
    </row>
    <row r="635" spans="1:9" s="20" customFormat="1">
      <c r="A635" s="49" t="str">
        <f>IF(B635&gt;0,VLOOKUP(B635,КВСР!A551:B1716,2),IF(C635&gt;0,VLOOKUP(C635,КФСР!A551:B2063,2),IF(D635&gt;0,VLOOKUP(D635,Программа!A$1:B$5063,2),IF(F635&gt;0,VLOOKUP(F635,КВР!A$1:B$5001,2),IF(E635&gt;0,VLOOKUP(E635,Направление!A$1:B$4746,2))))))</f>
        <v>Мероприятия в сфере культуры</v>
      </c>
      <c r="B635" s="91"/>
      <c r="C635" s="84"/>
      <c r="D635" s="444"/>
      <c r="E635" s="91">
        <v>15220</v>
      </c>
      <c r="F635" s="85"/>
      <c r="G635" s="50">
        <v>305000</v>
      </c>
      <c r="H635" s="50">
        <f t="shared" ref="H635" si="226">H636</f>
        <v>0</v>
      </c>
      <c r="I635" s="50">
        <f t="shared" si="200"/>
        <v>305000</v>
      </c>
    </row>
    <row r="636" spans="1:9" s="20" customFormat="1" ht="62.4">
      <c r="A636" s="49" t="str">
        <f>IF(B636&gt;0,VLOOKUP(B636,КВСР!A552:B1717,2),IF(C636&gt;0,VLOOKUP(C636,КФСР!A552:B2064,2),IF(D636&gt;0,VLOOKUP(D636,Программа!A$1:B$5063,2),IF(F636&gt;0,VLOOKUP(F636,КВР!A$1:B$5001,2),IF(E636&gt;0,VLOOKUP(E636,Направление!A$1:B$4746,2))))))</f>
        <v>Предоставление субсидий бюджетным, автономным учреждениям и иным некоммерческим организациям</v>
      </c>
      <c r="B636" s="91"/>
      <c r="C636" s="84"/>
      <c r="D636" s="85"/>
      <c r="E636" s="91"/>
      <c r="F636" s="85">
        <v>600</v>
      </c>
      <c r="G636" s="387">
        <v>305000</v>
      </c>
      <c r="H636" s="382"/>
      <c r="I636" s="50">
        <f t="shared" si="200"/>
        <v>305000</v>
      </c>
    </row>
    <row r="637" spans="1:9" s="20" customFormat="1" ht="31.2">
      <c r="A637" s="49" t="str">
        <f>IF(B637&gt;0,VLOOKUP(B637,КВСР!A553:B1718,2),IF(C637&gt;0,VLOOKUP(C637,КФСР!A553:B2065,2),IF(D637&gt;0,VLOOKUP(D637,Программа!A$1:B$5063,2),IF(F637&gt;0,VLOOKUP(F637,КВР!A$1:B$5001,2),IF(E637&gt;0,VLOOKUP(E637,Направление!A$1:B$4746,2))))))</f>
        <v>Молодежная политика и оздоровление детей</v>
      </c>
      <c r="B637" s="91"/>
      <c r="C637" s="84">
        <v>707</v>
      </c>
      <c r="D637" s="444"/>
      <c r="E637" s="91"/>
      <c r="F637" s="85"/>
      <c r="G637" s="83">
        <v>12592249</v>
      </c>
      <c r="H637" s="83">
        <f>H638+H663</f>
        <v>216475</v>
      </c>
      <c r="I637" s="50">
        <f t="shared" si="200"/>
        <v>12808724</v>
      </c>
    </row>
    <row r="638" spans="1:9" s="20" customFormat="1" ht="62.4">
      <c r="A638" s="49" t="str">
        <f>IF(B638&gt;0,VLOOKUP(B638,КВСР!A554:B1719,2),IF(C638&gt;0,VLOOKUP(C638,КФСР!A554:B2066,2),IF(D638&gt;0,VLOOKUP(D638,Программа!A$1:B$5063,2),IF(F638&gt;0,VLOOKUP(F638,КВР!A$1:B$5001,2),IF(E638&gt;0,VLOOKUP(E638,Направление!A$1:B$4746,2))))))</f>
        <v>Муниципальная программа  "Развитие культуры, туризма и молодежной политики в Тутаевском муниципальном районе"</v>
      </c>
      <c r="B638" s="91"/>
      <c r="C638" s="84"/>
      <c r="D638" s="444" t="s">
        <v>2721</v>
      </c>
      <c r="E638" s="91"/>
      <c r="F638" s="85"/>
      <c r="G638" s="83">
        <v>12562749</v>
      </c>
      <c r="H638" s="83">
        <f>H639+H651+H659</f>
        <v>216475</v>
      </c>
      <c r="I638" s="50">
        <f t="shared" si="200"/>
        <v>12779224</v>
      </c>
    </row>
    <row r="639" spans="1:9" s="20" customFormat="1" ht="31.2">
      <c r="A639" s="49" t="str">
        <f>IF(B639&gt;0,VLOOKUP(B639,КВСР!A555:B1720,2),IF(C639&gt;0,VLOOKUP(C639,КФСР!A555:B2067,2),IF(D639&gt;0,VLOOKUP(D639,Программа!A$1:B$5063,2),IF(F639&gt;0,VLOOKUP(F639,КВР!A$1:B$5001,2),IF(E639&gt;0,VLOOKUP(E639,Направление!A$1:B$4746,2))))))</f>
        <v>Ведомственная целевая программа «Молодежь»</v>
      </c>
      <c r="B639" s="91"/>
      <c r="C639" s="84"/>
      <c r="D639" s="444" t="s">
        <v>2722</v>
      </c>
      <c r="E639" s="91"/>
      <c r="F639" s="85"/>
      <c r="G639" s="83">
        <v>12522749</v>
      </c>
      <c r="H639" s="83">
        <f t="shared" ref="H639" si="227">H640</f>
        <v>0</v>
      </c>
      <c r="I639" s="50">
        <f t="shared" si="200"/>
        <v>12522749</v>
      </c>
    </row>
    <row r="640" spans="1:9" s="20" customFormat="1" ht="69" customHeight="1">
      <c r="A640" s="49" t="str">
        <f>IF(B640&gt;0,VLOOKUP(B640,КВСР!A556:B1721,2),IF(C640&gt;0,VLOOKUP(C640,КФСР!A556:B2068,2),IF(D640&gt;0,VLOOKUP(D640,Программа!A$1:B$5063,2),IF(F640&gt;0,VLOOKUP(F640,КВР!A$1:B$5001,2),IF(E640&gt;0,VLOOKUP(E640,Направление!A$1:B$4746,2))))))</f>
        <v>Обеспечение условий для выполнения муниципального задания на оказание услуг, выполнение работ в сфере молодежной политики</v>
      </c>
      <c r="B640" s="91"/>
      <c r="C640" s="84"/>
      <c r="D640" s="444" t="s">
        <v>2723</v>
      </c>
      <c r="E640" s="91"/>
      <c r="F640" s="85"/>
      <c r="G640" s="51">
        <v>12522749</v>
      </c>
      <c r="H640" s="51">
        <f t="shared" ref="H640" si="228">H641+H643+H645+H649+H647</f>
        <v>0</v>
      </c>
      <c r="I640" s="50">
        <f t="shared" si="200"/>
        <v>12522749</v>
      </c>
    </row>
    <row r="641" spans="1:9" s="20" customFormat="1" ht="31.2">
      <c r="A641" s="49" t="str">
        <f>IF(B641&gt;0,VLOOKUP(B641,КВСР!A557:B1722,2),IF(C641&gt;0,VLOOKUP(C641,КФСР!A557:B2069,2),IF(D641&gt;0,VLOOKUP(D641,Программа!A$1:B$5063,2),IF(F641&gt;0,VLOOKUP(F641,КВР!A$1:B$5001,2),IF(E641&gt;0,VLOOKUP(E641,Направление!A$1:B$4746,2))))))</f>
        <v xml:space="preserve">Выплата ежемесячных и разовых стипендий главы </v>
      </c>
      <c r="B641" s="91"/>
      <c r="C641" s="84"/>
      <c r="D641" s="444"/>
      <c r="E641" s="91">
        <v>12700</v>
      </c>
      <c r="F641" s="85"/>
      <c r="G641" s="51">
        <v>90000</v>
      </c>
      <c r="H641" s="51">
        <f t="shared" ref="H641" si="229">H642</f>
        <v>0</v>
      </c>
      <c r="I641" s="50">
        <f t="shared" si="200"/>
        <v>90000</v>
      </c>
    </row>
    <row r="642" spans="1:9" s="20" customFormat="1" ht="62.4">
      <c r="A642" s="49" t="str">
        <f>IF(B642&gt;0,VLOOKUP(B642,КВСР!A558:B1723,2),IF(C642&gt;0,VLOOKUP(C642,КФСР!A558:B2070,2),IF(D642&gt;0,VLOOKUP(D642,Программа!A$1:B$5063,2),IF(F642&gt;0,VLOOKUP(F642,КВР!A$1:B$5001,2),IF(E642&gt;0,VLOOKUP(E642,Направление!A$1:B$4746,2))))))</f>
        <v>Предоставление субсидий бюджетным, автономным учреждениям и иным некоммерческим организациям</v>
      </c>
      <c r="B642" s="91"/>
      <c r="C642" s="84"/>
      <c r="D642" s="85"/>
      <c r="E642" s="91"/>
      <c r="F642" s="85">
        <v>600</v>
      </c>
      <c r="G642" s="393">
        <v>90000</v>
      </c>
      <c r="H642" s="390"/>
      <c r="I642" s="50">
        <f t="shared" si="200"/>
        <v>90000</v>
      </c>
    </row>
    <row r="643" spans="1:9" s="20" customFormat="1" ht="34.5" customHeight="1">
      <c r="A643" s="49" t="str">
        <f>IF(B643&gt;0,VLOOKUP(B643,КВСР!A559:B1724,2),IF(C643&gt;0,VLOOKUP(C643,КФСР!A559:B2071,2),IF(D643&gt;0,VLOOKUP(D643,Программа!A$1:B$5063,2),IF(F643&gt;0,VLOOKUP(F643,КВР!A$1:B$5001,2),IF(E643&gt;0,VLOOKUP(E643,Направление!A$1:B$4746,2))))))</f>
        <v xml:space="preserve">Обеспечение деятельности учреждений в сфере молодежной политики </v>
      </c>
      <c r="B643" s="91"/>
      <c r="C643" s="84"/>
      <c r="D643" s="444"/>
      <c r="E643" s="91">
        <v>14510</v>
      </c>
      <c r="F643" s="85"/>
      <c r="G643" s="50">
        <v>8357541</v>
      </c>
      <c r="H643" s="50">
        <f t="shared" ref="H643" si="230">H644</f>
        <v>0</v>
      </c>
      <c r="I643" s="50">
        <f t="shared" si="200"/>
        <v>8357541</v>
      </c>
    </row>
    <row r="644" spans="1:9" s="20" customFormat="1" ht="62.4">
      <c r="A644" s="49" t="str">
        <f>IF(B644&gt;0,VLOOKUP(B644,КВСР!A560:B1725,2),IF(C644&gt;0,VLOOKUP(C644,КФСР!A560:B2072,2),IF(D644&gt;0,VLOOKUP(D644,Программа!A$1:B$5063,2),IF(F644&gt;0,VLOOKUP(F644,КВР!A$1:B$5001,2),IF(E644&gt;0,VLOOKUP(E644,Направление!A$1:B$4746,2))))))</f>
        <v>Предоставление субсидий бюджетным, автономным учреждениям и иным некоммерческим организациям</v>
      </c>
      <c r="B644" s="91"/>
      <c r="C644" s="84"/>
      <c r="D644" s="85"/>
      <c r="E644" s="91"/>
      <c r="F644" s="85">
        <v>600</v>
      </c>
      <c r="G644" s="387">
        <v>8357541</v>
      </c>
      <c r="H644" s="382"/>
      <c r="I644" s="50">
        <f t="shared" si="200"/>
        <v>8357541</v>
      </c>
    </row>
    <row r="645" spans="1:9" s="20" customFormat="1" ht="31.2">
      <c r="A645" s="49" t="str">
        <f>IF(B645&gt;0,VLOOKUP(B645,КВСР!A561:B1726,2),IF(C645&gt;0,VLOOKUP(C645,КФСР!A561:B2073,2),IF(D645&gt;0,VLOOKUP(D645,Программа!A$1:B$5063,2),IF(F645&gt;0,VLOOKUP(F645,КВР!A$1:B$5001,2),IF(E645&gt;0,VLOOKUP(E645,Направление!A$1:B$4746,2))))))</f>
        <v>Мероприятия в сфере молодежной политики</v>
      </c>
      <c r="B645" s="91"/>
      <c r="C645" s="84"/>
      <c r="D645" s="444"/>
      <c r="E645" s="91">
        <v>14530</v>
      </c>
      <c r="F645" s="85"/>
      <c r="G645" s="101">
        <v>136642</v>
      </c>
      <c r="H645" s="101">
        <f t="shared" ref="H645" si="231">H646</f>
        <v>0</v>
      </c>
      <c r="I645" s="50">
        <f t="shared" si="200"/>
        <v>136642</v>
      </c>
    </row>
    <row r="646" spans="1:9" s="20" customFormat="1" ht="62.4">
      <c r="A646" s="49" t="str">
        <f>IF(B646&gt;0,VLOOKUP(B646,КВСР!A562:B1727,2),IF(C646&gt;0,VLOOKUP(C646,КФСР!A562:B2074,2),IF(D646&gt;0,VLOOKUP(D646,Программа!A$1:B$5063,2),IF(F646&gt;0,VLOOKUP(F646,КВР!A$1:B$5001,2),IF(E646&gt;0,VLOOKUP(E646,Направление!A$1:B$4746,2))))))</f>
        <v>Предоставление субсидий бюджетным, автономным учреждениям и иным некоммерческим организациям</v>
      </c>
      <c r="B646" s="91"/>
      <c r="C646" s="84"/>
      <c r="D646" s="85"/>
      <c r="E646" s="91"/>
      <c r="F646" s="85">
        <v>600</v>
      </c>
      <c r="G646" s="387">
        <v>136642</v>
      </c>
      <c r="H646" s="382"/>
      <c r="I646" s="50">
        <f t="shared" si="200"/>
        <v>136642</v>
      </c>
    </row>
    <row r="647" spans="1:9" s="20" customFormat="1" ht="69.75" customHeight="1">
      <c r="A647" s="49" t="str">
        <f>IF(B647&gt;0,VLOOKUP(B647,КВСР!A563:B1728,2),IF(C647&gt;0,VLOOKUP(C647,КФСР!A563:B2075,2),IF(D647&gt;0,VLOOKUP(D647,Программа!A$1:B$5063,2),IF(F647&gt;0,VLOOKUP(F647,КВР!A$1:B$5001,2),IF(E647&gt;0,VLOOKUP(E647,Направление!A$1:B$4746,2))))))</f>
        <v>Расходы на оказание (выполнение) муниципальными учреждениями услуг (работ) в сфере молодежной политики за счет средств областного бюджета</v>
      </c>
      <c r="B647" s="91"/>
      <c r="C647" s="84"/>
      <c r="D647" s="85"/>
      <c r="E647" s="91" t="s">
        <v>3008</v>
      </c>
      <c r="F647" s="85"/>
      <c r="G647" s="50">
        <v>1771606</v>
      </c>
      <c r="H647" s="50">
        <f t="shared" ref="H647" si="232">H648</f>
        <v>0</v>
      </c>
      <c r="I647" s="50">
        <f t="shared" si="200"/>
        <v>1771606</v>
      </c>
    </row>
    <row r="648" spans="1:9" s="20" customFormat="1" ht="62.4">
      <c r="A648" s="49" t="str">
        <f>IF(B648&gt;0,VLOOKUP(B648,КВСР!A564:B1729,2),IF(C648&gt;0,VLOOKUP(C648,КФСР!A564:B2076,2),IF(D648&gt;0,VLOOKUP(D648,Программа!A$1:B$5063,2),IF(F648&gt;0,VLOOKUP(F648,КВР!A$1:B$5001,2),IF(E648&gt;0,VLOOKUP(E648,Направление!A$1:B$4746,2))))))</f>
        <v>Предоставление субсидий бюджетным, автономным учреждениям и иным некоммерческим организациям</v>
      </c>
      <c r="B648" s="91"/>
      <c r="C648" s="84"/>
      <c r="D648" s="444"/>
      <c r="E648" s="91"/>
      <c r="F648" s="85">
        <v>600</v>
      </c>
      <c r="G648" s="387">
        <v>1771606</v>
      </c>
      <c r="H648" s="382"/>
      <c r="I648" s="50">
        <f t="shared" si="200"/>
        <v>1771606</v>
      </c>
    </row>
    <row r="649" spans="1:9" s="20" customFormat="1" ht="66" customHeight="1">
      <c r="A649" s="49" t="str">
        <f>IF(B649&gt;0,VLOOKUP(B649,КВСР!A565:B1730,2),IF(C649&gt;0,VLOOKUP(C649,КФСР!A565:B2077,2),IF(D649&gt;0,VLOOKUP(D649,Программа!A$1:B$5063,2),IF(F649&gt;0,VLOOKUP(F649,КВР!A$1:B$5001,2),IF(E649&gt;0,VLOOKUP(E649,Направление!A$1:B$4746,2))))))</f>
        <v>Расходы на оказание (выполнение) муниципальными учреждениями услуг (работ) в сфере молодежной политики за счет средств областного бюджета</v>
      </c>
      <c r="B649" s="91"/>
      <c r="C649" s="84"/>
      <c r="D649" s="444"/>
      <c r="E649" s="91">
        <v>70650</v>
      </c>
      <c r="F649" s="85"/>
      <c r="G649" s="50">
        <v>2166960</v>
      </c>
      <c r="H649" s="50">
        <f t="shared" ref="H649" si="233">H650</f>
        <v>0</v>
      </c>
      <c r="I649" s="50">
        <f t="shared" si="200"/>
        <v>2166960</v>
      </c>
    </row>
    <row r="650" spans="1:9" s="20" customFormat="1" ht="62.4">
      <c r="A650" s="49" t="str">
        <f>IF(B650&gt;0,VLOOKUP(B650,КВСР!A566:B1731,2),IF(C650&gt;0,VLOOKUP(C650,КФСР!A566:B2078,2),IF(D650&gt;0,VLOOKUP(D650,Программа!A$1:B$5063,2),IF(F650&gt;0,VLOOKUP(F650,КВР!A$1:B$5001,2),IF(E650&gt;0,VLOOKUP(E650,Направление!A$1:B$4746,2))))))</f>
        <v>Предоставление субсидий бюджетным, автономным учреждениям и иным некоммерческим организациям</v>
      </c>
      <c r="B650" s="91"/>
      <c r="C650" s="84"/>
      <c r="D650" s="444"/>
      <c r="E650" s="91"/>
      <c r="F650" s="85">
        <v>600</v>
      </c>
      <c r="G650" s="557">
        <v>2166960</v>
      </c>
      <c r="H650" s="384"/>
      <c r="I650" s="50">
        <f t="shared" si="200"/>
        <v>2166960</v>
      </c>
    </row>
    <row r="651" spans="1:9" s="20" customFormat="1" ht="93.6">
      <c r="A651" s="49" t="str">
        <f>IF(B651&gt;0,VLOOKUP(B651,КВСР!A567:B1732,2),IF(C651&gt;0,VLOOKUP(C651,КФСР!A567:B2079,2),IF(D651&gt;0,VLOOKUP(D651,Программа!A$1:B$5063,2),IF(F651&gt;0,VLOOKUP(F651,КВР!A$1:B$5001,2),IF(E651&gt;0,VLOOKUP(E651,Направление!A$1:B$4746,2))))))</f>
        <v>Муниципальная целевая программа «Патриотическое воспитание граждан Российской Федерации, проживающих на территории Тутаевского муниципального района Ярославской области»</v>
      </c>
      <c r="B651" s="91"/>
      <c r="C651" s="84"/>
      <c r="D651" s="444" t="s">
        <v>2724</v>
      </c>
      <c r="E651" s="91"/>
      <c r="F651" s="85"/>
      <c r="G651" s="101">
        <v>20000</v>
      </c>
      <c r="H651" s="101">
        <f t="shared" ref="H651:H653" si="234">H652</f>
        <v>216475</v>
      </c>
      <c r="I651" s="50">
        <f t="shared" si="200"/>
        <v>236475</v>
      </c>
    </row>
    <row r="652" spans="1:9" s="20" customFormat="1" ht="81.75" customHeight="1">
      <c r="A652" s="49" t="str">
        <f>IF(B652&gt;0,VLOOKUP(B652,КВСР!A568:B1733,2),IF(C652&gt;0,VLOOKUP(C652,КФСР!A568:B2080,2),IF(D652&gt;0,VLOOKUP(D652,Программа!A$1:B$5063,2),IF(F652&gt;0,VLOOKUP(F652,КВР!A$1:B$5001,2),IF(E652&gt;0,VLOOKUP(E652,Направление!A$1:B$4746,2))))))</f>
        <v>Координирование деятельности, совершенствование организационного, методического и информационного функционирования системы патриотического воспитания</v>
      </c>
      <c r="B652" s="91"/>
      <c r="C652" s="84"/>
      <c r="D652" s="444" t="s">
        <v>2725</v>
      </c>
      <c r="E652" s="91"/>
      <c r="F652" s="85"/>
      <c r="G652" s="101">
        <v>20000</v>
      </c>
      <c r="H652" s="101">
        <f>H653+H655+H657</f>
        <v>216475</v>
      </c>
      <c r="I652" s="50">
        <f t="shared" si="200"/>
        <v>236475</v>
      </c>
    </row>
    <row r="653" spans="1:9" s="20" customFormat="1" ht="46.8">
      <c r="A653" s="49" t="str">
        <f>IF(B653&gt;0,VLOOKUP(B653,КВСР!A569:B1734,2),IF(C653&gt;0,VLOOKUP(C653,КФСР!A569:B2081,2),IF(D653&gt;0,VLOOKUP(D653,Программа!A$1:B$5063,2),IF(F653&gt;0,VLOOKUP(F653,КВР!A$1:B$5001,2),IF(E653&gt;0,VLOOKUP(E653,Направление!A$1:B$4746,2))))))</f>
        <v>Расходы на реализацию мероприятий патриотического воспитания молодежи</v>
      </c>
      <c r="B653" s="91"/>
      <c r="C653" s="84"/>
      <c r="D653" s="444"/>
      <c r="E653" s="91">
        <v>14560</v>
      </c>
      <c r="F653" s="85"/>
      <c r="G653" s="101">
        <v>20000</v>
      </c>
      <c r="H653" s="101">
        <f t="shared" si="234"/>
        <v>-20000</v>
      </c>
      <c r="I653" s="50">
        <f t="shared" si="200"/>
        <v>0</v>
      </c>
    </row>
    <row r="654" spans="1:9" s="20" customFormat="1" ht="62.4">
      <c r="A654" s="49" t="str">
        <f>IF(B654&gt;0,VLOOKUP(B654,КВСР!A570:B1735,2),IF(C654&gt;0,VLOOKUP(C654,КФСР!A570:B2082,2),IF(D654&gt;0,VLOOKUP(D654,Программа!A$1:B$5063,2),IF(F654&gt;0,VLOOKUP(F654,КВР!A$1:B$5001,2),IF(E654&gt;0,VLOOKUP(E654,Направление!A$1:B$4746,2))))))</f>
        <v>Предоставление субсидий бюджетным, автономным учреждениям и иным некоммерческим организациям</v>
      </c>
      <c r="B654" s="91"/>
      <c r="C654" s="84"/>
      <c r="D654" s="444"/>
      <c r="E654" s="91"/>
      <c r="F654" s="85">
        <v>600</v>
      </c>
      <c r="G654" s="557">
        <v>20000</v>
      </c>
      <c r="H654" s="384">
        <v>-20000</v>
      </c>
      <c r="I654" s="50">
        <f t="shared" si="200"/>
        <v>0</v>
      </c>
    </row>
    <row r="655" spans="1:9" s="20" customFormat="1" ht="31.2">
      <c r="A655" s="49" t="str">
        <f>IF(B655&gt;0,VLOOKUP(B655,КВСР!A571:B1736,2),IF(C655&gt;0,VLOOKUP(C655,КФСР!A571:B2083,2),IF(D655&gt;0,VLOOKUP(D655,Программа!A$1:B$5063,2),IF(F655&gt;0,VLOOKUP(F655,КВР!A$1:B$5001,2),IF(E655&gt;0,VLOOKUP(E655,Направление!A$1:B$4746,2))))))</f>
        <v>Мероприятия по патриотическому воспитанию граждан</v>
      </c>
      <c r="B655" s="91"/>
      <c r="C655" s="84"/>
      <c r="D655" s="444"/>
      <c r="E655" s="91">
        <v>74880</v>
      </c>
      <c r="F655" s="85"/>
      <c r="G655" s="557"/>
      <c r="H655" s="557">
        <f>H656</f>
        <v>216475</v>
      </c>
      <c r="I655" s="557">
        <f>I656</f>
        <v>216475</v>
      </c>
    </row>
    <row r="656" spans="1:9" s="20" customFormat="1" ht="62.4">
      <c r="A656" s="49" t="str">
        <f>IF(B656&gt;0,VLOOKUP(B656,КВСР!A572:B1737,2),IF(C656&gt;0,VLOOKUP(C656,КФСР!A572:B2084,2),IF(D656&gt;0,VLOOKUP(D656,Программа!A$1:B$5063,2),IF(F656&gt;0,VLOOKUP(F656,КВР!A$1:B$5001,2),IF(E656&gt;0,VLOOKUP(E656,Направление!A$1:B$4746,2))))))</f>
        <v>Предоставление субсидий бюджетным, автономным учреждениям и иным некоммерческим организациям</v>
      </c>
      <c r="B656" s="91"/>
      <c r="C656" s="84"/>
      <c r="D656" s="444"/>
      <c r="E656" s="91"/>
      <c r="F656" s="85">
        <v>600</v>
      </c>
      <c r="G656" s="557"/>
      <c r="H656" s="384">
        <v>216475</v>
      </c>
      <c r="I656" s="50">
        <f>G656+H656</f>
        <v>216475</v>
      </c>
    </row>
    <row r="657" spans="1:9" s="20" customFormat="1" ht="31.2">
      <c r="A657" s="49" t="str">
        <f>IF(B657&gt;0,VLOOKUP(B657,КВСР!A573:B1738,2),IF(C657&gt;0,VLOOKUP(C657,КФСР!A573:B2085,2),IF(D657&gt;0,VLOOKUP(D657,Программа!A$1:B$5063,2),IF(F657&gt;0,VLOOKUP(F657,КВР!A$1:B$5001,2),IF(E657&gt;0,VLOOKUP(E657,Направление!A$1:B$4746,2))))))</f>
        <v>Мероприятия по патриотическому воспитанию граждан</v>
      </c>
      <c r="B657" s="91"/>
      <c r="C657" s="84"/>
      <c r="D657" s="444"/>
      <c r="E657" s="91" t="s">
        <v>3259</v>
      </c>
      <c r="F657" s="85"/>
      <c r="G657" s="557"/>
      <c r="H657" s="557">
        <f>H658</f>
        <v>20000</v>
      </c>
      <c r="I657" s="557">
        <f>I658</f>
        <v>20000</v>
      </c>
    </row>
    <row r="658" spans="1:9" s="20" customFormat="1" ht="62.4">
      <c r="A658" s="49" t="str">
        <f>IF(B658&gt;0,VLOOKUP(B658,КВСР!A574:B1739,2),IF(C658&gt;0,VLOOKUP(C658,КФСР!A574:B2086,2),IF(D658&gt;0,VLOOKUP(D658,Программа!A$1:B$5063,2),IF(F658&gt;0,VLOOKUP(F658,КВР!A$1:B$5001,2),IF(E658&gt;0,VLOOKUP(E658,Направление!A$1:B$4746,2))))))</f>
        <v>Предоставление субсидий бюджетным, автономным учреждениям и иным некоммерческим организациям</v>
      </c>
      <c r="B658" s="91"/>
      <c r="C658" s="84"/>
      <c r="D658" s="444"/>
      <c r="E658" s="91"/>
      <c r="F658" s="85">
        <v>600</v>
      </c>
      <c r="G658" s="557"/>
      <c r="H658" s="384">
        <v>20000</v>
      </c>
      <c r="I658" s="50">
        <f>G658+H658</f>
        <v>20000</v>
      </c>
    </row>
    <row r="659" spans="1:9" s="20" customFormat="1" ht="78">
      <c r="A659" s="49" t="str">
        <f>IF(B659&gt;0,VLOOKUP(B659,КВСР!A571:B1736,2),IF(C659&gt;0,VLOOKUP(C659,КФСР!A571:B2083,2),IF(D659&gt;0,VLOOKUP(D659,Программа!A$1:B$5063,2),IF(F659&gt;0,VLOOKUP(F659,КВР!A$1:B$5001,2),IF(E659&gt;0,VLOOKUP(E659,Направление!A$1:B$4746,2))))))</f>
        <v>Муниципальная целевая программа «Комплексные меры противодействия злоупотреблению наркотиками и их незаконному обороту»</v>
      </c>
      <c r="B659" s="91"/>
      <c r="C659" s="84"/>
      <c r="D659" s="444" t="s">
        <v>2726</v>
      </c>
      <c r="E659" s="91"/>
      <c r="F659" s="85"/>
      <c r="G659" s="101">
        <v>20000</v>
      </c>
      <c r="H659" s="101">
        <f t="shared" ref="H659:H661" si="235">H660</f>
        <v>0</v>
      </c>
      <c r="I659" s="50">
        <f t="shared" ref="I659:I744" si="236">SUM(G659:H659)</f>
        <v>20000</v>
      </c>
    </row>
    <row r="660" spans="1:9" s="20" customFormat="1" ht="46.8">
      <c r="A660" s="49" t="str">
        <f>IF(B660&gt;0,VLOOKUP(B660,КВСР!A572:B1737,2),IF(C660&gt;0,VLOOKUP(C660,КФСР!A572:B2084,2),IF(D660&gt;0,VLOOKUP(D660,Программа!A$1:B$5063,2),IF(F660&gt;0,VLOOKUP(F660,КВР!A$1:B$5001,2),IF(E660&gt;0,VLOOKUP(E660,Направление!A$1:B$4746,2))))))</f>
        <v>Развитие системы профилактики немедицинского потребления наркотиков</v>
      </c>
      <c r="B660" s="91"/>
      <c r="C660" s="84"/>
      <c r="D660" s="444" t="s">
        <v>2727</v>
      </c>
      <c r="E660" s="91"/>
      <c r="F660" s="85"/>
      <c r="G660" s="101">
        <v>20000</v>
      </c>
      <c r="H660" s="101">
        <f t="shared" si="235"/>
        <v>0</v>
      </c>
      <c r="I660" s="50">
        <f t="shared" si="236"/>
        <v>20000</v>
      </c>
    </row>
    <row r="661" spans="1:9" s="565" customFormat="1" ht="64.5" customHeight="1">
      <c r="A661" s="49" t="str">
        <f>IF(B661&gt;0,VLOOKUP(B661,КВСР!A573:B1738,2),IF(C661&gt;0,VLOOKUP(C661,КФСР!A573:B2085,2),IF(D661&gt;0,VLOOKUP(D661,Программа!A$1:B$5063,2),IF(F661&gt;0,VLOOKUP(F661,КВР!A$1:B$5001,2),IF(E661&gt;0,VLOOKUP(E661,Направление!A$1:B$4746,2))))))</f>
        <v>Расходы на реализацию  МЦП "Комплексные меры противодействия злоупотреблению наркотиками и их незаконному обороту"</v>
      </c>
      <c r="B661" s="564"/>
      <c r="C661" s="272"/>
      <c r="D661" s="447"/>
      <c r="E661" s="564">
        <v>13820</v>
      </c>
      <c r="F661" s="268"/>
      <c r="G661" s="566">
        <v>20000</v>
      </c>
      <c r="H661" s="566">
        <f t="shared" si="235"/>
        <v>0</v>
      </c>
      <c r="I661" s="50">
        <f t="shared" si="236"/>
        <v>20000</v>
      </c>
    </row>
    <row r="662" spans="1:9" s="20" customFormat="1" ht="62.4">
      <c r="A662" s="49" t="str">
        <f>IF(B662&gt;0,VLOOKUP(B662,КВСР!A574:B1739,2),IF(C662&gt;0,VLOOKUP(C662,КФСР!A574:B2086,2),IF(D662&gt;0,VLOOKUP(D662,Программа!A$1:B$5063,2),IF(F662&gt;0,VLOOKUP(F662,КВР!A$1:B$5001,2),IF(E662&gt;0,VLOOKUP(E662,Направление!A$1:B$4746,2))))))</f>
        <v>Предоставление субсидий бюджетным, автономным учреждениям и иным некоммерческим организациям</v>
      </c>
      <c r="B662" s="91"/>
      <c r="C662" s="84"/>
      <c r="D662" s="444"/>
      <c r="E662" s="91"/>
      <c r="F662" s="85">
        <v>600</v>
      </c>
      <c r="G662" s="557">
        <v>20000</v>
      </c>
      <c r="H662" s="384"/>
      <c r="I662" s="50">
        <f t="shared" si="236"/>
        <v>20000</v>
      </c>
    </row>
    <row r="663" spans="1:9" s="20" customFormat="1" ht="31.2">
      <c r="A663" s="49" t="str">
        <f>IF(B663&gt;0,VLOOKUP(B663,КВСР!A575:B1740,2),IF(C663&gt;0,VLOOKUP(C663,КФСР!A575:B2087,2),IF(D663&gt;0,VLOOKUP(D663,Программа!A$1:B$5063,2),IF(F663&gt;0,VLOOKUP(F663,КВР!A$1:B$5001,2),IF(E663&gt;0,VLOOKUP(E663,Направление!A$1:B$4746,2))))))</f>
        <v>Муниципальная программа "Доступная среда "</v>
      </c>
      <c r="B663" s="91"/>
      <c r="C663" s="84"/>
      <c r="D663" s="444" t="s">
        <v>2867</v>
      </c>
      <c r="E663" s="91"/>
      <c r="F663" s="85"/>
      <c r="G663" s="101">
        <v>29500</v>
      </c>
      <c r="H663" s="101">
        <f t="shared" ref="H663:H665" si="237">H664</f>
        <v>0</v>
      </c>
      <c r="I663" s="50">
        <f t="shared" si="236"/>
        <v>29500</v>
      </c>
    </row>
    <row r="664" spans="1:9" s="20" customFormat="1" ht="78">
      <c r="A664" s="49" t="str">
        <f>IF(B664&gt;0,VLOOKUP(B664,КВСР!A576:B1741,2),IF(C664&gt;0,VLOOKUP(C664,КФСР!A576:B2088,2),IF(D664&gt;0,VLOOKUP(D664,Программа!A$1:B$5063,2),IF(F664&gt;0,VLOOKUP(F664,КВР!A$1:B$5001,2),IF(E664&gt;0,VLOOKUP(E664,Направление!A$1:B$4746,2))))))</f>
        <v>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v>
      </c>
      <c r="B664" s="91"/>
      <c r="C664" s="84"/>
      <c r="D664" s="444" t="s">
        <v>2869</v>
      </c>
      <c r="E664" s="91"/>
      <c r="F664" s="85"/>
      <c r="G664" s="101">
        <v>29500</v>
      </c>
      <c r="H664" s="101">
        <f t="shared" si="237"/>
        <v>0</v>
      </c>
      <c r="I664" s="50">
        <f t="shared" si="236"/>
        <v>29500</v>
      </c>
    </row>
    <row r="665" spans="1:9" s="20" customFormat="1" ht="62.4">
      <c r="A665" s="49" t="str">
        <f>IF(B665&gt;0,VLOOKUP(B665,КВСР!A577:B1742,2),IF(C665&gt;0,VLOOKUP(C665,КФСР!A577:B2089,2),IF(D665&gt;0,VLOOKUP(D665,Программа!A$1:B$5063,2),IF(F665&gt;0,VLOOKUP(F665,КВР!A$1:B$5001,2),IF(E665&gt;0,VLOOKUP(E665,Направление!A$1:B$4746,2))))))</f>
        <v>Расходы на оборудование социально значимых объектов с целью обеспечения доступности для инвалидов</v>
      </c>
      <c r="B665" s="91"/>
      <c r="C665" s="84"/>
      <c r="D665" s="444"/>
      <c r="E665" s="91">
        <v>16250</v>
      </c>
      <c r="F665" s="85"/>
      <c r="G665" s="101">
        <v>29500</v>
      </c>
      <c r="H665" s="101">
        <f t="shared" si="237"/>
        <v>0</v>
      </c>
      <c r="I665" s="50">
        <f t="shared" si="236"/>
        <v>29500</v>
      </c>
    </row>
    <row r="666" spans="1:9" s="20" customFormat="1" ht="62.4">
      <c r="A666" s="49" t="str">
        <f>IF(B666&gt;0,VLOOKUP(B666,КВСР!A578:B1743,2),IF(C666&gt;0,VLOOKUP(C666,КФСР!A578:B2090,2),IF(D666&gt;0,VLOOKUP(D666,Программа!A$1:B$5063,2),IF(F666&gt;0,VLOOKUP(F666,КВР!A$1:B$5001,2),IF(E666&gt;0,VLOOKUP(E666,Направление!A$1:B$4746,2))))))</f>
        <v>Предоставление субсидий бюджетным, автономным учреждениям и иным некоммерческим организациям</v>
      </c>
      <c r="B666" s="91"/>
      <c r="C666" s="84"/>
      <c r="D666" s="85"/>
      <c r="E666" s="91"/>
      <c r="F666" s="85">
        <v>600</v>
      </c>
      <c r="G666" s="557">
        <v>29500</v>
      </c>
      <c r="H666" s="384"/>
      <c r="I666" s="50">
        <f t="shared" si="236"/>
        <v>29500</v>
      </c>
    </row>
    <row r="667" spans="1:9" s="20" customFormat="1">
      <c r="A667" s="49" t="str">
        <f>IF(B667&gt;0,VLOOKUP(B667,КВСР!A579:B1744,2),IF(C667&gt;0,VLOOKUP(C667,КФСР!A579:B2091,2),IF(D667&gt;0,VLOOKUP(D667,Программа!A$1:B$5063,2),IF(F667&gt;0,VLOOKUP(F667,КВР!A$1:B$5001,2),IF(E667&gt;0,VLOOKUP(E667,Направление!A$1:B$4746,2))))))</f>
        <v>Культура</v>
      </c>
      <c r="B667" s="91"/>
      <c r="C667" s="84">
        <v>801</v>
      </c>
      <c r="D667" s="445"/>
      <c r="E667" s="92"/>
      <c r="F667" s="94"/>
      <c r="G667" s="83">
        <v>110701590</v>
      </c>
      <c r="H667" s="83">
        <f>H668+H703+H698+H707</f>
        <v>370369</v>
      </c>
      <c r="I667" s="83">
        <f>I668+I703+I698+I707</f>
        <v>111071959</v>
      </c>
    </row>
    <row r="668" spans="1:9" s="20" customFormat="1" ht="62.4">
      <c r="A668" s="49" t="str">
        <f>IF(B668&gt;0,VLOOKUP(B668,КВСР!A580:B1745,2),IF(C668&gt;0,VLOOKUP(C668,КФСР!A580:B2092,2),IF(D668&gt;0,VLOOKUP(D668,Программа!A$1:B$5063,2),IF(F668&gt;0,VLOOKUP(F668,КВР!A$1:B$5001,2),IF(E668&gt;0,VLOOKUP(E668,Направление!A$1:B$4746,2))))))</f>
        <v>Муниципальная программа  "Развитие культуры, туризма и молодежной политики в Тутаевском муниципальном районе"</v>
      </c>
      <c r="B668" s="91"/>
      <c r="C668" s="84"/>
      <c r="D668" s="445" t="s">
        <v>2721</v>
      </c>
      <c r="E668" s="92"/>
      <c r="F668" s="94"/>
      <c r="G668" s="83">
        <v>108005590</v>
      </c>
      <c r="H668" s="83">
        <f t="shared" ref="H668" si="238">H669</f>
        <v>370369</v>
      </c>
      <c r="I668" s="50">
        <f t="shared" si="236"/>
        <v>108375959</v>
      </c>
    </row>
    <row r="669" spans="1:9" s="20" customFormat="1" ht="50.25" customHeight="1">
      <c r="A669" s="49" t="str">
        <f>IF(B669&gt;0,VLOOKUP(B669,КВСР!A581:B1746,2),IF(C669&gt;0,VLOOKUP(C669,КФСР!A581:B2093,2),IF(D669&gt;0,VLOOKUP(D669,Программа!A$1:B$5063,2),IF(F669&gt;0,VLOOKUP(F669,КВР!A$1:B$5001,2),IF(E669&gt;0,VLOOKUP(E669,Направление!A$1:B$4746,2))))))</f>
        <v>Ведомственная целевая программа «Сохранение и развитие культуры Тутаевского муниципального района»</v>
      </c>
      <c r="B669" s="91"/>
      <c r="C669" s="84"/>
      <c r="D669" s="445" t="s">
        <v>2728</v>
      </c>
      <c r="E669" s="92"/>
      <c r="F669" s="94"/>
      <c r="G669" s="83">
        <v>108005590</v>
      </c>
      <c r="H669" s="83">
        <f t="shared" ref="H669:I669" si="239">H670+H689</f>
        <v>370369</v>
      </c>
      <c r="I669" s="83">
        <f t="shared" si="239"/>
        <v>108375959</v>
      </c>
    </row>
    <row r="670" spans="1:9" s="20" customFormat="1" ht="31.2">
      <c r="A670" s="49" t="str">
        <f>IF(B670&gt;0,VLOOKUP(B670,КВСР!A582:B1747,2),IF(C670&gt;0,VLOOKUP(C670,КФСР!A582:B2094,2),IF(D670&gt;0,VLOOKUP(D670,Программа!A$1:B$5063,2),IF(F670&gt;0,VLOOKUP(F670,КВР!A$1:B$5001,2),IF(E670&gt;0,VLOOKUP(E670,Направление!A$1:B$4746,2))))))</f>
        <v>Содействие доступу граждан к культурным ценностям</v>
      </c>
      <c r="B670" s="91"/>
      <c r="C670" s="84"/>
      <c r="D670" s="445" t="s">
        <v>2731</v>
      </c>
      <c r="E670" s="92"/>
      <c r="F670" s="94"/>
      <c r="G670" s="83">
        <v>88672999</v>
      </c>
      <c r="H670" s="83">
        <f>H673+H679+H671+H675+H685+H677+H687+H681+H683</f>
        <v>-82669</v>
      </c>
      <c r="I670" s="83">
        <f>I673+I679+I671+I675+I685+I677+I687+I681+I683</f>
        <v>88590330</v>
      </c>
    </row>
    <row r="671" spans="1:9" s="20" customFormat="1" ht="31.2">
      <c r="A671" s="49" t="str">
        <f>IF(B671&gt;0,VLOOKUP(B671,КВСР!A583:B1748,2),IF(C671&gt;0,VLOOKUP(C671,КФСР!A583:B2095,2),IF(D671&gt;0,VLOOKUP(D671,Программа!A$1:B$5063,2),IF(F671&gt;0,VLOOKUP(F671,КВР!A$1:B$5001,2),IF(E671&gt;0,VLOOKUP(E671,Направление!A$1:B$4746,2))))))</f>
        <v xml:space="preserve">Выплата ежемесячных и разовых стипендий главы </v>
      </c>
      <c r="B671" s="91"/>
      <c r="C671" s="84"/>
      <c r="D671" s="445"/>
      <c r="E671" s="92">
        <v>12700</v>
      </c>
      <c r="F671" s="94"/>
      <c r="G671" s="83">
        <v>40000</v>
      </c>
      <c r="H671" s="83">
        <f t="shared" ref="H671" si="240">H672</f>
        <v>0</v>
      </c>
      <c r="I671" s="50">
        <f t="shared" si="236"/>
        <v>40000</v>
      </c>
    </row>
    <row r="672" spans="1:9" s="20" customFormat="1" ht="62.4">
      <c r="A672" s="49" t="str">
        <f>IF(B672&gt;0,VLOOKUP(B672,КВСР!A584:B1749,2),IF(C672&gt;0,VLOOKUP(C672,КФСР!A584:B2096,2),IF(D672&gt;0,VLOOKUP(D672,Программа!A$1:B$5063,2),IF(F672&gt;0,VLOOKUP(F672,КВР!A$1:B$5001,2),IF(E672&gt;0,VLOOKUP(E672,Направление!A$1:B$4746,2))))))</f>
        <v>Предоставление субсидий бюджетным, автономным учреждениям и иным некоммерческим организациям</v>
      </c>
      <c r="B672" s="91"/>
      <c r="C672" s="84"/>
      <c r="D672" s="94"/>
      <c r="E672" s="92"/>
      <c r="F672" s="94">
        <v>600</v>
      </c>
      <c r="G672" s="393">
        <v>40000</v>
      </c>
      <c r="H672" s="390"/>
      <c r="I672" s="50">
        <f t="shared" si="236"/>
        <v>40000</v>
      </c>
    </row>
    <row r="673" spans="1:9" s="20" customFormat="1" ht="46.8">
      <c r="A673" s="49" t="str">
        <f>IF(B673&gt;0,VLOOKUP(B673,КВСР!A585:B1750,2),IF(C673&gt;0,VLOOKUP(C673,КФСР!A585:B2097,2),IF(D673&gt;0,VLOOKUP(D673,Программа!A$1:B$5063,2),IF(F673&gt;0,VLOOKUP(F673,КВР!A$1:B$5001,2),IF(E673&gt;0,VLOOKUP(E673,Направление!A$1:B$4746,2))))))</f>
        <v>Обеспечение деятельности учреждений по организации досуга в сфере культуры</v>
      </c>
      <c r="B673" s="91"/>
      <c r="C673" s="84"/>
      <c r="D673" s="445"/>
      <c r="E673" s="92">
        <v>15010</v>
      </c>
      <c r="F673" s="94"/>
      <c r="G673" s="51">
        <v>76151260</v>
      </c>
      <c r="H673" s="51">
        <f t="shared" ref="H673" si="241">H674</f>
        <v>-232669</v>
      </c>
      <c r="I673" s="50">
        <f t="shared" si="236"/>
        <v>75918591</v>
      </c>
    </row>
    <row r="674" spans="1:9" s="20" customFormat="1" ht="62.4">
      <c r="A674" s="49" t="str">
        <f>IF(B674&gt;0,VLOOKUP(B674,КВСР!A586:B1751,2),IF(C674&gt;0,VLOOKUP(C674,КФСР!A586:B2098,2),IF(D674&gt;0,VLOOKUP(D674,Программа!A$1:B$5063,2),IF(F674&gt;0,VLOOKUP(F674,КВР!A$1:B$5001,2),IF(E674&gt;0,VLOOKUP(E674,Направление!A$1:B$4746,2))))))</f>
        <v>Предоставление субсидий бюджетным, автономным учреждениям и иным некоммерческим организациям</v>
      </c>
      <c r="B674" s="91"/>
      <c r="C674" s="84"/>
      <c r="D674" s="94"/>
      <c r="E674" s="92"/>
      <c r="F674" s="94">
        <v>600</v>
      </c>
      <c r="G674" s="393">
        <v>76151260</v>
      </c>
      <c r="H674" s="383">
        <v>-232669</v>
      </c>
      <c r="I674" s="50">
        <f t="shared" si="236"/>
        <v>75918591</v>
      </c>
    </row>
    <row r="675" spans="1:9" s="20" customFormat="1">
      <c r="A675" s="49" t="str">
        <f>IF(B675&gt;0,VLOOKUP(B675,КВСР!A587:B1752,2),IF(C675&gt;0,VLOOKUP(C675,КФСР!A587:B2099,2),IF(D675&gt;0,VLOOKUP(D675,Программа!A$1:B$5063,2),IF(F675&gt;0,VLOOKUP(F675,КВР!A$1:B$5001,2),IF(E675&gt;0,VLOOKUP(E675,Направление!A$1:B$4746,2))))))</f>
        <v>Мероприятия в сфере культуры</v>
      </c>
      <c r="B675" s="91"/>
      <c r="C675" s="84"/>
      <c r="D675" s="445"/>
      <c r="E675" s="92">
        <v>15220</v>
      </c>
      <c r="F675" s="94"/>
      <c r="G675" s="83">
        <v>1025000</v>
      </c>
      <c r="H675" s="83">
        <f t="shared" ref="H675" si="242">H676</f>
        <v>0</v>
      </c>
      <c r="I675" s="50">
        <f t="shared" si="236"/>
        <v>1025000</v>
      </c>
    </row>
    <row r="676" spans="1:9" s="20" customFormat="1" ht="62.4">
      <c r="A676" s="49" t="str">
        <f>IF(B676&gt;0,VLOOKUP(B676,КВСР!A588:B1753,2),IF(C676&gt;0,VLOOKUP(C676,КФСР!A588:B2100,2),IF(D676&gt;0,VLOOKUP(D676,Программа!A$1:B$5063,2),IF(F676&gt;0,VLOOKUP(F676,КВР!A$1:B$5001,2),IF(E676&gt;0,VLOOKUP(E676,Направление!A$1:B$4746,2))))))</f>
        <v>Предоставление субсидий бюджетным, автономным учреждениям и иным некоммерческим организациям</v>
      </c>
      <c r="B676" s="91"/>
      <c r="C676" s="84"/>
      <c r="D676" s="445"/>
      <c r="E676" s="92"/>
      <c r="F676" s="94">
        <v>600</v>
      </c>
      <c r="G676" s="393">
        <v>1025000</v>
      </c>
      <c r="H676" s="383"/>
      <c r="I676" s="50">
        <f t="shared" si="236"/>
        <v>1025000</v>
      </c>
    </row>
    <row r="677" spans="1:9" s="20" customFormat="1" ht="31.2">
      <c r="A677" s="49" t="str">
        <f>IF(B677&gt;0,VLOOKUP(B677,КВСР!A589:B1754,2),IF(C677&gt;0,VLOOKUP(C677,КФСР!A589:B2101,2),IF(D677&gt;0,VLOOKUP(D677,Программа!A$1:B$5063,2),IF(F677&gt;0,VLOOKUP(F677,КВР!A$1:B$5001,2),IF(E677&gt;0,VLOOKUP(E677,Направление!A$1:B$4746,2))))))</f>
        <v xml:space="preserve">Обеспечение культурно-досуговых мероприятий </v>
      </c>
      <c r="B677" s="91"/>
      <c r="C677" s="84"/>
      <c r="D677" s="445"/>
      <c r="E677" s="92">
        <v>29216</v>
      </c>
      <c r="F677" s="94"/>
      <c r="G677" s="393">
        <v>1400000</v>
      </c>
      <c r="H677" s="393">
        <f t="shared" ref="H677:I677" si="243">H678</f>
        <v>0</v>
      </c>
      <c r="I677" s="393">
        <f t="shared" si="243"/>
        <v>1400000</v>
      </c>
    </row>
    <row r="678" spans="1:9" s="20" customFormat="1" ht="62.4">
      <c r="A678" s="49" t="str">
        <f>IF(B678&gt;0,VLOOKUP(B678,КВСР!A590:B1755,2),IF(C678&gt;0,VLOOKUP(C678,КФСР!A590:B2102,2),IF(D678&gt;0,VLOOKUP(D678,Программа!A$1:B$5063,2),IF(F678&gt;0,VLOOKUP(F678,КВР!A$1:B$5001,2),IF(E678&gt;0,VLOOKUP(E678,Направление!A$1:B$4746,2))))))</f>
        <v>Предоставление субсидий бюджетным, автономным учреждениям и иным некоммерческим организациям</v>
      </c>
      <c r="B678" s="91"/>
      <c r="C678" s="84"/>
      <c r="D678" s="445"/>
      <c r="E678" s="92"/>
      <c r="F678" s="94">
        <v>600</v>
      </c>
      <c r="G678" s="393">
        <v>1400000</v>
      </c>
      <c r="H678" s="383"/>
      <c r="I678" s="50">
        <f>G678+H678</f>
        <v>1400000</v>
      </c>
    </row>
    <row r="679" spans="1:9" s="20" customFormat="1" ht="54" customHeight="1">
      <c r="A679" s="49" t="str">
        <f>IF(B679&gt;0,VLOOKUP(B679,КВСР!A591:B1756,2),IF(C679&gt;0,VLOOKUP(C679,КФСР!A591:B2103,2),IF(D679&gt;0,VLOOKUP(D679,Программа!A$1:B$5063,2),IF(F679&gt;0,VLOOKUP(F679,КВР!A$1:B$5001,2),IF(E679&gt;0,VLOOKUP(E679,Направление!A$1:B$4746,2))))))</f>
        <v>Расходы на проведение капитального ремонта муниципальных учреждений культуры</v>
      </c>
      <c r="B679" s="91"/>
      <c r="C679" s="84"/>
      <c r="D679" s="445"/>
      <c r="E679" s="92" t="s">
        <v>3007</v>
      </c>
      <c r="F679" s="94"/>
      <c r="G679" s="51">
        <v>937000</v>
      </c>
      <c r="H679" s="51">
        <f t="shared" ref="H679" si="244">H680</f>
        <v>0</v>
      </c>
      <c r="I679" s="50">
        <f t="shared" si="236"/>
        <v>937000</v>
      </c>
    </row>
    <row r="680" spans="1:9" s="20" customFormat="1" ht="62.4">
      <c r="A680" s="49" t="str">
        <f>IF(B680&gt;0,VLOOKUP(B680,КВСР!A592:B1757,2),IF(C680&gt;0,VLOOKUP(C680,КФСР!A592:B2104,2),IF(D680&gt;0,VLOOKUP(D680,Программа!A$1:B$5063,2),IF(F680&gt;0,VLOOKUP(F680,КВР!A$1:B$5001,2),IF(E680&gt;0,VLOOKUP(E680,Направление!A$1:B$4746,2))))))</f>
        <v>Предоставление субсидий бюджетным, автономным учреждениям и иным некоммерческим организациям</v>
      </c>
      <c r="B680" s="91"/>
      <c r="C680" s="84"/>
      <c r="D680" s="444"/>
      <c r="E680" s="91"/>
      <c r="F680" s="85">
        <v>600</v>
      </c>
      <c r="G680" s="393">
        <v>937000</v>
      </c>
      <c r="H680" s="383"/>
      <c r="I680" s="50">
        <f t="shared" si="236"/>
        <v>937000</v>
      </c>
    </row>
    <row r="681" spans="1:9" s="20" customFormat="1" ht="62.4">
      <c r="A681" s="49" t="str">
        <f>IF(B681&gt;0,VLOOKUP(B681,КВСР!A593:B1758,2),IF(C681&gt;0,VLOOKUP(C681,КФСР!A593:B2105,2),IF(D681&gt;0,VLOOKUP(D681,Программа!A$1:B$5063,2),IF(F681&gt;0,VLOOKUP(F681,КВР!A$1:B$5001,2),IF(E681&gt;0,VLOOKUP(E681,Направление!A$1:B$4746,2))))))</f>
        <v>Иные межбюджетные трансферты на государственную поддержку муниципальных учреждений культуры</v>
      </c>
      <c r="B681" s="91"/>
      <c r="C681" s="84"/>
      <c r="D681" s="444"/>
      <c r="E681" s="91">
        <v>51470</v>
      </c>
      <c r="F681" s="85"/>
      <c r="G681" s="393">
        <f>G682</f>
        <v>0</v>
      </c>
      <c r="H681" s="393">
        <f t="shared" ref="H681" si="245">H682</f>
        <v>100000</v>
      </c>
      <c r="I681" s="50">
        <f t="shared" si="236"/>
        <v>100000</v>
      </c>
    </row>
    <row r="682" spans="1:9" s="20" customFormat="1" ht="62.4">
      <c r="A682" s="49" t="str">
        <f>IF(B682&gt;0,VLOOKUP(B682,КВСР!A594:B1759,2),IF(C682&gt;0,VLOOKUP(C682,КФСР!A594:B2106,2),IF(D682&gt;0,VLOOKUP(D682,Программа!A$1:B$5063,2),IF(F682&gt;0,VLOOKUP(F682,КВР!A$1:B$5001,2),IF(E682&gt;0,VLOOKUP(E682,Направление!A$1:B$4746,2))))))</f>
        <v>Предоставление субсидий бюджетным, автономным учреждениям и иным некоммерческим организациям</v>
      </c>
      <c r="B682" s="91"/>
      <c r="C682" s="84"/>
      <c r="D682" s="444"/>
      <c r="E682" s="91"/>
      <c r="F682" s="85">
        <v>600</v>
      </c>
      <c r="G682" s="393"/>
      <c r="H682" s="383">
        <v>100000</v>
      </c>
      <c r="I682" s="50">
        <f t="shared" si="236"/>
        <v>100000</v>
      </c>
    </row>
    <row r="683" spans="1:9" s="20" customFormat="1" ht="78">
      <c r="A683" s="49" t="str">
        <f>IF(B683&gt;0,VLOOKUP(B683,КВСР!A595:B1760,2),IF(C683&gt;0,VLOOKUP(C683,КФСР!A595:B2107,2),IF(D683&gt;0,VLOOKUP(D683,Программа!A$1:B$5063,2),IF(F683&gt;0,VLOOKUP(F683,КВР!A$1:B$5001,2),IF(E683&gt;0,VLOOKUP(E683,Направление!A$1:B$4746,2))))))</f>
        <v>Иные межбюджетные трансферты на государственную поддержку лучших работников муниципальных учреждений культуры, находящихся на территориях сельских поселений</v>
      </c>
      <c r="B683" s="91"/>
      <c r="C683" s="84"/>
      <c r="D683" s="444"/>
      <c r="E683" s="91">
        <v>51480</v>
      </c>
      <c r="F683" s="85"/>
      <c r="G683" s="393">
        <f>G684</f>
        <v>0</v>
      </c>
      <c r="H683" s="393">
        <f t="shared" ref="H683" si="246">H684</f>
        <v>50000</v>
      </c>
      <c r="I683" s="50">
        <f t="shared" si="236"/>
        <v>50000</v>
      </c>
    </row>
    <row r="684" spans="1:9" s="20" customFormat="1" ht="62.4">
      <c r="A684" s="49" t="str">
        <f>IF(B684&gt;0,VLOOKUP(B684,КВСР!A596:B1761,2),IF(C684&gt;0,VLOOKUP(C684,КФСР!A596:B2108,2),IF(D684&gt;0,VLOOKUP(D684,Программа!A$1:B$5063,2),IF(F684&gt;0,VLOOKUP(F684,КВР!A$1:B$5001,2),IF(E684&gt;0,VLOOKUP(E684,Направление!A$1:B$4746,2))))))</f>
        <v>Предоставление субсидий бюджетным, автономным учреждениям и иным некоммерческим организациям</v>
      </c>
      <c r="B684" s="91"/>
      <c r="C684" s="84"/>
      <c r="D684" s="444"/>
      <c r="E684" s="91"/>
      <c r="F684" s="85">
        <v>600</v>
      </c>
      <c r="G684" s="393"/>
      <c r="H684" s="383">
        <v>50000</v>
      </c>
      <c r="I684" s="50">
        <f t="shared" si="236"/>
        <v>50000</v>
      </c>
    </row>
    <row r="685" spans="1:9" s="20" customFormat="1" ht="46.8">
      <c r="A685" s="49" t="str">
        <f>IF(B685&gt;0,VLOOKUP(B685,КВСР!A597:B1762,2),IF(C685&gt;0,VLOOKUP(C685,КФСР!A597:B2109,2),IF(D685&gt;0,VLOOKUP(D685,Программа!A$1:B$5063,2),IF(F685&gt;0,VLOOKUP(F685,КВР!A$1:B$5001,2),IF(E685&gt;0,VLOOKUP(E685,Направление!A$1:B$4746,2))))))</f>
        <v>Расходы на проведение капитального ремонта муниципальных учреждений культуры</v>
      </c>
      <c r="B685" s="91"/>
      <c r="C685" s="84"/>
      <c r="D685" s="444"/>
      <c r="E685" s="91">
        <v>71690</v>
      </c>
      <c r="F685" s="85"/>
      <c r="G685" s="83">
        <v>9119739</v>
      </c>
      <c r="H685" s="83">
        <f t="shared" ref="H685" si="247">H686</f>
        <v>0</v>
      </c>
      <c r="I685" s="50">
        <f t="shared" si="236"/>
        <v>9119739</v>
      </c>
    </row>
    <row r="686" spans="1:9" s="20" customFormat="1" ht="62.4">
      <c r="A686" s="49" t="str">
        <f>IF(B686&gt;0,VLOOKUP(B686,КВСР!A594:B1759,2),IF(C686&gt;0,VLOOKUP(C686,КФСР!A594:B2106,2),IF(D686&gt;0,VLOOKUP(D686,Программа!A$1:B$5063,2),IF(F686&gt;0,VLOOKUP(F686,КВР!A$1:B$5001,2),IF(E686&gt;0,VLOOKUP(E686,Направление!A$1:B$4746,2))))))</f>
        <v>Предоставление субсидий бюджетным, автономным учреждениям и иным некоммерческим организациям</v>
      </c>
      <c r="B686" s="91"/>
      <c r="C686" s="84"/>
      <c r="D686" s="444"/>
      <c r="E686" s="91"/>
      <c r="F686" s="85">
        <v>600</v>
      </c>
      <c r="G686" s="393">
        <v>9119739</v>
      </c>
      <c r="H686" s="383"/>
      <c r="I686" s="50">
        <f t="shared" si="236"/>
        <v>9119739</v>
      </c>
    </row>
    <row r="687" spans="1:9" s="20" customFormat="1" ht="62.4" hidden="1">
      <c r="A687" s="49" t="str">
        <f>IF(B687&gt;0,VLOOKUP(B687,КВСР!A595:B1760,2),IF(C687&gt;0,VLOOKUP(C687,КФСР!A595:B2107,2),IF(D687&gt;0,VLOOKUP(D687,Программа!A$1:B$5063,2),IF(F687&gt;0,VLOOKUP(F687,КВР!A$1:B$5001,2),IF(E687&gt;0,VLOOKUP(E687,Направление!A$1:B$4746,2))))))</f>
        <v>Мероприятия по содействию решению вопросов местного значения по обращению депутатов Ярославской областной Думы</v>
      </c>
      <c r="B687" s="91"/>
      <c r="C687" s="84"/>
      <c r="D687" s="444"/>
      <c r="E687" s="91">
        <v>74430</v>
      </c>
      <c r="F687" s="85"/>
      <c r="G687" s="393">
        <v>0</v>
      </c>
      <c r="H687" s="393">
        <f t="shared" ref="H687:I687" si="248">H688</f>
        <v>0</v>
      </c>
      <c r="I687" s="393">
        <f t="shared" si="248"/>
        <v>0</v>
      </c>
    </row>
    <row r="688" spans="1:9" s="20" customFormat="1" ht="62.4" hidden="1">
      <c r="A688" s="49" t="str">
        <f>IF(B688&gt;0,VLOOKUP(B688,КВСР!A596:B1761,2),IF(C688&gt;0,VLOOKUP(C688,КФСР!A596:B2108,2),IF(D688&gt;0,VLOOKUP(D688,Программа!A$1:B$5063,2),IF(F688&gt;0,VLOOKUP(F688,КВР!A$1:B$5001,2),IF(E688&gt;0,VLOOKUP(E688,Направление!A$1:B$4746,2))))))</f>
        <v>Предоставление субсидий бюджетным, автономным учреждениям и иным некоммерческим организациям</v>
      </c>
      <c r="B688" s="91"/>
      <c r="C688" s="84"/>
      <c r="D688" s="444"/>
      <c r="E688" s="91"/>
      <c r="F688" s="85">
        <v>600</v>
      </c>
      <c r="G688" s="393">
        <v>0</v>
      </c>
      <c r="H688" s="383"/>
      <c r="I688" s="50">
        <f>G688+H688</f>
        <v>0</v>
      </c>
    </row>
    <row r="689" spans="1:9" s="20" customFormat="1" ht="46.8">
      <c r="A689" s="49" t="str">
        <f>IF(B689&gt;0,VLOOKUP(B689,КВСР!A595:B1760,2),IF(C689&gt;0,VLOOKUP(C689,КФСР!A595:B2107,2),IF(D689&gt;0,VLOOKUP(D689,Программа!A$1:B$5063,2),IF(F689&gt;0,VLOOKUP(F689,КВР!A$1:B$5001,2),IF(E689&gt;0,VLOOKUP(E689,Направление!A$1:B$4746,2))))))</f>
        <v>Поддержка доступа граждан к информационно-библиотечным ресурсам</v>
      </c>
      <c r="B689" s="91"/>
      <c r="C689" s="84"/>
      <c r="D689" s="444" t="s">
        <v>2734</v>
      </c>
      <c r="E689" s="91"/>
      <c r="F689" s="85"/>
      <c r="G689" s="83">
        <v>19332591</v>
      </c>
      <c r="H689" s="83">
        <f>H690+H692+H694+H696</f>
        <v>453038</v>
      </c>
      <c r="I689" s="50">
        <f t="shared" si="236"/>
        <v>19785629</v>
      </c>
    </row>
    <row r="690" spans="1:9" s="20" customFormat="1" ht="19.5" customHeight="1">
      <c r="A690" s="49" t="str">
        <f>IF(B690&gt;0,VLOOKUP(B690,КВСР!A596:B1761,2),IF(C690&gt;0,VLOOKUP(C690,КФСР!A596:B2108,2),IF(D690&gt;0,VLOOKUP(D690,Программа!A$1:B$5063,2),IF(F690&gt;0,VLOOKUP(F690,КВР!A$1:B$5001,2),IF(E690&gt;0,VLOOKUP(E690,Направление!A$1:B$4746,2))))))</f>
        <v>Обеспечение деятельности библиотек</v>
      </c>
      <c r="B690" s="91"/>
      <c r="C690" s="84"/>
      <c r="D690" s="444"/>
      <c r="E690" s="91">
        <v>15110</v>
      </c>
      <c r="F690" s="85"/>
      <c r="G690" s="83">
        <v>19332591</v>
      </c>
      <c r="H690" s="83">
        <f t="shared" ref="H690" si="249">H691</f>
        <v>0</v>
      </c>
      <c r="I690" s="50">
        <f t="shared" si="236"/>
        <v>19332591</v>
      </c>
    </row>
    <row r="691" spans="1:9" s="20" customFormat="1" ht="62.4">
      <c r="A691" s="49" t="str">
        <f>IF(B691&gt;0,VLOOKUP(B691,КВСР!A597:B1762,2),IF(C691&gt;0,VLOOKUP(C691,КФСР!A597:B2109,2),IF(D691&gt;0,VLOOKUP(D691,Программа!A$1:B$5063,2),IF(F691&gt;0,VLOOKUP(F691,КВР!A$1:B$5001,2),IF(E691&gt;0,VLOOKUP(E691,Направление!A$1:B$4746,2))))))</f>
        <v>Предоставление субсидий бюджетным, автономным учреждениям и иным некоммерческим организациям</v>
      </c>
      <c r="B691" s="91"/>
      <c r="C691" s="84"/>
      <c r="D691" s="444"/>
      <c r="E691" s="91"/>
      <c r="F691" s="85">
        <v>600</v>
      </c>
      <c r="G691" s="393">
        <v>19332591</v>
      </c>
      <c r="H691" s="383"/>
      <c r="I691" s="50">
        <f t="shared" si="236"/>
        <v>19332591</v>
      </c>
    </row>
    <row r="692" spans="1:9" s="20" customFormat="1" ht="93.6">
      <c r="A692" s="49" t="str">
        <f>IF(B692&gt;0,VLOOKUP(B692,КВСР!A598:B1763,2),IF(C692&gt;0,VLOOKUP(C692,КФСР!A598:B2110,2),IF(D692&gt;0,VLOOKUP(D692,Программа!A$1:B$5063,2),IF(F692&gt;0,VLOOKUP(F692,КВР!A$1:B$5001,2),IF(E692&gt;0,VLOOKUP(E692,Направление!A$1:B$4746,2))))))</f>
        <v>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Санкт-Петербурга</v>
      </c>
      <c r="B692" s="91"/>
      <c r="C692" s="84"/>
      <c r="D692" s="444"/>
      <c r="E692" s="91">
        <v>51440</v>
      </c>
      <c r="F692" s="85"/>
      <c r="G692" s="393"/>
      <c r="H692" s="83">
        <f>H693</f>
        <v>28767</v>
      </c>
      <c r="I692" s="50">
        <f t="shared" si="236"/>
        <v>28767</v>
      </c>
    </row>
    <row r="693" spans="1:9" s="20" customFormat="1" ht="62.4">
      <c r="A693" s="49" t="str">
        <f>IF(B693&gt;0,VLOOKUP(B693,КВСР!A599:B1764,2),IF(C693&gt;0,VLOOKUP(C693,КФСР!A599:B2111,2),IF(D693&gt;0,VLOOKUP(D693,Программа!A$1:B$5063,2),IF(F693&gt;0,VLOOKUP(F693,КВР!A$1:B$5001,2),IF(E693&gt;0,VLOOKUP(E693,Направление!A$1:B$4746,2))))))</f>
        <v>Предоставление субсидий бюджетным, автономным учреждениям и иным некоммерческим организациям</v>
      </c>
      <c r="B693" s="91"/>
      <c r="C693" s="84"/>
      <c r="D693" s="444"/>
      <c r="E693" s="91"/>
      <c r="F693" s="85">
        <v>600</v>
      </c>
      <c r="G693" s="393"/>
      <c r="H693" s="383">
        <v>28767</v>
      </c>
      <c r="I693" s="50">
        <f t="shared" si="236"/>
        <v>28767</v>
      </c>
    </row>
    <row r="694" spans="1:9" s="20" customFormat="1" ht="109.2">
      <c r="A694" s="49" t="str">
        <f>IF(B694&gt;0,VLOOKUP(B694,КВСР!A600:B1765,2),IF(C694&gt;0,VLOOKUP(C694,КФСР!A600:B2112,2),IF(D694&gt;0,VLOOKUP(D694,Программа!A$1:B$5063,2),IF(F694&gt;0,VLOOKUP(F694,КВР!A$1:B$5001,2),IF(E694&gt;0,VLOOKUP(E694,Направление!A$1:B$4746,2))))))</f>
        <v>Иные межбюджетные трансферты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v>
      </c>
      <c r="B694" s="91"/>
      <c r="C694" s="84"/>
      <c r="D694" s="444"/>
      <c r="E694" s="91">
        <v>51460</v>
      </c>
      <c r="F694" s="85"/>
      <c r="G694" s="393"/>
      <c r="H694" s="83">
        <f>H695</f>
        <v>41045</v>
      </c>
      <c r="I694" s="50">
        <f t="shared" si="236"/>
        <v>41045</v>
      </c>
    </row>
    <row r="695" spans="1:9" s="20" customFormat="1" ht="62.4">
      <c r="A695" s="49" t="str">
        <f>IF(B695&gt;0,VLOOKUP(B695,КВСР!A601:B1766,2),IF(C695&gt;0,VLOOKUP(C695,КФСР!A601:B2113,2),IF(D695&gt;0,VLOOKUP(D695,Программа!A$1:B$5063,2),IF(F695&gt;0,VLOOKUP(F695,КВР!A$1:B$5001,2),IF(E695&gt;0,VLOOKUP(E695,Направление!A$1:B$4746,2))))))</f>
        <v>Предоставление субсидий бюджетным, автономным учреждениям и иным некоммерческим организациям</v>
      </c>
      <c r="B695" s="91"/>
      <c r="C695" s="84"/>
      <c r="D695" s="444"/>
      <c r="E695" s="91"/>
      <c r="F695" s="85">
        <v>600</v>
      </c>
      <c r="G695" s="393"/>
      <c r="H695" s="383">
        <v>41045</v>
      </c>
      <c r="I695" s="50">
        <f t="shared" si="236"/>
        <v>41045</v>
      </c>
    </row>
    <row r="696" spans="1:9" s="20" customFormat="1" ht="46.8">
      <c r="A696" s="49" t="str">
        <f>IF(B696&gt;0,VLOOKUP(B696,КВСР!A602:B1767,2),IF(C696&gt;0,VLOOKUP(C696,КФСР!A602:B2114,2),IF(D696&gt;0,VLOOKUP(D696,Программа!A$1:B$5063,2),IF(F696&gt;0,VLOOKUP(F696,КВР!A$1:B$5001,2),IF(E696&gt;0,VLOOKUP(E696,Направление!A$1:B$4746,2))))))</f>
        <v xml:space="preserve">На комплектование книжных фондов библиотек муниципальных образований </v>
      </c>
      <c r="B696" s="91"/>
      <c r="C696" s="84"/>
      <c r="D696" s="444"/>
      <c r="E696" s="91">
        <v>74510</v>
      </c>
      <c r="F696" s="85"/>
      <c r="G696" s="393">
        <f>G697</f>
        <v>0</v>
      </c>
      <c r="H696" s="393">
        <f t="shared" ref="H696" si="250">H697</f>
        <v>383226</v>
      </c>
      <c r="I696" s="50">
        <f t="shared" si="236"/>
        <v>383226</v>
      </c>
    </row>
    <row r="697" spans="1:9" s="20" customFormat="1" ht="62.4">
      <c r="A697" s="49" t="str">
        <f>IF(B697&gt;0,VLOOKUP(B697,КВСР!A603:B1768,2),IF(C697&gt;0,VLOOKUP(C697,КФСР!A603:B2115,2),IF(D697&gt;0,VLOOKUP(D697,Программа!A$1:B$5063,2),IF(F697&gt;0,VLOOKUP(F697,КВР!A$1:B$5001,2),IF(E697&gt;0,VLOOKUP(E697,Направление!A$1:B$4746,2))))))</f>
        <v>Предоставление субсидий бюджетным, автономным учреждениям и иным некоммерческим организациям</v>
      </c>
      <c r="B697" s="91"/>
      <c r="C697" s="84"/>
      <c r="D697" s="444"/>
      <c r="E697" s="91"/>
      <c r="F697" s="85">
        <v>600</v>
      </c>
      <c r="G697" s="393"/>
      <c r="H697" s="383">
        <v>383226</v>
      </c>
      <c r="I697" s="50">
        <f t="shared" si="236"/>
        <v>383226</v>
      </c>
    </row>
    <row r="698" spans="1:9" s="20" customFormat="1" ht="49.5" customHeight="1">
      <c r="A698" s="49" t="str">
        <f>IF(B698&gt;0,VLOOKUP(B698,КВСР!A598:B1763,2),IF(C698&gt;0,VLOOKUP(C698,КФСР!A598:B2110,2),IF(D698&gt;0,VLOOKUP(D698,Программа!A$1:B$5063,2),IF(F698&gt;0,VLOOKUP(F698,КВР!A$1:B$5001,2),IF(E698&gt;0,VLOOKUP(E698,Направление!A$1:B$4746,2))))))</f>
        <v>Муниципальная программа "Социальная поддержка населения Тутаевского муниципального района"</v>
      </c>
      <c r="B698" s="91"/>
      <c r="C698" s="84"/>
      <c r="D698" s="444" t="s">
        <v>2809</v>
      </c>
      <c r="E698" s="91"/>
      <c r="F698" s="85"/>
      <c r="G698" s="83">
        <v>247000</v>
      </c>
      <c r="H698" s="83">
        <f t="shared" ref="H698:H701" si="251">H699</f>
        <v>0</v>
      </c>
      <c r="I698" s="50">
        <f t="shared" si="236"/>
        <v>247000</v>
      </c>
    </row>
    <row r="699" spans="1:9" s="20" customFormat="1" ht="62.4">
      <c r="A699" s="49" t="str">
        <f>IF(B699&gt;0,VLOOKUP(B699,КВСР!A599:B1764,2),IF(C699&gt;0,VLOOKUP(C699,КФСР!A599:B2111,2),IF(D699&gt;0,VLOOKUP(D699,Программа!A$1:B$5063,2),IF(F699&gt;0,VLOOKUP(F699,КВР!A$1:B$5001,2),IF(E699&gt;0,VLOOKUP(E699,Направление!A$1:B$4746,2))))))</f>
        <v>Муниципальная целевая программа "Улучшение условий и охраны труда" по Тутаевскому муниципальному району</v>
      </c>
      <c r="B699" s="91"/>
      <c r="C699" s="84"/>
      <c r="D699" s="444" t="s">
        <v>2851</v>
      </c>
      <c r="E699" s="91"/>
      <c r="F699" s="85"/>
      <c r="G699" s="83">
        <v>247000</v>
      </c>
      <c r="H699" s="83">
        <f t="shared" si="251"/>
        <v>0</v>
      </c>
      <c r="I699" s="50">
        <f t="shared" si="236"/>
        <v>247000</v>
      </c>
    </row>
    <row r="700" spans="1:9" s="20" customFormat="1" ht="78">
      <c r="A700" s="49" t="str">
        <f>IF(B700&gt;0,VLOOKUP(B700,КВСР!A600:B1765,2),IF(C700&gt;0,VLOOKUP(C700,КФСР!A600:B2112,2),IF(D700&gt;0,VLOOKUP(D700,Программа!A$1:B$5063,2),IF(F700&gt;0,VLOOKUP(F700,КВР!A$1:B$5001,2),IF(E700&gt;0,VLOOKUP(E700,Направление!A$1:B$4746,2))))))</f>
        <v>Мероприятия по оценке условий труда и  обучение специалистов по охране труда в учреждениях на территории Тутаевского муниципального района</v>
      </c>
      <c r="B700" s="91"/>
      <c r="C700" s="84"/>
      <c r="D700" s="444" t="s">
        <v>2970</v>
      </c>
      <c r="E700" s="91"/>
      <c r="F700" s="85"/>
      <c r="G700" s="83">
        <v>247000</v>
      </c>
      <c r="H700" s="83">
        <f t="shared" si="251"/>
        <v>0</v>
      </c>
      <c r="I700" s="50">
        <f t="shared" si="236"/>
        <v>247000</v>
      </c>
    </row>
    <row r="701" spans="1:9" s="20" customFormat="1" ht="36.75" customHeight="1">
      <c r="A701" s="49" t="str">
        <f>IF(B701&gt;0,VLOOKUP(B701,КВСР!A601:B1766,2),IF(C701&gt;0,VLOOKUP(C701,КФСР!A601:B2113,2),IF(D701&gt;0,VLOOKUP(D701,Программа!A$1:B$5063,2),IF(F701&gt;0,VLOOKUP(F701,КВР!A$1:B$5001,2),IF(E701&gt;0,VLOOKUP(E701,Направление!A$1:B$4746,2))))))</f>
        <v>Расходы на реализацию МЦП "Улучшение условий и охраны труда"</v>
      </c>
      <c r="B701" s="91"/>
      <c r="C701" s="84"/>
      <c r="D701" s="444"/>
      <c r="E701" s="91">
        <v>16150</v>
      </c>
      <c r="F701" s="85"/>
      <c r="G701" s="83">
        <v>247000</v>
      </c>
      <c r="H701" s="83">
        <f t="shared" si="251"/>
        <v>0</v>
      </c>
      <c r="I701" s="50">
        <f t="shared" si="236"/>
        <v>247000</v>
      </c>
    </row>
    <row r="702" spans="1:9" s="20" customFormat="1" ht="62.4">
      <c r="A702" s="49" t="str">
        <f>IF(B702&gt;0,VLOOKUP(B702,КВСР!A602:B1767,2),IF(C702&gt;0,VLOOKUP(C702,КФСР!A602:B2114,2),IF(D702&gt;0,VLOOKUP(D702,Программа!A$1:B$5063,2),IF(F702&gt;0,VLOOKUP(F702,КВР!A$1:B$5001,2),IF(E702&gt;0,VLOOKUP(E702,Направление!A$1:B$4746,2))))))</f>
        <v>Предоставление субсидий бюджетным, автономным учреждениям и иным некоммерческим организациям</v>
      </c>
      <c r="B702" s="91"/>
      <c r="C702" s="84"/>
      <c r="D702" s="444"/>
      <c r="E702" s="91"/>
      <c r="F702" s="85">
        <v>600</v>
      </c>
      <c r="G702" s="393">
        <v>247000</v>
      </c>
      <c r="H702" s="383"/>
      <c r="I702" s="50">
        <f t="shared" si="236"/>
        <v>247000</v>
      </c>
    </row>
    <row r="703" spans="1:9" s="20" customFormat="1" ht="31.2">
      <c r="A703" s="49" t="str">
        <f>IF(B703&gt;0,VLOOKUP(B703,КВСР!A603:B1768,2),IF(C703&gt;0,VLOOKUP(C703,КФСР!A603:B2115,2),IF(D703&gt;0,VLOOKUP(D703,Программа!A$1:B$5063,2),IF(F703&gt;0,VLOOKUP(F703,КВР!A$1:B$5001,2),IF(E703&gt;0,VLOOKUP(E703,Направление!A$1:B$4746,2))))))</f>
        <v>Муниципальная программа "Доступная среда "</v>
      </c>
      <c r="B703" s="91"/>
      <c r="C703" s="84"/>
      <c r="D703" s="444" t="s">
        <v>2867</v>
      </c>
      <c r="E703" s="91"/>
      <c r="F703" s="85"/>
      <c r="G703" s="83">
        <v>149000</v>
      </c>
      <c r="H703" s="83">
        <f t="shared" ref="H703:H705" si="252">H704</f>
        <v>0</v>
      </c>
      <c r="I703" s="50">
        <f t="shared" si="236"/>
        <v>149000</v>
      </c>
    </row>
    <row r="704" spans="1:9" s="20" customFormat="1" ht="78">
      <c r="A704" s="49" t="str">
        <f>IF(B704&gt;0,VLOOKUP(B704,КВСР!A604:B1769,2),IF(C704&gt;0,VLOOKUP(C704,КФСР!A604:B2116,2),IF(D704&gt;0,VLOOKUP(D704,Программа!A$1:B$5063,2),IF(F704&gt;0,VLOOKUP(F704,КВР!A$1:B$5001,2),IF(E704&gt;0,VLOOKUP(E704,Направление!A$1:B$4746,2))))))</f>
        <v>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v>
      </c>
      <c r="B704" s="91"/>
      <c r="C704" s="84"/>
      <c r="D704" s="444" t="s">
        <v>2869</v>
      </c>
      <c r="E704" s="91"/>
      <c r="F704" s="85"/>
      <c r="G704" s="83">
        <v>149000</v>
      </c>
      <c r="H704" s="83">
        <f t="shared" si="252"/>
        <v>0</v>
      </c>
      <c r="I704" s="50">
        <f t="shared" si="236"/>
        <v>149000</v>
      </c>
    </row>
    <row r="705" spans="1:9" s="20" customFormat="1" ht="62.4">
      <c r="A705" s="49" t="str">
        <f>IF(B705&gt;0,VLOOKUP(B705,КВСР!A605:B1770,2),IF(C705&gt;0,VLOOKUP(C705,КФСР!A605:B2117,2),IF(D705&gt;0,VLOOKUP(D705,Программа!A$1:B$5063,2),IF(F705&gt;0,VLOOKUP(F705,КВР!A$1:B$5001,2),IF(E705&gt;0,VLOOKUP(E705,Направление!A$1:B$4746,2))))))</f>
        <v>Расходы на оборудование социально значимых объектов с целью обеспечения доступности для инвалидов</v>
      </c>
      <c r="B705" s="91"/>
      <c r="C705" s="84"/>
      <c r="D705" s="444"/>
      <c r="E705" s="91">
        <v>16250</v>
      </c>
      <c r="F705" s="85"/>
      <c r="G705" s="83">
        <v>149000</v>
      </c>
      <c r="H705" s="83">
        <f t="shared" si="252"/>
        <v>0</v>
      </c>
      <c r="I705" s="50">
        <f t="shared" si="236"/>
        <v>149000</v>
      </c>
    </row>
    <row r="706" spans="1:9" s="20" customFormat="1" ht="62.4">
      <c r="A706" s="49" t="str">
        <f>IF(B706&gt;0,VLOOKUP(B706,КВСР!A606:B1771,2),IF(C706&gt;0,VLOOKUP(C706,КФСР!A606:B2118,2),IF(D706&gt;0,VLOOKUP(D706,Программа!A$1:B$5063,2),IF(F706&gt;0,VLOOKUP(F706,КВР!A$1:B$5001,2),IF(E706&gt;0,VLOOKUP(E706,Направление!A$1:B$4746,2))))))</f>
        <v>Предоставление субсидий бюджетным, автономным учреждениям и иным некоммерческим организациям</v>
      </c>
      <c r="B706" s="91"/>
      <c r="C706" s="84"/>
      <c r="D706" s="444"/>
      <c r="E706" s="91"/>
      <c r="F706" s="85">
        <v>600</v>
      </c>
      <c r="G706" s="393">
        <v>149000</v>
      </c>
      <c r="H706" s="383"/>
      <c r="I706" s="50">
        <f t="shared" si="236"/>
        <v>149000</v>
      </c>
    </row>
    <row r="707" spans="1:9" s="20" customFormat="1" ht="68.25" customHeight="1">
      <c r="A707" s="49" t="str">
        <f>IF(B707&gt;0,VLOOKUP(B707,КВСР!A607:B1772,2),IF(C707&gt;0,VLOOKUP(C707,КФСР!A607:B2119,2),IF(D707&gt;0,VLOOKUP(D707,Программа!A$1:B$5063,2),IF(F707&gt;0,VLOOKUP(F707,КВР!A$1:B$5001,2),IF(E707&gt;0,VLOOKUP(E707,Направление!A$1:B$4746,2))))))</f>
        <v>Муниципальная программа "Обеспечение качественными коммунальными услугами населения Тутаевского муниципального района"</v>
      </c>
      <c r="B707" s="91"/>
      <c r="C707" s="84"/>
      <c r="D707" s="444" t="s">
        <v>2753</v>
      </c>
      <c r="E707" s="91"/>
      <c r="F707" s="85"/>
      <c r="G707" s="393">
        <v>2300000</v>
      </c>
      <c r="H707" s="393">
        <f t="shared" ref="H707:I710" si="253">H708</f>
        <v>0</v>
      </c>
      <c r="I707" s="393">
        <f t="shared" si="253"/>
        <v>2300000</v>
      </c>
    </row>
    <row r="708" spans="1:9" s="20" customFormat="1" ht="78" customHeight="1">
      <c r="A708" s="49" t="str">
        <f>IF(B708&gt;0,VLOOKUP(B708,КВСР!A608:B1773,2),IF(C708&gt;0,VLOOKUP(C708,КФСР!A608:B2120,2),IF(D708&gt;0,VLOOKUP(D708,Программа!A$1:B$5063,2),IF(F708&gt;0,VLOOKUP(F708,КВР!A$1:B$5001,2),IF(E708&gt;0,VLOOKUP(E708,Направление!A$1:B$4746,2))))))</f>
        <v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v>
      </c>
      <c r="B708" s="91"/>
      <c r="C708" s="84"/>
      <c r="D708" s="444" t="s">
        <v>2759</v>
      </c>
      <c r="E708" s="91"/>
      <c r="F708" s="85"/>
      <c r="G708" s="393">
        <v>2300000</v>
      </c>
      <c r="H708" s="393">
        <f t="shared" si="253"/>
        <v>0</v>
      </c>
      <c r="I708" s="393">
        <f t="shared" si="253"/>
        <v>2300000</v>
      </c>
    </row>
    <row r="709" spans="1:9" s="20" customFormat="1" ht="62.4">
      <c r="A709" s="49" t="str">
        <f>IF(B709&gt;0,VLOOKUP(B709,КВСР!A609:B1774,2),IF(C709&gt;0,VLOOKUP(C709,КФСР!A609:B2121,2),IF(D709&gt;0,VLOOKUP(D709,Программа!A$1:B$5063,2),IF(F709&gt;0,VLOOKUP(F709,КВР!A$1:B$5001,2),IF(E709&gt;0,VLOOKUP(E709,Направление!A$1:B$4746,2))))))</f>
        <v>Модернизация объектов теплоснабжения с вводом их в эксплуатацию (строительство и реконструкция котельных)</v>
      </c>
      <c r="B709" s="91"/>
      <c r="C709" s="84"/>
      <c r="D709" s="444" t="s">
        <v>2761</v>
      </c>
      <c r="E709" s="91"/>
      <c r="F709" s="85"/>
      <c r="G709" s="393">
        <v>2300000</v>
      </c>
      <c r="H709" s="393">
        <f t="shared" si="253"/>
        <v>0</v>
      </c>
      <c r="I709" s="393">
        <f t="shared" si="253"/>
        <v>2300000</v>
      </c>
    </row>
    <row r="710" spans="1:9" s="20" customFormat="1" ht="49.5" customHeight="1">
      <c r="A710" s="49" t="str">
        <f>IF(B710&gt;0,VLOOKUP(B710,КВСР!A610:B1775,2),IF(C710&gt;0,VLOOKUP(C710,КФСР!A610:B2122,2),IF(D710&gt;0,VLOOKUP(D710,Программа!A$1:B$5063,2),IF(F710&gt;0,VLOOKUP(F710,КВР!A$1:B$5001,2),IF(E710&gt;0,VLOOKUP(E710,Направление!A$1:B$4746,2))))))</f>
        <v>Обеспечение деятельности учреждений по организации досуга в сфере культуры</v>
      </c>
      <c r="B710" s="91"/>
      <c r="C710" s="84"/>
      <c r="D710" s="444"/>
      <c r="E710" s="92">
        <v>15010</v>
      </c>
      <c r="F710" s="85"/>
      <c r="G710" s="393">
        <v>2300000</v>
      </c>
      <c r="H710" s="393">
        <f t="shared" si="253"/>
        <v>0</v>
      </c>
      <c r="I710" s="393">
        <f t="shared" si="253"/>
        <v>2300000</v>
      </c>
    </row>
    <row r="711" spans="1:9" s="20" customFormat="1">
      <c r="A711" s="49" t="str">
        <f>IF(B711&gt;0,VLOOKUP(B711,КВСР!A611:B1776,2),IF(C711&gt;0,VLOOKUP(C711,КФСР!A611:B2123,2),IF(D711&gt;0,VLOOKUP(D711,Программа!A$1:B$5063,2),IF(F711&gt;0,VLOOKUP(F711,КВР!A$1:B$5001,2),IF(E711&gt;0,VLOOKUP(E711,Направление!A$1:B$4746,2))))))</f>
        <v>Бюджетные инвестиции</v>
      </c>
      <c r="B711" s="91"/>
      <c r="C711" s="84"/>
      <c r="D711" s="444"/>
      <c r="E711" s="91"/>
      <c r="F711" s="85">
        <v>400</v>
      </c>
      <c r="G711" s="393">
        <v>2300000</v>
      </c>
      <c r="H711" s="383"/>
      <c r="I711" s="50">
        <f>G711+H711</f>
        <v>2300000</v>
      </c>
    </row>
    <row r="712" spans="1:9" s="20" customFormat="1" ht="31.2">
      <c r="A712" s="49" t="str">
        <f>IF(B712&gt;0,VLOOKUP(B712,КВСР!A612:B1777,2),IF(C712&gt;0,VLOOKUP(C712,КФСР!A612:B2124,2),IF(D712&gt;0,VLOOKUP(D712,Программа!A$1:B$5063,2),IF(F712&gt;0,VLOOKUP(F712,КВР!A$1:B$5001,2),IF(E712&gt;0,VLOOKUP(E712,Направление!A$1:B$4746,2))))))</f>
        <v>Другие вопросы в области культуры, кинематографии</v>
      </c>
      <c r="B712" s="91"/>
      <c r="C712" s="84">
        <v>804</v>
      </c>
      <c r="D712" s="444"/>
      <c r="E712" s="91"/>
      <c r="F712" s="85"/>
      <c r="G712" s="101">
        <v>10667373</v>
      </c>
      <c r="H712" s="101">
        <f t="shared" ref="H712" si="254">H713+H744+H734+H739</f>
        <v>0</v>
      </c>
      <c r="I712" s="50">
        <f t="shared" si="236"/>
        <v>10667373</v>
      </c>
    </row>
    <row r="713" spans="1:9" s="20" customFormat="1" ht="62.4">
      <c r="A713" s="49" t="str">
        <f>IF(B713&gt;0,VLOOKUP(B713,КВСР!A613:B1778,2),IF(C713&gt;0,VLOOKUP(C713,КФСР!A613:B2125,2),IF(D713&gt;0,VLOOKUP(D713,Программа!A$1:B$5063,2),IF(F713&gt;0,VLOOKUP(F713,КВР!A$1:B$5001,2),IF(E713&gt;0,VLOOKUP(E713,Направление!A$1:B$4746,2))))))</f>
        <v>Муниципальная программа  "Развитие культуры, туризма и молодежной политики в Тутаевском муниципальном районе"</v>
      </c>
      <c r="B713" s="91"/>
      <c r="C713" s="84"/>
      <c r="D713" s="444" t="s">
        <v>2721</v>
      </c>
      <c r="E713" s="91"/>
      <c r="F713" s="85"/>
      <c r="G713" s="101">
        <v>10561373</v>
      </c>
      <c r="H713" s="101">
        <f t="shared" ref="H713" si="255">H718+H714</f>
        <v>0</v>
      </c>
      <c r="I713" s="50">
        <f t="shared" si="236"/>
        <v>10561373</v>
      </c>
    </row>
    <row r="714" spans="1:9" s="20" customFormat="1" ht="63.75" customHeight="1">
      <c r="A714" s="49" t="str">
        <f>IF(B714&gt;0,VLOOKUP(B714,КВСР!A614:B1779,2),IF(C714&gt;0,VLOOKUP(C714,КФСР!A614:B2126,2),IF(D714&gt;0,VLOOKUP(D714,Программа!A$1:B$5063,2),IF(F714&gt;0,VLOOKUP(F714,КВР!A$1:B$5001,2),IF(E714&gt;0,VLOOKUP(E714,Направление!A$1:B$4746,2))))))</f>
        <v>Муниципальная целевая программа «Комплексные меры противодействия злоупотреблению наркотиками и их незаконному обороту»</v>
      </c>
      <c r="B714" s="91"/>
      <c r="C714" s="84"/>
      <c r="D714" s="444" t="s">
        <v>2726</v>
      </c>
      <c r="E714" s="91"/>
      <c r="F714" s="85"/>
      <c r="G714" s="101">
        <v>15000</v>
      </c>
      <c r="H714" s="101">
        <f t="shared" ref="H714:H716" si="256">H715</f>
        <v>0</v>
      </c>
      <c r="I714" s="50">
        <f t="shared" si="236"/>
        <v>15000</v>
      </c>
    </row>
    <row r="715" spans="1:9" s="20" customFormat="1" ht="46.8">
      <c r="A715" s="49" t="str">
        <f>IF(B715&gt;0,VLOOKUP(B715,КВСР!A615:B1780,2),IF(C715&gt;0,VLOOKUP(C715,КФСР!A615:B2127,2),IF(D715&gt;0,VLOOKUP(D715,Программа!A$1:B$5063,2),IF(F715&gt;0,VLOOKUP(F715,КВР!A$1:B$5001,2),IF(E715&gt;0,VLOOKUP(E715,Направление!A$1:B$4746,2))))))</f>
        <v>Развитие системы профилактики немедицинского потребления наркотиков</v>
      </c>
      <c r="B715" s="91"/>
      <c r="C715" s="84"/>
      <c r="D715" s="444" t="s">
        <v>2727</v>
      </c>
      <c r="E715" s="91"/>
      <c r="F715" s="85"/>
      <c r="G715" s="101">
        <v>15000</v>
      </c>
      <c r="H715" s="101">
        <f t="shared" si="256"/>
        <v>0</v>
      </c>
      <c r="I715" s="50">
        <f t="shared" si="236"/>
        <v>15000</v>
      </c>
    </row>
    <row r="716" spans="1:9" s="565" customFormat="1" ht="78">
      <c r="A716" s="49" t="str">
        <f>IF(B716&gt;0,VLOOKUP(B716,КВСР!A616:B1781,2),IF(C716&gt;0,VLOOKUP(C716,КФСР!A616:B2128,2),IF(D716&gt;0,VLOOKUP(D716,Программа!A$1:B$5063,2),IF(F716&gt;0,VLOOKUP(F716,КВР!A$1:B$5001,2),IF(E716&gt;0,VLOOKUP(E716,Направление!A$1:B$4746,2))))))</f>
        <v>Расходы на реализацию  МЦП "Комплексные меры противодействия злоупотреблению наркотиками и их незаконному обороту"</v>
      </c>
      <c r="B716" s="564"/>
      <c r="C716" s="272"/>
      <c r="D716" s="447"/>
      <c r="E716" s="564">
        <v>13820</v>
      </c>
      <c r="F716" s="268"/>
      <c r="G716" s="566">
        <v>15000</v>
      </c>
      <c r="H716" s="566">
        <f t="shared" si="256"/>
        <v>0</v>
      </c>
      <c r="I716" s="50">
        <f t="shared" si="236"/>
        <v>15000</v>
      </c>
    </row>
    <row r="717" spans="1:9" s="20" customFormat="1" ht="62.4">
      <c r="A717" s="49" t="str">
        <f>IF(B717&gt;0,VLOOKUP(B717,КВСР!A617:B1782,2),IF(C717&gt;0,VLOOKUP(C717,КФСР!A617:B2129,2),IF(D717&gt;0,VLOOKUP(D717,Программа!A$1:B$5063,2),IF(F717&gt;0,VLOOKUP(F717,КВР!A$1:B$5001,2),IF(E717&gt;0,VLOOKUP(E717,Направление!A$1:B$4746,2))))))</f>
        <v>Предоставление субсидий бюджетным, автономным учреждениям и иным некоммерческим организациям</v>
      </c>
      <c r="B717" s="91"/>
      <c r="C717" s="84"/>
      <c r="D717" s="444"/>
      <c r="E717" s="91"/>
      <c r="F717" s="85">
        <v>600</v>
      </c>
      <c r="G717" s="557">
        <v>15000</v>
      </c>
      <c r="H717" s="562"/>
      <c r="I717" s="50">
        <f t="shared" si="236"/>
        <v>15000</v>
      </c>
    </row>
    <row r="718" spans="1:9" s="20" customFormat="1" ht="62.4">
      <c r="A718" s="49" t="str">
        <f>IF(B718&gt;0,VLOOKUP(B718,КВСР!A618:B1783,2),IF(C718&gt;0,VLOOKUP(C718,КФСР!A618:B2130,2),IF(D718&gt;0,VLOOKUP(D718,Программа!A$1:B$5063,2),IF(F718&gt;0,VLOOKUP(F718,КВР!A$1:B$5001,2),IF(E718&gt;0,VLOOKUP(E718,Направление!A$1:B$4746,2))))))</f>
        <v>Ведомственная целевая программа «Сохранение и развитие культуры Тутаевского муниципального района»</v>
      </c>
      <c r="B718" s="91"/>
      <c r="C718" s="84"/>
      <c r="D718" s="444" t="s">
        <v>2728</v>
      </c>
      <c r="E718" s="91"/>
      <c r="F718" s="85"/>
      <c r="G718" s="101">
        <v>10546373</v>
      </c>
      <c r="H718" s="101">
        <f>H722+H719</f>
        <v>0</v>
      </c>
      <c r="I718" s="50">
        <f t="shared" si="236"/>
        <v>10546373</v>
      </c>
    </row>
    <row r="719" spans="1:9" s="20" customFormat="1" ht="31.2">
      <c r="A719" s="49" t="str">
        <f>IF(B719&gt;0,VLOOKUP(B719,КВСР!A619:B1784,2),IF(C719&gt;0,VLOOKUP(C719,КФСР!A619:B2131,2),IF(D719&gt;0,VLOOKUP(D719,Программа!A$1:B$5063,2),IF(F719&gt;0,VLOOKUP(F719,КВР!A$1:B$5001,2),IF(E719&gt;0,VLOOKUP(E719,Направление!A$1:B$4746,2))))))</f>
        <v>Содействие доступу граждан к культурным ценностям</v>
      </c>
      <c r="B719" s="91"/>
      <c r="C719" s="84"/>
      <c r="D719" s="444" t="s">
        <v>2731</v>
      </c>
      <c r="E719" s="91"/>
      <c r="F719" s="85"/>
      <c r="G719" s="101">
        <v>470390</v>
      </c>
      <c r="H719" s="101">
        <f t="shared" ref="H719:I720" si="257">H720</f>
        <v>0</v>
      </c>
      <c r="I719" s="101">
        <f t="shared" si="257"/>
        <v>470390</v>
      </c>
    </row>
    <row r="720" spans="1:9" s="20" customFormat="1" ht="62.4">
      <c r="A720" s="49" t="str">
        <f>IF(B720&gt;0,VLOOKUP(B720,КВСР!A620:B1785,2),IF(C720&gt;0,VLOOKUP(C720,КФСР!A620:B2132,2),IF(D720&gt;0,VLOOKUP(D720,Программа!A$1:B$5063,2),IF(F720&gt;0,VLOOKUP(F720,КВР!A$1:B$5001,2),IF(E720&gt;0,VLOOKUP(E720,Направление!A$1:B$4746,2))))))</f>
        <v>Мероприятия по содействию решению вопросов местного значения по обращению депутатов Ярославской областной Думы</v>
      </c>
      <c r="B720" s="91"/>
      <c r="C720" s="84"/>
      <c r="D720" s="444"/>
      <c r="E720" s="91">
        <v>74430</v>
      </c>
      <c r="F720" s="85"/>
      <c r="G720" s="101">
        <v>470390</v>
      </c>
      <c r="H720" s="101">
        <f t="shared" si="257"/>
        <v>0</v>
      </c>
      <c r="I720" s="101">
        <f t="shared" si="257"/>
        <v>470390</v>
      </c>
    </row>
    <row r="721" spans="1:9" s="20" customFormat="1" ht="62.4">
      <c r="A721" s="49" t="str">
        <f>IF(B721&gt;0,VLOOKUP(B721,КВСР!A621:B1786,2),IF(C721&gt;0,VLOOKUP(C721,КФСР!A621:B2133,2),IF(D721&gt;0,VLOOKUP(D721,Программа!A$1:B$5063,2),IF(F721&gt;0,VLOOKUP(F721,КВР!A$1:B$5001,2),IF(E721&gt;0,VLOOKUP(E721,Направление!A$1:B$4746,2))))))</f>
        <v>Предоставление субсидий бюджетным, автономным учреждениям и иным некоммерческим организациям</v>
      </c>
      <c r="B721" s="91"/>
      <c r="C721" s="84"/>
      <c r="D721" s="444"/>
      <c r="E721" s="91"/>
      <c r="F721" s="85">
        <v>600</v>
      </c>
      <c r="G721" s="101">
        <v>470390</v>
      </c>
      <c r="H721" s="101"/>
      <c r="I721" s="50">
        <f>G721+H721</f>
        <v>470390</v>
      </c>
    </row>
    <row r="722" spans="1:9" s="20" customFormat="1" ht="31.2">
      <c r="A722" s="49" t="str">
        <f>IF(B722&gt;0,VLOOKUP(B722,КВСР!A619:B1784,2),IF(C722&gt;0,VLOOKUP(C722,КФСР!A619:B2131,2),IF(D722&gt;0,VLOOKUP(D722,Программа!A$1:B$5063,2),IF(F722&gt;0,VLOOKUP(F722,КВР!A$1:B$5001,2),IF(E722&gt;0,VLOOKUP(E722,Направление!A$1:B$4746,2))))))</f>
        <v>Обеспечение эффективности управления системой культуры</v>
      </c>
      <c r="B722" s="91"/>
      <c r="C722" s="84"/>
      <c r="D722" s="444" t="s">
        <v>2735</v>
      </c>
      <c r="E722" s="91"/>
      <c r="F722" s="85"/>
      <c r="G722" s="101">
        <v>10075983</v>
      </c>
      <c r="H722" s="101">
        <f t="shared" ref="H722" si="258">H723+H727+H731</f>
        <v>0</v>
      </c>
      <c r="I722" s="50">
        <f t="shared" si="236"/>
        <v>10075983</v>
      </c>
    </row>
    <row r="723" spans="1:9" s="20" customFormat="1">
      <c r="A723" s="49" t="str">
        <f>IF(B723&gt;0,VLOOKUP(B723,КВСР!A620:B1785,2),IF(C723&gt;0,VLOOKUP(C723,КФСР!A620:B2132,2),IF(D723&gt;0,VLOOKUP(D723,Программа!A$1:B$5063,2),IF(F723&gt;0,VLOOKUP(F723,КВР!A$1:B$5001,2),IF(E723&gt;0,VLOOKUP(E723,Направление!A$1:B$4746,2))))))</f>
        <v>Содержание центрального аппарата</v>
      </c>
      <c r="B723" s="91"/>
      <c r="C723" s="84"/>
      <c r="D723" s="444"/>
      <c r="E723" s="91">
        <v>12010</v>
      </c>
      <c r="F723" s="85"/>
      <c r="G723" s="50">
        <v>4176000</v>
      </c>
      <c r="H723" s="50">
        <f t="shared" ref="H723" si="259">H724+H725+H726</f>
        <v>0</v>
      </c>
      <c r="I723" s="50">
        <f t="shared" si="236"/>
        <v>4176000</v>
      </c>
    </row>
    <row r="724" spans="1:9" s="20" customFormat="1" ht="109.2">
      <c r="A724" s="49" t="str">
        <f>IF(B724&gt;0,VLOOKUP(B724,КВСР!A621:B1786,2),IF(C724&gt;0,VLOOKUP(C724,КФСР!A621:B2133,2),IF(D724&gt;0,VLOOKUP(D724,Программа!A$1:B$5063,2),IF(F724&gt;0,VLOOKUP(F724,КВР!A$1:B$5001,2),IF(E724&gt;0,VLOOKUP(E724,Направление!A$1:B$4746,2))))))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724" s="91"/>
      <c r="C724" s="84"/>
      <c r="D724" s="85"/>
      <c r="E724" s="91"/>
      <c r="F724" s="85">
        <v>100</v>
      </c>
      <c r="G724" s="387">
        <v>3677745</v>
      </c>
      <c r="H724" s="382"/>
      <c r="I724" s="50">
        <f t="shared" si="236"/>
        <v>3677745</v>
      </c>
    </row>
    <row r="725" spans="1:9" s="20" customFormat="1" ht="31.2">
      <c r="A725" s="49" t="str">
        <f>IF(B725&gt;0,VLOOKUP(B725,КВСР!A622:B1787,2),IF(C725&gt;0,VLOOKUP(C725,КФСР!A622:B2134,2),IF(D725&gt;0,VLOOKUP(D725,Программа!A$1:B$5063,2),IF(F725&gt;0,VLOOKUP(F725,КВР!A$1:B$5001,2),IF(E725&gt;0,VLOOKUP(E725,Направление!A$1:B$4746,2))))))</f>
        <v>Закупка товаров, работ и услуг для государственных нужд</v>
      </c>
      <c r="B725" s="91"/>
      <c r="C725" s="84"/>
      <c r="D725" s="85"/>
      <c r="E725" s="91"/>
      <c r="F725" s="85">
        <v>200</v>
      </c>
      <c r="G725" s="387">
        <v>405255</v>
      </c>
      <c r="H725" s="382"/>
      <c r="I725" s="50">
        <f t="shared" si="236"/>
        <v>405255</v>
      </c>
    </row>
    <row r="726" spans="1:9" s="20" customFormat="1">
      <c r="A726" s="49" t="str">
        <f>IF(B726&gt;0,VLOOKUP(B726,КВСР!A623:B1788,2),IF(C726&gt;0,VLOOKUP(C726,КФСР!A623:B2135,2),IF(D726&gt;0,VLOOKUP(D726,Программа!A$1:B$5063,2),IF(F726&gt;0,VLOOKUP(F726,КВР!A$1:B$5001,2),IF(E726&gt;0,VLOOKUP(E726,Направление!A$1:B$4746,2))))))</f>
        <v>Иные бюджетные ассигнования</v>
      </c>
      <c r="B726" s="91"/>
      <c r="C726" s="84"/>
      <c r="D726" s="85"/>
      <c r="E726" s="91"/>
      <c r="F726" s="85">
        <v>800</v>
      </c>
      <c r="G726" s="387">
        <v>93000</v>
      </c>
      <c r="H726" s="382"/>
      <c r="I726" s="50">
        <f t="shared" si="236"/>
        <v>93000</v>
      </c>
    </row>
    <row r="727" spans="1:9" s="20" customFormat="1" ht="31.2">
      <c r="A727" s="49" t="str">
        <f>IF(B727&gt;0,VLOOKUP(B727,КВСР!A624:B1789,2),IF(C727&gt;0,VLOOKUP(C727,КФСР!A624:B2136,2),IF(D727&gt;0,VLOOKUP(D727,Программа!A$1:B$5063,2),IF(F727&gt;0,VLOOKUP(F727,КВР!A$1:B$5001,2),IF(E727&gt;0,VLOOKUP(E727,Направление!A$1:B$4746,2))))))</f>
        <v>Обеспечение деятельности прочих учреждений в сфере культуры</v>
      </c>
      <c r="B727" s="91"/>
      <c r="C727" s="84"/>
      <c r="D727" s="444"/>
      <c r="E727" s="91">
        <v>15210</v>
      </c>
      <c r="F727" s="85"/>
      <c r="G727" s="50">
        <v>5537589</v>
      </c>
      <c r="H727" s="50">
        <f t="shared" ref="H727" si="260">H728+H729+H730</f>
        <v>0</v>
      </c>
      <c r="I727" s="50">
        <f t="shared" si="236"/>
        <v>5537589</v>
      </c>
    </row>
    <row r="728" spans="1:9" s="20" customFormat="1" ht="98.25" customHeight="1">
      <c r="A728" s="49" t="str">
        <f>IF(B728&gt;0,VLOOKUP(B728,КВСР!A625:B1790,2),IF(C728&gt;0,VLOOKUP(C728,КФСР!A625:B2137,2),IF(D728&gt;0,VLOOKUP(D728,Программа!A$1:B$5063,2),IF(F728&gt;0,VLOOKUP(F728,КВР!A$1:B$5001,2),IF(E728&gt;0,VLOOKUP(E728,Направление!A$1:B$4746,2))))))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728" s="91"/>
      <c r="C728" s="84"/>
      <c r="D728" s="85"/>
      <c r="E728" s="91"/>
      <c r="F728" s="85">
        <v>100</v>
      </c>
      <c r="G728" s="557">
        <v>4772289</v>
      </c>
      <c r="H728" s="384"/>
      <c r="I728" s="50">
        <f t="shared" si="236"/>
        <v>4772289</v>
      </c>
    </row>
    <row r="729" spans="1:9" s="20" customFormat="1" ht="31.2">
      <c r="A729" s="49" t="str">
        <f>IF(B729&gt;0,VLOOKUP(B729,КВСР!A626:B1791,2),IF(C729&gt;0,VLOOKUP(C729,КФСР!A626:B2138,2),IF(D729&gt;0,VLOOKUP(D729,Программа!A$1:B$5063,2),IF(F729&gt;0,VLOOKUP(F729,КВР!A$1:B$5001,2),IF(E729&gt;0,VLOOKUP(E729,Направление!A$1:B$4746,2))))))</f>
        <v>Закупка товаров, работ и услуг для государственных нужд</v>
      </c>
      <c r="B729" s="91"/>
      <c r="C729" s="84"/>
      <c r="D729" s="85"/>
      <c r="E729" s="91"/>
      <c r="F729" s="85">
        <v>200</v>
      </c>
      <c r="G729" s="557">
        <v>744780</v>
      </c>
      <c r="H729" s="384"/>
      <c r="I729" s="50">
        <f t="shared" si="236"/>
        <v>744780</v>
      </c>
    </row>
    <row r="730" spans="1:9" s="20" customFormat="1">
      <c r="A730" s="49" t="str">
        <f>IF(B730&gt;0,VLOOKUP(B730,КВСР!A627:B1792,2),IF(C730&gt;0,VLOOKUP(C730,КФСР!A627:B2139,2),IF(D730&gt;0,VLOOKUP(D730,Программа!A$1:B$5063,2),IF(F730&gt;0,VLOOKUP(F730,КВР!A$1:B$5001,2),IF(E730&gt;0,VLOOKUP(E730,Направление!A$1:B$4746,2))))))</f>
        <v>Иные бюджетные ассигнования</v>
      </c>
      <c r="B730" s="91"/>
      <c r="C730" s="84"/>
      <c r="D730" s="85"/>
      <c r="E730" s="91"/>
      <c r="F730" s="85">
        <v>800</v>
      </c>
      <c r="G730" s="557">
        <v>20520</v>
      </c>
      <c r="H730" s="384"/>
      <c r="I730" s="50">
        <f t="shared" si="236"/>
        <v>20520</v>
      </c>
    </row>
    <row r="731" spans="1:9" s="20" customFormat="1" ht="46.8">
      <c r="A731" s="49" t="str">
        <f>IF(B731&gt;0,VLOOKUP(B731,КВСР!A628:B1793,2),IF(C731&gt;0,VLOOKUP(C731,КФСР!A628:B2140,2),IF(D731&gt;0,VLOOKUP(D731,Программа!A$1:B$5063,2),IF(F731&gt;0,VLOOKUP(F731,КВР!A$1:B$5001,2),IF(E731&gt;0,VLOOKUP(E731,Направление!A$1:B$4746,2))))))</f>
        <v>Содержание органов местного самоуправления за счет средств поселений</v>
      </c>
      <c r="B731" s="91"/>
      <c r="C731" s="84"/>
      <c r="D731" s="444"/>
      <c r="E731" s="91">
        <v>29016</v>
      </c>
      <c r="F731" s="85"/>
      <c r="G731" s="101">
        <v>362394</v>
      </c>
      <c r="H731" s="101">
        <f t="shared" ref="H731" si="261">H732+H733</f>
        <v>0</v>
      </c>
      <c r="I731" s="50">
        <f t="shared" si="236"/>
        <v>362394</v>
      </c>
    </row>
    <row r="732" spans="1:9" s="20" customFormat="1" ht="102" customHeight="1">
      <c r="A732" s="49" t="str">
        <f>IF(B732&gt;0,VLOOKUP(B732,КВСР!A629:B1794,2),IF(C732&gt;0,VLOOKUP(C732,КФСР!A629:B2141,2),IF(D732&gt;0,VLOOKUP(D732,Программа!A$1:B$5063,2),IF(F732&gt;0,VLOOKUP(F732,КВР!A$1:B$5001,2),IF(E732&gt;0,VLOOKUP(E732,Направление!A$1:B$4746,2))))))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732" s="91"/>
      <c r="C732" s="84"/>
      <c r="D732" s="85"/>
      <c r="E732" s="91"/>
      <c r="F732" s="85">
        <v>100</v>
      </c>
      <c r="G732" s="557">
        <v>329449</v>
      </c>
      <c r="H732" s="384"/>
      <c r="I732" s="50">
        <f t="shared" si="236"/>
        <v>329449</v>
      </c>
    </row>
    <row r="733" spans="1:9" s="20" customFormat="1" ht="31.2">
      <c r="A733" s="49" t="str">
        <f>IF(B733&gt;0,VLOOKUP(B733,КВСР!A630:B1795,2),IF(C733&gt;0,VLOOKUP(C733,КФСР!A630:B2142,2),IF(D733&gt;0,VLOOKUP(D733,Программа!A$1:B$5063,2),IF(F733&gt;0,VLOOKUP(F733,КВР!A$1:B$5001,2),IF(E733&gt;0,VLOOKUP(E733,Направление!A$1:B$4746,2))))))</f>
        <v>Закупка товаров, работ и услуг для государственных нужд</v>
      </c>
      <c r="B733" s="91"/>
      <c r="C733" s="84"/>
      <c r="D733" s="85"/>
      <c r="E733" s="91"/>
      <c r="F733" s="85">
        <v>200</v>
      </c>
      <c r="G733" s="557">
        <v>32945</v>
      </c>
      <c r="H733" s="384"/>
      <c r="I733" s="50">
        <f t="shared" si="236"/>
        <v>32945</v>
      </c>
    </row>
    <row r="734" spans="1:9" s="20" customFormat="1" ht="62.4">
      <c r="A734" s="49" t="str">
        <f>IF(B734&gt;0,VLOOKUP(B734,КВСР!A631:B1796,2),IF(C734&gt;0,VLOOKUP(C734,КФСР!A631:B2143,2),IF(D734&gt;0,VLOOKUP(D734,Программа!A$1:B$5063,2),IF(F734&gt;0,VLOOKUP(F734,КВР!A$1:B$5001,2),IF(E734&gt;0,VLOOKUP(E734,Направление!A$1:B$4746,2))))))</f>
        <v>Муниципальная программа "Развитие образования, физической культуры и спорта в Тутаевском муниципальном районе"</v>
      </c>
      <c r="B734" s="91"/>
      <c r="C734" s="84"/>
      <c r="D734" s="444" t="s">
        <v>2739</v>
      </c>
      <c r="E734" s="91"/>
      <c r="F734" s="85"/>
      <c r="G734" s="101">
        <v>20000</v>
      </c>
      <c r="H734" s="101">
        <f t="shared" ref="H734:H737" si="262">H735</f>
        <v>0</v>
      </c>
      <c r="I734" s="50">
        <f t="shared" si="236"/>
        <v>20000</v>
      </c>
    </row>
    <row r="735" spans="1:9" s="20" customFormat="1" ht="68.25" customHeight="1">
      <c r="A735" s="49" t="str">
        <f>IF(B735&gt;0,VLOOKUP(B735,КВСР!A632:B1797,2),IF(C735&gt;0,VLOOKUP(C735,КФСР!A632:B2144,2),IF(D735&gt;0,VLOOKUP(D735,Программа!A$1:B$5063,2),IF(F735&gt;0,VLOOKUP(F735,КВР!A$1:B$5001,2),IF(E735&gt;0,VLOOKUP(E735,Направление!A$1:B$4746,2))))))</f>
        <v>Муниципальная целевая программа "Духовно-нравственное воспитание и просвещение населения Тутаевского муниципального района"</v>
      </c>
      <c r="B735" s="91"/>
      <c r="C735" s="84"/>
      <c r="D735" s="444" t="s">
        <v>2855</v>
      </c>
      <c r="E735" s="91"/>
      <c r="F735" s="85"/>
      <c r="G735" s="101">
        <v>20000</v>
      </c>
      <c r="H735" s="101">
        <f t="shared" si="262"/>
        <v>0</v>
      </c>
      <c r="I735" s="50">
        <f t="shared" si="236"/>
        <v>20000</v>
      </c>
    </row>
    <row r="736" spans="1:9" s="20" customFormat="1" ht="62.4">
      <c r="A736" s="49" t="str">
        <f>IF(B736&gt;0,VLOOKUP(B736,КВСР!A633:B1798,2),IF(C736&gt;0,VLOOKUP(C736,КФСР!A633:B2145,2),IF(D736&gt;0,VLOOKUP(D736,Программа!A$1:B$5063,2),IF(F736&gt;0,VLOOKUP(F736,КВР!A$1:B$5001,2),IF(E736&gt;0,VLOOKUP(E736,Направление!A$1:B$4746,2))))))</f>
        <v>Реализация мер по созданию целостной системы духовно-нравственного воспитания и просвещения населения</v>
      </c>
      <c r="B736" s="91"/>
      <c r="C736" s="84"/>
      <c r="D736" s="444" t="s">
        <v>2857</v>
      </c>
      <c r="E736" s="91"/>
      <c r="F736" s="85"/>
      <c r="G736" s="101">
        <v>20000</v>
      </c>
      <c r="H736" s="101">
        <f t="shared" si="262"/>
        <v>0</v>
      </c>
      <c r="I736" s="50">
        <f t="shared" si="236"/>
        <v>20000</v>
      </c>
    </row>
    <row r="737" spans="1:9" s="20" customFormat="1" ht="55.5" customHeight="1">
      <c r="A737" s="49" t="str">
        <f>IF(B737&gt;0,VLOOKUP(B737,КВСР!A634:B1799,2),IF(C737&gt;0,VLOOKUP(C737,КФСР!A634:B2146,2),IF(D737&gt;0,VLOOKUP(D737,Программа!A$1:B$5063,2),IF(F737&gt;0,VLOOKUP(F737,КВР!A$1:B$5001,2),IF(E737&gt;0,VLOOKUP(E737,Направление!A$1:B$4746,2))))))</f>
        <v>Расходы на реализацию МЦП "Духовно - нравственное воспитание и просвещение населения ТМР"</v>
      </c>
      <c r="B737" s="91"/>
      <c r="C737" s="84"/>
      <c r="D737" s="444"/>
      <c r="E737" s="91">
        <v>13810</v>
      </c>
      <c r="F737" s="85"/>
      <c r="G737" s="101">
        <v>20000</v>
      </c>
      <c r="H737" s="101">
        <f t="shared" si="262"/>
        <v>0</v>
      </c>
      <c r="I737" s="50">
        <f t="shared" si="236"/>
        <v>20000</v>
      </c>
    </row>
    <row r="738" spans="1:9" s="20" customFormat="1" ht="62.4">
      <c r="A738" s="49" t="str">
        <f>IF(B738&gt;0,VLOOKUP(B738,КВСР!A635:B1800,2),IF(C738&gt;0,VLOOKUP(C738,КФСР!A635:B2147,2),IF(D738&gt;0,VLOOKUP(D738,Программа!A$1:B$5063,2),IF(F738&gt;0,VLOOKUP(F738,КВР!A$1:B$5001,2),IF(E738&gt;0,VLOOKUP(E738,Направление!A$1:B$4746,2))))))</f>
        <v>Предоставление субсидий бюджетным, автономным учреждениям и иным некоммерческим организациям</v>
      </c>
      <c r="B738" s="91"/>
      <c r="C738" s="84"/>
      <c r="D738" s="85"/>
      <c r="E738" s="91"/>
      <c r="F738" s="85">
        <v>600</v>
      </c>
      <c r="G738" s="557">
        <v>20000</v>
      </c>
      <c r="H738" s="384"/>
      <c r="I738" s="50">
        <f t="shared" si="236"/>
        <v>20000</v>
      </c>
    </row>
    <row r="739" spans="1:9" s="20" customFormat="1" ht="51" customHeight="1">
      <c r="A739" s="49" t="str">
        <f>IF(B739&gt;0,VLOOKUP(B739,КВСР!A636:B1801,2),IF(C739&gt;0,VLOOKUP(C739,КФСР!A636:B2148,2),IF(D739&gt;0,VLOOKUP(D739,Программа!A$1:B$5063,2),IF(F739&gt;0,VLOOKUP(F739,КВР!A$1:B$5001,2),IF(E739&gt;0,VLOOKUP(E739,Направление!A$1:B$4746,2))))))</f>
        <v>Муниципальная программа "Социальная поддержка населения Тутаевского муниципального района"</v>
      </c>
      <c r="B739" s="91"/>
      <c r="C739" s="84"/>
      <c r="D739" s="444" t="s">
        <v>2809</v>
      </c>
      <c r="E739" s="91"/>
      <c r="F739" s="85"/>
      <c r="G739" s="101">
        <v>56000</v>
      </c>
      <c r="H739" s="101">
        <f t="shared" ref="H739:H742" si="263">H740</f>
        <v>0</v>
      </c>
      <c r="I739" s="50">
        <f t="shared" si="236"/>
        <v>56000</v>
      </c>
    </row>
    <row r="740" spans="1:9" s="20" customFormat="1" ht="62.4">
      <c r="A740" s="49" t="str">
        <f>IF(B740&gt;0,VLOOKUP(B740,КВСР!A637:B1802,2),IF(C740&gt;0,VLOOKUP(C740,КФСР!A637:B2149,2),IF(D740&gt;0,VLOOKUP(D740,Программа!A$1:B$5063,2),IF(F740&gt;0,VLOOKUP(F740,КВР!A$1:B$5001,2),IF(E740&gt;0,VLOOKUP(E740,Направление!A$1:B$4746,2))))))</f>
        <v>Муниципальная целевая программа "Улучшение условий и охраны труда" по Тутаевскому муниципальному району</v>
      </c>
      <c r="B740" s="91"/>
      <c r="C740" s="84"/>
      <c r="D740" s="444" t="s">
        <v>2851</v>
      </c>
      <c r="E740" s="91"/>
      <c r="F740" s="85"/>
      <c r="G740" s="101">
        <v>56000</v>
      </c>
      <c r="H740" s="101">
        <f t="shared" si="263"/>
        <v>0</v>
      </c>
      <c r="I740" s="50">
        <f t="shared" si="236"/>
        <v>56000</v>
      </c>
    </row>
    <row r="741" spans="1:9" s="20" customFormat="1" ht="69" customHeight="1">
      <c r="A741" s="49" t="str">
        <f>IF(B741&gt;0,VLOOKUP(B741,КВСР!A638:B1803,2),IF(C741&gt;0,VLOOKUP(C741,КФСР!A638:B2150,2),IF(D741&gt;0,VLOOKUP(D741,Программа!A$1:B$5063,2),IF(F741&gt;0,VLOOKUP(F741,КВР!A$1:B$5001,2),IF(E741&gt;0,VLOOKUP(E741,Направление!A$1:B$4746,2))))))</f>
        <v>Мероприятия по оценке условий труда и  обучение специалистов по охране труда в учреждениях на территории Тутаевского муниципального района</v>
      </c>
      <c r="B741" s="91"/>
      <c r="C741" s="84"/>
      <c r="D741" s="444" t="s">
        <v>2970</v>
      </c>
      <c r="E741" s="91"/>
      <c r="F741" s="85"/>
      <c r="G741" s="101">
        <v>56000</v>
      </c>
      <c r="H741" s="101">
        <f t="shared" si="263"/>
        <v>0</v>
      </c>
      <c r="I741" s="50">
        <f t="shared" si="236"/>
        <v>56000</v>
      </c>
    </row>
    <row r="742" spans="1:9" s="20" customFormat="1" ht="35.25" customHeight="1">
      <c r="A742" s="49" t="str">
        <f>IF(B742&gt;0,VLOOKUP(B742,КВСР!A639:B1804,2),IF(C742&gt;0,VLOOKUP(C742,КФСР!A639:B2151,2),IF(D742&gt;0,VLOOKUP(D742,Программа!A$1:B$5063,2),IF(F742&gt;0,VLOOKUP(F742,КВР!A$1:B$5001,2),IF(E742&gt;0,VLOOKUP(E742,Направление!A$1:B$4746,2))))))</f>
        <v>Расходы на реализацию МЦП "Улучшение условий и охраны труда"</v>
      </c>
      <c r="B742" s="91"/>
      <c r="C742" s="84"/>
      <c r="D742" s="444"/>
      <c r="E742" s="91">
        <v>16150</v>
      </c>
      <c r="F742" s="85"/>
      <c r="G742" s="101">
        <v>56000</v>
      </c>
      <c r="H742" s="101">
        <f t="shared" si="263"/>
        <v>0</v>
      </c>
      <c r="I742" s="50">
        <f t="shared" si="236"/>
        <v>56000</v>
      </c>
    </row>
    <row r="743" spans="1:9" s="20" customFormat="1" ht="31.2">
      <c r="A743" s="49" t="str">
        <f>IF(B743&gt;0,VLOOKUP(B743,КВСР!A640:B1805,2),IF(C743&gt;0,VLOOKUP(C743,КФСР!A640:B2152,2),IF(D743&gt;0,VLOOKUP(D743,Программа!A$1:B$5063,2),IF(F743&gt;0,VLOOKUP(F743,КВР!A$1:B$5001,2),IF(E743&gt;0,VLOOKUP(E743,Направление!A$1:B$4746,2))))))</f>
        <v>Закупка товаров, работ и услуг для государственных нужд</v>
      </c>
      <c r="B743" s="91"/>
      <c r="C743" s="84"/>
      <c r="D743" s="444"/>
      <c r="E743" s="91"/>
      <c r="F743" s="85">
        <v>200</v>
      </c>
      <c r="G743" s="557">
        <v>56000</v>
      </c>
      <c r="H743" s="384"/>
      <c r="I743" s="50">
        <f t="shared" si="236"/>
        <v>56000</v>
      </c>
    </row>
    <row r="744" spans="1:9" ht="62.4">
      <c r="A744" s="49" t="str">
        <f>IF(B744&gt;0,VLOOKUP(B744,КВСР!A641:B1806,2),IF(C744&gt;0,VLOOKUP(C744,КФСР!A641:B2153,2),IF(D744&gt;0,VLOOKUP(D744,Программа!A$1:B$5063,2),IF(F744&gt;0,VLOOKUP(F744,КВР!A$1:B$5001,2),IF(E744&gt;0,VLOOKUP(E744,Направление!A$1:B$4746,2))))))</f>
        <v>Муниципальная программа "Профилактика правонарушений и усиление борьбы с преступностью в Тутаевском муниципальном районе"</v>
      </c>
      <c r="B744" s="91"/>
      <c r="C744" s="84"/>
      <c r="D744" s="444" t="s">
        <v>2877</v>
      </c>
      <c r="E744" s="91"/>
      <c r="F744" s="85"/>
      <c r="G744" s="101">
        <v>30000</v>
      </c>
      <c r="H744" s="101">
        <f t="shared" ref="H744" si="264">H745</f>
        <v>0</v>
      </c>
      <c r="I744" s="50">
        <f t="shared" si="236"/>
        <v>30000</v>
      </c>
    </row>
    <row r="745" spans="1:9" ht="31.2">
      <c r="A745" s="49" t="str">
        <f>IF(B745&gt;0,VLOOKUP(B745,КВСР!A642:B1807,2),IF(C745&gt;0,VLOOKUP(C745,КФСР!A642:B2154,2),IF(D745&gt;0,VLOOKUP(D745,Программа!A$1:B$5063,2),IF(F745&gt;0,VLOOKUP(F745,КВР!A$1:B$5001,2),IF(E745&gt;0,VLOOKUP(E745,Направление!A$1:B$4746,2))))))</f>
        <v>Реализация мероприятий по профилактике правонарушений</v>
      </c>
      <c r="B745" s="91"/>
      <c r="C745" s="84"/>
      <c r="D745" s="444" t="s">
        <v>2879</v>
      </c>
      <c r="E745" s="91"/>
      <c r="F745" s="85"/>
      <c r="G745" s="101">
        <v>30000</v>
      </c>
      <c r="H745" s="101">
        <f t="shared" ref="H745" si="265">H746</f>
        <v>0</v>
      </c>
      <c r="I745" s="50">
        <f t="shared" ref="I745:I875" si="266">SUM(G745:H745)</f>
        <v>30000</v>
      </c>
    </row>
    <row r="746" spans="1:9" ht="46.8">
      <c r="A746" s="49" t="str">
        <f>IF(B746&gt;0,VLOOKUP(B746,КВСР!A643:B1808,2),IF(C746&gt;0,VLOOKUP(C746,КФСР!A643:B2155,2),IF(D746&gt;0,VLOOKUP(D746,Программа!A$1:B$5063,2),IF(F746&gt;0,VLOOKUP(F746,КВР!A$1:B$5001,2),IF(E746&gt;0,VLOOKUP(E746,Направление!A$1:B$4746,2))))))</f>
        <v>Расходы на профилактику правонарушений и усиления борьбы с преступностью</v>
      </c>
      <c r="B746" s="91"/>
      <c r="C746" s="84"/>
      <c r="D746" s="444"/>
      <c r="E746" s="91">
        <v>12250</v>
      </c>
      <c r="F746" s="85"/>
      <c r="G746" s="101">
        <v>30000</v>
      </c>
      <c r="H746" s="101">
        <f t="shared" ref="H746" si="267">H747</f>
        <v>0</v>
      </c>
      <c r="I746" s="50">
        <f t="shared" si="266"/>
        <v>30000</v>
      </c>
    </row>
    <row r="747" spans="1:9" ht="62.4">
      <c r="A747" s="49" t="str">
        <f>IF(B747&gt;0,VLOOKUP(B747,КВСР!A644:B1809,2),IF(C747&gt;0,VLOOKUP(C747,КФСР!A644:B2156,2),IF(D747&gt;0,VLOOKUP(D747,Программа!A$1:B$5063,2),IF(F747&gt;0,VLOOKUP(F747,КВР!A$1:B$5001,2),IF(E747&gt;0,VLOOKUP(E747,Направление!A$1:B$4746,2))))))</f>
        <v>Предоставление субсидий бюджетным, автономным учреждениям и иным некоммерческим организациям</v>
      </c>
      <c r="B747" s="91"/>
      <c r="C747" s="84"/>
      <c r="D747" s="85"/>
      <c r="E747" s="91"/>
      <c r="F747" s="85">
        <v>600</v>
      </c>
      <c r="G747" s="557">
        <v>30000</v>
      </c>
      <c r="H747" s="384"/>
      <c r="I747" s="50">
        <f t="shared" si="266"/>
        <v>30000</v>
      </c>
    </row>
    <row r="748" spans="1:9" ht="24.75" customHeight="1">
      <c r="A748" s="49" t="str">
        <f>IF(B748&gt;0,VLOOKUP(B748,КВСР!A645:B1810,2),IF(C748&gt;0,VLOOKUP(C748,КФСР!A645:B2157,2),IF(D748&gt;0,VLOOKUP(D748,Программа!A$1:B$5063,2),IF(F748&gt;0,VLOOKUP(F748,КВР!A$1:B$5001,2),IF(E748&gt;0,VLOOKUP(E748,Направление!A$1:B$4746,2))))))</f>
        <v>Периодическая печать и издательства</v>
      </c>
      <c r="B748" s="91"/>
      <c r="C748" s="84">
        <v>1202</v>
      </c>
      <c r="D748" s="444"/>
      <c r="E748" s="91"/>
      <c r="F748" s="85"/>
      <c r="G748" s="101">
        <v>4210000</v>
      </c>
      <c r="H748" s="101">
        <f t="shared" ref="H748:H750" si="268">H749</f>
        <v>0</v>
      </c>
      <c r="I748" s="50">
        <f t="shared" si="266"/>
        <v>4210000</v>
      </c>
    </row>
    <row r="749" spans="1:9">
      <c r="A749" s="49" t="str">
        <f>IF(B749&gt;0,VLOOKUP(B749,КВСР!A646:B1811,2),IF(C749&gt;0,VLOOKUP(C749,КФСР!A646:B2158,2),IF(D749&gt;0,VLOOKUP(D749,Программа!A$1:B$5063,2),IF(F749&gt;0,VLOOKUP(F749,КВР!A$1:B$5001,2),IF(E749&gt;0,VLOOKUP(E749,Направление!A$1:B$4746,2))))))</f>
        <v>Непрограммные расходы бюджета</v>
      </c>
      <c r="B749" s="91"/>
      <c r="C749" s="84"/>
      <c r="D749" s="444" t="s">
        <v>2852</v>
      </c>
      <c r="E749" s="91"/>
      <c r="F749" s="85"/>
      <c r="G749" s="101">
        <v>4210000</v>
      </c>
      <c r="H749" s="101">
        <f>H750+H752</f>
        <v>0</v>
      </c>
      <c r="I749" s="50">
        <f t="shared" si="266"/>
        <v>4210000</v>
      </c>
    </row>
    <row r="750" spans="1:9">
      <c r="A750" s="49" t="str">
        <f>IF(B750&gt;0,VLOOKUP(B750,КВСР!A647:B1812,2),IF(C750&gt;0,VLOOKUP(C750,КФСР!A647:B2159,2),IF(D750&gt;0,VLOOKUP(D750,Программа!A$1:B$5063,2),IF(F750&gt;0,VLOOKUP(F750,КВР!A$1:B$5001,2),IF(E750&gt;0,VLOOKUP(E750,Направление!A$1:B$4746,2))))))</f>
        <v xml:space="preserve">Поддержка периодических изданий </v>
      </c>
      <c r="B750" s="91"/>
      <c r="C750" s="84"/>
      <c r="D750" s="444"/>
      <c r="E750" s="91">
        <v>12750</v>
      </c>
      <c r="F750" s="85"/>
      <c r="G750" s="101">
        <v>3310000</v>
      </c>
      <c r="H750" s="101">
        <f t="shared" si="268"/>
        <v>0</v>
      </c>
      <c r="I750" s="50">
        <f t="shared" si="266"/>
        <v>3310000</v>
      </c>
    </row>
    <row r="751" spans="1:9" ht="62.4">
      <c r="A751" s="49" t="str">
        <f>IF(B751&gt;0,VLOOKUP(B751,КВСР!A648:B1813,2),IF(C751&gt;0,VLOOKUP(C751,КФСР!A648:B2160,2),IF(D751&gt;0,VLOOKUP(D751,Программа!A$1:B$5063,2),IF(F751&gt;0,VLOOKUP(F751,КВР!A$1:B$5001,2),IF(E751&gt;0,VLOOKUP(E751,Направление!A$1:B$4746,2))))))</f>
        <v>Предоставление субсидий бюджетным, автономным учреждениям и иным некоммерческим организациям</v>
      </c>
      <c r="B751" s="91"/>
      <c r="C751" s="84"/>
      <c r="D751" s="85"/>
      <c r="E751" s="91"/>
      <c r="F751" s="85">
        <v>600</v>
      </c>
      <c r="G751" s="387">
        <v>3310000</v>
      </c>
      <c r="H751" s="382"/>
      <c r="I751" s="50">
        <f t="shared" si="266"/>
        <v>3310000</v>
      </c>
    </row>
    <row r="752" spans="1:9" ht="31.2">
      <c r="A752" s="49" t="str">
        <f>IF(B752&gt;0,VLOOKUP(B752,КВСР!A649:B1814,2),IF(C752&gt;0,VLOOKUP(C752,КФСР!A649:B2161,2),IF(D752&gt;0,VLOOKUP(D752,Программа!A$1:B$5063,2),IF(F752&gt;0,VLOOKUP(F752,КВР!A$1:B$5001,2),IF(E752&gt;0,VLOOKUP(E752,Направление!A$1:B$4746,2))))))</f>
        <v>Обеспечение мероприятий по поддержке СМИ</v>
      </c>
      <c r="B752" s="91"/>
      <c r="C752" s="84"/>
      <c r="D752" s="85"/>
      <c r="E752" s="91">
        <v>29366</v>
      </c>
      <c r="F752" s="85"/>
      <c r="G752" s="387">
        <v>900000</v>
      </c>
      <c r="H752" s="387">
        <f t="shared" ref="H752:I752" si="269">H753</f>
        <v>0</v>
      </c>
      <c r="I752" s="387">
        <f t="shared" si="269"/>
        <v>900000</v>
      </c>
    </row>
    <row r="753" spans="1:9" ht="62.4">
      <c r="A753" s="49" t="str">
        <f>IF(B753&gt;0,VLOOKUP(B753,КВСР!A650:B1815,2),IF(C753&gt;0,VLOOKUP(C753,КФСР!A650:B2162,2),IF(D753&gt;0,VLOOKUP(D753,Программа!A$1:B$5063,2),IF(F753&gt;0,VLOOKUP(F753,КВР!A$1:B$5001,2),IF(E753&gt;0,VLOOKUP(E753,Направление!A$1:B$4746,2))))))</f>
        <v>Предоставление субсидий бюджетным, автономным учреждениям и иным некоммерческим организациям</v>
      </c>
      <c r="B753" s="91"/>
      <c r="C753" s="84"/>
      <c r="D753" s="85"/>
      <c r="E753" s="91"/>
      <c r="F753" s="85">
        <v>600</v>
      </c>
      <c r="G753" s="387">
        <v>900000</v>
      </c>
      <c r="H753" s="382"/>
      <c r="I753" s="50">
        <f>G753+H753</f>
        <v>900000</v>
      </c>
    </row>
    <row r="754" spans="1:9" ht="31.2">
      <c r="A754" s="49" t="str">
        <f>IF(B754&gt;0,VLOOKUP(B754,КВСР!A651:B1816,2),IF(C754&gt;0,VLOOKUP(C754,КФСР!A651:B2163,2),IF(D754&gt;0,VLOOKUP(D754,Программа!A$1:B$5063,2),IF(F754&gt;0,VLOOKUP(F754,КВР!A$1:B$5001,2),IF(E754&gt;0,VLOOKUP(E754,Направление!A$1:B$4746,2))))))</f>
        <v>Департамент ЖКХ и строительства Администрации ТМР</v>
      </c>
      <c r="B754" s="87">
        <v>958</v>
      </c>
      <c r="C754" s="88"/>
      <c r="D754" s="77"/>
      <c r="E754" s="90"/>
      <c r="F754" s="89"/>
      <c r="G754" s="55">
        <v>358155339.31999999</v>
      </c>
      <c r="H754" s="55">
        <f>H755+H768+H786+H802+H863+H982+H1001+H1032+H1007+H782+H1020+H1024+H844+H945+H764+H997</f>
        <v>32563993.899999999</v>
      </c>
      <c r="I754" s="55">
        <f>I755+I768+I786+I802+I863+I982+I1001+I1032+I1007+I782+I1020+I1024+I844+I945+I764+I997</f>
        <v>390719333.71999997</v>
      </c>
    </row>
    <row r="755" spans="1:9" ht="31.2">
      <c r="A755" s="49" t="str">
        <f>IF(B755&gt;0,VLOOKUP(B755,КВСР!A652:B1817,2),IF(C755&gt;0,VLOOKUP(C755,КФСР!A652:B2164,2),IF(D755&gt;0,VLOOKUP(D755,Программа!A$1:B$5063,2),IF(F755&gt;0,VLOOKUP(F755,КВР!A$1:B$5001,2),IF(E755&gt;0,VLOOKUP(E755,Направление!A$1:B$4746,2))))))</f>
        <v>Другие общегосударственные вопросы</v>
      </c>
      <c r="B755" s="87"/>
      <c r="C755" s="88">
        <v>113</v>
      </c>
      <c r="D755" s="77"/>
      <c r="E755" s="90"/>
      <c r="F755" s="89"/>
      <c r="G755" s="50">
        <v>26991406</v>
      </c>
      <c r="H755" s="50">
        <f>H756+H761</f>
        <v>360000</v>
      </c>
      <c r="I755" s="50">
        <f>SUM(G755:H755)</f>
        <v>27351406</v>
      </c>
    </row>
    <row r="756" spans="1:9">
      <c r="A756" s="49" t="str">
        <f>IF(B756&gt;0,VLOOKUP(B756,КВСР!A653:B1818,2),IF(C756&gt;0,VLOOKUP(C756,КФСР!A653:B2165,2),IF(D756&gt;0,VLOOKUP(D756,Программа!A$1:B$5063,2),IF(F756&gt;0,VLOOKUP(F756,КВР!A$1:B$5001,2),IF(E756&gt;0,VLOOKUP(E756,Направление!A$1:B$4746,2))))))</f>
        <v>Непрограммные расходы бюджета</v>
      </c>
      <c r="B756" s="87"/>
      <c r="C756" s="88"/>
      <c r="D756" s="77" t="s">
        <v>2852</v>
      </c>
      <c r="E756" s="90"/>
      <c r="F756" s="89"/>
      <c r="G756" s="50">
        <v>10973506</v>
      </c>
      <c r="H756" s="50">
        <f>H757+H759</f>
        <v>0</v>
      </c>
      <c r="I756" s="50">
        <f>I757+I759</f>
        <v>10973506</v>
      </c>
    </row>
    <row r="757" spans="1:9" ht="46.8">
      <c r="A757" s="49" t="str">
        <f>IF(B757&gt;0,VLOOKUP(B757,КВСР!A654:B1819,2),IF(C757&gt;0,VLOOKUP(C757,КФСР!A654:B2166,2),IF(D757&gt;0,VLOOKUP(D757,Программа!A$1:B$5063,2),IF(F757&gt;0,VLOOKUP(F757,КВР!A$1:B$5001,2),IF(E757&gt;0,VLOOKUP(E757,Направление!A$1:B$4746,2))))))</f>
        <v>Обеспечение деятельности подведомственных учреждений органов местного самоуправления</v>
      </c>
      <c r="B757" s="87"/>
      <c r="C757" s="88"/>
      <c r="D757" s="77"/>
      <c r="E757" s="90">
        <v>12100</v>
      </c>
      <c r="F757" s="89"/>
      <c r="G757" s="50">
        <v>10541393</v>
      </c>
      <c r="H757" s="50">
        <f t="shared" ref="H757" si="270">H758</f>
        <v>0</v>
      </c>
      <c r="I757" s="50">
        <f t="shared" si="266"/>
        <v>10541393</v>
      </c>
    </row>
    <row r="758" spans="1:9" ht="62.4">
      <c r="A758" s="49" t="str">
        <f>IF(B758&gt;0,VLOOKUP(B758,КВСР!A655:B1820,2),IF(C758&gt;0,VLOOKUP(C758,КФСР!A655:B2167,2),IF(D758&gt;0,VLOOKUP(D758,Программа!A$1:B$5063,2),IF(F758&gt;0,VLOOKUP(F758,КВР!A$1:B$5001,2),IF(E758&gt;0,VLOOKUP(E758,Направление!A$1:B$4746,2))))))</f>
        <v>Предоставление субсидий бюджетным, автономным учреждениям и иным некоммерческим организациям</v>
      </c>
      <c r="B758" s="87"/>
      <c r="C758" s="88"/>
      <c r="D758" s="89"/>
      <c r="E758" s="90"/>
      <c r="F758" s="89">
        <v>600</v>
      </c>
      <c r="G758" s="387">
        <v>10541393</v>
      </c>
      <c r="H758" s="382"/>
      <c r="I758" s="50">
        <f t="shared" si="266"/>
        <v>10541393</v>
      </c>
    </row>
    <row r="759" spans="1:9" ht="46.8">
      <c r="A759" s="49" t="str">
        <f>IF(B759&gt;0,VLOOKUP(B759,КВСР!A656:B1821,2),IF(C759&gt;0,VLOOKUP(C759,КФСР!A656:B2168,2),IF(D759&gt;0,VLOOKUP(D759,Программа!A$1:B$5063,2),IF(F759&gt;0,VLOOKUP(F759,КВР!A$1:B$5001,2),IF(E759&gt;0,VLOOKUP(E759,Направление!A$1:B$4746,2))))))</f>
        <v>Исполнение судебных актов, актов других органов и должностных лиц, иных документов</v>
      </c>
      <c r="B759" s="87"/>
      <c r="C759" s="88"/>
      <c r="D759" s="89"/>
      <c r="E759" s="90">
        <v>12130</v>
      </c>
      <c r="F759" s="89"/>
      <c r="G759" s="387">
        <v>432113</v>
      </c>
      <c r="H759" s="387">
        <f t="shared" ref="H759:I759" si="271">H760</f>
        <v>0</v>
      </c>
      <c r="I759" s="387">
        <f t="shared" si="271"/>
        <v>432113</v>
      </c>
    </row>
    <row r="760" spans="1:9" ht="62.4">
      <c r="A760" s="49" t="str">
        <f>IF(B760&gt;0,VLOOKUP(B760,КВСР!A657:B1822,2),IF(C760&gt;0,VLOOKUP(C760,КФСР!A657:B2169,2),IF(D760&gt;0,VLOOKUP(D760,Программа!A$1:B$5063,2),IF(F760&gt;0,VLOOKUP(F760,КВР!A$1:B$5001,2),IF(E760&gt;0,VLOOKUP(E760,Направление!A$1:B$4746,2))))))</f>
        <v>Предоставление субсидий бюджетным, автономным учреждениям и иным некоммерческим организациям</v>
      </c>
      <c r="B760" s="87"/>
      <c r="C760" s="88"/>
      <c r="D760" s="89"/>
      <c r="E760" s="90"/>
      <c r="F760" s="89">
        <v>600</v>
      </c>
      <c r="G760" s="387">
        <v>432113</v>
      </c>
      <c r="H760" s="382"/>
      <c r="I760" s="50">
        <f>G760+H760</f>
        <v>432113</v>
      </c>
    </row>
    <row r="761" spans="1:9" ht="33.75" customHeight="1">
      <c r="A761" s="49" t="str">
        <f>IF(B761&gt;0,VLOOKUP(B761,КВСР!A658:B1823,2),IF(C761&gt;0,VLOOKUP(C761,КФСР!A658:B2170,2),IF(D761&gt;0,VLOOKUP(D761,Программа!A$1:B$5063,2),IF(F761&gt;0,VLOOKUP(F761,КВР!A$1:B$5001,2),IF(E761&gt;0,VLOOKUP(E761,Направление!A$1:B$4746,2))))))</f>
        <v>Межбюджетные трансферты  поселениям района</v>
      </c>
      <c r="B761" s="87"/>
      <c r="C761" s="88"/>
      <c r="D761" s="89" t="s">
        <v>2853</v>
      </c>
      <c r="E761" s="90"/>
      <c r="F761" s="89"/>
      <c r="G761" s="387">
        <v>16017900</v>
      </c>
      <c r="H761" s="387">
        <f>H762</f>
        <v>360000</v>
      </c>
      <c r="I761" s="387">
        <f>I762</f>
        <v>16377900</v>
      </c>
    </row>
    <row r="762" spans="1:9" ht="48.75" customHeight="1">
      <c r="A762" s="49" t="str">
        <f>IF(B762&gt;0,VLOOKUP(B762,КВСР!A659:B1824,2),IF(C762&gt;0,VLOOKUP(C762,КФСР!A659:B2171,2),IF(D762&gt;0,VLOOKUP(D762,Программа!A$1:B$5063,2),IF(F762&gt;0,VLOOKUP(F762,КВР!A$1:B$5001,2),IF(E762&gt;0,VLOOKUP(E762,Направление!A$1:B$4746,2))))))</f>
        <v>Субсидия на благоустройство населенных пунктов Ярославской  области</v>
      </c>
      <c r="B762" s="87"/>
      <c r="C762" s="88"/>
      <c r="D762" s="89"/>
      <c r="E762" s="90">
        <v>74770</v>
      </c>
      <c r="F762" s="89"/>
      <c r="G762" s="387">
        <v>16017900</v>
      </c>
      <c r="H762" s="387">
        <f>H763</f>
        <v>360000</v>
      </c>
      <c r="I762" s="387">
        <f>I763</f>
        <v>16377900</v>
      </c>
    </row>
    <row r="763" spans="1:9" ht="26.25" customHeight="1">
      <c r="A763" s="49" t="str">
        <f>IF(B763&gt;0,VLOOKUP(B763,КВСР!A660:B1825,2),IF(C763&gt;0,VLOOKUP(C763,КФСР!A660:B2172,2),IF(D763&gt;0,VLOOKUP(D763,Программа!A$1:B$5063,2),IF(F763&gt;0,VLOOKUP(F763,КВР!A$1:B$5001,2),IF(E763&gt;0,VLOOKUP(E763,Направление!A$1:B$4746,2))))))</f>
        <v xml:space="preserve"> Межбюджетные трансферты</v>
      </c>
      <c r="B763" s="87"/>
      <c r="C763" s="88"/>
      <c r="D763" s="89"/>
      <c r="E763" s="90"/>
      <c r="F763" s="89">
        <v>500</v>
      </c>
      <c r="G763" s="387">
        <v>16017900</v>
      </c>
      <c r="H763" s="382">
        <v>360000</v>
      </c>
      <c r="I763" s="50">
        <f>SUM(G763:H763)</f>
        <v>16377900</v>
      </c>
    </row>
    <row r="764" spans="1:9" ht="62.4">
      <c r="A764" s="49" t="str">
        <f>IF(B764&gt;0,VLOOKUP(B764,КВСР!A661:B1826,2),IF(C764&gt;0,VLOOKUP(C764,КФСР!A661:B2173,2),IF(D764&gt;0,VLOOKUP(D764,Программа!A$1:B$5063,2),IF(F764&gt;0,VLOOKUP(F764,КВР!A$1:B$5001,2),IF(E764&gt;0,VLOOKUP(E764,Направление!A$1:B$4746,2))))))</f>
        <v>Защита населения и территории от последствий чрезвычайных ситуаций природного и техногенного характера, гражданская оборона</v>
      </c>
      <c r="B764" s="87"/>
      <c r="C764" s="88">
        <v>309</v>
      </c>
      <c r="D764" s="89"/>
      <c r="E764" s="90"/>
      <c r="F764" s="89"/>
      <c r="G764" s="387">
        <v>1983892</v>
      </c>
      <c r="H764" s="387">
        <f t="shared" ref="H764:I765" si="272">H765</f>
        <v>675946</v>
      </c>
      <c r="I764" s="387">
        <f t="shared" si="272"/>
        <v>2659838</v>
      </c>
    </row>
    <row r="765" spans="1:9" ht="22.5" customHeight="1">
      <c r="A765" s="49" t="str">
        <f>IF(B765&gt;0,VLOOKUP(B765,КВСР!A662:B1827,2),IF(C765&gt;0,VLOOKUP(C765,КФСР!A662:B2174,2),IF(D765&gt;0,VLOOKUP(D765,Программа!A$1:B$5063,2),IF(F765&gt;0,VLOOKUP(F765,КВР!A$1:B$5001,2),IF(E765&gt;0,VLOOKUP(E765,Направление!A$1:B$4746,2))))))</f>
        <v>Непрограммные расходы бюджета</v>
      </c>
      <c r="B765" s="87"/>
      <c r="C765" s="88"/>
      <c r="D765" s="89" t="s">
        <v>2852</v>
      </c>
      <c r="E765" s="90"/>
      <c r="F765" s="89"/>
      <c r="G765" s="387">
        <v>1983892</v>
      </c>
      <c r="H765" s="387">
        <f t="shared" si="272"/>
        <v>675946</v>
      </c>
      <c r="I765" s="387">
        <f t="shared" si="272"/>
        <v>2659838</v>
      </c>
    </row>
    <row r="766" spans="1:9" ht="39.75" customHeight="1">
      <c r="A766" s="49" t="str">
        <f>IF(B766&gt;0,VLOOKUP(B766,КВСР!A663:B1828,2),IF(C766&gt;0,VLOOKUP(C766,КФСР!A663:B2175,2),IF(D766&gt;0,VLOOKUP(D766,Программа!A$1:B$5063,2),IF(F766&gt;0,VLOOKUP(F766,КВР!A$1:B$5001,2),IF(E766&gt;0,VLOOKUP(E766,Направление!A$1:B$4746,2))))))</f>
        <v>Резервные фонды местных администраций</v>
      </c>
      <c r="B766" s="87"/>
      <c r="C766" s="88"/>
      <c r="D766" s="89"/>
      <c r="E766" s="90">
        <v>12900</v>
      </c>
      <c r="F766" s="89"/>
      <c r="G766" s="387">
        <v>1983892</v>
      </c>
      <c r="H766" s="387">
        <f t="shared" ref="H766:I766" si="273">H767</f>
        <v>675946</v>
      </c>
      <c r="I766" s="387">
        <f t="shared" si="273"/>
        <v>2659838</v>
      </c>
    </row>
    <row r="767" spans="1:9" ht="39.75" customHeight="1">
      <c r="A767" s="49" t="str">
        <f>IF(B767&gt;0,VLOOKUP(B767,КВСР!A664:B1829,2),IF(C767&gt;0,VLOOKUP(C767,КФСР!A664:B2176,2),IF(D767&gt;0,VLOOKUP(D767,Программа!A$1:B$5063,2),IF(F767&gt;0,VLOOKUP(F767,КВР!A$1:B$5001,2),IF(E767&gt;0,VLOOKUP(E767,Направление!A$1:B$4746,2))))))</f>
        <v>Закупка товаров, работ и услуг для государственных нужд</v>
      </c>
      <c r="B767" s="87"/>
      <c r="C767" s="88"/>
      <c r="D767" s="89"/>
      <c r="E767" s="90"/>
      <c r="F767" s="89">
        <v>200</v>
      </c>
      <c r="G767" s="387">
        <v>1983892</v>
      </c>
      <c r="H767" s="382">
        <v>675946</v>
      </c>
      <c r="I767" s="50">
        <f>G767+H767</f>
        <v>2659838</v>
      </c>
    </row>
    <row r="768" spans="1:9">
      <c r="A768" s="49" t="str">
        <f>IF(B768&gt;0,VLOOKUP(B768,КВСР!A661:B1826,2),IF(C768&gt;0,VLOOKUP(C768,КФСР!A661:B2173,2),IF(D768&gt;0,VLOOKUP(D768,Программа!A$1:B$5063,2),IF(F768&gt;0,VLOOKUP(F768,КВР!A$1:B$5001,2),IF(E768&gt;0,VLOOKUP(E768,Направление!A$1:B$4746,2))))))</f>
        <v>Топливно-энергетический комплекс</v>
      </c>
      <c r="B768" s="87"/>
      <c r="C768" s="88">
        <v>402</v>
      </c>
      <c r="D768" s="77"/>
      <c r="E768" s="90"/>
      <c r="F768" s="89"/>
      <c r="G768" s="50">
        <v>3372433</v>
      </c>
      <c r="H768" s="50">
        <f t="shared" ref="H768" si="274">H769+H774</f>
        <v>0</v>
      </c>
      <c r="I768" s="50">
        <f t="shared" si="266"/>
        <v>3372433</v>
      </c>
    </row>
    <row r="769" spans="1:9" ht="66.75" customHeight="1">
      <c r="A769" s="49" t="str">
        <f>IF(B769&gt;0,VLOOKUP(B769,КВСР!A662:B1827,2),IF(C769&gt;0,VLOOKUP(C769,КФСР!A662:B2174,2),IF(D769&gt;0,VLOOKUP(D769,Программа!A$1:B$5063,2),IF(F769&gt;0,VLOOKUP(F769,КВР!A$1:B$5001,2),IF(E769&gt;0,VLOOKUP(E769,Направление!A$1:B$4746,2))))))</f>
        <v>Муниципальная программа "Обеспечение качественными коммунальными услугами населения Тутаевского муниципального района"</v>
      </c>
      <c r="B769" s="87"/>
      <c r="C769" s="88"/>
      <c r="D769" s="77" t="s">
        <v>2753</v>
      </c>
      <c r="E769" s="90"/>
      <c r="F769" s="89"/>
      <c r="G769" s="50">
        <v>600000</v>
      </c>
      <c r="H769" s="50">
        <f t="shared" ref="H769:H772" si="275">H770</f>
        <v>0</v>
      </c>
      <c r="I769" s="50">
        <f t="shared" si="266"/>
        <v>600000</v>
      </c>
    </row>
    <row r="770" spans="1:9" ht="93.6">
      <c r="A770" s="49" t="str">
        <f>IF(B770&gt;0,VLOOKUP(B770,КВСР!A663:B1828,2),IF(C770&gt;0,VLOOKUP(C770,КФСР!A663:B2175,2),IF(D770&gt;0,VLOOKUP(D770,Программа!A$1:B$5063,2),IF(F770&gt;0,VLOOKUP(F770,КВР!A$1:B$5001,2),IF(E770&gt;0,VLOOKUP(E770,Направление!A$1:B$4746,2))))))</f>
        <v>Муниципальная целевая программа "Обеспечение надежного теплоснабжения жилищного фонда и учреждений  бюджетной сферы" на территории Тутаевского муниципального района</v>
      </c>
      <c r="B770" s="87"/>
      <c r="C770" s="88"/>
      <c r="D770" s="77" t="s">
        <v>2755</v>
      </c>
      <c r="E770" s="90"/>
      <c r="F770" s="89"/>
      <c r="G770" s="50">
        <v>600000</v>
      </c>
      <c r="H770" s="50">
        <f t="shared" si="275"/>
        <v>0</v>
      </c>
      <c r="I770" s="50">
        <f t="shared" si="266"/>
        <v>600000</v>
      </c>
    </row>
    <row r="771" spans="1:9" ht="31.2">
      <c r="A771" s="49" t="str">
        <f>IF(B771&gt;0,VLOOKUP(B771,КВСР!A664:B1829,2),IF(C771&gt;0,VLOOKUP(C771,КФСР!A664:B2176,2),IF(D771&gt;0,VLOOKUP(D771,Программа!A$1:B$5063,2),IF(F771&gt;0,VLOOKUP(F771,КВР!A$1:B$5001,2),IF(E771&gt;0,VLOOKUP(E771,Направление!A$1:B$4746,2))))))</f>
        <v xml:space="preserve">Обеспечение населения твердым топливом </v>
      </c>
      <c r="B771" s="87"/>
      <c r="C771" s="88"/>
      <c r="D771" s="77" t="s">
        <v>2819</v>
      </c>
      <c r="E771" s="90"/>
      <c r="F771" s="89"/>
      <c r="G771" s="50">
        <v>600000</v>
      </c>
      <c r="H771" s="50">
        <f t="shared" si="275"/>
        <v>0</v>
      </c>
      <c r="I771" s="50">
        <f t="shared" si="266"/>
        <v>600000</v>
      </c>
    </row>
    <row r="772" spans="1:9" ht="62.4">
      <c r="A772" s="49" t="str">
        <f>IF(B772&gt;0,VLOOKUP(B772,КВСР!A665:B1830,2),IF(C772&gt;0,VLOOKUP(C772,КФСР!A665:B2177,2),IF(D772&gt;0,VLOOKUP(D772,Программа!A$1:B$5063,2),IF(F772&gt;0,VLOOKUP(F772,КВР!A$1:B$5001,2),IF(E772&gt;0,VLOOKUP(E772,Направление!A$1:B$4746,2))))))</f>
        <v>Субсидия топливным предприятиям на возмещение части затрат по обеспечению населения твердым топливом</v>
      </c>
      <c r="B772" s="87"/>
      <c r="C772" s="88"/>
      <c r="D772" s="77"/>
      <c r="E772" s="90">
        <v>10110</v>
      </c>
      <c r="F772" s="89"/>
      <c r="G772" s="50">
        <v>600000</v>
      </c>
      <c r="H772" s="50">
        <f t="shared" si="275"/>
        <v>0</v>
      </c>
      <c r="I772" s="50">
        <f t="shared" si="266"/>
        <v>600000</v>
      </c>
    </row>
    <row r="773" spans="1:9">
      <c r="A773" s="49" t="str">
        <f>IF(B773&gt;0,VLOOKUP(B773,КВСР!A666:B1831,2),IF(C773&gt;0,VLOOKUP(C773,КФСР!A666:B2178,2),IF(D773&gt;0,VLOOKUP(D773,Программа!A$1:B$5063,2),IF(F773&gt;0,VLOOKUP(F773,КВР!A$1:B$5001,2),IF(E773&gt;0,VLOOKUP(E773,Направление!A$1:B$4746,2))))))</f>
        <v>Иные бюджетные ассигнования</v>
      </c>
      <c r="B773" s="87"/>
      <c r="C773" s="88"/>
      <c r="D773" s="89"/>
      <c r="E773" s="90"/>
      <c r="F773" s="89">
        <v>800</v>
      </c>
      <c r="G773" s="387">
        <v>600000</v>
      </c>
      <c r="H773" s="382"/>
      <c r="I773" s="50">
        <f t="shared" si="266"/>
        <v>600000</v>
      </c>
    </row>
    <row r="774" spans="1:9" ht="69.75" customHeight="1">
      <c r="A774" s="49" t="str">
        <f>IF(B774&gt;0,VLOOKUP(B774,КВСР!A667:B1832,2),IF(C774&gt;0,VLOOKUP(C774,КФСР!A667:B2179,2),IF(D774&gt;0,VLOOKUP(D774,Программа!A$1:B$5063,2),IF(F774&gt;0,VLOOKUP(F774,КВР!A$1:B$5001,2),IF(E774&gt;0,VLOOKUP(E774,Направление!A$1:B$4746,2))))))</f>
        <v>Муниципальная  программа "Об энергосбережении и повышении энергетической эффективности Тутаевского муниципального района"</v>
      </c>
      <c r="B774" s="87"/>
      <c r="C774" s="88"/>
      <c r="D774" s="89" t="s">
        <v>2778</v>
      </c>
      <c r="E774" s="90"/>
      <c r="F774" s="89"/>
      <c r="G774" s="387">
        <v>2772433</v>
      </c>
      <c r="H774" s="387">
        <f t="shared" ref="H774" si="276">H775</f>
        <v>0</v>
      </c>
      <c r="I774" s="50">
        <f t="shared" si="266"/>
        <v>2772433</v>
      </c>
    </row>
    <row r="775" spans="1:9" ht="109.2">
      <c r="A775" s="49" t="str">
        <f>IF(B775&gt;0,VLOOKUP(B775,КВСР!A668:B1833,2),IF(C775&gt;0,VLOOKUP(C775,КФСР!A668:B2180,2),IF(D775&gt;0,VLOOKUP(D775,Программа!A$1:B$5063,2),IF(F775&gt;0,VLOOKUP(F775,КВР!A$1:B$5001,2),IF(E775&gt;0,VLOOKUP(E775,Направление!A$1:B$4746,2))))))</f>
        <v>Обеспечение рационального использования топливно- энергетических ресурсов при их производстве, передаче и потреблении и создание условий повышения энергетической эффективности</v>
      </c>
      <c r="B775" s="87"/>
      <c r="C775" s="88"/>
      <c r="D775" s="89" t="s">
        <v>2836</v>
      </c>
      <c r="E775" s="717"/>
      <c r="F775" s="89"/>
      <c r="G775" s="387">
        <v>2772433</v>
      </c>
      <c r="H775" s="387">
        <f>H776+H780+H779</f>
        <v>0</v>
      </c>
      <c r="I775" s="50">
        <f t="shared" si="266"/>
        <v>2772433</v>
      </c>
    </row>
    <row r="776" spans="1:9" ht="46.8">
      <c r="A776" s="49" t="str">
        <f>IF(B776&gt;0,VLOOKUP(B776,КВСР!A669:B1834,2),IF(C776&gt;0,VLOOKUP(C776,КФСР!A669:B2181,2),IF(D776&gt;0,VLOOKUP(D776,Программа!A$1:B$5063,2),IF(F776&gt;0,VLOOKUP(F776,КВР!A$1:B$5001,2),IF(E776&gt;0,VLOOKUP(E776,Направление!A$1:B$4746,2))))))</f>
        <v>Мероприятия по повышению энергоэффективности и энергосбережению</v>
      </c>
      <c r="B776" s="87"/>
      <c r="C776" s="88"/>
      <c r="D776" s="89"/>
      <c r="E776" s="90">
        <v>10400</v>
      </c>
      <c r="F776" s="89"/>
      <c r="G776" s="387">
        <v>1300000</v>
      </c>
      <c r="H776" s="387">
        <f>H777</f>
        <v>0</v>
      </c>
      <c r="I776" s="50">
        <f t="shared" si="266"/>
        <v>1300000</v>
      </c>
    </row>
    <row r="777" spans="1:9" ht="62.4">
      <c r="A777" s="49" t="str">
        <f>IF(B777&gt;0,VLOOKUP(B777,КВСР!A670:B1835,2),IF(C777&gt;0,VLOOKUP(C777,КФСР!A670:B2182,2),IF(D777&gt;0,VLOOKUP(D777,Программа!A$1:B$5063,2),IF(F777&gt;0,VLOOKUP(F777,КВР!A$1:B$5001,2),IF(E777&gt;0,VLOOKUP(E777,Направление!A$1:B$4746,2))))))</f>
        <v>Предоставление субсидий бюджетным, автономным учреждениям и иным некоммерческим организациям</v>
      </c>
      <c r="B777" s="87"/>
      <c r="C777" s="88"/>
      <c r="D777" s="89"/>
      <c r="E777" s="90"/>
      <c r="F777" s="89">
        <v>600</v>
      </c>
      <c r="G777" s="387">
        <v>1300000</v>
      </c>
      <c r="H777" s="708"/>
      <c r="I777" s="50">
        <f t="shared" si="266"/>
        <v>1300000</v>
      </c>
    </row>
    <row r="778" spans="1:9" ht="31.2">
      <c r="A778" s="49" t="str">
        <f>IF(B778&gt;0,VLOOKUP(B778,КВСР!A670:B1835,2),IF(C778&gt;0,VLOOKUP(C778,КФСР!A670:B2182,2),IF(D778&gt;0,VLOOKUP(D778,Программа!A$1:B$5063,2),IF(F778&gt;0,VLOOKUP(F778,КВР!A$1:B$5001,2),IF(E778&gt;0,VLOOKUP(E778,Направление!A$1:B$4746,2))))))</f>
        <v>Обеспечение мероприятий по актуализации схем теплоснабжения</v>
      </c>
      <c r="B778" s="87"/>
      <c r="C778" s="88"/>
      <c r="D778" s="89"/>
      <c r="E778" s="90">
        <v>29536</v>
      </c>
      <c r="G778" s="387">
        <v>600000</v>
      </c>
      <c r="H778" s="387">
        <f>H779</f>
        <v>0</v>
      </c>
      <c r="I778" s="50">
        <f t="shared" si="266"/>
        <v>600000</v>
      </c>
    </row>
    <row r="779" spans="1:9" ht="62.4">
      <c r="A779" s="49" t="str">
        <f>IF(B779&gt;0,VLOOKUP(B779,КВСР!A671:B1836,2),IF(C779&gt;0,VLOOKUP(C779,КФСР!A671:B2183,2),IF(D779&gt;0,VLOOKUP(D779,Программа!A$1:B$5063,2),IF(F779&gt;0,VLOOKUP(F779,КВР!A$1:B$5001,2),IF(E779&gt;0,VLOOKUP(E779,Направление!A$1:B$4746,2))))))</f>
        <v>Предоставление субсидий бюджетным, автономным учреждениям и иным некоммерческим организациям</v>
      </c>
      <c r="B779" s="87"/>
      <c r="C779" s="88"/>
      <c r="D779" s="89"/>
      <c r="E779" s="90"/>
      <c r="F779" s="89">
        <v>600</v>
      </c>
      <c r="G779" s="387">
        <v>600000</v>
      </c>
      <c r="H779" s="708"/>
      <c r="I779" s="50">
        <f t="shared" si="266"/>
        <v>600000</v>
      </c>
    </row>
    <row r="780" spans="1:9" ht="78">
      <c r="A780" s="49" t="str">
        <f>IF(B780&gt;0,VLOOKUP(B780,КВСР!A672:B1837,2),IF(C780&gt;0,VLOOKUP(C780,КФСР!A672:B2184,2),IF(D780&gt;0,VLOOKUP(D780,Программа!A$1:B$5063,2),IF(F780&gt;0,VLOOKUP(F780,КВР!A$1:B$5001,2),IF(E780&gt;0,VLOOKUP(E780,Направление!A$1:B$4746,2))))))</f>
        <v>Дотации на реализацию мероприятий, предусмотренных НПА ОГВ, в рамках п.3 ст.8 Закона ЯО от 07.10.2008 г. № 40-з "О межбюджетных отношениях"</v>
      </c>
      <c r="B780" s="87"/>
      <c r="C780" s="88"/>
      <c r="D780" s="89"/>
      <c r="E780" s="90">
        <v>73260</v>
      </c>
      <c r="G780" s="387">
        <v>872433</v>
      </c>
      <c r="H780" s="387">
        <f>H781</f>
        <v>0</v>
      </c>
      <c r="I780" s="50">
        <f t="shared" si="266"/>
        <v>872433</v>
      </c>
    </row>
    <row r="781" spans="1:9" ht="62.4">
      <c r="A781" s="49" t="str">
        <f>IF(B781&gt;0,VLOOKUP(B781,КВСР!A674:B1839,2),IF(C781&gt;0,VLOOKUP(C781,КФСР!A674:B2186,2),IF(D781&gt;0,VLOOKUP(D781,Программа!A$1:B$5063,2),IF(F781&gt;0,VLOOKUP(F781,КВР!A$1:B$5001,2),IF(E781&gt;0,VLOOKUP(E781,Направление!A$1:B$4746,2))))))</f>
        <v>Предоставление субсидий бюджетным, автономным учреждениям и иным некоммерческим организациям</v>
      </c>
      <c r="B781" s="87"/>
      <c r="C781" s="88"/>
      <c r="D781" s="89"/>
      <c r="E781" s="90"/>
      <c r="F781" s="89">
        <v>600</v>
      </c>
      <c r="G781" s="387">
        <v>872433</v>
      </c>
      <c r="H781" s="382"/>
      <c r="I781" s="50">
        <f t="shared" si="266"/>
        <v>872433</v>
      </c>
    </row>
    <row r="782" spans="1:9">
      <c r="A782" s="49" t="str">
        <f>IF(B782&gt;0,VLOOKUP(B782,КВСР!A675:B1840,2),IF(C782&gt;0,VLOOKUP(C782,КФСР!A675:B2187,2),IF(D782&gt;0,VLOOKUP(D782,Программа!A$1:B$5063,2),IF(F782&gt;0,VLOOKUP(F782,КВР!A$1:B$5001,2),IF(E782&gt;0,VLOOKUP(E782,Направление!A$1:B$4746,2))))))</f>
        <v>Сельское хозяйство и рыболовство</v>
      </c>
      <c r="B782" s="87"/>
      <c r="C782" s="88">
        <v>405</v>
      </c>
      <c r="D782" s="89"/>
      <c r="E782" s="90"/>
      <c r="F782" s="89"/>
      <c r="G782" s="387">
        <v>826050</v>
      </c>
      <c r="H782" s="387">
        <f t="shared" ref="H782:H784" si="277">H783</f>
        <v>0</v>
      </c>
      <c r="I782" s="50">
        <f t="shared" si="266"/>
        <v>826050</v>
      </c>
    </row>
    <row r="783" spans="1:9">
      <c r="A783" s="49" t="str">
        <f>IF(B783&gt;0,VLOOKUP(B783,КВСР!A676:B1841,2),IF(C783&gt;0,VLOOKUP(C783,КФСР!A676:B2188,2),IF(D783&gt;0,VLOOKUP(D783,Программа!A$1:B$5063,2),IF(F783&gt;0,VLOOKUP(F783,КВР!A$1:B$5001,2),IF(E783&gt;0,VLOOKUP(E783,Направление!A$1:B$4746,2))))))</f>
        <v>Непрограммные расходы бюджета</v>
      </c>
      <c r="B783" s="87"/>
      <c r="C783" s="88"/>
      <c r="D783" s="89" t="s">
        <v>2852</v>
      </c>
      <c r="E783" s="717"/>
      <c r="F783" s="89"/>
      <c r="G783" s="387">
        <v>826050</v>
      </c>
      <c r="H783" s="387">
        <f t="shared" si="277"/>
        <v>0</v>
      </c>
      <c r="I783" s="50">
        <f t="shared" si="266"/>
        <v>826050</v>
      </c>
    </row>
    <row r="784" spans="1:9" ht="31.2">
      <c r="A784" s="49" t="str">
        <f>IF(B784&gt;0,VLOOKUP(B784,КВСР!A677:B1842,2),IF(C784&gt;0,VLOOKUP(C784,КФСР!A677:B2189,2),IF(D784&gt;0,VLOOKUP(D784,Программа!A$1:B$5063,2),IF(F784&gt;0,VLOOKUP(F784,КВР!A$1:B$5001,2),IF(E784&gt;0,VLOOKUP(E784,Направление!A$1:B$4746,2))))))</f>
        <v>Субвенция на отлов и содержание безнадзорных животных</v>
      </c>
      <c r="B784" s="87"/>
      <c r="C784" s="88"/>
      <c r="D784" s="89"/>
      <c r="E784" s="90">
        <v>74420</v>
      </c>
      <c r="F784" s="89"/>
      <c r="G784" s="387">
        <v>826050</v>
      </c>
      <c r="H784" s="387">
        <f t="shared" si="277"/>
        <v>0</v>
      </c>
      <c r="I784" s="50">
        <f t="shared" si="266"/>
        <v>826050</v>
      </c>
    </row>
    <row r="785" spans="1:9" ht="31.2">
      <c r="A785" s="49" t="str">
        <f>IF(B785&gt;0,VLOOKUP(B785,КВСР!A678:B1843,2),IF(C785&gt;0,VLOOKUP(C785,КФСР!A678:B2190,2),IF(D785&gt;0,VLOOKUP(D785,Программа!A$1:B$5063,2),IF(F785&gt;0,VLOOKUP(F785,КВР!A$1:B$5001,2),IF(E785&gt;0,VLOOKUP(E785,Направление!A$1:B$4746,2))))))</f>
        <v>Закупка товаров, работ и услуг для государственных нужд</v>
      </c>
      <c r="B785" s="87"/>
      <c r="C785" s="88"/>
      <c r="D785" s="89"/>
      <c r="E785" s="90"/>
      <c r="F785" s="89">
        <v>200</v>
      </c>
      <c r="G785" s="387">
        <v>826050</v>
      </c>
      <c r="H785" s="382"/>
      <c r="I785" s="50">
        <f t="shared" si="266"/>
        <v>826050</v>
      </c>
    </row>
    <row r="786" spans="1:9">
      <c r="A786" s="49" t="str">
        <f>IF(B786&gt;0,VLOOKUP(B786,КВСР!A679:B1844,2),IF(C786&gt;0,VLOOKUP(C786,КФСР!A679:B2191,2),IF(D786&gt;0,VLOOKUP(D786,Программа!A$1:B$5063,2),IF(F786&gt;0,VLOOKUP(F786,КВР!A$1:B$5001,2),IF(E786&gt;0,VLOOKUP(E786,Направление!A$1:B$4746,2))))))</f>
        <v>Транспорт</v>
      </c>
      <c r="B786" s="87"/>
      <c r="C786" s="88">
        <v>408</v>
      </c>
      <c r="D786" s="77"/>
      <c r="E786" s="90"/>
      <c r="F786" s="89"/>
      <c r="G786" s="50">
        <v>26883000</v>
      </c>
      <c r="H786" s="50">
        <f>H787</f>
        <v>-200000</v>
      </c>
      <c r="I786" s="50">
        <f t="shared" si="266"/>
        <v>26683000</v>
      </c>
    </row>
    <row r="787" spans="1:9" ht="84" customHeight="1">
      <c r="A787" s="49" t="str">
        <f>IF(B787&gt;0,VLOOKUP(B787,КВСР!A680:B1845,2),IF(C787&gt;0,VLOOKUP(C787,КФСР!A680:B2192,2),IF(D787&gt;0,VLOOKUP(D787,Программа!A$1:B$5063,2),IF(F787&gt;0,VLOOKUP(F787,КВР!A$1:B$5001,2),IF(E787&gt;0,VLOOKUP(E787,Направление!A$1:B$4746,2))))))</f>
        <v>Муниципальная программа  "Организация перевозок автомобильным и речным транспортом на территории Тутаевского муниципального района"</v>
      </c>
      <c r="B787" s="91"/>
      <c r="C787" s="88"/>
      <c r="D787" s="77" t="s">
        <v>2910</v>
      </c>
      <c r="E787" s="90"/>
      <c r="F787" s="89"/>
      <c r="G787" s="50">
        <v>26883000</v>
      </c>
      <c r="H787" s="50">
        <f>H788+H791+H794+H799</f>
        <v>-200000</v>
      </c>
      <c r="I787" s="50">
        <f>I788+I791+I794+I799</f>
        <v>26683000</v>
      </c>
    </row>
    <row r="788" spans="1:9" ht="93.6" hidden="1">
      <c r="A788" s="49" t="str">
        <f>IF(B788&gt;0,VLOOKUP(B788,КВСР!A681:B1846,2),IF(C788&gt;0,VLOOKUP(C788,КФСР!A681:B2193,2),IF(D788&gt;0,VLOOKUP(D788,Программа!A$1:B$5063,2),IF(F788&gt;0,VLOOKUP(F788,КВР!A$1:B$5001,2),IF(E788&gt;0,VLOOKUP(E788,Направление!A$1:B$4746,2))))))</f>
        <v>Предоставление социальных услуг лицам, находящимся под диспансерным наблюдением в связи с туберкулезом, и больных туберкулезом  при проезде в транспорте общего пользования</v>
      </c>
      <c r="B788" s="91"/>
      <c r="C788" s="88"/>
      <c r="D788" s="77" t="s">
        <v>2911</v>
      </c>
      <c r="E788" s="90"/>
      <c r="F788" s="89"/>
      <c r="G788" s="50">
        <v>0</v>
      </c>
      <c r="H788" s="50">
        <f t="shared" ref="H788:H789" si="278">H789</f>
        <v>0</v>
      </c>
      <c r="I788" s="50">
        <f t="shared" si="266"/>
        <v>0</v>
      </c>
    </row>
    <row r="789" spans="1:9" ht="93.6" hidden="1">
      <c r="A789" s="49" t="str">
        <f>IF(B789&gt;0,VLOOKUP(B789,КВСР!A682:B1847,2),IF(C789&gt;0,VLOOKUP(C789,КФСР!A682:B2194,2),IF(D789&gt;0,VLOOKUP(D789,Программа!A$1:B$5063,2),IF(F789&gt;0,VLOOKUP(F789,КВР!A$1:B$5001,2),IF(E789&gt;0,VLOOKUP(E789,Направление!A$1:B$4746,2))))))</f>
        <v>Предоставление бесплатного проезда лицам, находящимся под диспансерным наблюдением в связи с туберкулезом, и больным туберкулезом за счет средств областного бюджета</v>
      </c>
      <c r="B789" s="91"/>
      <c r="C789" s="88"/>
      <c r="D789" s="77"/>
      <c r="E789" s="90">
        <v>72550</v>
      </c>
      <c r="F789" s="89"/>
      <c r="G789" s="50">
        <v>0</v>
      </c>
      <c r="H789" s="50">
        <f t="shared" si="278"/>
        <v>0</v>
      </c>
      <c r="I789" s="50">
        <f t="shared" si="266"/>
        <v>0</v>
      </c>
    </row>
    <row r="790" spans="1:9" hidden="1">
      <c r="A790" s="49" t="str">
        <f>IF(B790&gt;0,VLOOKUP(B790,КВСР!A683:B1848,2),IF(C790&gt;0,VLOOKUP(C790,КФСР!A683:B2195,2),IF(D790&gt;0,VLOOKUP(D790,Программа!A$1:B$5063,2),IF(F790&gt;0,VLOOKUP(F790,КВР!A$1:B$5001,2),IF(E790&gt;0,VLOOKUP(E790,Направление!A$1:B$4746,2))))))</f>
        <v>Иные бюджетные ассигнования</v>
      </c>
      <c r="B790" s="87"/>
      <c r="C790" s="88"/>
      <c r="D790" s="89"/>
      <c r="E790" s="90"/>
      <c r="F790" s="89">
        <v>800</v>
      </c>
      <c r="G790" s="387">
        <v>0</v>
      </c>
      <c r="H790" s="382"/>
      <c r="I790" s="50">
        <f t="shared" si="266"/>
        <v>0</v>
      </c>
    </row>
    <row r="791" spans="1:9" ht="78" hidden="1">
      <c r="A791" s="49" t="str">
        <f>IF(B791&gt;0,VLOOKUP(B791,КВСР!A684:B1849,2),IF(C791&gt;0,VLOOKUP(C791,КФСР!A684:B2196,2),IF(D791&gt;0,VLOOKUP(D791,Программа!A$1:B$5063,2),IF(F791&gt;0,VLOOKUP(F791,КВР!A$1:B$5001,2),IF(E791&gt;0,VLOOKUP(E791,Направление!A$1:B$4746,2))))))</f>
        <v>Предоставление социальных услуг детям из многодетных семей, обучающихся в общеобразовательных организациях  при проезде в транспорте общего пользования</v>
      </c>
      <c r="B791" s="87"/>
      <c r="C791" s="88"/>
      <c r="D791" s="77" t="s">
        <v>2912</v>
      </c>
      <c r="E791" s="90"/>
      <c r="F791" s="89"/>
      <c r="G791" s="387">
        <v>0</v>
      </c>
      <c r="H791" s="387">
        <f t="shared" ref="H791:H792" si="279">H792</f>
        <v>0</v>
      </c>
      <c r="I791" s="50">
        <f t="shared" si="266"/>
        <v>0</v>
      </c>
    </row>
    <row r="792" spans="1:9" ht="78" hidden="1">
      <c r="A792" s="49" t="str">
        <f>IF(B792&gt;0,VLOOKUP(B792,КВСР!A685:B1850,2),IF(C792&gt;0,VLOOKUP(C792,КФСР!A685:B2197,2),IF(D792&gt;0,VLOOKUP(D792,Программа!A$1:B$5063,2),IF(F792&gt;0,VLOOKUP(F792,КВР!A$1:B$5001,2),IF(E792&gt;0,VLOOKUP(E792,Направление!A$1:B$4746,2))))))</f>
        <v>Предоставление бесплатного проезда детям из многодетных семей, обучающимся в общеобразовательных учреждениях, за счет средств областного бюджета</v>
      </c>
      <c r="B792" s="87"/>
      <c r="C792" s="88"/>
      <c r="D792" s="89"/>
      <c r="E792" s="90">
        <v>72560</v>
      </c>
      <c r="F792" s="89"/>
      <c r="G792" s="387">
        <v>0</v>
      </c>
      <c r="H792" s="387">
        <f t="shared" si="279"/>
        <v>0</v>
      </c>
      <c r="I792" s="50">
        <f t="shared" si="266"/>
        <v>0</v>
      </c>
    </row>
    <row r="793" spans="1:9" hidden="1">
      <c r="A793" s="49" t="str">
        <f>IF(B793&gt;0,VLOOKUP(B793,КВСР!A686:B1851,2),IF(C793&gt;0,VLOOKUP(C793,КФСР!A686:B2198,2),IF(D793&gt;0,VLOOKUP(D793,Программа!A$1:B$5063,2),IF(F793&gt;0,VLOOKUP(F793,КВР!A$1:B$5001,2),IF(E793&gt;0,VLOOKUP(E793,Направление!A$1:B$4746,2))))))</f>
        <v>Иные бюджетные ассигнования</v>
      </c>
      <c r="B793" s="87"/>
      <c r="C793" s="88"/>
      <c r="D793" s="89"/>
      <c r="E793" s="90"/>
      <c r="F793" s="89">
        <v>800</v>
      </c>
      <c r="G793" s="387">
        <v>0</v>
      </c>
      <c r="H793" s="382"/>
      <c r="I793" s="50">
        <f t="shared" si="266"/>
        <v>0</v>
      </c>
    </row>
    <row r="794" spans="1:9" ht="78">
      <c r="A794" s="49" t="str">
        <f>IF(B794&gt;0,VLOOKUP(B794,КВСР!A687:B1852,2),IF(C794&gt;0,VLOOKUP(C794,КФСР!A687:B2199,2),IF(D794&gt;0,VLOOKUP(D794,Программа!A$1:B$5063,2),IF(F794&gt;0,VLOOKUP(F794,КВР!A$1:B$5001,2),IF(E794&gt;0,VLOOKUP(E794,Направление!A$1:B$4746,2))))))</f>
        <v>Организация предоставления транспортных услуг по перевозке пассажиров автомобильным транспортом, транспортом общего пользования</v>
      </c>
      <c r="B794" s="87"/>
      <c r="C794" s="88"/>
      <c r="D794" s="77" t="s">
        <v>2913</v>
      </c>
      <c r="E794" s="90"/>
      <c r="F794" s="89"/>
      <c r="G794" s="387">
        <v>19710000</v>
      </c>
      <c r="H794" s="387">
        <f>H795+H797</f>
        <v>-200000</v>
      </c>
      <c r="I794" s="50">
        <f t="shared" si="266"/>
        <v>19510000</v>
      </c>
    </row>
    <row r="795" spans="1:9" ht="79.5" customHeight="1">
      <c r="A795" s="49" t="str">
        <f>IF(B795&gt;0,VLOOKUP(B795,КВСР!A688:B1853,2),IF(C795&gt;0,VLOOKUP(C795,КФСР!A688:B2200,2),IF(D795&gt;0,VLOOKUP(D795,Программа!A$1:B$5063,2),IF(F795&gt;0,VLOOKUP(F795,КВР!A$1:B$5001,2),IF(E795&gt;0,VLOOKUP(E795,Направление!A$1:B$4746,2))))))</f>
        <v>Субсидия организациям автомобильного транспорта на возмещение затрат по пассажирским перевозкам внутримуниципальным транспортом общего пользования</v>
      </c>
      <c r="B795" s="87"/>
      <c r="C795" s="88"/>
      <c r="D795" s="77"/>
      <c r="E795" s="90">
        <v>10100</v>
      </c>
      <c r="F795" s="89"/>
      <c r="G795" s="387">
        <v>19000000</v>
      </c>
      <c r="H795" s="387">
        <f t="shared" ref="H795" si="280">H796</f>
        <v>0</v>
      </c>
      <c r="I795" s="50">
        <f t="shared" si="266"/>
        <v>19000000</v>
      </c>
    </row>
    <row r="796" spans="1:9">
      <c r="A796" s="49" t="str">
        <f>IF(B796&gt;0,VLOOKUP(B796,КВСР!A689:B1854,2),IF(C796&gt;0,VLOOKUP(C796,КФСР!A689:B2201,2),IF(D796&gt;0,VLOOKUP(D796,Программа!A$1:B$5063,2),IF(F796&gt;0,VLOOKUP(F796,КВР!A$1:B$5001,2),IF(E796&gt;0,VLOOKUP(E796,Направление!A$1:B$4746,2))))))</f>
        <v>Иные бюджетные ассигнования</v>
      </c>
      <c r="B796" s="87"/>
      <c r="C796" s="88"/>
      <c r="D796" s="77"/>
      <c r="E796" s="90"/>
      <c r="F796" s="89">
        <v>800</v>
      </c>
      <c r="G796" s="387">
        <v>19000000</v>
      </c>
      <c r="H796" s="382"/>
      <c r="I796" s="50">
        <f t="shared" si="266"/>
        <v>19000000</v>
      </c>
    </row>
    <row r="797" spans="1:9" ht="62.4">
      <c r="A797" s="49" t="str">
        <f>IF(B797&gt;0,VLOOKUP(B797,КВСР!A690:B1855,2),IF(C797&gt;0,VLOOKUP(C797,КФСР!A690:B2202,2),IF(D797&gt;0,VLOOKUP(D797,Программа!A$1:B$5063,2),IF(F797&gt;0,VLOOKUP(F797,КВР!A$1:B$5001,2),IF(E797&gt;0,VLOOKUP(E797,Направление!A$1:B$4746,2))))))</f>
        <v>Обеспечение мероприятий по осуществлению пасажирских  перевозок на автомобильном  транспорте</v>
      </c>
      <c r="B797" s="87"/>
      <c r="C797" s="88"/>
      <c r="D797" s="77"/>
      <c r="E797" s="90">
        <v>29176</v>
      </c>
      <c r="F797" s="89"/>
      <c r="G797" s="387">
        <v>710000</v>
      </c>
      <c r="H797" s="387">
        <f>H798</f>
        <v>-200000</v>
      </c>
      <c r="I797" s="50">
        <f t="shared" si="266"/>
        <v>510000</v>
      </c>
    </row>
    <row r="798" spans="1:9">
      <c r="A798" s="49" t="str">
        <f>IF(B798&gt;0,VLOOKUP(B798,КВСР!A691:B1856,2),IF(C798&gt;0,VLOOKUP(C798,КФСР!A691:B2203,2),IF(D798&gt;0,VLOOKUP(D798,Программа!A$1:B$5063,2),IF(F798&gt;0,VLOOKUP(F798,КВР!A$1:B$5001,2),IF(E798&gt;0,VLOOKUP(E798,Направление!A$1:B$4746,2))))))</f>
        <v>Иные бюджетные ассигнования</v>
      </c>
      <c r="B798" s="87"/>
      <c r="C798" s="88"/>
      <c r="D798" s="77"/>
      <c r="E798" s="90"/>
      <c r="F798" s="89">
        <v>800</v>
      </c>
      <c r="G798" s="387">
        <v>710000</v>
      </c>
      <c r="H798" s="382">
        <v>-200000</v>
      </c>
      <c r="I798" s="50">
        <f t="shared" si="266"/>
        <v>510000</v>
      </c>
    </row>
    <row r="799" spans="1:9" s="623" customFormat="1" ht="51.6" customHeight="1">
      <c r="A799" s="49" t="str">
        <f>IF(B799&gt;0,VLOOKUP(B799,КВСР!A692:B1857,2),IF(C799&gt;0,VLOOKUP(C799,КФСР!A692:B2204,2),IF(D799&gt;0,VLOOKUP(D799,Программа!A$1:B$5063,2),IF(F799&gt;0,VLOOKUP(F799,КВР!A$1:B$5001,2),IF(E799&gt;0,VLOOKUP(E799,Направление!A$1:B$4746,2))))))</f>
        <v>Обеспечение мероприятий по осуществлению грузопассажирских перевозок на речном транспорте</v>
      </c>
      <c r="B799" s="87"/>
      <c r="C799" s="97"/>
      <c r="D799" s="449" t="s">
        <v>3070</v>
      </c>
      <c r="E799" s="96"/>
      <c r="F799" s="98"/>
      <c r="G799" s="387">
        <v>7173000</v>
      </c>
      <c r="H799" s="387">
        <f>H800</f>
        <v>0</v>
      </c>
      <c r="I799" s="50">
        <f t="shared" si="266"/>
        <v>7173000</v>
      </c>
    </row>
    <row r="800" spans="1:9" ht="46.8">
      <c r="A800" s="49" t="str">
        <f>IF(B800&gt;0,VLOOKUP(B800,КВСР!A693:B1858,2),IF(C800&gt;0,VLOOKUP(C800,КФСР!A693:B2205,2),IF(D800&gt;0,VLOOKUP(D800,Программа!A$1:B$5063,2),IF(F800&gt;0,VLOOKUP(F800,КВР!A$1:B$5001,2),IF(E800&gt;0,VLOOKUP(E800,Направление!A$1:B$4746,2))))))</f>
        <v>Обеспечение мероприятий по осуществлению грузопассажирских  перевозок на речном транспорте</v>
      </c>
      <c r="B800" s="87"/>
      <c r="C800" s="88"/>
      <c r="D800" s="77"/>
      <c r="E800" s="90">
        <v>29166</v>
      </c>
      <c r="F800" s="89"/>
      <c r="G800" s="387">
        <v>7173000</v>
      </c>
      <c r="H800" s="387">
        <f>H801</f>
        <v>0</v>
      </c>
      <c r="I800" s="50">
        <f t="shared" si="266"/>
        <v>7173000</v>
      </c>
    </row>
    <row r="801" spans="1:9">
      <c r="A801" s="49" t="str">
        <f>IF(B801&gt;0,VLOOKUP(B801,КВСР!A694:B1859,2),IF(C801&gt;0,VLOOKUP(C801,КФСР!A694:B2206,2),IF(D801&gt;0,VLOOKUP(D801,Программа!A$1:B$5063,2),IF(F801&gt;0,VLOOKUP(F801,КВР!A$1:B$5001,2),IF(E801&gt;0,VLOOKUP(E801,Направление!A$1:B$4746,2))))))</f>
        <v>Иные бюджетные ассигнования</v>
      </c>
      <c r="B801" s="87"/>
      <c r="C801" s="88"/>
      <c r="D801" s="77"/>
      <c r="E801" s="90"/>
      <c r="F801" s="89">
        <v>800</v>
      </c>
      <c r="G801" s="387">
        <v>7173000</v>
      </c>
      <c r="H801" s="382"/>
      <c r="I801" s="50">
        <f t="shared" si="266"/>
        <v>7173000</v>
      </c>
    </row>
    <row r="802" spans="1:9">
      <c r="A802" s="49" t="str">
        <f>IF(B802&gt;0,VLOOKUP(B802,КВСР!A695:B1860,2),IF(C802&gt;0,VLOOKUP(C802,КФСР!A695:B2207,2),IF(D802&gt;0,VLOOKUP(D802,Программа!A$1:B$5063,2),IF(F802&gt;0,VLOOKUP(F802,КВР!A$1:B$5001,2),IF(E802&gt;0,VLOOKUP(E802,Направление!A$1:B$4746,2))))))</f>
        <v>Дорожное хозяйство</v>
      </c>
      <c r="B802" s="87"/>
      <c r="C802" s="88">
        <v>409</v>
      </c>
      <c r="D802" s="77"/>
      <c r="E802" s="90"/>
      <c r="F802" s="89"/>
      <c r="G802" s="50">
        <v>159097152</v>
      </c>
      <c r="H802" s="50">
        <f t="shared" ref="H802" si="281">H803+H837</f>
        <v>-304929</v>
      </c>
      <c r="I802" s="50">
        <f t="shared" si="266"/>
        <v>158792223</v>
      </c>
    </row>
    <row r="803" spans="1:9" ht="54.75" customHeight="1">
      <c r="A803" s="49" t="str">
        <f>IF(B803&gt;0,VLOOKUP(B803,КВСР!A696:B1861,2),IF(C803&gt;0,VLOOKUP(C803,КФСР!A696:B2208,2),IF(D803&gt;0,VLOOKUP(D803,Программа!A$1:B$5063,2),IF(F803&gt;0,VLOOKUP(F803,КВР!A$1:B$5001,2),IF(E803&gt;0,VLOOKUP(E803,Направление!A$1:B$4746,2))))))</f>
        <v>Муниципальная программа "Развитие дорожного хозяйства и транспорта в Тутаевском муниципальном районе"</v>
      </c>
      <c r="B803" s="87"/>
      <c r="C803" s="88"/>
      <c r="D803" s="77" t="s">
        <v>2821</v>
      </c>
      <c r="E803" s="90"/>
      <c r="F803" s="89"/>
      <c r="G803" s="50">
        <v>110968406</v>
      </c>
      <c r="H803" s="50">
        <f>H804+H812</f>
        <v>-304929</v>
      </c>
      <c r="I803" s="50">
        <f t="shared" si="266"/>
        <v>110663477</v>
      </c>
    </row>
    <row r="804" spans="1:9" ht="65.25" customHeight="1">
      <c r="A804" s="49" t="str">
        <f>IF(B804&gt;0,VLOOKUP(B804,КВСР!A697:B1862,2),IF(C804&gt;0,VLOOKUP(C804,КФСР!A697:B2209,2),IF(D804&gt;0,VLOOKUP(D804,Программа!A$1:B$5063,2),IF(F804&gt;0,VLOOKUP(F804,КВР!A$1:B$5001,2),IF(E804&gt;0,VLOOKUP(E804,Направление!A$1:B$4746,2))))))</f>
        <v>Муниципальная целевая программа «Повышение безопасности дорожного движения на территории Тутаевского муниципального района»</v>
      </c>
      <c r="B804" s="87"/>
      <c r="C804" s="88"/>
      <c r="D804" s="77" t="s">
        <v>2823</v>
      </c>
      <c r="E804" s="90"/>
      <c r="F804" s="89"/>
      <c r="G804" s="50">
        <v>5082855</v>
      </c>
      <c r="H804" s="50">
        <f t="shared" ref="H804:H806" si="282">H805</f>
        <v>0</v>
      </c>
      <c r="I804" s="50">
        <f t="shared" si="266"/>
        <v>5082855</v>
      </c>
    </row>
    <row r="805" spans="1:9" ht="34.5" customHeight="1">
      <c r="A805" s="49" t="str">
        <f>IF(B805&gt;0,VLOOKUP(B805,КВСР!A698:B1863,2),IF(C805&gt;0,VLOOKUP(C805,КФСР!A698:B2210,2),IF(D805&gt;0,VLOOKUP(D805,Программа!A$1:B$5063,2),IF(F805&gt;0,VLOOKUP(F805,КВР!A$1:B$5001,2),IF(E805&gt;0,VLOOKUP(E805,Направление!A$1:B$4746,2))))))</f>
        <v>Повышение безопасности дорожного движения на автомобильных дорогах</v>
      </c>
      <c r="B805" s="87"/>
      <c r="C805" s="88"/>
      <c r="D805" s="77" t="s">
        <v>2824</v>
      </c>
      <c r="E805" s="90"/>
      <c r="F805" s="89"/>
      <c r="G805" s="50">
        <v>5082855</v>
      </c>
      <c r="H805" s="50">
        <f>H806+H808+H810</f>
        <v>0</v>
      </c>
      <c r="I805" s="50">
        <f t="shared" si="266"/>
        <v>5082855</v>
      </c>
    </row>
    <row r="806" spans="1:9" ht="38.25" customHeight="1">
      <c r="A806" s="49" t="str">
        <f>IF(B806&gt;0,VLOOKUP(B806,КВСР!A699:B1864,2),IF(C806&gt;0,VLOOKUP(C806,КФСР!A699:B2211,2),IF(D806&gt;0,VLOOKUP(D806,Программа!A$1:B$5063,2),IF(F806&gt;0,VLOOKUP(F806,КВР!A$1:B$5001,2),IF(E806&gt;0,VLOOKUP(E806,Направление!A$1:B$4746,2))))))</f>
        <v>Содержание и ремонт  автомобильных дорог общего пользования</v>
      </c>
      <c r="B806" s="87"/>
      <c r="C806" s="88"/>
      <c r="D806" s="77"/>
      <c r="E806" s="90">
        <v>10200</v>
      </c>
      <c r="F806" s="89"/>
      <c r="G806" s="50">
        <v>540000</v>
      </c>
      <c r="H806" s="50">
        <f t="shared" si="282"/>
        <v>0</v>
      </c>
      <c r="I806" s="50">
        <f t="shared" si="266"/>
        <v>540000</v>
      </c>
    </row>
    <row r="807" spans="1:9" ht="31.2">
      <c r="A807" s="49" t="str">
        <f>IF(B807&gt;0,VLOOKUP(B807,КВСР!A700:B1865,2),IF(C807&gt;0,VLOOKUP(C807,КФСР!A700:B2212,2),IF(D807&gt;0,VLOOKUP(D807,Программа!A$1:B$5063,2),IF(F807&gt;0,VLOOKUP(F807,КВР!A$1:B$5001,2),IF(E807&gt;0,VLOOKUP(E807,Направление!A$1:B$4746,2))))))</f>
        <v>Закупка товаров, работ и услуг для государственных нужд</v>
      </c>
      <c r="B807" s="87"/>
      <c r="C807" s="88"/>
      <c r="D807" s="89"/>
      <c r="E807" s="90"/>
      <c r="F807" s="89">
        <v>200</v>
      </c>
      <c r="G807" s="387">
        <v>540000</v>
      </c>
      <c r="H807" s="382"/>
      <c r="I807" s="50">
        <f t="shared" si="266"/>
        <v>540000</v>
      </c>
    </row>
    <row r="808" spans="1:9" ht="54" customHeight="1">
      <c r="A808" s="49" t="str">
        <f>IF(B808&gt;0,VLOOKUP(B808,КВСР!A701:B1866,2),IF(C808&gt;0,VLOOKUP(C808,КФСР!A701:B2213,2),IF(D808&gt;0,VLOOKUP(D808,Программа!A$1:B$5063,2),IF(F808&gt;0,VLOOKUP(F808,КВР!A$1:B$5001,2),IF(E808&gt;0,VLOOKUP(E808,Направление!A$1:B$4746,2))))))</f>
        <v>Обеспечение   мероприятий в области  дорожного хозяйства  по повышению безопасности дорожного движения</v>
      </c>
      <c r="B808" s="87"/>
      <c r="C808" s="88"/>
      <c r="D808" s="89"/>
      <c r="E808" s="90">
        <v>29096</v>
      </c>
      <c r="F808" s="89"/>
      <c r="G808" s="387">
        <v>1942855</v>
      </c>
      <c r="H808" s="387">
        <f>H809</f>
        <v>0</v>
      </c>
      <c r="I808" s="50">
        <f t="shared" si="266"/>
        <v>1942855</v>
      </c>
    </row>
    <row r="809" spans="1:9" ht="31.2">
      <c r="A809" s="49" t="str">
        <f>IF(B809&gt;0,VLOOKUP(B809,КВСР!A702:B1867,2),IF(C809&gt;0,VLOOKUP(C809,КФСР!A702:B2214,2),IF(D809&gt;0,VLOOKUP(D809,Программа!A$1:B$5063,2),IF(F809&gt;0,VLOOKUP(F809,КВР!A$1:B$5001,2),IF(E809&gt;0,VLOOKUP(E809,Направление!A$1:B$4746,2))))))</f>
        <v>Закупка товаров, работ и услуг для государственных нужд</v>
      </c>
      <c r="B809" s="87"/>
      <c r="C809" s="88"/>
      <c r="D809" s="89"/>
      <c r="E809" s="90"/>
      <c r="F809" s="89">
        <v>200</v>
      </c>
      <c r="G809" s="387">
        <v>1942855</v>
      </c>
      <c r="H809" s="382"/>
      <c r="I809" s="50">
        <f t="shared" si="266"/>
        <v>1942855</v>
      </c>
    </row>
    <row r="810" spans="1:9" ht="54.75" customHeight="1">
      <c r="A810" s="49" t="str">
        <f>IF(B810&gt;0,VLOOKUP(B810,КВСР!A703:B1868,2),IF(C810&gt;0,VLOOKUP(C810,КФСР!A703:B2215,2),IF(D810&gt;0,VLOOKUP(D810,Программа!A$1:B$5063,2),IF(F810&gt;0,VLOOKUP(F810,КВР!A$1:B$5001,2),IF(E810&gt;0,VLOOKUP(E810,Направление!A$1:B$4746,2))))))</f>
        <v xml:space="preserve">Обеспечение мероприятий в области дорожного хозяйства по строительству светофорных объектов </v>
      </c>
      <c r="B810" s="87"/>
      <c r="C810" s="88"/>
      <c r="D810" s="89"/>
      <c r="E810" s="90">
        <v>29106</v>
      </c>
      <c r="F810" s="89"/>
      <c r="G810" s="387">
        <v>2600000</v>
      </c>
      <c r="H810" s="387">
        <f>H811</f>
        <v>0</v>
      </c>
      <c r="I810" s="50">
        <f t="shared" si="266"/>
        <v>2600000</v>
      </c>
    </row>
    <row r="811" spans="1:9">
      <c r="A811" s="49" t="str">
        <f>IF(B811&gt;0,VLOOKUP(B811,КВСР!A704:B1869,2),IF(C811&gt;0,VLOOKUP(C811,КФСР!A704:B2216,2),IF(D811&gt;0,VLOOKUP(D811,Программа!A$1:B$5063,2),IF(F811&gt;0,VLOOKUP(F811,КВР!A$1:B$5001,2),IF(E811&gt;0,VLOOKUP(E811,Направление!A$1:B$4746,2))))))</f>
        <v>Бюджетные инвестиции</v>
      </c>
      <c r="B811" s="87"/>
      <c r="C811" s="88"/>
      <c r="D811" s="89"/>
      <c r="E811" s="90"/>
      <c r="F811" s="89">
        <v>400</v>
      </c>
      <c r="G811" s="387">
        <v>2600000</v>
      </c>
      <c r="H811" s="382"/>
      <c r="I811" s="50">
        <f t="shared" si="266"/>
        <v>2600000</v>
      </c>
    </row>
    <row r="812" spans="1:9" ht="62.4">
      <c r="A812" s="49" t="str">
        <f>IF(B812&gt;0,VLOOKUP(B812,КВСР!A705:B1870,2),IF(C812&gt;0,VLOOKUP(C812,КФСР!A705:B2217,2),IF(D812&gt;0,VLOOKUP(D812,Программа!A$1:B$5063,2),IF(F812&gt;0,VLOOKUP(F812,КВР!A$1:B$5001,2),IF(E812&gt;0,VLOOKUP(E812,Направление!A$1:B$4746,2))))))</f>
        <v>Муниципальная целевая программа «Сохранность автомобильных дорог общего пользования Тутаевского муниципального района»</v>
      </c>
      <c r="B812" s="87"/>
      <c r="C812" s="88"/>
      <c r="D812" s="77" t="s">
        <v>2825</v>
      </c>
      <c r="E812" s="90"/>
      <c r="F812" s="89"/>
      <c r="G812" s="50">
        <v>105885551</v>
      </c>
      <c r="H812" s="50">
        <f t="shared" ref="H812" si="283">H813</f>
        <v>-304929</v>
      </c>
      <c r="I812" s="50">
        <f t="shared" si="266"/>
        <v>105580622</v>
      </c>
    </row>
    <row r="813" spans="1:9" ht="46.8">
      <c r="A813" s="49" t="str">
        <f>IF(B813&gt;0,VLOOKUP(B813,КВСР!A706:B1871,2),IF(C813&gt;0,VLOOKUP(C813,КФСР!A706:B2218,2),IF(D813&gt;0,VLOOKUP(D813,Программа!A$1:B$5063,2),IF(F813&gt;0,VLOOKUP(F813,КВР!A$1:B$5001,2),IF(E813&gt;0,VLOOKUP(E813,Направление!A$1:B$4746,2))))))</f>
        <v>Приведение  в нормативное состояние автомобильных дорог общего пользования</v>
      </c>
      <c r="B813" s="87"/>
      <c r="C813" s="88"/>
      <c r="D813" s="77" t="s">
        <v>2826</v>
      </c>
      <c r="E813" s="90"/>
      <c r="F813" s="89"/>
      <c r="G813" s="50">
        <v>105885551</v>
      </c>
      <c r="H813" s="50">
        <f>H814+H816+H818+H821+H825+H827+H829+H831+H835+H833+H823</f>
        <v>-304929</v>
      </c>
      <c r="I813" s="50">
        <f>I814+I816+I818+I821+I825+I827+I829+I831+I835+I833+I823</f>
        <v>105580622</v>
      </c>
    </row>
    <row r="814" spans="1:9" ht="46.8">
      <c r="A814" s="49" t="str">
        <f>IF(B814&gt;0,VLOOKUP(B814,КВСР!A707:B1872,2),IF(C814&gt;0,VLOOKUP(C814,КФСР!A707:B2219,2),IF(D814&gt;0,VLOOKUP(D814,Программа!A$1:B$5063,2),IF(F814&gt;0,VLOOKUP(F814,КВР!A$1:B$5001,2),IF(E814&gt;0,VLOOKUP(E814,Направление!A$1:B$4746,2))))))</f>
        <v>Содержание и ремонт  автомобильных дорог общего пользования</v>
      </c>
      <c r="B814" s="87"/>
      <c r="C814" s="88"/>
      <c r="D814" s="77"/>
      <c r="E814" s="90">
        <v>10200</v>
      </c>
      <c r="F814" s="89"/>
      <c r="G814" s="387">
        <v>19559898</v>
      </c>
      <c r="H814" s="387">
        <f t="shared" ref="H814" si="284">H815</f>
        <v>0</v>
      </c>
      <c r="I814" s="50">
        <f t="shared" si="266"/>
        <v>19559898</v>
      </c>
    </row>
    <row r="815" spans="1:9" ht="31.2">
      <c r="A815" s="49" t="str">
        <f>IF(B815&gt;0,VLOOKUP(B815,КВСР!A708:B1873,2),IF(C815&gt;0,VLOOKUP(C815,КФСР!A708:B2220,2),IF(D815&gt;0,VLOOKUP(D815,Программа!A$1:B$5063,2),IF(F815&gt;0,VLOOKUP(F815,КВР!A$1:B$5001,2),IF(E815&gt;0,VLOOKUP(E815,Направление!A$1:B$4746,2))))))</f>
        <v>Закупка товаров, работ и услуг для государственных нужд</v>
      </c>
      <c r="B815" s="87"/>
      <c r="C815" s="88"/>
      <c r="D815" s="89"/>
      <c r="E815" s="90"/>
      <c r="F815" s="89">
        <v>200</v>
      </c>
      <c r="G815" s="387">
        <v>19559898</v>
      </c>
      <c r="H815" s="382"/>
      <c r="I815" s="50">
        <f t="shared" si="266"/>
        <v>19559898</v>
      </c>
    </row>
    <row r="816" spans="1:9" ht="62.4">
      <c r="A816" s="49" t="str">
        <f>IF(B816&gt;0,VLOOKUP(B816,КВСР!A709:B1874,2),IF(C816&gt;0,VLOOKUP(C816,КФСР!A709:B2221,2),IF(D816&gt;0,VLOOKUP(D816,Программа!A$1:B$5063,2),IF(F816&gt;0,VLOOKUP(F816,КВР!A$1:B$5001,2),IF(E816&gt;0,VLOOKUP(E816,Направление!A$1:B$4746,2))))))</f>
        <v>Обеспечение   мероприятий в области  дорожного хозяйства  на строительство и  модернизацию автомобильных дорог</v>
      </c>
      <c r="B816" s="87"/>
      <c r="C816" s="88"/>
      <c r="D816" s="89"/>
      <c r="E816" s="90">
        <v>29076</v>
      </c>
      <c r="F816" s="89"/>
      <c r="G816" s="387">
        <v>3070000</v>
      </c>
      <c r="H816" s="387">
        <f>H817</f>
        <v>-1142912</v>
      </c>
      <c r="I816" s="50">
        <f t="shared" si="266"/>
        <v>1927088</v>
      </c>
    </row>
    <row r="817" spans="1:9">
      <c r="A817" s="49" t="str">
        <f>IF(B817&gt;0,VLOOKUP(B817,КВСР!A710:B1875,2),IF(C817&gt;0,VLOOKUP(C817,КФСР!A710:B2222,2),IF(D817&gt;0,VLOOKUP(D817,Программа!A$1:B$5063,2),IF(F817&gt;0,VLOOKUP(F817,КВР!A$1:B$5001,2),IF(E817&gt;0,VLOOKUP(E817,Направление!A$1:B$4746,2))))))</f>
        <v>Бюджетные инвестиции</v>
      </c>
      <c r="B817" s="87"/>
      <c r="C817" s="88"/>
      <c r="D817" s="89"/>
      <c r="E817" s="90"/>
      <c r="F817" s="89">
        <v>400</v>
      </c>
      <c r="G817" s="387">
        <v>3070000</v>
      </c>
      <c r="H817" s="382">
        <v>-1142912</v>
      </c>
      <c r="I817" s="50">
        <f t="shared" si="266"/>
        <v>1927088</v>
      </c>
    </row>
    <row r="818" spans="1:9" ht="62.4">
      <c r="A818" s="49" t="str">
        <f>IF(B818&gt;0,VLOOKUP(B818,КВСР!A711:B1876,2),IF(C818&gt;0,VLOOKUP(C818,КФСР!A711:B2223,2),IF(D818&gt;0,VLOOKUP(D818,Программа!A$1:B$5063,2),IF(F818&gt;0,VLOOKUP(F818,КВР!A$1:B$5001,2),IF(E818&gt;0,VLOOKUP(E818,Направление!A$1:B$4746,2))))))</f>
        <v>Обеспечение   мероприятий в области  дорожного хозяйства  на  ремонт и содержание автомобильных дорог</v>
      </c>
      <c r="B818" s="87"/>
      <c r="C818" s="88"/>
      <c r="D818" s="89"/>
      <c r="E818" s="90">
        <v>29086</v>
      </c>
      <c r="F818" s="89"/>
      <c r="G818" s="387">
        <v>23721143</v>
      </c>
      <c r="H818" s="387">
        <f>H819+H820</f>
        <v>1685824</v>
      </c>
      <c r="I818" s="50">
        <f t="shared" si="266"/>
        <v>25406967</v>
      </c>
    </row>
    <row r="819" spans="1:9" ht="31.2">
      <c r="A819" s="49" t="str">
        <f>IF(B819&gt;0,VLOOKUP(B819,КВСР!A712:B1877,2),IF(C819&gt;0,VLOOKUP(C819,КФСР!A712:B2224,2),IF(D819&gt;0,VLOOKUP(D819,Программа!A$1:B$5063,2),IF(F819&gt;0,VLOOKUP(F819,КВР!A$1:B$5001,2),IF(E819&gt;0,VLOOKUP(E819,Направление!A$1:B$4746,2))))))</f>
        <v>Закупка товаров, работ и услуг для государственных нужд</v>
      </c>
      <c r="B819" s="87"/>
      <c r="C819" s="88"/>
      <c r="D819" s="89"/>
      <c r="E819" s="90"/>
      <c r="F819" s="89">
        <v>200</v>
      </c>
      <c r="G819" s="387">
        <v>10846261</v>
      </c>
      <c r="H819" s="382">
        <v>1685824</v>
      </c>
      <c r="I819" s="50">
        <f t="shared" si="266"/>
        <v>12532085</v>
      </c>
    </row>
    <row r="820" spans="1:9" ht="62.4">
      <c r="A820" s="49" t="str">
        <f>IF(B820&gt;0,VLOOKUP(B820,КВСР!A713:B1878,2),IF(C820&gt;0,VLOOKUP(C820,КФСР!A713:B2225,2),IF(D820&gt;0,VLOOKUP(D820,Программа!A$1:B$5063,2),IF(F820&gt;0,VLOOKUP(F820,КВР!A$1:B$5001,2),IF(E820&gt;0,VLOOKUP(E820,Направление!A$1:B$4746,2))))))</f>
        <v>Предоставление субсидий бюджетным, автономным учреждениям и иным некоммерческим организациям</v>
      </c>
      <c r="B820" s="87"/>
      <c r="C820" s="88"/>
      <c r="D820" s="89"/>
      <c r="E820" s="90"/>
      <c r="F820" s="89">
        <v>600</v>
      </c>
      <c r="G820" s="387">
        <v>12874882</v>
      </c>
      <c r="H820" s="382"/>
      <c r="I820" s="50">
        <f t="shared" si="266"/>
        <v>12874882</v>
      </c>
    </row>
    <row r="821" spans="1:9" ht="46.8">
      <c r="A821" s="49" t="str">
        <f>IF(B821&gt;0,VLOOKUP(B821,КВСР!A714:B1879,2),IF(C821&gt;0,VLOOKUP(C821,КФСР!A714:B2226,2),IF(D821&gt;0,VLOOKUP(D821,Программа!A$1:B$5063,2),IF(F821&gt;0,VLOOKUP(F821,КВР!A$1:B$5001,2),IF(E821&gt;0,VLOOKUP(E821,Направление!A$1:B$4746,2))))))</f>
        <v xml:space="preserve">Обеспечение мероприятий в области дорожного хозяйства по ремонту дворовых территорий </v>
      </c>
      <c r="B821" s="87"/>
      <c r="C821" s="88"/>
      <c r="D821" s="89"/>
      <c r="E821" s="90">
        <v>29496</v>
      </c>
      <c r="F821" s="89"/>
      <c r="G821" s="387">
        <v>2368473</v>
      </c>
      <c r="H821" s="387">
        <f>H822</f>
        <v>0</v>
      </c>
      <c r="I821" s="50">
        <f t="shared" si="266"/>
        <v>2368473</v>
      </c>
    </row>
    <row r="822" spans="1:9" ht="31.2">
      <c r="A822" s="49" t="str">
        <f>IF(B822&gt;0,VLOOKUP(B822,КВСР!A715:B1880,2),IF(C822&gt;0,VLOOKUP(C822,КФСР!A715:B2227,2),IF(D822&gt;0,VLOOKUP(D822,Программа!A$1:B$5063,2),IF(F822&gt;0,VLOOKUP(F822,КВР!A$1:B$5001,2),IF(E822&gt;0,VLOOKUP(E822,Направление!A$1:B$4746,2))))))</f>
        <v>Закупка товаров, работ и услуг для государственных нужд</v>
      </c>
      <c r="B822" s="87"/>
      <c r="C822" s="88"/>
      <c r="D822" s="89"/>
      <c r="E822" s="90"/>
      <c r="F822" s="89">
        <v>200</v>
      </c>
      <c r="G822" s="387">
        <v>2368473</v>
      </c>
      <c r="H822" s="382"/>
      <c r="I822" s="50">
        <f t="shared" si="266"/>
        <v>2368473</v>
      </c>
    </row>
    <row r="823" spans="1:9" ht="49.2" customHeight="1">
      <c r="A823" s="49" t="str">
        <f>IF(B823&gt;0,VLOOKUP(B823,КВСР!A716:B1881,2),IF(C823&gt;0,VLOOKUP(C823,КФСР!A716:B2228,2),IF(D823&gt;0,VLOOKUP(D823,Программа!A$1:B$5063,2),IF(F823&gt;0,VLOOKUP(F823,КВР!A$1:B$5001,2),IF(E823&gt;0,VLOOKUP(E823,Направление!A$1:B$4746,2))))))</f>
        <v>Обеспечение мероприятий в области дорожного хозяйства на ремонт и содержание автомобильных дорог</v>
      </c>
      <c r="B823" s="87"/>
      <c r="C823" s="88"/>
      <c r="D823" s="89"/>
      <c r="E823" s="90" t="s">
        <v>3199</v>
      </c>
      <c r="F823" s="89"/>
      <c r="G823" s="387">
        <v>675278</v>
      </c>
      <c r="H823" s="387">
        <f>H824</f>
        <v>0</v>
      </c>
      <c r="I823" s="50">
        <f t="shared" si="266"/>
        <v>675278</v>
      </c>
    </row>
    <row r="824" spans="1:9" ht="31.2">
      <c r="A824" s="49" t="str">
        <f>IF(B824&gt;0,VLOOKUP(B824,КВСР!A717:B1882,2),IF(C824&gt;0,VLOOKUP(C824,КФСР!A717:B2229,2),IF(D824&gt;0,VLOOKUP(D824,Программа!A$1:B$5063,2),IF(F824&gt;0,VLOOKUP(F824,КВР!A$1:B$5001,2),IF(E824&gt;0,VLOOKUP(E824,Направление!A$1:B$4746,2))))))</f>
        <v>Закупка товаров, работ и услуг для государственных нужд</v>
      </c>
      <c r="B824" s="87"/>
      <c r="C824" s="88"/>
      <c r="D824" s="89"/>
      <c r="E824" s="90"/>
      <c r="F824" s="89">
        <v>200</v>
      </c>
      <c r="G824" s="387">
        <v>675278</v>
      </c>
      <c r="H824" s="382"/>
      <c r="I824" s="50">
        <f t="shared" si="266"/>
        <v>675278</v>
      </c>
    </row>
    <row r="825" spans="1:9" ht="51" customHeight="1">
      <c r="A825" s="49" t="str">
        <f>IF(B825&gt;0,VLOOKUP(B825,КВСР!A718:B1883,2),IF(C825&gt;0,VLOOKUP(C825,КФСР!A718:B2230,2),IF(D825&gt;0,VLOOKUP(D825,Программа!A$1:B$5063,2),IF(F825&gt;0,VLOOKUP(F825,КВР!A$1:B$5001,2),IF(E825&gt;0,VLOOKUP(E825,Направление!A$1:B$4746,2))))))</f>
        <v>Обеспечение мероприятий в области дорожного хозяйства на ремонт и содержание автомобильных дорог</v>
      </c>
      <c r="B825" s="87"/>
      <c r="C825" s="88"/>
      <c r="D825" s="89"/>
      <c r="E825" s="90" t="s">
        <v>3071</v>
      </c>
      <c r="F825" s="89"/>
      <c r="G825" s="387">
        <v>889713</v>
      </c>
      <c r="H825" s="387">
        <f>H826</f>
        <v>0</v>
      </c>
      <c r="I825" s="50">
        <f t="shared" si="266"/>
        <v>889713</v>
      </c>
    </row>
    <row r="826" spans="1:9" ht="31.2">
      <c r="A826" s="49" t="str">
        <f>IF(B826&gt;0,VLOOKUP(B826,КВСР!A719:B1884,2),IF(C826&gt;0,VLOOKUP(C826,КФСР!A719:B2231,2),IF(D826&gt;0,VLOOKUP(D826,Программа!A$1:B$5063,2),IF(F826&gt;0,VLOOKUP(F826,КВР!A$1:B$5001,2),IF(E826&gt;0,VLOOKUP(E826,Направление!A$1:B$4746,2))))))</f>
        <v>Закупка товаров, работ и услуг для государственных нужд</v>
      </c>
      <c r="B826" s="87"/>
      <c r="C826" s="88"/>
      <c r="D826" s="89"/>
      <c r="E826" s="90"/>
      <c r="F826" s="89">
        <v>200</v>
      </c>
      <c r="G826" s="387">
        <v>889713</v>
      </c>
      <c r="H826" s="382"/>
      <c r="I826" s="50">
        <f t="shared" si="266"/>
        <v>889713</v>
      </c>
    </row>
    <row r="827" spans="1:9" ht="46.8">
      <c r="A827" s="49" t="str">
        <f>IF(B827&gt;0,VLOOKUP(B827,КВСР!A720:B1885,2),IF(C827&gt;0,VLOOKUP(C827,КФСР!A720:B2232,2),IF(D827&gt;0,VLOOKUP(D827,Программа!A$1:B$5063,2),IF(F827&gt;0,VLOOKUP(F827,КВР!A$1:B$5001,2),IF(E827&gt;0,VLOOKUP(E827,Направление!A$1:B$4746,2))))))</f>
        <v>Обеспечение мероприятий в области дорожного хозяйства по  ремонту дворовых территорий</v>
      </c>
      <c r="B827" s="87"/>
      <c r="C827" s="88"/>
      <c r="D827" s="89"/>
      <c r="E827" s="90" t="s">
        <v>3072</v>
      </c>
      <c r="F827" s="89"/>
      <c r="G827" s="387">
        <v>1196720</v>
      </c>
      <c r="H827" s="387">
        <f>H828</f>
        <v>0</v>
      </c>
      <c r="I827" s="50">
        <f t="shared" si="266"/>
        <v>1196720</v>
      </c>
    </row>
    <row r="828" spans="1:9" ht="30.6" customHeight="1">
      <c r="A828" s="49" t="str">
        <f>IF(B828&gt;0,VLOOKUP(B828,КВСР!A721:B1886,2),IF(C828&gt;0,VLOOKUP(C828,КФСР!A721:B2233,2),IF(D828&gt;0,VLOOKUP(D828,Программа!A$1:B$5063,2),IF(F828&gt;0,VLOOKUP(F828,КВР!A$1:B$5001,2),IF(E828&gt;0,VLOOKUP(E828,Направление!A$1:B$4746,2))))))</f>
        <v>Закупка товаров, работ и услуг для государственных нужд</v>
      </c>
      <c r="B828" s="87"/>
      <c r="C828" s="88"/>
      <c r="D828" s="89"/>
      <c r="E828" s="90"/>
      <c r="F828" s="89">
        <v>200</v>
      </c>
      <c r="G828" s="387">
        <v>1196720</v>
      </c>
      <c r="H828" s="382"/>
      <c r="I828" s="50">
        <f t="shared" si="266"/>
        <v>1196720</v>
      </c>
    </row>
    <row r="829" spans="1:9" ht="46.8">
      <c r="A829" s="49" t="str">
        <f>IF(B829&gt;0,VLOOKUP(B829,КВСР!A722:B1887,2),IF(C829&gt;0,VLOOKUP(C829,КФСР!A722:B2234,2),IF(D829&gt;0,VLOOKUP(D829,Программа!A$1:B$5063,2),IF(F829&gt;0,VLOOKUP(F829,КВР!A$1:B$5001,2),IF(E829&gt;0,VLOOKUP(E829,Направление!A$1:B$4746,2))))))</f>
        <v>Расходы на финансирование дорожного хозяйства за счет средств областного бюджета</v>
      </c>
      <c r="B829" s="87"/>
      <c r="C829" s="88"/>
      <c r="D829" s="77"/>
      <c r="E829" s="90">
        <v>72440</v>
      </c>
      <c r="F829" s="89"/>
      <c r="G829" s="50">
        <v>10275580</v>
      </c>
      <c r="H829" s="50">
        <f t="shared" ref="H829" si="285">H830</f>
        <v>0</v>
      </c>
      <c r="I829" s="50">
        <f t="shared" si="266"/>
        <v>10275580</v>
      </c>
    </row>
    <row r="830" spans="1:9" ht="31.2">
      <c r="A830" s="49" t="str">
        <f>IF(B830&gt;0,VLOOKUP(B830,КВСР!A723:B1888,2),IF(C830&gt;0,VLOOKUP(C830,КФСР!A723:B2235,2),IF(D830&gt;0,VLOOKUP(D830,Программа!A$1:B$5063,2),IF(F830&gt;0,VLOOKUP(F830,КВР!A$1:B$5001,2),IF(E830&gt;0,VLOOKUP(E830,Направление!A$1:B$4746,2))))))</f>
        <v>Закупка товаров, работ и услуг для государственных нужд</v>
      </c>
      <c r="B830" s="87"/>
      <c r="C830" s="88"/>
      <c r="D830" s="89"/>
      <c r="E830" s="90"/>
      <c r="F830" s="89">
        <v>200</v>
      </c>
      <c r="G830" s="387">
        <v>10275580</v>
      </c>
      <c r="H830" s="382"/>
      <c r="I830" s="50">
        <f t="shared" si="266"/>
        <v>10275580</v>
      </c>
    </row>
    <row r="831" spans="1:9" ht="62.4">
      <c r="A831" s="49" t="str">
        <f>IF(B831&gt;0,VLOOKUP(B831,КВСР!A724:B1889,2),IF(C831&gt;0,VLOOKUP(C831,КФСР!A724:B2236,2),IF(D831&gt;0,VLOOKUP(D831,Программа!A$1:B$5063,2),IF(F831&gt;0,VLOOKUP(F831,КВР!A$1:B$5001,2),IF(E831&gt;0,VLOOKUP(E831,Направление!A$1:B$4746,2))))))</f>
        <v>Обеспечение мероприятий в области дорожного хозяйства на ремонт и содержание дорог за счет средств областного бюджета</v>
      </c>
      <c r="B831" s="87"/>
      <c r="C831" s="88"/>
      <c r="D831" s="89"/>
      <c r="E831" s="90">
        <v>72446</v>
      </c>
      <c r="F831" s="89"/>
      <c r="G831" s="387">
        <v>8007420</v>
      </c>
      <c r="H831" s="387">
        <f>H832</f>
        <v>0</v>
      </c>
      <c r="I831" s="50">
        <f t="shared" si="266"/>
        <v>8007420</v>
      </c>
    </row>
    <row r="832" spans="1:9" ht="31.2">
      <c r="A832" s="49" t="str">
        <f>IF(B832&gt;0,VLOOKUP(B832,КВСР!A725:B1890,2),IF(C832&gt;0,VLOOKUP(C832,КФСР!A725:B2237,2),IF(D832&gt;0,VLOOKUP(D832,Программа!A$1:B$5063,2),IF(F832&gt;0,VLOOKUP(F832,КВР!A$1:B$5001,2),IF(E832&gt;0,VLOOKUP(E832,Направление!A$1:B$4746,2))))))</f>
        <v>Закупка товаров, работ и услуг для государственных нужд</v>
      </c>
      <c r="B832" s="87"/>
      <c r="C832" s="88"/>
      <c r="D832" s="89"/>
      <c r="E832" s="90"/>
      <c r="F832" s="89">
        <v>200</v>
      </c>
      <c r="G832" s="387">
        <v>8007420</v>
      </c>
      <c r="H832" s="382"/>
      <c r="I832" s="50">
        <f t="shared" si="266"/>
        <v>8007420</v>
      </c>
    </row>
    <row r="833" spans="1:9" ht="82.5" customHeight="1">
      <c r="A833" s="49" t="str">
        <f>IF(B833&gt;0,VLOOKUP(B833,КВСР!A726:B1891,2),IF(C833&gt;0,VLOOKUP(C833,КФСР!A726:B2238,2),IF(D833&gt;0,VLOOKUP(D833,Программа!A$1:B$5063,2),IF(F833&gt;0,VLOOKUP(F833,КВР!A$1:B$5001,2),IF(E833&gt;0,VLOOKUP(E833,Направление!A$1:B$4746,2))))))</f>
        <v xml:space="preserve">Субсидия на осуществление бюджетных  инвестиций в объекты капитального строительства и реконструкцию дорожного хозяйства муниципальной собственности </v>
      </c>
      <c r="B833" s="87"/>
      <c r="C833" s="88"/>
      <c r="D833" s="89"/>
      <c r="E833" s="90">
        <v>72476</v>
      </c>
      <c r="F833" s="89"/>
      <c r="G833" s="387">
        <v>15874326</v>
      </c>
      <c r="H833" s="387">
        <f>H834</f>
        <v>0</v>
      </c>
      <c r="I833" s="50">
        <f t="shared" si="266"/>
        <v>15874326</v>
      </c>
    </row>
    <row r="834" spans="1:9">
      <c r="A834" s="49" t="str">
        <f>IF(B834&gt;0,VLOOKUP(B834,КВСР!A727:B1892,2),IF(C834&gt;0,VLOOKUP(C834,КФСР!A727:B2239,2),IF(D834&gt;0,VLOOKUP(D834,Программа!A$1:B$5063,2),IF(F834&gt;0,VLOOKUP(F834,КВР!A$1:B$5001,2),IF(E834&gt;0,VLOOKUP(E834,Направление!A$1:B$4746,2))))))</f>
        <v>Бюджетные инвестиции</v>
      </c>
      <c r="B834" s="87"/>
      <c r="C834" s="88"/>
      <c r="D834" s="89"/>
      <c r="E834" s="90"/>
      <c r="F834" s="89">
        <v>400</v>
      </c>
      <c r="G834" s="387">
        <v>15874326</v>
      </c>
      <c r="H834" s="382"/>
      <c r="I834" s="50">
        <f t="shared" si="266"/>
        <v>15874326</v>
      </c>
    </row>
    <row r="835" spans="1:9" ht="93.6">
      <c r="A835" s="49" t="str">
        <f>IF(B835&gt;0,VLOOKUP(B835,КВСР!A728:B1893,2),IF(C835&gt;0,VLOOKUP(C835,КФСР!A728:B2240,2),IF(D835&gt;0,VLOOKUP(D835,Программа!A$1:B$5063,2),IF(F835&gt;0,VLOOKUP(F835,КВР!A$1:B$5001,2),IF(E835&gt;0,VLOOKUP(E835,Направление!A$1:B$4746,2))))))</f>
        <v>Расходы на капитальный ремонт и ремонт дворовых территорий многоквартирных домов, проездов к дворовым территориям многоквартирных домов населенных пунктов</v>
      </c>
      <c r="B835" s="87"/>
      <c r="C835" s="88"/>
      <c r="D835" s="89"/>
      <c r="E835" s="90">
        <v>74796</v>
      </c>
      <c r="F835" s="89"/>
      <c r="G835" s="387">
        <v>20247000</v>
      </c>
      <c r="H835" s="387">
        <f>H836</f>
        <v>-847841</v>
      </c>
      <c r="I835" s="50">
        <f t="shared" si="266"/>
        <v>19399159</v>
      </c>
    </row>
    <row r="836" spans="1:9" ht="31.2">
      <c r="A836" s="49" t="str">
        <f>IF(B836&gt;0,VLOOKUP(B836,КВСР!A729:B1894,2),IF(C836&gt;0,VLOOKUP(C836,КФСР!A729:B2241,2),IF(D836&gt;0,VLOOKUP(D836,Программа!A$1:B$5063,2),IF(F836&gt;0,VLOOKUP(F836,КВР!A$1:B$5001,2),IF(E836&gt;0,VLOOKUP(E836,Направление!A$1:B$4746,2))))))</f>
        <v>Закупка товаров, работ и услуг для государственных нужд</v>
      </c>
      <c r="B836" s="87"/>
      <c r="C836" s="88"/>
      <c r="D836" s="89"/>
      <c r="E836" s="90"/>
      <c r="F836" s="89">
        <v>200</v>
      </c>
      <c r="G836" s="387">
        <v>20247000</v>
      </c>
      <c r="H836" s="382">
        <v>-847841</v>
      </c>
      <c r="I836" s="50">
        <f t="shared" si="266"/>
        <v>19399159</v>
      </c>
    </row>
    <row r="837" spans="1:9" ht="31.2">
      <c r="A837" s="49" t="str">
        <f>IF(B837&gt;0,VLOOKUP(B837,КВСР!A730:B1895,2),IF(C837&gt;0,VLOOKUP(C837,КФСР!A730:B2242,2),IF(D837&gt;0,VLOOKUP(D837,Программа!A$1:B$5063,2),IF(F837&gt;0,VLOOKUP(F837,КВР!A$1:B$5001,2),IF(E837&gt;0,VLOOKUP(E837,Направление!A$1:B$4746,2))))))</f>
        <v>Межбюджетные трансферты  поселениям района</v>
      </c>
      <c r="B837" s="87"/>
      <c r="C837" s="88"/>
      <c r="D837" s="89" t="s">
        <v>2853</v>
      </c>
      <c r="E837" s="90"/>
      <c r="F837" s="89"/>
      <c r="G837" s="50">
        <v>48128746</v>
      </c>
      <c r="H837" s="50">
        <f>H838+H842+H840</f>
        <v>0</v>
      </c>
      <c r="I837" s="50">
        <f>I838+I842+I840</f>
        <v>48128746</v>
      </c>
    </row>
    <row r="838" spans="1:9" ht="46.8">
      <c r="A838" s="49" t="str">
        <f>IF(B838&gt;0,VLOOKUP(B838,КВСР!A731:B1896,2),IF(C838&gt;0,VLOOKUP(C838,КФСР!A731:B2243,2),IF(D838&gt;0,VLOOKUP(D838,Программа!A$1:B$5063,2),IF(F838&gt;0,VLOOKUP(F838,КВР!A$1:B$5001,2),IF(E838&gt;0,VLOOKUP(E838,Направление!A$1:B$4746,2))))))</f>
        <v>Расходы на финансирование дорожного хозяйства за счет средств областного бюджета</v>
      </c>
      <c r="B838" s="87"/>
      <c r="C838" s="88"/>
      <c r="D838" s="89"/>
      <c r="E838" s="90">
        <v>72440</v>
      </c>
      <c r="F838" s="89"/>
      <c r="G838" s="387">
        <v>10007420</v>
      </c>
      <c r="H838" s="387">
        <f t="shared" ref="H838" si="286">H839</f>
        <v>0</v>
      </c>
      <c r="I838" s="50">
        <f t="shared" si="266"/>
        <v>10007420</v>
      </c>
    </row>
    <row r="839" spans="1:9">
      <c r="A839" s="49" t="str">
        <f>IF(B839&gt;0,VLOOKUP(B839,КВСР!A732:B1897,2),IF(C839&gt;0,VLOOKUP(C839,КФСР!A732:B2244,2),IF(D839&gt;0,VLOOKUP(D839,Программа!A$1:B$5063,2),IF(F839&gt;0,VLOOKUP(F839,КВР!A$1:B$5001,2),IF(E839&gt;0,VLOOKUP(E839,Направление!A$1:B$4746,2))))))</f>
        <v xml:space="preserve"> Межбюджетные трансферты</v>
      </c>
      <c r="B839" s="87"/>
      <c r="C839" s="88"/>
      <c r="D839" s="89"/>
      <c r="E839" s="90"/>
      <c r="F839" s="89">
        <v>500</v>
      </c>
      <c r="G839" s="387">
        <v>10007420</v>
      </c>
      <c r="H839" s="382"/>
      <c r="I839" s="50">
        <f t="shared" si="266"/>
        <v>10007420</v>
      </c>
    </row>
    <row r="840" spans="1:9" ht="85.5" customHeight="1">
      <c r="A840" s="49" t="str">
        <f>IF(B840&gt;0,VLOOKUP(B840,КВСР!A733:B1898,2),IF(C840&gt;0,VLOOKUP(C840,КФСР!A733:B2245,2),IF(D840&gt;0,VLOOKUP(D840,Программа!A$1:B$5063,2),IF(F840&gt;0,VLOOKUP(F840,КВР!A$1:B$5001,2),IF(E840&gt;0,VLOOKUP(E840,Направление!A$1:B$4746,2))))))</f>
        <v xml:space="preserve">Субсидия на осуществление бюджетных  инвестиций в объекты капитального строительства и реконструкцию дорожного хозяйства муниципальной собственности </v>
      </c>
      <c r="B840" s="87"/>
      <c r="C840" s="88"/>
      <c r="D840" s="89"/>
      <c r="E840" s="90">
        <v>72470</v>
      </c>
      <c r="F840" s="89"/>
      <c r="G840" s="387">
        <v>15874326</v>
      </c>
      <c r="H840" s="387">
        <f>H841</f>
        <v>0</v>
      </c>
      <c r="I840" s="50">
        <f t="shared" si="266"/>
        <v>15874326</v>
      </c>
    </row>
    <row r="841" spans="1:9">
      <c r="A841" s="49" t="str">
        <f>IF(B841&gt;0,VLOOKUP(B841,КВСР!A734:B1899,2),IF(C841&gt;0,VLOOKUP(C841,КФСР!A734:B2246,2),IF(D841&gt;0,VLOOKUP(D841,Программа!A$1:B$5063,2),IF(F841&gt;0,VLOOKUP(F841,КВР!A$1:B$5001,2),IF(E841&gt;0,VLOOKUP(E841,Направление!A$1:B$4746,2))))))</f>
        <v xml:space="preserve"> Межбюджетные трансферты</v>
      </c>
      <c r="B841" s="87"/>
      <c r="C841" s="88"/>
      <c r="D841" s="89"/>
      <c r="E841" s="90"/>
      <c r="F841" s="89">
        <v>500</v>
      </c>
      <c r="G841" s="387">
        <v>15874326</v>
      </c>
      <c r="H841" s="382"/>
      <c r="I841" s="50">
        <f t="shared" si="266"/>
        <v>15874326</v>
      </c>
    </row>
    <row r="842" spans="1:9" ht="93.6">
      <c r="A842" s="49" t="str">
        <f>IF(B842&gt;0,VLOOKUP(B842,КВСР!A735:B1900,2),IF(C842&gt;0,VLOOKUP(C842,КФСР!A735:B2247,2),IF(D842&gt;0,VLOOKUP(D842,Программа!A$1:B$5063,2),IF(F842&gt;0,VLOOKUP(F842,КВР!A$1:B$5001,2),IF(E842&gt;0,VLOOKUP(E842,Направление!A$1:B$4746,2))))))</f>
        <v>Субсидия на капитальный ремонт и ремонт дворовых территорий многоквартирных домов, проездов к дворовым территориям многоквартирных домов населенных пунктов</v>
      </c>
      <c r="B842" s="87"/>
      <c r="C842" s="88"/>
      <c r="D842" s="77"/>
      <c r="E842" s="90">
        <v>74790</v>
      </c>
      <c r="F842" s="89"/>
      <c r="G842" s="50">
        <v>22247000</v>
      </c>
      <c r="H842" s="50">
        <f t="shared" ref="H842" si="287">H843</f>
        <v>0</v>
      </c>
      <c r="I842" s="50">
        <f t="shared" si="266"/>
        <v>22247000</v>
      </c>
    </row>
    <row r="843" spans="1:9">
      <c r="A843" s="49" t="str">
        <f>IF(B843&gt;0,VLOOKUP(B843,КВСР!A736:B1901,2),IF(C843&gt;0,VLOOKUP(C843,КФСР!A736:B2248,2),IF(D843&gt;0,VLOOKUP(D843,Программа!A$1:B$5063,2),IF(F843&gt;0,VLOOKUP(F843,КВР!A$1:B$5001,2),IF(E843&gt;0,VLOOKUP(E843,Направление!A$1:B$4746,2))))))</f>
        <v xml:space="preserve"> Межбюджетные трансферты</v>
      </c>
      <c r="B843" s="87"/>
      <c r="C843" s="88"/>
      <c r="D843" s="89"/>
      <c r="E843" s="90"/>
      <c r="F843" s="89">
        <v>500</v>
      </c>
      <c r="G843" s="387">
        <v>22247000</v>
      </c>
      <c r="H843" s="382"/>
      <c r="I843" s="50">
        <f t="shared" si="266"/>
        <v>22247000</v>
      </c>
    </row>
    <row r="844" spans="1:9">
      <c r="A844" s="49" t="str">
        <f>IF(B844&gt;0,VLOOKUP(B844,КВСР!A737:B1902,2),IF(C844&gt;0,VLOOKUP(C844,КФСР!A737:B2249,2),IF(D844&gt;0,VLOOKUP(D844,Программа!A$1:B$5063,2),IF(F844&gt;0,VLOOKUP(F844,КВР!A$1:B$5001,2),IF(E844&gt;0,VLOOKUP(E844,Направление!A$1:B$4746,2))))))</f>
        <v>Жилищное хозяйство</v>
      </c>
      <c r="B844" s="87"/>
      <c r="C844" s="88">
        <v>501</v>
      </c>
      <c r="D844" s="89"/>
      <c r="E844" s="90"/>
      <c r="F844" s="89"/>
      <c r="G844" s="387">
        <v>13598312.710000001</v>
      </c>
      <c r="H844" s="387">
        <f>H845+H860</f>
        <v>0</v>
      </c>
      <c r="I844" s="50">
        <f>SUM(G844:H844)</f>
        <v>13598312.710000001</v>
      </c>
    </row>
    <row r="845" spans="1:9" ht="50.25" customHeight="1">
      <c r="A845" s="49" t="str">
        <f>IF(B845&gt;0,VLOOKUP(B845,КВСР!A738:B1903,2),IF(C845&gt;0,VLOOKUP(C845,КФСР!A738:B2250,2),IF(D845&gt;0,VLOOKUP(D845,Программа!A$1:B$5063,2),IF(F845&gt;0,VLOOKUP(F845,КВР!A$1:B$5001,2),IF(E845&gt;0,VLOOKUP(E845,Направление!A$1:B$4746,2))))))</f>
        <v>Муниципальная программа  "Развитие жилищного хозяйства Тутаевского муниципального района"</v>
      </c>
      <c r="B845" s="87"/>
      <c r="C845" s="88"/>
      <c r="D845" s="89" t="s">
        <v>2790</v>
      </c>
      <c r="E845" s="90"/>
      <c r="F845" s="89"/>
      <c r="G845" s="387">
        <v>9916600</v>
      </c>
      <c r="H845" s="387">
        <f>H846+H850</f>
        <v>0</v>
      </c>
      <c r="I845" s="387">
        <f>I846+I850</f>
        <v>9916600</v>
      </c>
    </row>
    <row r="846" spans="1:9" ht="82.5" customHeight="1">
      <c r="A846" s="49" t="str">
        <f>IF(B846&gt;0,VLOOKUP(B846,КВСР!A739:B1904,2),IF(C846&gt;0,VLOOKUP(C846,КФСР!A739:B2251,2),IF(D846&gt;0,VLOOKUP(D846,Программа!A$1:B$5063,2),IF(F846&gt;0,VLOOKUP(F846,КВР!A$1:B$5001,2),IF(E846&gt;0,VLOOKUP(E846,Направление!A$1:B$4746,2))))))</f>
        <v>Муниципальная целевая программа "Развитие  лифтового хозяйства на территории городского поселения Тутаев Тутаевского муниципального района"</v>
      </c>
      <c r="B846" s="87"/>
      <c r="C846" s="88"/>
      <c r="D846" s="77" t="s">
        <v>2792</v>
      </c>
      <c r="E846" s="90"/>
      <c r="F846" s="89"/>
      <c r="G846" s="387">
        <v>7200000</v>
      </c>
      <c r="H846" s="387">
        <f t="shared" ref="H846:I848" si="288">H847</f>
        <v>0</v>
      </c>
      <c r="I846" s="387">
        <f t="shared" si="288"/>
        <v>7200000</v>
      </c>
    </row>
    <row r="847" spans="1:9" ht="53.25" customHeight="1">
      <c r="A847" s="49" t="str">
        <f>IF(B847&gt;0,VLOOKUP(B847,КВСР!A740:B1905,2),IF(C847&gt;0,VLOOKUP(C847,КФСР!A740:B2252,2),IF(D847&gt;0,VLOOKUP(D847,Программа!A$1:B$5063,2),IF(F847&gt;0,VLOOKUP(F847,КВР!A$1:B$5001,2),IF(E847&gt;0,VLOOKUP(E847,Направление!A$1:B$4746,2))))))</f>
        <v>Обеспечение мероприятий по восстановлению лифтового хозяйства многоквартирных домов</v>
      </c>
      <c r="B847" s="87"/>
      <c r="C847" s="88"/>
      <c r="D847" s="77" t="s">
        <v>2804</v>
      </c>
      <c r="E847" s="90"/>
      <c r="F847" s="89"/>
      <c r="G847" s="387">
        <v>7200000</v>
      </c>
      <c r="H847" s="387">
        <f t="shared" si="288"/>
        <v>0</v>
      </c>
      <c r="I847" s="387">
        <f t="shared" si="288"/>
        <v>7200000</v>
      </c>
    </row>
    <row r="848" spans="1:9" ht="67.5" customHeight="1">
      <c r="A848" s="49" t="str">
        <f>IF(B848&gt;0,VLOOKUP(B848,КВСР!A741:B1906,2),IF(C848&gt;0,VLOOKUP(C848,КФСР!A741:B2253,2),IF(D848&gt;0,VLOOKUP(D848,Программа!A$1:B$5063,2),IF(F848&gt;0,VLOOKUP(F848,КВР!A$1:B$5001,2),IF(E848&gt;0,VLOOKUP(E848,Направление!A$1:B$4746,2))))))</f>
        <v>Обеспечение мероприятий по содержанию,  реконструкции и капитальному ремонту муниципального жилищного фонда</v>
      </c>
      <c r="B848" s="87"/>
      <c r="C848" s="88"/>
      <c r="D848" s="77"/>
      <c r="E848" s="90">
        <v>29376</v>
      </c>
      <c r="F848" s="89"/>
      <c r="G848" s="387">
        <v>7200000</v>
      </c>
      <c r="H848" s="387">
        <f t="shared" si="288"/>
        <v>0</v>
      </c>
      <c r="I848" s="387">
        <f t="shared" si="288"/>
        <v>7200000</v>
      </c>
    </row>
    <row r="849" spans="1:9">
      <c r="A849" s="49" t="str">
        <f>IF(B849&gt;0,VLOOKUP(B849,КВСР!A742:B1907,2),IF(C849&gt;0,VLOOKUP(C849,КФСР!A742:B2254,2),IF(D849&gt;0,VLOOKUP(D849,Программа!A$1:B$5063,2),IF(F849&gt;0,VLOOKUP(F849,КВР!A$1:B$5001,2),IF(E849&gt;0,VLOOKUP(E849,Направление!A$1:B$4746,2))))))</f>
        <v>Бюджетные инвестиции</v>
      </c>
      <c r="B849" s="87"/>
      <c r="C849" s="88"/>
      <c r="D849" s="77"/>
      <c r="E849" s="90"/>
      <c r="F849" s="89">
        <v>400</v>
      </c>
      <c r="G849" s="387">
        <v>7200000</v>
      </c>
      <c r="H849" s="382"/>
      <c r="I849" s="50">
        <f>SUM(G849:H849)</f>
        <v>7200000</v>
      </c>
    </row>
    <row r="850" spans="1:9" ht="69.75" customHeight="1">
      <c r="A850" s="49" t="str">
        <f>IF(B850&gt;0,VLOOKUP(B850,КВСР!A743:B1908,2),IF(C850&gt;0,VLOOKUP(C850,КФСР!A743:B2255,2),IF(D850&gt;0,VLOOKUP(D850,Программа!A$1:B$5063,2),IF(F850&gt;0,VLOOKUP(F850,КВР!A$1:B$5001,2),IF(E850&gt;0,VLOOKUP(E850,Направление!A$1:B$4746,2))))))</f>
        <v>Муниципальная целевая программа "Ремонт и содержание муниципального жилищного фонда   Тутаевского муниципального района"</v>
      </c>
      <c r="B850" s="87"/>
      <c r="C850" s="88"/>
      <c r="D850" s="77" t="s">
        <v>2914</v>
      </c>
      <c r="E850" s="90"/>
      <c r="F850" s="89"/>
      <c r="G850" s="387">
        <v>2716600</v>
      </c>
      <c r="H850" s="387">
        <f>H851+H854+H857</f>
        <v>0</v>
      </c>
      <c r="I850" s="387">
        <f>I851+I854+I857</f>
        <v>2716600</v>
      </c>
    </row>
    <row r="851" spans="1:9" ht="50.25" customHeight="1">
      <c r="A851" s="49" t="str">
        <f>IF(B851&gt;0,VLOOKUP(B851,КВСР!A744:B1909,2),IF(C851&gt;0,VLOOKUP(C851,КФСР!A744:B2256,2),IF(D851&gt;0,VLOOKUP(D851,Программа!A$1:B$5063,2),IF(F851&gt;0,VLOOKUP(F851,КВР!A$1:B$5001,2),IF(E851&gt;0,VLOOKUP(E851,Направление!A$1:B$4746,2))))))</f>
        <v>Обеспечение мероприятий по замене приборов учета в муниципальном жилищном фонде</v>
      </c>
      <c r="B851" s="87"/>
      <c r="C851" s="88"/>
      <c r="D851" s="77" t="s">
        <v>2915</v>
      </c>
      <c r="E851" s="90"/>
      <c r="F851" s="89"/>
      <c r="G851" s="387">
        <v>150000</v>
      </c>
      <c r="H851" s="387">
        <f>H852</f>
        <v>0</v>
      </c>
      <c r="I851" s="387">
        <f>I852</f>
        <v>150000</v>
      </c>
    </row>
    <row r="852" spans="1:9" ht="53.25" customHeight="1">
      <c r="A852" s="49" t="str">
        <f>IF(B852&gt;0,VLOOKUP(B852,КВСР!A745:B1910,2),IF(C852&gt;0,VLOOKUP(C852,КФСР!A745:B2257,2),IF(D852&gt;0,VLOOKUP(D852,Программа!A$1:B$5063,2),IF(F852&gt;0,VLOOKUP(F852,КВР!A$1:B$5001,2),IF(E852&gt;0,VLOOKUP(E852,Направление!A$1:B$4746,2))))))</f>
        <v>Обеспечение мероприятий по установке приборов учета потребляемых ресурсов</v>
      </c>
      <c r="B852" s="87"/>
      <c r="C852" s="88"/>
      <c r="D852" s="77"/>
      <c r="E852" s="90">
        <v>29306</v>
      </c>
      <c r="F852" s="89"/>
      <c r="G852" s="387">
        <v>150000</v>
      </c>
      <c r="H852" s="387">
        <f>H853</f>
        <v>0</v>
      </c>
      <c r="I852" s="387">
        <f>I853</f>
        <v>150000</v>
      </c>
    </row>
    <row r="853" spans="1:9" ht="62.25" customHeight="1">
      <c r="A853" s="49" t="str">
        <f>IF(B853&gt;0,VLOOKUP(B853,КВСР!A746:B1911,2),IF(C853&gt;0,VLOOKUP(C853,КФСР!A746:B2258,2),IF(D853&gt;0,VLOOKUP(D853,Программа!A$1:B$5063,2),IF(F853&gt;0,VLOOKUP(F853,КВР!A$1:B$5001,2),IF(E853&gt;0,VLOOKUP(E853,Направление!A$1:B$4746,2))))))</f>
        <v>Предоставление субсидий бюджетным, автономным учреждениям и иным некоммерческим организациям</v>
      </c>
      <c r="B853" s="87"/>
      <c r="C853" s="88"/>
      <c r="D853" s="77"/>
      <c r="E853" s="90"/>
      <c r="F853" s="89">
        <v>600</v>
      </c>
      <c r="G853" s="387">
        <v>150000</v>
      </c>
      <c r="H853" s="382"/>
      <c r="I853" s="50">
        <f>SUM(G853:H853)</f>
        <v>150000</v>
      </c>
    </row>
    <row r="854" spans="1:9" ht="36.75" customHeight="1">
      <c r="A854" s="49" t="str">
        <f>IF(B854&gt;0,VLOOKUP(B854,КВСР!A747:B1912,2),IF(C854&gt;0,VLOOKUP(C854,КФСР!A747:B2259,2),IF(D854&gt;0,VLOOKUP(D854,Программа!A$1:B$5063,2),IF(F854&gt;0,VLOOKUP(F854,КВР!A$1:B$5001,2),IF(E854&gt;0,VLOOKUP(E854,Направление!A$1:B$4746,2))))))</f>
        <v>Обеспечение мероприятий по ремонту общедомового имущества</v>
      </c>
      <c r="B854" s="87"/>
      <c r="C854" s="88"/>
      <c r="D854" s="77" t="s">
        <v>2916</v>
      </c>
      <c r="E854" s="90"/>
      <c r="F854" s="89"/>
      <c r="G854" s="387">
        <v>1900000</v>
      </c>
      <c r="H854" s="387">
        <f>H855</f>
        <v>-106930</v>
      </c>
      <c r="I854" s="387">
        <f>I855</f>
        <v>1793070</v>
      </c>
    </row>
    <row r="855" spans="1:9" ht="50.25" customHeight="1">
      <c r="A855" s="49" t="str">
        <f>IF(B855&gt;0,VLOOKUP(B855,КВСР!A748:B1913,2),IF(C855&gt;0,VLOOKUP(C855,КФСР!A748:B2260,2),IF(D855&gt;0,VLOOKUP(D855,Программа!A$1:B$5063,2),IF(F855&gt;0,VLOOKUP(F855,КВР!A$1:B$5001,2),IF(E855&gt;0,VLOOKUP(E855,Направление!A$1:B$4746,2))))))</f>
        <v>Обеспечение мероприятий по содержанию,  реконструкции и капитальному ремонту муниципального жилищного фонда</v>
      </c>
      <c r="B855" s="87"/>
      <c r="C855" s="88"/>
      <c r="D855" s="77"/>
      <c r="E855" s="90">
        <v>29376</v>
      </c>
      <c r="F855" s="89"/>
      <c r="G855" s="387">
        <v>1900000</v>
      </c>
      <c r="H855" s="387">
        <f>H856</f>
        <v>-106930</v>
      </c>
      <c r="I855" s="387">
        <f>I856</f>
        <v>1793070</v>
      </c>
    </row>
    <row r="856" spans="1:9" ht="64.5" customHeight="1">
      <c r="A856" s="49" t="str">
        <f>IF(B856&gt;0,VLOOKUP(B856,КВСР!A749:B1914,2),IF(C856&gt;0,VLOOKUP(C856,КФСР!A749:B2261,2),IF(D856&gt;0,VLOOKUP(D856,Программа!A$1:B$5063,2),IF(F856&gt;0,VLOOKUP(F856,КВР!A$1:B$5001,2),IF(E856&gt;0,VLOOKUP(E856,Направление!A$1:B$4746,2))))))</f>
        <v>Предоставление субсидий бюджетным, автономным учреждениям и иным некоммерческим организациям</v>
      </c>
      <c r="B856" s="87"/>
      <c r="C856" s="88"/>
      <c r="D856" s="77"/>
      <c r="E856" s="90"/>
      <c r="F856" s="89">
        <v>600</v>
      </c>
      <c r="G856" s="387">
        <v>1900000</v>
      </c>
      <c r="H856" s="382">
        <v>-106930</v>
      </c>
      <c r="I856" s="50">
        <f>SUM(G856:H856)</f>
        <v>1793070</v>
      </c>
    </row>
    <row r="857" spans="1:9" ht="38.25" customHeight="1">
      <c r="A857" s="49" t="str">
        <f>IF(B857&gt;0,VLOOKUP(B857,КВСР!A750:B1915,2),IF(C857&gt;0,VLOOKUP(C857,КФСР!A750:B2262,2),IF(D857&gt;0,VLOOKUP(D857,Программа!A$1:B$5063,2),IF(F857&gt;0,VLOOKUP(F857,КВР!A$1:B$5001,2),IF(E857&gt;0,VLOOKUP(E857,Направление!A$1:B$4746,2))))))</f>
        <v>Обеспечение мероприятий по ремонту муниципавльных квартир</v>
      </c>
      <c r="B857" s="87"/>
      <c r="C857" s="88"/>
      <c r="D857" s="77" t="s">
        <v>2917</v>
      </c>
      <c r="E857" s="90"/>
      <c r="F857" s="89"/>
      <c r="G857" s="387">
        <v>666600</v>
      </c>
      <c r="H857" s="387">
        <f>H858</f>
        <v>106930</v>
      </c>
      <c r="I857" s="387">
        <f>I858</f>
        <v>773530</v>
      </c>
    </row>
    <row r="858" spans="1:9" ht="51.75" customHeight="1">
      <c r="A858" s="49" t="str">
        <f>IF(B858&gt;0,VLOOKUP(B858,КВСР!A751:B1916,2),IF(C858&gt;0,VLOOKUP(C858,КФСР!A751:B2263,2),IF(D858&gt;0,VLOOKUP(D858,Программа!A$1:B$5063,2),IF(F858&gt;0,VLOOKUP(F858,КВР!A$1:B$5001,2),IF(E858&gt;0,VLOOKUP(E858,Направление!A$1:B$4746,2))))))</f>
        <v>Обеспечение мероприятий по содержанию,  реконструкции и капитальному ремонту муниципального жилищного фонда</v>
      </c>
      <c r="B858" s="87"/>
      <c r="C858" s="88"/>
      <c r="D858" s="77"/>
      <c r="E858" s="90">
        <v>29376</v>
      </c>
      <c r="F858" s="89"/>
      <c r="G858" s="387">
        <v>666600</v>
      </c>
      <c r="H858" s="387">
        <f>H859</f>
        <v>106930</v>
      </c>
      <c r="I858" s="387">
        <f>I859</f>
        <v>773530</v>
      </c>
    </row>
    <row r="859" spans="1:9" ht="69" customHeight="1">
      <c r="A859" s="49" t="str">
        <f>IF(B859&gt;0,VLOOKUP(B859,КВСР!A752:B1917,2),IF(C859&gt;0,VLOOKUP(C859,КФСР!A752:B2264,2),IF(D859&gt;0,VLOOKUP(D859,Программа!A$1:B$5063,2),IF(F859&gt;0,VLOOKUP(F859,КВР!A$1:B$5001,2),IF(E859&gt;0,VLOOKUP(E859,Направление!A$1:B$4746,2))))))</f>
        <v>Предоставление субсидий бюджетным, автономным учреждениям и иным некоммерческим организациям</v>
      </c>
      <c r="B859" s="87"/>
      <c r="C859" s="88"/>
      <c r="D859" s="77"/>
      <c r="E859" s="90"/>
      <c r="F859" s="89">
        <v>600</v>
      </c>
      <c r="G859" s="387">
        <v>666600</v>
      </c>
      <c r="H859" s="382">
        <v>106930</v>
      </c>
      <c r="I859" s="50">
        <f>SUM(G859:H859)</f>
        <v>773530</v>
      </c>
    </row>
    <row r="860" spans="1:9" ht="26.25" customHeight="1">
      <c r="A860" s="49" t="str">
        <f>IF(B860&gt;0,VLOOKUP(B860,КВСР!A753:B1918,2),IF(C860&gt;0,VLOOKUP(C860,КФСР!A753:B2265,2),IF(D860&gt;0,VLOOKUP(D860,Программа!A$1:B$5063,2),IF(F860&gt;0,VLOOKUP(F860,КВР!A$1:B$5001,2),IF(E860&gt;0,VLOOKUP(E860,Направление!A$1:B$4746,2))))))</f>
        <v>Непрограммные расходы бюджета</v>
      </c>
      <c r="B860" s="87"/>
      <c r="C860" s="88"/>
      <c r="D860" s="77" t="s">
        <v>2852</v>
      </c>
      <c r="E860" s="90"/>
      <c r="F860" s="89"/>
      <c r="G860" s="387">
        <v>3681712.71</v>
      </c>
      <c r="H860" s="387">
        <f>H861</f>
        <v>0</v>
      </c>
      <c r="I860" s="387">
        <f>I861</f>
        <v>3681712.71</v>
      </c>
    </row>
    <row r="861" spans="1:9" ht="38.25" customHeight="1">
      <c r="A861" s="49" t="str">
        <f>IF(B861&gt;0,VLOOKUP(B861,КВСР!A754:B1919,2),IF(C861&gt;0,VLOOKUP(C861,КФСР!A754:B2266,2),IF(D861&gt;0,VLOOKUP(D861,Программа!A$1:B$5063,2),IF(F861&gt;0,VLOOKUP(F861,КВР!A$1:B$5001,2),IF(E861&gt;0,VLOOKUP(E861,Направление!A$1:B$4746,2))))))</f>
        <v>Обеспечение мероприятий в области благоустройства</v>
      </c>
      <c r="B861" s="87"/>
      <c r="C861" s="88"/>
      <c r="D861" s="77"/>
      <c r="E861" s="90">
        <v>29266</v>
      </c>
      <c r="F861" s="89"/>
      <c r="G861" s="387">
        <v>3681712.71</v>
      </c>
      <c r="H861" s="387">
        <f>H862</f>
        <v>0</v>
      </c>
      <c r="I861" s="387">
        <f>I862</f>
        <v>3681712.71</v>
      </c>
    </row>
    <row r="862" spans="1:9" ht="69" customHeight="1">
      <c r="A862" s="49" t="str">
        <f>IF(B862&gt;0,VLOOKUP(B862,КВСР!A755:B1920,2),IF(C862&gt;0,VLOOKUP(C862,КФСР!A755:B2267,2),IF(D862&gt;0,VLOOKUP(D862,Программа!A$1:B$5063,2),IF(F862&gt;0,VLOOKUP(F862,КВР!A$1:B$5001,2),IF(E862&gt;0,VLOOKUP(E862,Направление!A$1:B$4746,2))))))</f>
        <v>Предоставление субсидий бюджетным, автономным учреждениям и иным некоммерческим организациям</v>
      </c>
      <c r="B862" s="87"/>
      <c r="C862" s="88"/>
      <c r="D862" s="77"/>
      <c r="E862" s="90"/>
      <c r="F862" s="89">
        <v>600</v>
      </c>
      <c r="G862" s="387">
        <v>3681712.71</v>
      </c>
      <c r="H862" s="382"/>
      <c r="I862" s="50">
        <f>SUM(G862:H862)</f>
        <v>3681712.71</v>
      </c>
    </row>
    <row r="863" spans="1:9" ht="23.25" customHeight="1">
      <c r="A863" s="49" t="str">
        <f>IF(B863&gt;0,VLOOKUP(B863,КВСР!A756:B1921,2),IF(C863&gt;0,VLOOKUP(C863,КФСР!A756:B2268,2),IF(D863&gt;0,VLOOKUP(D863,Программа!A$1:B$5063,2),IF(F863&gt;0,VLOOKUP(F863,КВР!A$1:B$5001,2),IF(E863&gt;0,VLOOKUP(E863,Направление!A$1:B$4746,2))))))</f>
        <v>Коммунальное хозяйство</v>
      </c>
      <c r="B863" s="87"/>
      <c r="C863" s="88">
        <v>502</v>
      </c>
      <c r="D863" s="77"/>
      <c r="E863" s="90"/>
      <c r="F863" s="89"/>
      <c r="G863" s="50">
        <v>51787865.310000002</v>
      </c>
      <c r="H863" s="50">
        <f>H864+H929+H940+H933</f>
        <v>33395166</v>
      </c>
      <c r="I863" s="50">
        <f t="shared" si="266"/>
        <v>85183031.310000002</v>
      </c>
    </row>
    <row r="864" spans="1:9" ht="78">
      <c r="A864" s="49" t="str">
        <f>IF(B864&gt;0,VLOOKUP(B864,КВСР!A757:B1922,2),IF(C864&gt;0,VLOOKUP(C864,КФСР!A757:B2269,2),IF(D864&gt;0,VLOOKUP(D864,Программа!A$1:B$5063,2),IF(F864&gt;0,VLOOKUP(F864,КВР!A$1:B$5001,2),IF(E864&gt;0,VLOOKUP(E864,Направление!A$1:B$4746,2))))))</f>
        <v>Муниципальная программа "Обеспечение качественными коммунальными услугами населения Тутаевского муниципального района"</v>
      </c>
      <c r="B864" s="87"/>
      <c r="C864" s="88"/>
      <c r="D864" s="77" t="s">
        <v>2753</v>
      </c>
      <c r="E864" s="90"/>
      <c r="F864" s="89"/>
      <c r="G864" s="50">
        <v>34371521.310000002</v>
      </c>
      <c r="H864" s="50">
        <f>H865+H871+H890+H902</f>
        <v>19731260</v>
      </c>
      <c r="I864" s="50">
        <f t="shared" si="266"/>
        <v>54102781.310000002</v>
      </c>
    </row>
    <row r="865" spans="1:9" ht="93.6">
      <c r="A865" s="49" t="str">
        <f>IF(B865&gt;0,VLOOKUP(B865,КВСР!A758:B1923,2),IF(C865&gt;0,VLOOKUP(C865,КФСР!A758:B2270,2),IF(D865&gt;0,VLOOKUP(D865,Программа!A$1:B$5063,2),IF(F865&gt;0,VLOOKUP(F865,КВР!A$1:B$5001,2),IF(E865&gt;0,VLOOKUP(E865,Направление!A$1:B$4746,2))))))</f>
        <v>Муниципальная целевая программа "Обеспечение надежного теплоснабжения жилищного фонда и учреждений  бюджетной сферы" на территории Тутаевского муниципального района</v>
      </c>
      <c r="B865" s="87"/>
      <c r="C865" s="88"/>
      <c r="D865" s="77" t="s">
        <v>2755</v>
      </c>
      <c r="E865" s="90"/>
      <c r="F865" s="89"/>
      <c r="G865" s="50">
        <v>3760000</v>
      </c>
      <c r="H865" s="50">
        <f t="shared" ref="H865" si="289">H866</f>
        <v>3887000</v>
      </c>
      <c r="I865" s="50">
        <f t="shared" si="266"/>
        <v>7647000</v>
      </c>
    </row>
    <row r="866" spans="1:9" ht="62.4">
      <c r="A866" s="49" t="str">
        <f>IF(B866&gt;0,VLOOKUP(B866,КВСР!A759:B1924,2),IF(C866&gt;0,VLOOKUP(C866,КФСР!A759:B2271,2),IF(D866&gt;0,VLOOKUP(D866,Программа!A$1:B$5063,2),IF(F866&gt;0,VLOOKUP(F866,КВР!A$1:B$5001,2),IF(E866&gt;0,VLOOKUP(E866,Направление!A$1:B$4746,2))))))</f>
        <v>Обеспечение надежного теплоснабжения жилищного фонда и функционирования учреждений бюджетной сферы</v>
      </c>
      <c r="B866" s="87"/>
      <c r="C866" s="88"/>
      <c r="D866" s="77" t="s">
        <v>2757</v>
      </c>
      <c r="E866" s="90"/>
      <c r="F866" s="89"/>
      <c r="G866" s="50">
        <v>3760000</v>
      </c>
      <c r="H866" s="50">
        <f>H867+H869</f>
        <v>3887000</v>
      </c>
      <c r="I866" s="50">
        <f t="shared" si="266"/>
        <v>7647000</v>
      </c>
    </row>
    <row r="867" spans="1:9" ht="46.8">
      <c r="A867" s="49" t="str">
        <f>IF(B867&gt;0,VLOOKUP(B867,КВСР!A760:B1925,2),IF(C867&gt;0,VLOOKUP(C867,КФСР!A760:B2272,2),IF(D867&gt;0,VLOOKUP(D867,Программа!A$1:B$5063,2),IF(F867&gt;0,VLOOKUP(F867,КВР!A$1:B$5001,2),IF(E867&gt;0,VLOOKUP(E867,Направление!A$1:B$4746,2))))))</f>
        <v>Субсидия на выполнение ОМС Тутаевского МР полномочий по организации теплоснабжения</v>
      </c>
      <c r="B867" s="87"/>
      <c r="C867" s="88"/>
      <c r="D867" s="77"/>
      <c r="E867" s="90">
        <v>10880</v>
      </c>
      <c r="F867" s="89"/>
      <c r="G867" s="50">
        <v>2760000</v>
      </c>
      <c r="H867" s="50">
        <v>4000000</v>
      </c>
      <c r="I867" s="50">
        <f t="shared" si="266"/>
        <v>6760000</v>
      </c>
    </row>
    <row r="868" spans="1:9">
      <c r="A868" s="49" t="str">
        <f>IF(B868&gt;0,VLOOKUP(B868,КВСР!A761:B1926,2),IF(C868&gt;0,VLOOKUP(C868,КФСР!A761:B2273,2),IF(D868&gt;0,VLOOKUP(D868,Программа!A$1:B$5063,2),IF(F868&gt;0,VLOOKUP(F868,КВР!A$1:B$5001,2),IF(E868&gt;0,VLOOKUP(E868,Направление!A$1:B$4746,2))))))</f>
        <v>Иные бюджетные ассигнования</v>
      </c>
      <c r="B868" s="87"/>
      <c r="C868" s="88"/>
      <c r="D868" s="89"/>
      <c r="E868" s="90"/>
      <c r="F868" s="89">
        <v>800</v>
      </c>
      <c r="G868" s="387">
        <v>2760000</v>
      </c>
      <c r="H868" s="382">
        <v>4000000</v>
      </c>
      <c r="I868" s="50">
        <f t="shared" si="266"/>
        <v>6760000</v>
      </c>
    </row>
    <row r="869" spans="1:9" ht="63.75" customHeight="1">
      <c r="A869" s="49" t="str">
        <f>IF(B869&gt;0,VLOOKUP(B869,КВСР!A762:B1927,2),IF(C869&gt;0,VLOOKUP(C869,КФСР!A762:B2274,2),IF(D869&gt;0,VLOOKUP(D869,Программа!A$1:B$5063,2),IF(F869&gt;0,VLOOKUP(F869,КВР!A$1:B$5001,2),IF(E869&gt;0,VLOOKUP(E869,Направление!A$1:B$4746,2))))))</f>
        <v>Обеспечение мероприятий,  связанные с выполнением полномочий ОМС МО  по тепло-, водоснабжению и водоотведению</v>
      </c>
      <c r="B869" s="87"/>
      <c r="C869" s="88"/>
      <c r="D869" s="89"/>
      <c r="E869" s="90">
        <v>29036</v>
      </c>
      <c r="F869" s="89"/>
      <c r="G869" s="387">
        <v>1000000</v>
      </c>
      <c r="H869" s="387">
        <f>H870</f>
        <v>-113000</v>
      </c>
      <c r="I869" s="387">
        <f>I870</f>
        <v>887000</v>
      </c>
    </row>
    <row r="870" spans="1:9" ht="20.25" customHeight="1">
      <c r="A870" s="49" t="str">
        <f>IF(B870&gt;0,VLOOKUP(B870,КВСР!A763:B1928,2),IF(C870&gt;0,VLOOKUP(C870,КФСР!A763:B2275,2),IF(D870&gt;0,VLOOKUP(D870,Программа!A$1:B$5063,2),IF(F870&gt;0,VLOOKUP(F870,КВР!A$1:B$5001,2),IF(E870&gt;0,VLOOKUP(E870,Направление!A$1:B$4746,2))))))</f>
        <v>Иные бюджетные ассигнования</v>
      </c>
      <c r="B870" s="87"/>
      <c r="C870" s="88"/>
      <c r="D870" s="89"/>
      <c r="E870" s="90"/>
      <c r="F870" s="89">
        <v>800</v>
      </c>
      <c r="G870" s="387">
        <v>1000000</v>
      </c>
      <c r="H870" s="382">
        <v>-113000</v>
      </c>
      <c r="I870" s="50">
        <f>SUM(G870:H870)</f>
        <v>887000</v>
      </c>
    </row>
    <row r="871" spans="1:9" ht="90" customHeight="1">
      <c r="A871" s="49" t="str">
        <f>IF(B871&gt;0,VLOOKUP(B871,КВСР!A764:B1929,2),IF(C871&gt;0,VLOOKUP(C871,КФСР!A764:B2276,2),IF(D871&gt;0,VLOOKUP(D871,Программа!A$1:B$5063,2),IF(F871&gt;0,VLOOKUP(F871,КВР!A$1:B$5001,2),IF(E871&gt;0,VLOOKUP(E871,Направление!A$1:B$4746,2))))))</f>
        <v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v>
      </c>
      <c r="B871" s="87"/>
      <c r="C871" s="88"/>
      <c r="D871" s="77" t="s">
        <v>2759</v>
      </c>
      <c r="E871" s="90"/>
      <c r="F871" s="89"/>
      <c r="G871" s="387">
        <v>17892625.990000002</v>
      </c>
      <c r="H871" s="387">
        <f>H872+H878</f>
        <v>4492316</v>
      </c>
      <c r="I871" s="50">
        <f t="shared" si="266"/>
        <v>22384941.990000002</v>
      </c>
    </row>
    <row r="872" spans="1:9" ht="62.4">
      <c r="A872" s="49" t="str">
        <f>IF(B872&gt;0,VLOOKUP(B872,КВСР!A765:B1930,2),IF(C872&gt;0,VLOOKUP(C872,КФСР!A765:B2277,2),IF(D872&gt;0,VLOOKUP(D872,Программа!A$1:B$5063,2),IF(F872&gt;0,VLOOKUP(F872,КВР!A$1:B$5001,2),IF(E872&gt;0,VLOOKUP(E872,Направление!A$1:B$4746,2))))))</f>
        <v>Модернизация объектов теплоснабжения с вводом их в эксплуатацию (строительство и реконструкция котельных)</v>
      </c>
      <c r="B872" s="87"/>
      <c r="C872" s="88"/>
      <c r="D872" s="77" t="s">
        <v>2761</v>
      </c>
      <c r="E872" s="90"/>
      <c r="F872" s="89"/>
      <c r="G872" s="387">
        <v>802626</v>
      </c>
      <c r="H872" s="387">
        <f>H873+H876</f>
        <v>0</v>
      </c>
      <c r="I872" s="50">
        <f>SUM(G872:H872)</f>
        <v>802626</v>
      </c>
    </row>
    <row r="873" spans="1:9" ht="46.8">
      <c r="A873" s="49" t="str">
        <f>IF(B873&gt;0,VLOOKUP(B873,КВСР!A766:B1931,2),IF(C873&gt;0,VLOOKUP(C873,КФСР!A766:B2278,2),IF(D873&gt;0,VLOOKUP(D873,Программа!A$1:B$5063,2),IF(F873&gt;0,VLOOKUP(F873,КВР!A$1:B$5001,2),IF(E873&gt;0,VLOOKUP(E873,Направление!A$1:B$4746,2))))))</f>
        <v>Бюджетные инвестиции в объекты капитального строительства муниципальной собственности</v>
      </c>
      <c r="B873" s="87"/>
      <c r="C873" s="88"/>
      <c r="D873" s="89"/>
      <c r="E873" s="90">
        <v>10010</v>
      </c>
      <c r="F873" s="89"/>
      <c r="G873" s="387">
        <v>109651</v>
      </c>
      <c r="H873" s="387">
        <f>H875+H874</f>
        <v>0</v>
      </c>
      <c r="I873" s="50">
        <f t="shared" si="266"/>
        <v>109651</v>
      </c>
    </row>
    <row r="874" spans="1:9" ht="31.2">
      <c r="A874" s="49" t="str">
        <f>IF(B874&gt;0,VLOOKUP(B874,КВСР!A767:B1932,2),IF(C874&gt;0,VLOOKUP(C874,КФСР!A767:B2279,2),IF(D874&gt;0,VLOOKUP(D874,Программа!A$1:B$5063,2),IF(F874&gt;0,VLOOKUP(F874,КВР!A$1:B$5001,2),IF(E874&gt;0,VLOOKUP(E874,Направление!A$1:B$4746,2))))))</f>
        <v>Закупка товаров, работ и услуг для государственных нужд</v>
      </c>
      <c r="B874" s="87"/>
      <c r="C874" s="88"/>
      <c r="D874" s="89"/>
      <c r="E874" s="90"/>
      <c r="F874" s="89">
        <v>200</v>
      </c>
      <c r="G874" s="387">
        <v>109651</v>
      </c>
      <c r="H874" s="382"/>
      <c r="I874" s="50">
        <f>SUM(G874:H874)</f>
        <v>109651</v>
      </c>
    </row>
    <row r="875" spans="1:9">
      <c r="A875" s="49" t="str">
        <f>IF(B875&gt;0,VLOOKUP(B875,КВСР!A768:B1933,2),IF(C875&gt;0,VLOOKUP(C875,КФСР!A768:B2280,2),IF(D875&gt;0,VLOOKUP(D875,Программа!A$1:B$5063,2),IF(F875&gt;0,VLOOKUP(F875,КВР!A$1:B$5001,2),IF(E875&gt;0,VLOOKUP(E875,Направление!A$1:B$4746,2))))))</f>
        <v>Бюджетные инвестиции</v>
      </c>
      <c r="B875" s="87"/>
      <c r="C875" s="88"/>
      <c r="D875" s="89"/>
      <c r="E875" s="90"/>
      <c r="F875" s="89">
        <v>400</v>
      </c>
      <c r="G875" s="387">
        <v>0</v>
      </c>
      <c r="H875" s="382"/>
      <c r="I875" s="50">
        <f t="shared" si="266"/>
        <v>0</v>
      </c>
    </row>
    <row r="876" spans="1:9" ht="52.5" customHeight="1">
      <c r="A876" s="49" t="str">
        <f>IF(B876&gt;0,VLOOKUP(B876,КВСР!A769:B1934,2),IF(C876&gt;0,VLOOKUP(C876,КФСР!A769:B2281,2),IF(D876&gt;0,VLOOKUP(D876,Программа!A$1:B$5063,2),IF(F876&gt;0,VLOOKUP(F876,КВР!A$1:B$5001,2),IF(E876&gt;0,VLOOKUP(E876,Направление!A$1:B$4746,2))))))</f>
        <v xml:space="preserve">Обеспечение мероприятий по строительству и реконструкции объектов теплоснабжения </v>
      </c>
      <c r="B876" s="87"/>
      <c r="C876" s="88"/>
      <c r="D876" s="89"/>
      <c r="E876" s="90">
        <v>29056</v>
      </c>
      <c r="F876" s="89"/>
      <c r="G876" s="387">
        <v>692975</v>
      </c>
      <c r="H876" s="387">
        <f>H877</f>
        <v>0</v>
      </c>
      <c r="I876" s="387">
        <f>I877</f>
        <v>692975</v>
      </c>
    </row>
    <row r="877" spans="1:9">
      <c r="A877" s="49" t="str">
        <f>IF(B877&gt;0,VLOOKUP(B877,КВСР!A770:B1935,2),IF(C877&gt;0,VLOOKUP(C877,КФСР!A770:B2282,2),IF(D877&gt;0,VLOOKUP(D877,Программа!A$1:B$5063,2),IF(F877&gt;0,VLOOKUP(F877,КВР!A$1:B$5001,2),IF(E877&gt;0,VLOOKUP(E877,Направление!A$1:B$4746,2))))))</f>
        <v>Бюджетные инвестиции</v>
      </c>
      <c r="B877" s="87"/>
      <c r="C877" s="88"/>
      <c r="D877" s="89"/>
      <c r="E877" s="90"/>
      <c r="F877" s="89">
        <v>400</v>
      </c>
      <c r="G877" s="387">
        <v>692975</v>
      </c>
      <c r="H877" s="382"/>
      <c r="I877" s="50">
        <f>SUM(G877:H877)</f>
        <v>692975</v>
      </c>
    </row>
    <row r="878" spans="1:9" ht="78">
      <c r="A878" s="49" t="str">
        <f>IF(B878&gt;0,VLOOKUP(B878,КВСР!A771:B1936,2),IF(C878&gt;0,VLOOKUP(C878,КФСР!A771:B2283,2),IF(D878&gt;0,VLOOKUP(D878,Программа!A$1:B$5063,2),IF(F878&gt;0,VLOOKUP(F878,КВР!A$1:B$5001,2),IF(E878&gt;0,VLOOKUP(E878,Направление!A$1:B$4746,2))))))</f>
        <v>Газификация населенных пунктов Тутаевского муниципального района (строительство газопроводов и распределительных газовых сетей с вводом их в эксплуатацию)</v>
      </c>
      <c r="B878" s="87"/>
      <c r="C878" s="88"/>
      <c r="D878" s="77" t="s">
        <v>2763</v>
      </c>
      <c r="E878" s="90"/>
      <c r="F878" s="89"/>
      <c r="G878" s="387">
        <v>17089999.990000002</v>
      </c>
      <c r="H878" s="387">
        <f>H879+H883+H886+H888+H881</f>
        <v>4492316</v>
      </c>
      <c r="I878" s="387">
        <f>I879+I883+I886+I888+I881</f>
        <v>21582315.990000002</v>
      </c>
    </row>
    <row r="879" spans="1:9" ht="46.8">
      <c r="A879" s="49" t="str">
        <f>IF(B879&gt;0,VLOOKUP(B879,КВСР!A772:B1937,2),IF(C879&gt;0,VLOOKUP(C879,КФСР!A772:B2284,2),IF(D879&gt;0,VLOOKUP(D879,Программа!A$1:B$5063,2),IF(F879&gt;0,VLOOKUP(F879,КВР!A$1:B$5001,2),IF(E879&gt;0,VLOOKUP(E879,Направление!A$1:B$4746,2))))))</f>
        <v>Бюджетные инвестиции в объекты капитального строительства муниципальной собственности</v>
      </c>
      <c r="B879" s="87"/>
      <c r="C879" s="88"/>
      <c r="D879" s="89"/>
      <c r="E879" s="90">
        <v>10010</v>
      </c>
      <c r="F879" s="89"/>
      <c r="G879" s="387">
        <v>1500000</v>
      </c>
      <c r="H879" s="387">
        <f>H880</f>
        <v>-580000</v>
      </c>
      <c r="I879" s="387">
        <f>I880</f>
        <v>920000</v>
      </c>
    </row>
    <row r="880" spans="1:9">
      <c r="A880" s="49" t="str">
        <f>IF(B880&gt;0,VLOOKUP(B880,КВСР!A773:B1938,2),IF(C880&gt;0,VLOOKUP(C880,КФСР!A773:B2285,2),IF(D880&gt;0,VLOOKUP(D880,Программа!A$1:B$5063,2),IF(F880&gt;0,VLOOKUP(F880,КВР!A$1:B$5001,2),IF(E880&gt;0,VLOOKUP(E880,Направление!A$1:B$4746,2))))))</f>
        <v>Бюджетные инвестиции</v>
      </c>
      <c r="B880" s="87"/>
      <c r="C880" s="88"/>
      <c r="D880" s="89"/>
      <c r="E880" s="90"/>
      <c r="F880" s="89">
        <v>400</v>
      </c>
      <c r="G880" s="387">
        <v>1500000</v>
      </c>
      <c r="H880" s="382">
        <v>-580000</v>
      </c>
      <c r="I880" s="50">
        <f>SUM(G880:H880)</f>
        <v>920000</v>
      </c>
    </row>
    <row r="881" spans="1:9" ht="57.75" hidden="1" customHeight="1">
      <c r="A881" s="49" t="str">
        <f>IF(B881&gt;0,VLOOKUP(B881,КВСР!A774:B1939,2),IF(C881&gt;0,VLOOKUP(C881,КФСР!A774:B2286,2),IF(D881&gt;0,VLOOKUP(D881,Программа!A$1:B$5063,2),IF(F881&gt;0,VLOOKUP(F881,КВР!A$1:B$5001,2),IF(E881&gt;0,VLOOKUP(E881,Направление!A$1:B$4746,2))))))</f>
        <v xml:space="preserve">Обеспечение мероприятий по строительству и реконструкции объектов теплоснабжения </v>
      </c>
      <c r="B881" s="87"/>
      <c r="C881" s="88"/>
      <c r="D881" s="89"/>
      <c r="E881" s="90">
        <v>29056</v>
      </c>
      <c r="F881" s="89"/>
      <c r="G881" s="387">
        <v>0</v>
      </c>
      <c r="H881" s="387">
        <f>H882</f>
        <v>0</v>
      </c>
      <c r="I881" s="50">
        <f>I882</f>
        <v>0</v>
      </c>
    </row>
    <row r="882" spans="1:9" hidden="1">
      <c r="A882" s="49" t="str">
        <f>IF(B882&gt;0,VLOOKUP(B882,КВСР!A775:B1940,2),IF(C882&gt;0,VLOOKUP(C882,КФСР!A775:B2287,2),IF(D882&gt;0,VLOOKUP(D882,Программа!A$1:B$5063,2),IF(F882&gt;0,VLOOKUP(F882,КВР!A$1:B$5001,2),IF(E882&gt;0,VLOOKUP(E882,Направление!A$1:B$4746,2))))))</f>
        <v>Бюджетные инвестиции</v>
      </c>
      <c r="B882" s="87"/>
      <c r="C882" s="88"/>
      <c r="D882" s="89"/>
      <c r="E882" s="90"/>
      <c r="F882" s="89">
        <v>400</v>
      </c>
      <c r="G882" s="387">
        <v>0</v>
      </c>
      <c r="H882" s="382"/>
      <c r="I882" s="50">
        <f>SUM(G882:H882)</f>
        <v>0</v>
      </c>
    </row>
    <row r="883" spans="1:9" ht="50.25" customHeight="1">
      <c r="A883" s="49" t="str">
        <f>IF(B883&gt;0,VLOOKUP(B883,КВСР!A776:B1941,2),IF(C883&gt;0,VLOOKUP(C883,КФСР!A776:B2288,2),IF(D883&gt;0,VLOOKUP(D883,Программа!A$1:B$5063,2),IF(F883&gt;0,VLOOKUP(F883,КВР!A$1:B$5001,2),IF(E883&gt;0,VLOOKUP(E883,Направление!A$1:B$4746,2))))))</f>
        <v xml:space="preserve">Обеспечение мероприятий по строительству и реконструкции  объектов  газификации </v>
      </c>
      <c r="B883" s="87"/>
      <c r="C883" s="88"/>
      <c r="D883" s="89"/>
      <c r="E883" s="90">
        <v>29066</v>
      </c>
      <c r="F883" s="89"/>
      <c r="G883" s="387">
        <v>3789999.9899999998</v>
      </c>
      <c r="H883" s="387">
        <f>H884+H885</f>
        <v>0</v>
      </c>
      <c r="I883" s="387">
        <f>I884+I885</f>
        <v>3789999.9899999998</v>
      </c>
    </row>
    <row r="884" spans="1:9">
      <c r="A884" s="49" t="str">
        <f>IF(B884&gt;0,VLOOKUP(B884,КВСР!A777:B1942,2),IF(C884&gt;0,VLOOKUP(C884,КФСР!A777:B2289,2),IF(D884&gt;0,VLOOKUP(D884,Программа!A$1:B$5063,2),IF(F884&gt;0,VLOOKUP(F884,КВР!A$1:B$5001,2),IF(E884&gt;0,VLOOKUP(E884,Направление!A$1:B$4746,2))))))</f>
        <v>Бюджетные инвестиции</v>
      </c>
      <c r="B884" s="87"/>
      <c r="C884" s="88"/>
      <c r="D884" s="89"/>
      <c r="E884" s="90"/>
      <c r="F884" s="89">
        <v>400</v>
      </c>
      <c r="G884" s="387">
        <v>3731572.32</v>
      </c>
      <c r="H884" s="382">
        <v>58427.67</v>
      </c>
      <c r="I884" s="50">
        <f>SUM(G884:H884)</f>
        <v>3789999.9899999998</v>
      </c>
    </row>
    <row r="885" spans="1:9" ht="62.4" hidden="1">
      <c r="A885" s="49" t="str">
        <f>IF(B885&gt;0,VLOOKUP(B885,КВСР!A778:B1943,2),IF(C885&gt;0,VLOOKUP(C885,КФСР!A778:B2290,2),IF(D885&gt;0,VLOOKUP(D885,Программа!A$1:B$5063,2),IF(F885&gt;0,VLOOKUP(F885,КВР!A$1:B$5001,2),IF(E885&gt;0,VLOOKUP(E885,Направление!A$1:B$4746,2))))))</f>
        <v>Предоставление субсидий бюджетным, автономным учреждениям и иным некоммерческим организациям</v>
      </c>
      <c r="B885" s="87"/>
      <c r="C885" s="88"/>
      <c r="D885" s="89"/>
      <c r="E885" s="90"/>
      <c r="F885" s="89">
        <v>600</v>
      </c>
      <c r="G885" s="387">
        <v>58427.67</v>
      </c>
      <c r="H885" s="382">
        <v>-58427.67</v>
      </c>
      <c r="I885" s="50">
        <f>SUM(G885:H885)</f>
        <v>0</v>
      </c>
    </row>
    <row r="886" spans="1:9" ht="66.75" customHeight="1">
      <c r="A886" s="49" t="str">
        <f>IF(B886&gt;0,VLOOKUP(B886,КВСР!A779:B1944,2),IF(C886&gt;0,VLOOKUP(C886,КФСР!A779:B2291,2),IF(D886&gt;0,VLOOKUP(D886,Программа!A$1:B$5063,2),IF(F886&gt;0,VLOOKUP(F886,КВР!A$1:B$5001,2),IF(E886&gt;0,VLOOKUP(E886,Направление!A$1:B$4746,2))))))</f>
        <v>Субсидия на реализацию мероприятий по строительству и реконструкции объектов теплоснабжения и газификации</v>
      </c>
      <c r="B886" s="87"/>
      <c r="C886" s="88"/>
      <c r="D886" s="89"/>
      <c r="E886" s="90">
        <v>72016</v>
      </c>
      <c r="F886" s="89"/>
      <c r="G886" s="387">
        <v>10440000</v>
      </c>
      <c r="H886" s="387">
        <f>H887</f>
        <v>5072316</v>
      </c>
      <c r="I886" s="387">
        <f>I887</f>
        <v>15512316</v>
      </c>
    </row>
    <row r="887" spans="1:9">
      <c r="A887" s="49" t="str">
        <f>IF(B887&gt;0,VLOOKUP(B887,КВСР!A780:B1945,2),IF(C887&gt;0,VLOOKUP(C887,КФСР!A780:B2292,2),IF(D887&gt;0,VLOOKUP(D887,Программа!A$1:B$5063,2),IF(F887&gt;0,VLOOKUP(F887,КВР!A$1:B$5001,2),IF(E887&gt;0,VLOOKUP(E887,Направление!A$1:B$4746,2))))))</f>
        <v>Бюджетные инвестиции</v>
      </c>
      <c r="B887" s="87"/>
      <c r="C887" s="88"/>
      <c r="D887" s="89"/>
      <c r="E887" s="90"/>
      <c r="F887" s="89">
        <v>400</v>
      </c>
      <c r="G887" s="387">
        <v>10440000</v>
      </c>
      <c r="H887" s="382">
        <v>5072316</v>
      </c>
      <c r="I887" s="50">
        <f>SUM(G887:H887)</f>
        <v>15512316</v>
      </c>
    </row>
    <row r="888" spans="1:9" ht="84" customHeight="1">
      <c r="A888" s="49" t="str">
        <f>IF(B888&gt;0,VLOOKUP(B888,КВСР!A781:B1946,2),IF(C888&gt;0,VLOOKUP(C888,КФСР!A781:B2293,2),IF(D888&gt;0,VLOOKUP(D888,Программа!A$1:B$5063,2),IF(F888&gt;0,VLOOKUP(F888,КВР!A$1:B$5001,2),IF(E888&gt;0,VLOOKUP(E888,Направление!A$1:B$4746,2))))))</f>
        <v>Субсидия на реализацию мероприятий по строительству и реконструкции объектов теплоснабжения и газификации  софинансирование из средств поселений</v>
      </c>
      <c r="B888" s="87"/>
      <c r="C888" s="88"/>
      <c r="D888" s="89"/>
      <c r="E888" s="718" t="s">
        <v>3129</v>
      </c>
      <c r="F888" s="89"/>
      <c r="G888" s="387">
        <v>1360000</v>
      </c>
      <c r="H888" s="387">
        <f>H889</f>
        <v>0</v>
      </c>
      <c r="I888" s="387">
        <f>I889</f>
        <v>1360000</v>
      </c>
    </row>
    <row r="889" spans="1:9">
      <c r="A889" s="49" t="str">
        <f>IF(B889&gt;0,VLOOKUP(B889,КВСР!A782:B1947,2),IF(C889&gt;0,VLOOKUP(C889,КФСР!A782:B2294,2),IF(D889&gt;0,VLOOKUP(D889,Программа!A$1:B$5063,2),IF(F889&gt;0,VLOOKUP(F889,КВР!A$1:B$5001,2),IF(E889&gt;0,VLOOKUP(E889,Направление!A$1:B$4746,2))))))</f>
        <v>Бюджетные инвестиции</v>
      </c>
      <c r="B889" s="87"/>
      <c r="C889" s="88"/>
      <c r="D889" s="89"/>
      <c r="E889" s="90"/>
      <c r="F889" s="89">
        <v>400</v>
      </c>
      <c r="G889" s="387">
        <v>1360000</v>
      </c>
      <c r="H889" s="382"/>
      <c r="I889" s="50">
        <f>SUM(G889:H889)</f>
        <v>1360000</v>
      </c>
    </row>
    <row r="890" spans="1:9" ht="78">
      <c r="A890" s="49" t="str">
        <f>IF(B890&gt;0,VLOOKUP(B890,КВСР!A783:B1948,2),IF(C890&gt;0,VLOOKUP(C890,КФСР!A783:B2295,2),IF(D890&gt;0,VLOOKUP(D890,Программа!A$1:B$5063,2),IF(F890&gt;0,VLOOKUP(F890,КВР!A$1:B$5001,2),IF(E890&gt;0,VLOOKUP(E890,Направление!A$1:B$4746,2))))))</f>
        <v xml:space="preserve">Муниципальная целевая   программа «Развитие водоснабжения, водоотведения и очистки сточных вод» на территории Тутаевского муниципального района </v>
      </c>
      <c r="B890" s="87"/>
      <c r="C890" s="88"/>
      <c r="D890" s="77" t="s">
        <v>2765</v>
      </c>
      <c r="E890" s="90"/>
      <c r="F890" s="89"/>
      <c r="G890" s="387">
        <v>3993367.32</v>
      </c>
      <c r="H890" s="387">
        <f>H891+H899</f>
        <v>2429944</v>
      </c>
      <c r="I890" s="50">
        <f>SUM(G890:H890)</f>
        <v>6423311.3200000003</v>
      </c>
    </row>
    <row r="891" spans="1:9" ht="78">
      <c r="A891" s="49" t="str">
        <f>IF(B891&gt;0,VLOOKUP(B891,КВСР!A784:B1949,2),IF(C891&gt;0,VLOOKUP(C891,КФСР!A784:B2296,2),IF(D891&gt;0,VLOOKUP(D891,Программа!A$1:B$5063,2),IF(F891&gt;0,VLOOKUP(F891,КВР!A$1:B$5001,2),IF(E891&gt;0,VLOOKUP(E891,Направление!A$1:B$4746,2))))))</f>
        <v>Повышение качества водоснабжения в результате модернизации существующих источников водоснабжения и строительство  новых</v>
      </c>
      <c r="B891" s="87"/>
      <c r="C891" s="88"/>
      <c r="D891" s="77" t="s">
        <v>2767</v>
      </c>
      <c r="E891" s="90"/>
      <c r="F891" s="89"/>
      <c r="G891" s="387">
        <v>3543367.32</v>
      </c>
      <c r="H891" s="387">
        <f>H892+H895+H897</f>
        <v>2429944</v>
      </c>
      <c r="I891" s="50">
        <f t="shared" ref="I891:I1054" si="290">SUM(G891:H891)</f>
        <v>5973311.3200000003</v>
      </c>
    </row>
    <row r="892" spans="1:9" ht="46.8">
      <c r="A892" s="49" t="str">
        <f>IF(B892&gt;0,VLOOKUP(B892,КВСР!A785:B1950,2),IF(C892&gt;0,VLOOKUP(C892,КФСР!A785:B2297,2),IF(D892&gt;0,VLOOKUP(D892,Программа!A$1:B$5063,2),IF(F892&gt;0,VLOOKUP(F892,КВР!A$1:B$5001,2),IF(E892&gt;0,VLOOKUP(E892,Направление!A$1:B$4746,2))))))</f>
        <v>Бюджетные инвестиции в объекты капитального строительства муниципальной собственности</v>
      </c>
      <c r="B892" s="87"/>
      <c r="C892" s="88"/>
      <c r="D892" s="77"/>
      <c r="E892" s="90">
        <v>10010</v>
      </c>
      <c r="F892" s="89"/>
      <c r="G892" s="387">
        <v>2361622</v>
      </c>
      <c r="H892" s="387">
        <f>H893+H894</f>
        <v>0</v>
      </c>
      <c r="I892" s="50">
        <f t="shared" si="290"/>
        <v>2361622</v>
      </c>
    </row>
    <row r="893" spans="1:9">
      <c r="A893" s="49" t="str">
        <f>IF(B893&gt;0,VLOOKUP(B893,КВСР!A786:B1951,2),IF(C893&gt;0,VLOOKUP(C893,КФСР!A786:B2298,2),IF(D893&gt;0,VLOOKUP(D893,Программа!A$1:B$5063,2),IF(F893&gt;0,VLOOKUP(F893,КВР!A$1:B$5001,2),IF(E893&gt;0,VLOOKUP(E893,Направление!A$1:B$4746,2))))))</f>
        <v>Бюджетные инвестиции</v>
      </c>
      <c r="B893" s="87"/>
      <c r="C893" s="88"/>
      <c r="D893" s="77"/>
      <c r="E893" s="90"/>
      <c r="F893" s="89">
        <v>400</v>
      </c>
      <c r="G893" s="387">
        <v>981622</v>
      </c>
      <c r="H893" s="382"/>
      <c r="I893" s="50">
        <f t="shared" si="290"/>
        <v>981622</v>
      </c>
    </row>
    <row r="894" spans="1:9" ht="26.25" customHeight="1">
      <c r="A894" s="49" t="str">
        <f>IF(B894&gt;0,VLOOKUP(B894,КВСР!A787:B1952,2),IF(C894&gt;0,VLOOKUP(C894,КФСР!A787:B2299,2),IF(D894&gt;0,VLOOKUP(D894,Программа!A$1:B$5063,2),IF(F894&gt;0,VLOOKUP(F894,КВР!A$1:B$5001,2),IF(E894&gt;0,VLOOKUP(E894,Направление!A$1:B$4746,2))))))</f>
        <v xml:space="preserve"> Межбюджетные трансферты</v>
      </c>
      <c r="B894" s="87"/>
      <c r="C894" s="88"/>
      <c r="D894" s="77"/>
      <c r="E894" s="90"/>
      <c r="F894" s="89">
        <v>500</v>
      </c>
      <c r="G894" s="387">
        <v>1380000</v>
      </c>
      <c r="H894" s="382"/>
      <c r="I894" s="50">
        <f>SUM(G894:H894)</f>
        <v>1380000</v>
      </c>
    </row>
    <row r="895" spans="1:9" ht="65.25" customHeight="1">
      <c r="A895" s="49" t="str">
        <f>IF(B895&gt;0,VLOOKUP(B895,КВСР!A788:B1953,2),IF(C895&gt;0,VLOOKUP(C895,КФСР!A788:B2300,2),IF(D895&gt;0,VLOOKUP(D895,Программа!A$1:B$5063,2),IF(F895&gt;0,VLOOKUP(F895,КВР!A$1:B$5001,2),IF(E895&gt;0,VLOOKUP(E895,Направление!A$1:B$4746,2))))))</f>
        <v xml:space="preserve">Обеспечение мероприятий на строительство и реконструкцию объектов водоснабжения и водоотведения </v>
      </c>
      <c r="B895" s="87"/>
      <c r="C895" s="88"/>
      <c r="D895" s="77"/>
      <c r="E895" s="90">
        <v>29046</v>
      </c>
      <c r="F895" s="89"/>
      <c r="G895" s="387">
        <v>1181745.3199999998</v>
      </c>
      <c r="H895" s="387">
        <f>H896</f>
        <v>0</v>
      </c>
      <c r="I895" s="387">
        <f>I896</f>
        <v>1181745.3199999998</v>
      </c>
    </row>
    <row r="896" spans="1:9" ht="23.25" customHeight="1">
      <c r="A896" s="49" t="str">
        <f>IF(B896&gt;0,VLOOKUP(B896,КВСР!A789:B1954,2),IF(C896&gt;0,VLOOKUP(C896,КФСР!A789:B2301,2),IF(D896&gt;0,VLOOKUP(D896,Программа!A$1:B$5063,2),IF(F896&gt;0,VLOOKUP(F896,КВР!A$1:B$5001,2),IF(E896&gt;0,VLOOKUP(E896,Направление!A$1:B$4746,2))))))</f>
        <v>Бюджетные инвестиции</v>
      </c>
      <c r="B896" s="87"/>
      <c r="C896" s="88"/>
      <c r="D896" s="77"/>
      <c r="E896" s="90"/>
      <c r="F896" s="89">
        <v>400</v>
      </c>
      <c r="G896" s="387">
        <v>1181745.3199999998</v>
      </c>
      <c r="H896" s="382"/>
      <c r="I896" s="50">
        <f>SUM(G896:H896)</f>
        <v>1181745.3199999998</v>
      </c>
    </row>
    <row r="897" spans="1:9" ht="78.75" customHeight="1">
      <c r="A897" s="49" t="str">
        <f>IF(B897&gt;0,VLOOKUP(B897,КВСР!A790:B1955,2),IF(C897&gt;0,VLOOKUP(C897,КФСР!A790:B2302,2),IF(D897&gt;0,VLOOKUP(D897,Программа!A$1:B$5063,2),IF(F897&gt;0,VLOOKUP(F897,КВР!A$1:B$5001,2),IF(E897&gt;0,VLOOKUP(E897,Направление!A$1:B$4746,2))))))</f>
        <v>Субсидия на реализацию мероприятий по строительству и реконструкции объектов водоснабжения и водоотведения за счет средств областного бюджета</v>
      </c>
      <c r="B897" s="87"/>
      <c r="C897" s="88"/>
      <c r="D897" s="77"/>
      <c r="E897" s="90">
        <v>72040</v>
      </c>
      <c r="F897" s="89"/>
      <c r="G897" s="387"/>
      <c r="H897" s="387">
        <f>H898</f>
        <v>2429944</v>
      </c>
      <c r="I897" s="387">
        <f>I898</f>
        <v>2429944</v>
      </c>
    </row>
    <row r="898" spans="1:9" ht="28.5" customHeight="1">
      <c r="A898" s="49" t="str">
        <f>IF(B898&gt;0,VLOOKUP(B898,КВСР!A791:B1956,2),IF(C898&gt;0,VLOOKUP(C898,КФСР!A791:B2303,2),IF(D898&gt;0,VLOOKUP(D898,Программа!A$1:B$5063,2),IF(F898&gt;0,VLOOKUP(F898,КВР!A$1:B$5001,2),IF(E898&gt;0,VLOOKUP(E898,Направление!A$1:B$4746,2))))))</f>
        <v>Бюджетные инвестиции</v>
      </c>
      <c r="B898" s="87"/>
      <c r="C898" s="88"/>
      <c r="D898" s="77"/>
      <c r="E898" s="90"/>
      <c r="F898" s="89">
        <v>400</v>
      </c>
      <c r="G898" s="387"/>
      <c r="H898" s="382">
        <v>2429944</v>
      </c>
      <c r="I898" s="50">
        <f>SUM(G898:H898)</f>
        <v>2429944</v>
      </c>
    </row>
    <row r="899" spans="1:9" ht="90" customHeight="1">
      <c r="A899" s="49" t="str">
        <f>IF(B899&gt;0,VLOOKUP(B899,КВСР!A790:B1955,2),IF(C899&gt;0,VLOOKUP(C899,КФСР!A790:B2302,2),IF(D899&gt;0,VLOOKUP(D899,Программа!A$1:B$5063,2),IF(F899&gt;0,VLOOKUP(F899,КВР!A$1:B$5001,2),IF(E899&gt;0,VLOOKUP(E899,Направление!A$1:B$4746,2))))))</f>
        <v>Повышение качества  водоотведения и очистки сточных вод в результате модернизации существующих  систем  водоотведения и очистки сточных вод, строительство новых систем</v>
      </c>
      <c r="B899" s="87"/>
      <c r="C899" s="88"/>
      <c r="D899" s="77" t="s">
        <v>2769</v>
      </c>
      <c r="E899" s="90"/>
      <c r="F899" s="89"/>
      <c r="G899" s="387">
        <v>450000</v>
      </c>
      <c r="H899" s="387">
        <f>H900</f>
        <v>0</v>
      </c>
      <c r="I899" s="387">
        <f>I900</f>
        <v>450000</v>
      </c>
    </row>
    <row r="900" spans="1:9" ht="69.75" customHeight="1">
      <c r="A900" s="49" t="str">
        <f>IF(B900&gt;0,VLOOKUP(B900,КВСР!A791:B1956,2),IF(C900&gt;0,VLOOKUP(C900,КФСР!A791:B2303,2),IF(D900&gt;0,VLOOKUP(D900,Программа!A$1:B$5063,2),IF(F900&gt;0,VLOOKUP(F900,КВР!A$1:B$5001,2),IF(E900&gt;0,VLOOKUP(E900,Направление!A$1:B$4746,2))))))</f>
        <v xml:space="preserve">Обеспечение мероприятий на строительство и реконструкцию объектов водоснабжения и водоотведения </v>
      </c>
      <c r="B900" s="87"/>
      <c r="C900" s="88"/>
      <c r="D900" s="77"/>
      <c r="E900" s="90">
        <v>29046</v>
      </c>
      <c r="F900" s="89"/>
      <c r="G900" s="387">
        <v>450000</v>
      </c>
      <c r="H900" s="387">
        <f>H901</f>
        <v>0</v>
      </c>
      <c r="I900" s="387">
        <f>I901</f>
        <v>450000</v>
      </c>
    </row>
    <row r="901" spans="1:9" ht="23.25" customHeight="1">
      <c r="A901" s="49" t="str">
        <f>IF(B901&gt;0,VLOOKUP(B901,КВСР!A792:B1957,2),IF(C901&gt;0,VLOOKUP(C901,КФСР!A792:B2304,2),IF(D901&gt;0,VLOOKUP(D901,Программа!A$1:B$5063,2),IF(F901&gt;0,VLOOKUP(F901,КВР!A$1:B$5001,2),IF(E901&gt;0,VLOOKUP(E901,Направление!A$1:B$4746,2))))))</f>
        <v>Бюджетные инвестиции</v>
      </c>
      <c r="B901" s="87"/>
      <c r="C901" s="88"/>
      <c r="D901" s="77"/>
      <c r="E901" s="90"/>
      <c r="F901" s="89">
        <v>400</v>
      </c>
      <c r="G901" s="387">
        <v>450000</v>
      </c>
      <c r="H901" s="382"/>
      <c r="I901" s="50">
        <f>SUM(G901:H901)</f>
        <v>450000</v>
      </c>
    </row>
    <row r="902" spans="1:9" ht="78">
      <c r="A902" s="49" t="str">
        <f>IF(B902&gt;0,VLOOKUP(B902,КВСР!A793:B1958,2),IF(C902&gt;0,VLOOKUP(C902,КФСР!A793:B2305,2),IF(D902&gt;0,VLOOKUP(D902,Программа!A$1:B$5063,2),IF(F902&gt;0,VLOOKUP(F902,КВР!A$1:B$5001,2),IF(E902&gt;0,VLOOKUP(E902,Направление!A$1:B$4746,2))))))</f>
        <v>Муниципальная целевая программа "Подготовка объектов коммунального хозяйства Тутаевского муниципального района к работе в осенне-зимних условиях"</v>
      </c>
      <c r="B902" s="87"/>
      <c r="C902" s="88"/>
      <c r="D902" s="77" t="s">
        <v>2771</v>
      </c>
      <c r="E902" s="90"/>
      <c r="F902" s="89"/>
      <c r="G902" s="387">
        <v>8725528</v>
      </c>
      <c r="H902" s="387">
        <f>H903+H916+H925</f>
        <v>8922000</v>
      </c>
      <c r="I902" s="50">
        <f t="shared" si="290"/>
        <v>17647528</v>
      </c>
    </row>
    <row r="903" spans="1:9" ht="46.8">
      <c r="A903" s="49" t="str">
        <f>IF(B903&gt;0,VLOOKUP(B903,КВСР!A794:B1959,2),IF(C903&gt;0,VLOOKUP(C903,КФСР!A794:B2306,2),IF(D903&gt;0,VLOOKUP(D903,Программа!A$1:B$5063,2),IF(F903&gt;0,VLOOKUP(F903,КВР!A$1:B$5001,2),IF(E903&gt;0,VLOOKUP(E903,Направление!A$1:B$4746,2))))))</f>
        <v>Проведение комплекса работ по ремонту, замене и реконструкции объектов теплоснабжения</v>
      </c>
      <c r="B903" s="87"/>
      <c r="C903" s="88"/>
      <c r="D903" s="77" t="s">
        <v>2772</v>
      </c>
      <c r="E903" s="90"/>
      <c r="F903" s="89"/>
      <c r="G903" s="387">
        <v>4689739.8600000003</v>
      </c>
      <c r="H903" s="387">
        <f>H906+H905+H908+H910+H914+H912</f>
        <v>4897347</v>
      </c>
      <c r="I903" s="50">
        <f>SUM(G903:H903)</f>
        <v>9587086.8599999994</v>
      </c>
    </row>
    <row r="904" spans="1:9" ht="46.8">
      <c r="A904" s="49" t="str">
        <f>IF(B904&gt;0,VLOOKUP(B904,КВСР!A795:B1960,2),IF(C904&gt;0,VLOOKUP(C904,КФСР!A795:B2307,2),IF(D904&gt;0,VLOOKUP(D904,Программа!A$1:B$5063,2),IF(F904&gt;0,VLOOKUP(F904,КВР!A$1:B$5001,2),IF(E904&gt;0,VLOOKUP(E904,Направление!A$1:B$4746,2))))))</f>
        <v>Расходы на содержание объектов находящихся в муниципальной собственности</v>
      </c>
      <c r="B904" s="87"/>
      <c r="C904" s="88"/>
      <c r="D904" s="77"/>
      <c r="E904" s="90">
        <v>10030</v>
      </c>
      <c r="F904" s="89"/>
      <c r="G904" s="387">
        <v>2572943.56</v>
      </c>
      <c r="H904" s="387">
        <f>H905</f>
        <v>0</v>
      </c>
      <c r="I904" s="50">
        <f>SUM(G904:H904)</f>
        <v>2572943.56</v>
      </c>
    </row>
    <row r="905" spans="1:9" ht="30" customHeight="1">
      <c r="A905" s="49" t="str">
        <f>IF(B905&gt;0,VLOOKUP(B905,КВСР!A796:B1961,2),IF(C905&gt;0,VLOOKUP(C905,КФСР!A796:B2308,2),IF(D905&gt;0,VLOOKUP(D905,Программа!A$1:B$5063,2),IF(F905&gt;0,VLOOKUP(F905,КВР!A$1:B$5001,2),IF(E905&gt;0,VLOOKUP(E905,Направление!A$1:B$4746,2))))))</f>
        <v>Иные бюджетные ассигнования</v>
      </c>
      <c r="B905" s="87"/>
      <c r="C905" s="88"/>
      <c r="D905" s="77"/>
      <c r="E905" s="90"/>
      <c r="F905" s="89">
        <v>800</v>
      </c>
      <c r="G905" s="387">
        <v>2572943.56</v>
      </c>
      <c r="H905" s="382"/>
      <c r="I905" s="50">
        <f>SUM(G905:H905)</f>
        <v>2572943.56</v>
      </c>
    </row>
    <row r="906" spans="1:9" ht="46.8">
      <c r="A906" s="49" t="str">
        <f>IF(B906&gt;0,VLOOKUP(B906,КВСР!A797:B1962,2),IF(C906&gt;0,VLOOKUP(C906,КФСР!A797:B2309,2),IF(D906&gt;0,VLOOKUP(D906,Программа!A$1:B$5063,2),IF(F906&gt;0,VLOOKUP(F906,КВР!A$1:B$5001,2),IF(E906&gt;0,VLOOKUP(E906,Направление!A$1:B$4746,2))))))</f>
        <v>Субсидия на возмещение затрат по содержанию и  ремонту муниципальных коммунальных сетей</v>
      </c>
      <c r="B906" s="87"/>
      <c r="C906" s="88"/>
      <c r="D906" s="77"/>
      <c r="E906" s="90">
        <v>10040</v>
      </c>
      <c r="F906" s="89"/>
      <c r="G906" s="387">
        <v>1972062.14</v>
      </c>
      <c r="H906" s="387">
        <f t="shared" ref="H906" si="291">H907</f>
        <v>0</v>
      </c>
      <c r="I906" s="50">
        <f t="shared" si="290"/>
        <v>1972062.14</v>
      </c>
    </row>
    <row r="907" spans="1:9">
      <c r="A907" s="49" t="str">
        <f>IF(B907&gt;0,VLOOKUP(B907,КВСР!A798:B1963,2),IF(C907&gt;0,VLOOKUP(C907,КФСР!A798:B2310,2),IF(D907&gt;0,VLOOKUP(D907,Программа!A$1:B$5063,2),IF(F907&gt;0,VLOOKUP(F907,КВР!A$1:B$5001,2),IF(E907&gt;0,VLOOKUP(E907,Направление!A$1:B$4746,2))))))</f>
        <v>Иные бюджетные ассигнования</v>
      </c>
      <c r="B907" s="87"/>
      <c r="C907" s="88"/>
      <c r="D907" s="77"/>
      <c r="E907" s="90"/>
      <c r="F907" s="89">
        <v>800</v>
      </c>
      <c r="G907" s="387">
        <v>1972062.14</v>
      </c>
      <c r="H907" s="382"/>
      <c r="I907" s="50">
        <f t="shared" si="290"/>
        <v>1972062.14</v>
      </c>
    </row>
    <row r="908" spans="1:9" ht="91.5" customHeight="1">
      <c r="A908" s="49" t="str">
        <f>IF(B908&gt;0,VLOOKUP(B908,КВСР!A799:B1964,2),IF(C908&gt;0,VLOOKUP(C908,КФСР!A799:B2311,2),IF(D908&gt;0,VLOOKUP(D908,Программа!A$1:B$5063,2),IF(F908&gt;0,VLOOKUP(F908,КВР!A$1:B$5001,2),IF(E908&gt;0,VLOOKUP(E908,Направление!A$1:B$4746,2))))))</f>
        <v xml:space="preserve"> Обеспечение софинансирования субсидии на  мероприятия по бесперебойному предоставлению коммунальных услуг потребителям Ярославской области, средства района</v>
      </c>
      <c r="B908" s="87"/>
      <c r="C908" s="88"/>
      <c r="D908" s="77"/>
      <c r="E908" s="90" t="s">
        <v>3220</v>
      </c>
      <c r="F908" s="89"/>
      <c r="G908" s="387">
        <v>144734.16</v>
      </c>
      <c r="H908" s="387">
        <f>H909</f>
        <v>0</v>
      </c>
      <c r="I908" s="387">
        <f>I909</f>
        <v>144734.16</v>
      </c>
    </row>
    <row r="909" spans="1:9" ht="30" customHeight="1">
      <c r="A909" s="49" t="str">
        <f>IF(B909&gt;0,VLOOKUP(B909,КВСР!A800:B1965,2),IF(C909&gt;0,VLOOKUP(C909,КФСР!A800:B2312,2),IF(D909&gt;0,VLOOKUP(D909,Программа!A$1:B$5063,2),IF(F909&gt;0,VLOOKUP(F909,КВР!A$1:B$5001,2),IF(E909&gt;0,VLOOKUP(E909,Направление!A$1:B$4746,2))))))</f>
        <v>Иные бюджетные ассигнования</v>
      </c>
      <c r="B909" s="87"/>
      <c r="C909" s="88"/>
      <c r="D909" s="77"/>
      <c r="E909" s="90"/>
      <c r="F909" s="89">
        <v>800</v>
      </c>
      <c r="G909" s="387">
        <v>144734.16</v>
      </c>
      <c r="H909" s="382"/>
      <c r="I909" s="50">
        <f>SUM(G909:H909)</f>
        <v>144734.16</v>
      </c>
    </row>
    <row r="910" spans="1:9" ht="73.5" customHeight="1">
      <c r="A910" s="49" t="str">
        <f>IF(B910&gt;0,VLOOKUP(B910,КВСР!A801:B1966,2),IF(C910&gt;0,VLOOKUP(C910,КФСР!A801:B2313,2),IF(D910&gt;0,VLOOKUP(D910,Программа!A$1:B$5063,2),IF(F910&gt;0,VLOOKUP(F910,КВР!A$1:B$5001,2),IF(E910&gt;0,VLOOKUP(E910,Направление!A$1:B$4746,2))))))</f>
        <v>Субсидия на выполнение мероприятий по обеспечению бесперебойного предоставления коммунальных услуг потребителям Ярославской области</v>
      </c>
      <c r="B910" s="87"/>
      <c r="C910" s="88"/>
      <c r="D910" s="77"/>
      <c r="E910" s="761">
        <v>75200</v>
      </c>
      <c r="F910" s="89"/>
      <c r="G910" s="387"/>
      <c r="H910" s="387">
        <f>H911</f>
        <v>2682242</v>
      </c>
      <c r="I910" s="387">
        <f>I911</f>
        <v>2682242</v>
      </c>
    </row>
    <row r="911" spans="1:9" ht="30" customHeight="1">
      <c r="A911" s="49" t="str">
        <f>IF(B911&gt;0,VLOOKUP(B911,КВСР!A802:B1967,2),IF(C911&gt;0,VLOOKUP(C911,КФСР!A802:B2314,2),IF(D911&gt;0,VLOOKUP(D911,Программа!A$1:B$5063,2),IF(F911&gt;0,VLOOKUP(F911,КВР!A$1:B$5001,2),IF(E911&gt;0,VLOOKUP(E911,Направление!A$1:B$4746,2))))))</f>
        <v>Иные бюджетные ассигнования</v>
      </c>
      <c r="B911" s="87"/>
      <c r="C911" s="88"/>
      <c r="D911" s="77"/>
      <c r="E911" s="90"/>
      <c r="F911" s="89">
        <v>800</v>
      </c>
      <c r="G911" s="387"/>
      <c r="H911" s="382">
        <v>2682242</v>
      </c>
      <c r="I911" s="50">
        <f>SUM(G911:H911)</f>
        <v>2682242</v>
      </c>
    </row>
    <row r="912" spans="1:9" ht="85.5" customHeight="1">
      <c r="A912" s="49" t="str">
        <f>IF(B912&gt;0,VLOOKUP(B912,КВСР!A803:B1968,2),IF(C912&gt;0,VLOOKUP(C912,КФСР!A803:B2315,2),IF(D912&gt;0,VLOOKUP(D912,Программа!A$1:B$5063,2),IF(F912&gt;0,VLOOKUP(F912,КВР!A$1:B$5001,2),IF(E912&gt;0,VLOOKUP(E912,Направление!A$1:B$4746,2))))))</f>
        <v>Субсидия на выполнение мероприятий по обеспечению бесперебойного предоставления коммунальных услуг потребителям Ярославской области</v>
      </c>
      <c r="B912" s="87"/>
      <c r="C912" s="88"/>
      <c r="D912" s="77"/>
      <c r="E912" s="90">
        <v>75206</v>
      </c>
      <c r="F912" s="89"/>
      <c r="G912" s="387"/>
      <c r="H912" s="387">
        <f>H913</f>
        <v>2102105</v>
      </c>
      <c r="I912" s="387">
        <f>I913</f>
        <v>2102105</v>
      </c>
    </row>
    <row r="913" spans="1:9" ht="30" customHeight="1">
      <c r="A913" s="49" t="str">
        <f>IF(B913&gt;0,VLOOKUP(B913,КВСР!A804:B1969,2),IF(C913&gt;0,VLOOKUP(C913,КФСР!A804:B2316,2),IF(D913&gt;0,VLOOKUP(D913,Программа!A$1:B$5063,2),IF(F913&gt;0,VLOOKUP(F913,КВР!A$1:B$5001,2),IF(E913&gt;0,VLOOKUP(E913,Направление!A$1:B$4746,2))))))</f>
        <v>Иные бюджетные ассигнования</v>
      </c>
      <c r="B913" s="87"/>
      <c r="C913" s="88"/>
      <c r="D913" s="77"/>
      <c r="E913" s="90"/>
      <c r="F913" s="89">
        <v>800</v>
      </c>
      <c r="G913" s="387"/>
      <c r="H913" s="382">
        <v>2102105</v>
      </c>
      <c r="I913" s="50">
        <f>SUM(G913:H913)</f>
        <v>2102105</v>
      </c>
    </row>
    <row r="914" spans="1:9" ht="96" customHeight="1">
      <c r="A914" s="49" t="str">
        <f>IF(B914&gt;0,VLOOKUP(B914,КВСР!A803:B1968,2),IF(C914&gt;0,VLOOKUP(C914,КФСР!A803:B2315,2),IF(D914&gt;0,VLOOKUP(D914,Программа!A$1:B$5063,2),IF(F914&gt;0,VLOOKUP(F914,КВР!A$1:B$5001,2),IF(E914&gt;0,VLOOKUP(E914,Направление!A$1:B$4746,2))))))</f>
        <v xml:space="preserve"> Обеспечение софинансирования субсидии на  мероприятия по бесперебойному предоставлению коммунальных услуг потребителям Ярославской области, средства поселения</v>
      </c>
      <c r="B914" s="87"/>
      <c r="C914" s="88"/>
      <c r="D914" s="77"/>
      <c r="E914" s="90" t="s">
        <v>3217</v>
      </c>
      <c r="F914" s="89"/>
      <c r="G914" s="387"/>
      <c r="H914" s="387">
        <f>H915</f>
        <v>113000</v>
      </c>
      <c r="I914" s="387">
        <f>I915</f>
        <v>113000</v>
      </c>
    </row>
    <row r="915" spans="1:9" ht="30" customHeight="1">
      <c r="A915" s="49" t="str">
        <f>IF(B915&gt;0,VLOOKUP(B915,КВСР!A804:B1969,2),IF(C915&gt;0,VLOOKUP(C915,КФСР!A804:B2316,2),IF(D915&gt;0,VLOOKUP(D915,Программа!A$1:B$5063,2),IF(F915&gt;0,VLOOKUP(F915,КВР!A$1:B$5001,2),IF(E915&gt;0,VLOOKUP(E915,Направление!A$1:B$4746,2))))))</f>
        <v>Иные бюджетные ассигнования</v>
      </c>
      <c r="B915" s="87"/>
      <c r="C915" s="88"/>
      <c r="D915" s="77"/>
      <c r="E915" s="90"/>
      <c r="F915" s="89">
        <v>800</v>
      </c>
      <c r="G915" s="387"/>
      <c r="H915" s="382">
        <v>113000</v>
      </c>
      <c r="I915" s="50">
        <f>SUM(G915:H915)</f>
        <v>113000</v>
      </c>
    </row>
    <row r="916" spans="1:9" ht="66.75" customHeight="1">
      <c r="A916" s="49" t="str">
        <f>IF(B916&gt;0,VLOOKUP(B916,КВСР!A799:B1964,2),IF(C916&gt;0,VLOOKUP(C916,КФСР!A799:B2311,2),IF(D916&gt;0,VLOOKUP(D916,Программа!A$1:B$5063,2),IF(F916&gt;0,VLOOKUP(F916,КВР!A$1:B$5001,2),IF(E916&gt;0,VLOOKUP(E916,Направление!A$1:B$4746,2))))))</f>
        <v>Проведение комплекса работ по ремонту, замене и реконструкции объектов водоснабжения, водоотведения и очистки сточных вод</v>
      </c>
      <c r="B916" s="87"/>
      <c r="C916" s="88"/>
      <c r="D916" s="77" t="s">
        <v>2774</v>
      </c>
      <c r="E916" s="90"/>
      <c r="F916" s="89"/>
      <c r="G916" s="387">
        <v>3796440.13</v>
      </c>
      <c r="H916" s="387">
        <f>H919+H917+H923+H921</f>
        <v>4024653</v>
      </c>
      <c r="I916" s="50">
        <f>SUM(G916:H916)</f>
        <v>7821093.1299999999</v>
      </c>
    </row>
    <row r="917" spans="1:9" ht="46.5" customHeight="1">
      <c r="A917" s="49" t="str">
        <f>IF(B917&gt;0,VLOOKUP(B917,КВСР!A800:B1965,2),IF(C917&gt;0,VLOOKUP(C917,КФСР!A800:B2312,2),IF(D917&gt;0,VLOOKUP(D917,Программа!A$1:B$5063,2),IF(F917&gt;0,VLOOKUP(F917,КВР!A$1:B$5001,2),IF(E917&gt;0,VLOOKUP(E917,Направление!A$1:B$4746,2))))))</f>
        <v>Расходы на содержание объектов находящихся в муниципальной собственности</v>
      </c>
      <c r="B917" s="87"/>
      <c r="C917" s="88"/>
      <c r="D917" s="77"/>
      <c r="E917" s="90">
        <v>10030</v>
      </c>
      <c r="F917" s="89"/>
      <c r="G917" s="387">
        <v>1259170</v>
      </c>
      <c r="H917" s="387">
        <f>H918</f>
        <v>-460000</v>
      </c>
      <c r="I917" s="387">
        <f>I918</f>
        <v>799170</v>
      </c>
    </row>
    <row r="918" spans="1:9" ht="30" customHeight="1">
      <c r="A918" s="49" t="str">
        <f>IF(B918&gt;0,VLOOKUP(B918,КВСР!A801:B1966,2),IF(C918&gt;0,VLOOKUP(C918,КФСР!A801:B2313,2),IF(D918&gt;0,VLOOKUP(D918,Программа!A$1:B$5063,2),IF(F918&gt;0,VLOOKUP(F918,КВР!A$1:B$5001,2),IF(E918&gt;0,VLOOKUP(E918,Направление!A$1:B$4746,2))))))</f>
        <v>Иные бюджетные ассигнования</v>
      </c>
      <c r="B918" s="87"/>
      <c r="C918" s="88"/>
      <c r="D918" s="77"/>
      <c r="E918" s="90"/>
      <c r="F918" s="89">
        <v>800</v>
      </c>
      <c r="G918" s="387">
        <v>1259170</v>
      </c>
      <c r="H918" s="382">
        <v>-460000</v>
      </c>
      <c r="I918" s="50">
        <f>SUM(G918:H918)</f>
        <v>799170</v>
      </c>
    </row>
    <row r="919" spans="1:9" ht="48.75" customHeight="1">
      <c r="A919" s="49" t="str">
        <f>IF(B919&gt;0,VLOOKUP(B919,КВСР!A802:B1967,2),IF(C919&gt;0,VLOOKUP(C919,КФСР!A802:B2314,2),IF(D919&gt;0,VLOOKUP(D919,Программа!A$1:B$5063,2),IF(F919&gt;0,VLOOKUP(F919,КВР!A$1:B$5001,2),IF(E919&gt;0,VLOOKUP(E919,Направление!A$1:B$4746,2))))))</f>
        <v>Субсидия на возмещение затрат по содержанию и  ремонту муниципальных коммунальных сетей</v>
      </c>
      <c r="B919" s="87"/>
      <c r="C919" s="88"/>
      <c r="D919" s="77"/>
      <c r="E919" s="90">
        <v>10040</v>
      </c>
      <c r="F919" s="89"/>
      <c r="G919" s="387">
        <v>2321004.29</v>
      </c>
      <c r="H919" s="387">
        <f t="shared" ref="H919" si="292">H920</f>
        <v>460000</v>
      </c>
      <c r="I919" s="50">
        <f t="shared" si="290"/>
        <v>2781004.29</v>
      </c>
    </row>
    <row r="920" spans="1:9">
      <c r="A920" s="49" t="str">
        <f>IF(B920&gt;0,VLOOKUP(B920,КВСР!A803:B1968,2),IF(C920&gt;0,VLOOKUP(C920,КФСР!A803:B2315,2),IF(D920&gt;0,VLOOKUP(D920,Программа!A$1:B$5063,2),IF(F920&gt;0,VLOOKUP(F920,КВР!A$1:B$5001,2),IF(E920&gt;0,VLOOKUP(E920,Направление!A$1:B$4746,2))))))</f>
        <v>Иные бюджетные ассигнования</v>
      </c>
      <c r="B920" s="87"/>
      <c r="C920" s="88"/>
      <c r="D920" s="77"/>
      <c r="E920" s="90"/>
      <c r="F920" s="89">
        <v>800</v>
      </c>
      <c r="G920" s="387">
        <v>2321004.29</v>
      </c>
      <c r="H920" s="382">
        <v>460000</v>
      </c>
      <c r="I920" s="50">
        <f t="shared" si="290"/>
        <v>2781004.29</v>
      </c>
    </row>
    <row r="921" spans="1:9" ht="69.75" customHeight="1">
      <c r="A921" s="49" t="str">
        <f>IF(B921&gt;0,VLOOKUP(B921,КВСР!A804:B1969,2),IF(C921&gt;0,VLOOKUP(C921,КФСР!A804:B2316,2),IF(D921&gt;0,VLOOKUP(D921,Программа!A$1:B$5063,2),IF(F921&gt;0,VLOOKUP(F921,КВР!A$1:B$5001,2),IF(E921&gt;0,VLOOKUP(E921,Направление!A$1:B$4746,2))))))</f>
        <v>Субсидия на выполнение мероприятий по обеспечению бесперебойного предоставления коммунальных услуг потребителям Ярославской области</v>
      </c>
      <c r="B921" s="87"/>
      <c r="C921" s="88"/>
      <c r="D921" s="77"/>
      <c r="E921" s="760">
        <v>75200</v>
      </c>
      <c r="F921" s="89"/>
      <c r="G921" s="387"/>
      <c r="H921" s="387">
        <f>H922</f>
        <v>4024653</v>
      </c>
      <c r="I921" s="387">
        <f>I922</f>
        <v>4024653</v>
      </c>
    </row>
    <row r="922" spans="1:9">
      <c r="A922" s="49" t="str">
        <f>IF(B922&gt;0,VLOOKUP(B922,КВСР!A805:B1970,2),IF(C922&gt;0,VLOOKUP(C922,КФСР!A805:B2317,2),IF(D922&gt;0,VLOOKUP(D922,Программа!A$1:B$5063,2),IF(F922&gt;0,VLOOKUP(F922,КВР!A$1:B$5001,2),IF(E922&gt;0,VLOOKUP(E922,Направление!A$1:B$4746,2))))))</f>
        <v>Иные бюджетные ассигнования</v>
      </c>
      <c r="B922" s="87"/>
      <c r="C922" s="88"/>
      <c r="D922" s="77"/>
      <c r="E922" s="90"/>
      <c r="F922" s="89">
        <v>800</v>
      </c>
      <c r="G922" s="387"/>
      <c r="H922" s="382">
        <v>4024653</v>
      </c>
      <c r="I922" s="50">
        <f>SUM(G922:H922)</f>
        <v>4024653</v>
      </c>
    </row>
    <row r="923" spans="1:9" ht="97.5" customHeight="1">
      <c r="A923" s="49" t="str">
        <f>IF(B923&gt;0,VLOOKUP(B923,КВСР!A804:B1969,2),IF(C923&gt;0,VLOOKUP(C923,КФСР!A804:B2316,2),IF(D923&gt;0,VLOOKUP(D923,Программа!A$1:B$5063,2),IF(F923&gt;0,VLOOKUP(F923,КВР!A$1:B$5001,2),IF(E923&gt;0,VLOOKUP(E923,Направление!A$1:B$4746,2))))))</f>
        <v xml:space="preserve"> Обеспечение софинансирования субсидии на  мероприятия по бесперебойному предоставлению коммунальных услуг потребителям Ярославской области, средства района</v>
      </c>
      <c r="B923" s="87"/>
      <c r="C923" s="88"/>
      <c r="D923" s="77"/>
      <c r="E923" s="90" t="s">
        <v>3220</v>
      </c>
      <c r="F923" s="89"/>
      <c r="G923" s="387">
        <v>216265.84</v>
      </c>
      <c r="H923" s="387">
        <f>H924</f>
        <v>0</v>
      </c>
      <c r="I923" s="387">
        <f>I924</f>
        <v>216265.84</v>
      </c>
    </row>
    <row r="924" spans="1:9" ht="28.5" customHeight="1">
      <c r="A924" s="49" t="str">
        <f>IF(B924&gt;0,VLOOKUP(B924,КВСР!A805:B1970,2),IF(C924&gt;0,VLOOKUP(C924,КФСР!A805:B2317,2),IF(D924&gt;0,VLOOKUP(D924,Программа!A$1:B$5063,2),IF(F924&gt;0,VLOOKUP(F924,КВР!A$1:B$5001,2),IF(E924&gt;0,VLOOKUP(E924,Направление!A$1:B$4746,2))))))</f>
        <v>Иные бюджетные ассигнования</v>
      </c>
      <c r="B924" s="87"/>
      <c r="C924" s="88"/>
      <c r="D924" s="77"/>
      <c r="E924" s="90"/>
      <c r="F924" s="89">
        <v>800</v>
      </c>
      <c r="G924" s="387">
        <v>216265.84</v>
      </c>
      <c r="H924" s="382"/>
      <c r="I924" s="50">
        <f>SUM(G924:H924)</f>
        <v>216265.84</v>
      </c>
    </row>
    <row r="925" spans="1:9" ht="46.8">
      <c r="A925" s="49" t="str">
        <f>IF(B925&gt;0,VLOOKUP(B925,КВСР!A804:B1969,2),IF(C925&gt;0,VLOOKUP(C925,КФСР!A804:B2316,2),IF(D925&gt;0,VLOOKUP(D925,Программа!A$1:B$5063,2),IF(F925&gt;0,VLOOKUP(F925,КВР!A$1:B$5001,2),IF(E925&gt;0,VLOOKUP(E925,Направление!A$1:B$4746,2))))))</f>
        <v>Проведение комплекса работ по ремонту, замене и реконструкции объектов газоснабжения</v>
      </c>
      <c r="B925" s="87"/>
      <c r="C925" s="88"/>
      <c r="D925" s="77" t="s">
        <v>2776</v>
      </c>
      <c r="E925" s="90"/>
      <c r="F925" s="89"/>
      <c r="G925" s="387">
        <v>239348.01</v>
      </c>
      <c r="H925" s="387">
        <f t="shared" ref="H925" si="293">H926</f>
        <v>0</v>
      </c>
      <c r="I925" s="50">
        <f t="shared" si="290"/>
        <v>239348.01</v>
      </c>
    </row>
    <row r="926" spans="1:9" ht="46.8">
      <c r="A926" s="49" t="str">
        <f>IF(B926&gt;0,VLOOKUP(B926,КВСР!A805:B1970,2),IF(C926&gt;0,VLOOKUP(C926,КФСР!A805:B2317,2),IF(D926&gt;0,VLOOKUP(D926,Программа!A$1:B$5063,2),IF(F926&gt;0,VLOOKUP(F926,КВР!A$1:B$5001,2),IF(E926&gt;0,VLOOKUP(E926,Направление!A$1:B$4746,2))))))</f>
        <v>Расходы на содержание объектов находящихся в муниципальной собственности</v>
      </c>
      <c r="B926" s="87"/>
      <c r="C926" s="88"/>
      <c r="D926" s="77"/>
      <c r="E926" s="90">
        <v>10030</v>
      </c>
      <c r="F926" s="89"/>
      <c r="G926" s="387">
        <v>239348.01</v>
      </c>
      <c r="H926" s="387">
        <f>H927+H928</f>
        <v>0</v>
      </c>
      <c r="I926" s="50">
        <f>SUM(G926:H926)</f>
        <v>239348.01</v>
      </c>
    </row>
    <row r="927" spans="1:9" ht="31.2">
      <c r="A927" s="49" t="str">
        <f>IF(B927&gt;0,VLOOKUP(B927,КВСР!A806:B1971,2),IF(C927&gt;0,VLOOKUP(C927,КФСР!A806:B2318,2),IF(D927&gt;0,VLOOKUP(D927,Программа!A$1:B$5063,2),IF(F927&gt;0,VLOOKUP(F927,КВР!A$1:B$5001,2),IF(E927&gt;0,VLOOKUP(E927,Направление!A$1:B$4746,2))))))</f>
        <v>Закупка товаров, работ и услуг для государственных нужд</v>
      </c>
      <c r="B927" s="87"/>
      <c r="C927" s="88"/>
      <c r="D927" s="77"/>
      <c r="E927" s="90"/>
      <c r="F927" s="89">
        <v>200</v>
      </c>
      <c r="G927" s="387">
        <v>173705.01</v>
      </c>
      <c r="H927" s="382"/>
      <c r="I927" s="50">
        <f t="shared" si="290"/>
        <v>173705.01</v>
      </c>
    </row>
    <row r="928" spans="1:9" ht="62.4">
      <c r="A928" s="49" t="str">
        <f>IF(B928&gt;0,VLOOKUP(B928,КВСР!A807:B1972,2),IF(C928&gt;0,VLOOKUP(C928,КФСР!A807:B2319,2),IF(D928&gt;0,VLOOKUP(D928,Программа!A$1:B$5063,2),IF(F928&gt;0,VLOOKUP(F928,КВР!A$1:B$5001,2),IF(E928&gt;0,VLOOKUP(E928,Направление!A$1:B$4746,2))))))</f>
        <v>Предоставление субсидий бюджетным, автономным учреждениям и иным некоммерческим организациям</v>
      </c>
      <c r="B928" s="87"/>
      <c r="C928" s="88"/>
      <c r="D928" s="77"/>
      <c r="E928" s="90"/>
      <c r="F928" s="89">
        <v>600</v>
      </c>
      <c r="G928" s="387">
        <v>65643</v>
      </c>
      <c r="H928" s="382"/>
      <c r="I928" s="50">
        <f>SUM(G928:H928)</f>
        <v>65643</v>
      </c>
    </row>
    <row r="929" spans="1:9" ht="62.4">
      <c r="A929" s="49" t="str">
        <f>IF(B929&gt;0,VLOOKUP(B929,КВСР!A808:B1973,2),IF(C929&gt;0,VLOOKUP(C929,КФСР!A808:B2320,2),IF(D929&gt;0,VLOOKUP(D929,Программа!A$1:B$5063,2),IF(F929&gt;0,VLOOKUP(F929,КВР!A$1:B$5001,2),IF(E929&gt;0,VLOOKUP(E929,Направление!A$1:B$4746,2))))))</f>
        <v>Муниципальная программа "Обеспечение населения Тутаевского муниципального района банными услугами"</v>
      </c>
      <c r="B929" s="87"/>
      <c r="C929" s="88"/>
      <c r="D929" s="77" t="s">
        <v>2921</v>
      </c>
      <c r="E929" s="90"/>
      <c r="F929" s="89"/>
      <c r="G929" s="387">
        <v>6900000</v>
      </c>
      <c r="H929" s="387">
        <f t="shared" ref="H929:I931" si="294">H930</f>
        <v>0</v>
      </c>
      <c r="I929" s="387">
        <f t="shared" si="294"/>
        <v>6900000</v>
      </c>
    </row>
    <row r="930" spans="1:9" ht="46.8">
      <c r="A930" s="49" t="str">
        <f>IF(B930&gt;0,VLOOKUP(B930,КВСР!A809:B1974,2),IF(C930&gt;0,VLOOKUP(C930,КФСР!A809:B2321,2),IF(D930&gt;0,VLOOKUP(D930,Программа!A$1:B$5063,2),IF(F930&gt;0,VLOOKUP(F930,КВР!A$1:B$5001,2),IF(E930&gt;0,VLOOKUP(E930,Направление!A$1:B$4746,2))))))</f>
        <v>Обеспечение населения Тутаевского муниципального района банными услугами</v>
      </c>
      <c r="B930" s="87"/>
      <c r="C930" s="88"/>
      <c r="D930" s="77" t="s">
        <v>2922</v>
      </c>
      <c r="E930" s="90"/>
      <c r="F930" s="89"/>
      <c r="G930" s="387">
        <v>6900000</v>
      </c>
      <c r="H930" s="387">
        <f t="shared" si="294"/>
        <v>0</v>
      </c>
      <c r="I930" s="387">
        <f t="shared" si="294"/>
        <v>6900000</v>
      </c>
    </row>
    <row r="931" spans="1:9" ht="46.8">
      <c r="A931" s="49" t="str">
        <f>IF(B931&gt;0,VLOOKUP(B931,КВСР!A810:B1975,2),IF(C931&gt;0,VLOOKUP(C931,КФСР!A810:B2322,2),IF(D931&gt;0,VLOOKUP(D931,Программа!A$1:B$5063,2),IF(F931&gt;0,VLOOKUP(F931,КВР!A$1:B$5001,2),IF(E931&gt;0,VLOOKUP(E931,Направление!A$1:B$4746,2))))))</f>
        <v>Обеспечение мероприятий по организации населению услуг бань  в общих отделениях</v>
      </c>
      <c r="B931" s="87"/>
      <c r="C931" s="88"/>
      <c r="D931" s="77"/>
      <c r="E931" s="90">
        <v>29206</v>
      </c>
      <c r="F931" s="89"/>
      <c r="G931" s="387">
        <v>6900000</v>
      </c>
      <c r="H931" s="387">
        <f t="shared" si="294"/>
        <v>0</v>
      </c>
      <c r="I931" s="387">
        <f t="shared" si="294"/>
        <v>6900000</v>
      </c>
    </row>
    <row r="932" spans="1:9" ht="23.25" customHeight="1">
      <c r="A932" s="49" t="str">
        <f>IF(B932&gt;0,VLOOKUP(B932,КВСР!A811:B1976,2),IF(C932&gt;0,VLOOKUP(C932,КФСР!A811:B2323,2),IF(D932&gt;0,VLOOKUP(D932,Программа!A$1:B$5063,2),IF(F932&gt;0,VLOOKUP(F932,КВР!A$1:B$5001,2),IF(E932&gt;0,VLOOKUP(E932,Направление!A$1:B$4746,2))))))</f>
        <v>Иные бюджетные ассигнования</v>
      </c>
      <c r="B932" s="87"/>
      <c r="C932" s="88"/>
      <c r="D932" s="77"/>
      <c r="E932" s="90"/>
      <c r="F932" s="89">
        <v>800</v>
      </c>
      <c r="G932" s="387">
        <v>6900000</v>
      </c>
      <c r="H932" s="382"/>
      <c r="I932" s="50">
        <f>SUM(G932:H932)</f>
        <v>6900000</v>
      </c>
    </row>
    <row r="933" spans="1:9" ht="23.25" customHeight="1">
      <c r="A933" s="49" t="str">
        <f>IF(B933&gt;0,VLOOKUP(B933,КВСР!A812:B1977,2),IF(C933&gt;0,VLOOKUP(C933,КФСР!A812:B2324,2),IF(D933&gt;0,VLOOKUP(D933,Программа!A$1:B$5063,2),IF(F933&gt;0,VLOOKUP(F933,КВР!A$1:B$5001,2),IF(E933&gt;0,VLOOKUP(E933,Направление!A$1:B$4746,2))))))</f>
        <v>Непрограммные расходы бюджета</v>
      </c>
      <c r="B933" s="87"/>
      <c r="C933" s="88"/>
      <c r="D933" s="77" t="s">
        <v>2852</v>
      </c>
      <c r="E933" s="90"/>
      <c r="F933" s="89"/>
      <c r="G933" s="387">
        <v>76344</v>
      </c>
      <c r="H933" s="387">
        <f>H934+H936+H938</f>
        <v>6489485</v>
      </c>
      <c r="I933" s="387">
        <f>SUM(G933:H933)</f>
        <v>6565829</v>
      </c>
    </row>
    <row r="934" spans="1:9" ht="54.75" customHeight="1">
      <c r="A934" s="49" t="str">
        <f>IF(B934&gt;0,VLOOKUP(B934,КВСР!A813:B1978,2),IF(C934&gt;0,VLOOKUP(C934,КФСР!A813:B2325,2),IF(D934&gt;0,VLOOKUP(D934,Программа!A$1:B$5063,2),IF(F934&gt;0,VLOOKUP(F934,КВР!A$1:B$5001,2),IF(E934&gt;0,VLOOKUP(E934,Направление!A$1:B$4746,2))))))</f>
        <v>Бюджетные инвестиции в объекты капитального строительства муниципальной собственности</v>
      </c>
      <c r="B934" s="87"/>
      <c r="C934" s="88"/>
      <c r="D934" s="77"/>
      <c r="E934" s="90">
        <v>10010</v>
      </c>
      <c r="F934" s="89"/>
      <c r="G934" s="387">
        <v>60000</v>
      </c>
      <c r="H934" s="387">
        <f>H935</f>
        <v>0</v>
      </c>
      <c r="I934" s="387">
        <f>I935</f>
        <v>60000</v>
      </c>
    </row>
    <row r="935" spans="1:9" ht="23.25" customHeight="1">
      <c r="A935" s="49" t="str">
        <f>IF(B935&gt;0,VLOOKUP(B935,КВСР!A814:B1979,2),IF(C935&gt;0,VLOOKUP(C935,КФСР!A814:B2326,2),IF(D935&gt;0,VLOOKUP(D935,Программа!A$1:B$5063,2),IF(F935&gt;0,VLOOKUP(F935,КВР!A$1:B$5001,2),IF(E935&gt;0,VLOOKUP(E935,Направление!A$1:B$4746,2))))))</f>
        <v>Бюджетные инвестиции</v>
      </c>
      <c r="B935" s="87"/>
      <c r="C935" s="88"/>
      <c r="D935" s="77"/>
      <c r="E935" s="90"/>
      <c r="F935" s="89">
        <v>400</v>
      </c>
      <c r="G935" s="387">
        <v>60000</v>
      </c>
      <c r="H935" s="382"/>
      <c r="I935" s="50">
        <f>SUM(G935:H935)</f>
        <v>60000</v>
      </c>
    </row>
    <row r="936" spans="1:9" ht="31.2">
      <c r="A936" s="49" t="str">
        <f>IF(B936&gt;0,VLOOKUP(B936,КВСР!A815:B1980,2),IF(C936&gt;0,VLOOKUP(C936,КФСР!A815:B2327,2),IF(D936&gt;0,VLOOKUP(D936,Программа!A$1:B$5063,2),IF(F936&gt;0,VLOOKUP(F936,КВР!A$1:B$5001,2),IF(E936&gt;0,VLOOKUP(E936,Направление!A$1:B$4746,2))))))</f>
        <v>Резервные фонды местных администраций</v>
      </c>
      <c r="B936" s="87"/>
      <c r="C936" s="88"/>
      <c r="D936" s="77"/>
      <c r="E936" s="90">
        <v>12900</v>
      </c>
      <c r="F936" s="89"/>
      <c r="G936" s="387">
        <v>16344</v>
      </c>
      <c r="H936" s="387">
        <f t="shared" ref="H936:I936" si="295">H937</f>
        <v>0</v>
      </c>
      <c r="I936" s="387">
        <f t="shared" si="295"/>
        <v>16344</v>
      </c>
    </row>
    <row r="937" spans="1:9" ht="31.2">
      <c r="A937" s="49" t="str">
        <f>IF(B937&gt;0,VLOOKUP(B937,КВСР!A816:B1981,2),IF(C937&gt;0,VLOOKUP(C937,КФСР!A816:B2328,2),IF(D937&gt;0,VLOOKUP(D937,Программа!A$1:B$5063,2),IF(F937&gt;0,VLOOKUP(F937,КВР!A$1:B$5001,2),IF(E937&gt;0,VLOOKUP(E937,Направление!A$1:B$4746,2))))))</f>
        <v>Закупка товаров, работ и услуг для государственных нужд</v>
      </c>
      <c r="B937" s="87"/>
      <c r="C937" s="88"/>
      <c r="D937" s="77"/>
      <c r="E937" s="90"/>
      <c r="F937" s="89">
        <v>200</v>
      </c>
      <c r="G937" s="387">
        <v>16344</v>
      </c>
      <c r="H937" s="382"/>
      <c r="I937" s="50">
        <f>G937+H937</f>
        <v>16344</v>
      </c>
    </row>
    <row r="938" spans="1:9" ht="50.25" customHeight="1">
      <c r="A938" s="49" t="str">
        <f>IF(B938&gt;0,VLOOKUP(B938,КВСР!A817:B1982,2),IF(C938&gt;0,VLOOKUP(C938,КФСР!A817:B2329,2),IF(D938&gt;0,VLOOKUP(D938,Программа!A$1:B$5063,2),IF(F938&gt;0,VLOOKUP(F938,КВР!A$1:B$5001,2),IF(E938&gt;0,VLOOKUP(E938,Направление!A$1:B$4746,2))))))</f>
        <v>Резервные фонды исполнительных органов государственной власти субъектов Российской Федерации</v>
      </c>
      <c r="B938" s="87"/>
      <c r="C938" s="88"/>
      <c r="D938" s="77"/>
      <c r="E938" s="90">
        <v>80120</v>
      </c>
      <c r="F938" s="89"/>
      <c r="G938" s="387"/>
      <c r="H938" s="387">
        <f>H939</f>
        <v>6489485</v>
      </c>
      <c r="I938" s="387">
        <f>I939</f>
        <v>6489485</v>
      </c>
    </row>
    <row r="939" spans="1:9" ht="31.2">
      <c r="A939" s="49" t="str">
        <f>IF(B939&gt;0,VLOOKUP(B939,КВСР!A818:B1983,2),IF(C939&gt;0,VLOOKUP(C939,КФСР!A818:B2330,2),IF(D939&gt;0,VLOOKUP(D939,Программа!A$1:B$5063,2),IF(F939&gt;0,VLOOKUP(F939,КВР!A$1:B$5001,2),IF(E939&gt;0,VLOOKUP(E939,Направление!A$1:B$4746,2))))))</f>
        <v>Закупка товаров, работ и услуг для государственных нужд</v>
      </c>
      <c r="B939" s="87"/>
      <c r="C939" s="88"/>
      <c r="D939" s="77"/>
      <c r="E939" s="90"/>
      <c r="F939" s="89">
        <v>200</v>
      </c>
      <c r="G939" s="387"/>
      <c r="H939" s="382">
        <v>6489485</v>
      </c>
      <c r="I939" s="50">
        <f>SUM(G939:H939)</f>
        <v>6489485</v>
      </c>
    </row>
    <row r="940" spans="1:9" ht="36" customHeight="1">
      <c r="A940" s="49" t="str">
        <f>IF(B940&gt;0,VLOOKUP(B940,КВСР!A815:B1980,2),IF(C940&gt;0,VLOOKUP(C940,КФСР!A815:B2327,2),IF(D940&gt;0,VLOOKUP(D940,Программа!A$1:B$5063,2),IF(F940&gt;0,VLOOKUP(F940,КВР!A$1:B$5001,2),IF(E940&gt;0,VLOOKUP(E940,Направление!A$1:B$4746,2))))))</f>
        <v>Межбюджетные трансферты  поселениям района</v>
      </c>
      <c r="B940" s="87"/>
      <c r="C940" s="88"/>
      <c r="D940" s="77" t="s">
        <v>2853</v>
      </c>
      <c r="E940" s="90"/>
      <c r="F940" s="89"/>
      <c r="G940" s="387">
        <v>10440000</v>
      </c>
      <c r="H940" s="387">
        <f>H941+H943</f>
        <v>7174421</v>
      </c>
      <c r="I940" s="387">
        <f>SUM(G940:H940)</f>
        <v>17614421</v>
      </c>
    </row>
    <row r="941" spans="1:9" ht="64.5" customHeight="1">
      <c r="A941" s="49" t="str">
        <f>IF(B941&gt;0,VLOOKUP(B941,КВСР!A816:B1981,2),IF(C941&gt;0,VLOOKUP(C941,КФСР!A816:B2328,2),IF(D941&gt;0,VLOOKUP(D941,Программа!A$1:B$5063,2),IF(F941&gt;0,VLOOKUP(F941,КВР!A$1:B$5001,2),IF(E941&gt;0,VLOOKUP(E941,Направление!A$1:B$4746,2))))))</f>
        <v>Субсидия на реализацию мероприятий по строительству и реконструкции объектов теплоснабжения и газификации</v>
      </c>
      <c r="B941" s="87"/>
      <c r="C941" s="88"/>
      <c r="D941" s="77"/>
      <c r="E941" s="90">
        <v>72010</v>
      </c>
      <c r="F941" s="89"/>
      <c r="G941" s="387">
        <v>10440000</v>
      </c>
      <c r="H941" s="387">
        <f>H942</f>
        <v>5072316</v>
      </c>
      <c r="I941" s="387">
        <f>I942</f>
        <v>15512316</v>
      </c>
    </row>
    <row r="942" spans="1:9" ht="23.25" customHeight="1">
      <c r="A942" s="49" t="str">
        <f>IF(B942&gt;0,VLOOKUP(B942,КВСР!A817:B1982,2),IF(C942&gt;0,VLOOKUP(C942,КФСР!A817:B2329,2),IF(D942&gt;0,VLOOKUP(D942,Программа!A$1:B$5063,2),IF(F942&gt;0,VLOOKUP(F942,КВР!A$1:B$5001,2),IF(E942&gt;0,VLOOKUP(E942,Направление!A$1:B$4746,2))))))</f>
        <v xml:space="preserve"> Межбюджетные трансферты</v>
      </c>
      <c r="B942" s="87"/>
      <c r="C942" s="88"/>
      <c r="D942" s="77"/>
      <c r="E942" s="90"/>
      <c r="F942" s="89">
        <v>500</v>
      </c>
      <c r="G942" s="387">
        <v>10440000</v>
      </c>
      <c r="H942" s="382">
        <v>5072316</v>
      </c>
      <c r="I942" s="50">
        <f>SUM(G942:H942)</f>
        <v>15512316</v>
      </c>
    </row>
    <row r="943" spans="1:9" ht="72.75" customHeight="1">
      <c r="A943" s="49" t="str">
        <f>IF(B943&gt;0,VLOOKUP(B943,КВСР!A818:B1983,2),IF(C943&gt;0,VLOOKUP(C943,КФСР!A818:B2330,2),IF(D943&gt;0,VLOOKUP(D943,Программа!A$1:B$5063,2),IF(F943&gt;0,VLOOKUP(F943,КВР!A$1:B$5001,2),IF(E943&gt;0,VLOOKUP(E943,Направление!A$1:B$4746,2))))))</f>
        <v>Субсидия на выполнение мероприятий по обеспечению бесперебойного предоставления коммунальных услуг потребителям Ярославской области</v>
      </c>
      <c r="B943" s="87"/>
      <c r="C943" s="88"/>
      <c r="D943" s="77"/>
      <c r="E943" s="761">
        <v>75200</v>
      </c>
      <c r="F943" s="89"/>
      <c r="G943" s="387"/>
      <c r="H943" s="387">
        <f>H944</f>
        <v>2102105</v>
      </c>
      <c r="I943" s="387">
        <f>I944</f>
        <v>2102105</v>
      </c>
    </row>
    <row r="944" spans="1:9" ht="23.25" customHeight="1">
      <c r="A944" s="49" t="str">
        <f>IF(B944&gt;0,VLOOKUP(B944,КВСР!A819:B1984,2),IF(C944&gt;0,VLOOKUP(C944,КФСР!A819:B2331,2),IF(D944&gt;0,VLOOKUP(D944,Программа!A$1:B$5063,2),IF(F944&gt;0,VLOOKUP(F944,КВР!A$1:B$5001,2),IF(E944&gt;0,VLOOKUP(E944,Направление!A$1:B$4746,2))))))</f>
        <v xml:space="preserve"> Межбюджетные трансферты</v>
      </c>
      <c r="B944" s="87"/>
      <c r="C944" s="88"/>
      <c r="D944" s="77"/>
      <c r="E944" s="90"/>
      <c r="F944" s="89">
        <v>500</v>
      </c>
      <c r="G944" s="387"/>
      <c r="H944" s="382">
        <v>2102105</v>
      </c>
      <c r="I944" s="50">
        <f>SUM(G944:H944)</f>
        <v>2102105</v>
      </c>
    </row>
    <row r="945" spans="1:9" ht="23.25" customHeight="1">
      <c r="A945" s="49" t="str">
        <f>IF(B945&gt;0,VLOOKUP(B945,КВСР!A818:B1983,2),IF(C945&gt;0,VLOOKUP(C945,КФСР!A818:B2330,2),IF(D945&gt;0,VLOOKUP(D945,Программа!A$1:B$5063,2),IF(F945&gt;0,VLOOKUP(F945,КВР!A$1:B$5001,2),IF(E945&gt;0,VLOOKUP(E945,Направление!A$1:B$4746,2))))))</f>
        <v>Благоустройство</v>
      </c>
      <c r="B945" s="87"/>
      <c r="C945" s="88">
        <v>503</v>
      </c>
      <c r="D945" s="77"/>
      <c r="E945" s="90"/>
      <c r="F945" s="89"/>
      <c r="G945" s="387">
        <v>34905398.299999997</v>
      </c>
      <c r="H945" s="387">
        <f>H946</f>
        <v>-1062189.1000000001</v>
      </c>
      <c r="I945" s="387">
        <f>I946</f>
        <v>33843209.700000003</v>
      </c>
    </row>
    <row r="946" spans="1:9" ht="72.75" customHeight="1">
      <c r="A946" s="49" t="str">
        <f>IF(B946&gt;0,VLOOKUP(B946,КВСР!A819:B1984,2),IF(C946&gt;0,VLOOKUP(C946,КФСР!A819:B2331,2),IF(D946&gt;0,VLOOKUP(D946,Программа!A$1:B$5063,2),IF(F946&gt;0,VLOOKUP(F946,КВР!A$1:B$5001,2),IF(E946&gt;0,VLOOKUP(E946,Направление!A$1:B$4746,2))))))</f>
        <v>Муниципальная программа "Благоустройство  и санитарно-эпидемиологическая безопасность  Тутаевского муниципального района</v>
      </c>
      <c r="B946" s="87"/>
      <c r="C946" s="88"/>
      <c r="D946" s="77" t="s">
        <v>2794</v>
      </c>
      <c r="E946" s="90"/>
      <c r="F946" s="89"/>
      <c r="G946" s="387">
        <v>34905398.299999997</v>
      </c>
      <c r="H946" s="387">
        <f>H947+H951</f>
        <v>-1062189.1000000001</v>
      </c>
      <c r="I946" s="387">
        <f>I947+I951</f>
        <v>33843209.700000003</v>
      </c>
    </row>
    <row r="947" spans="1:9" ht="75" customHeight="1">
      <c r="A947" s="49" t="str">
        <f>IF(B947&gt;0,VLOOKUP(B947,КВСР!A820:B1985,2),IF(C947&gt;0,VLOOKUP(C947,КФСР!A820:B2332,2),IF(D947&gt;0,VLOOKUP(D947,Программа!A$1:B$5063,2),IF(F947&gt;0,VLOOKUP(F947,КВР!A$1:B$5001,2),IF(E947&gt;0,VLOOKUP(E947,Направление!A$1:B$4746,2))))))</f>
        <v>Муниципальная целевая программа "Организация и развитие ритуальных услуг и мест захоронения в Тутаевском муниципальном районе"</v>
      </c>
      <c r="B947" s="87"/>
      <c r="C947" s="88"/>
      <c r="D947" s="77" t="s">
        <v>2795</v>
      </c>
      <c r="E947" s="90"/>
      <c r="F947" s="89"/>
      <c r="G947" s="387">
        <v>1100000</v>
      </c>
      <c r="H947" s="387">
        <f t="shared" ref="H947:I949" si="296">H948</f>
        <v>0</v>
      </c>
      <c r="I947" s="387">
        <f t="shared" si="296"/>
        <v>1100000</v>
      </c>
    </row>
    <row r="948" spans="1:9" ht="51" customHeight="1">
      <c r="A948" s="49" t="str">
        <f>IF(B948&gt;0,VLOOKUP(B948,КВСР!A821:B1986,2),IF(C948&gt;0,VLOOKUP(C948,КФСР!A821:B2333,2),IF(D948&gt;0,VLOOKUP(D948,Программа!A$1:B$5063,2),IF(F948&gt;0,VLOOKUP(F948,КВР!A$1:B$5001,2),IF(E948&gt;0,VLOOKUP(E948,Направление!A$1:B$4746,2))))))</f>
        <v>Обеспечение комплекса работ по повышению уровня благоустройства мест погребений</v>
      </c>
      <c r="B948" s="87"/>
      <c r="C948" s="88"/>
      <c r="D948" s="77" t="s">
        <v>2797</v>
      </c>
      <c r="E948" s="90"/>
      <c r="F948" s="89"/>
      <c r="G948" s="387">
        <v>1100000</v>
      </c>
      <c r="H948" s="387">
        <f t="shared" si="296"/>
        <v>0</v>
      </c>
      <c r="I948" s="387">
        <f t="shared" si="296"/>
        <v>1100000</v>
      </c>
    </row>
    <row r="949" spans="1:9" ht="39" customHeight="1">
      <c r="A949" s="49" t="str">
        <f>IF(B949&gt;0,VLOOKUP(B949,КВСР!A822:B1987,2),IF(C949&gt;0,VLOOKUP(C949,КФСР!A822:B2334,2),IF(D949&gt;0,VLOOKUP(D949,Программа!A$1:B$5063,2),IF(F949&gt;0,VLOOKUP(F949,КВР!A$1:B$5001,2),IF(E949&gt;0,VLOOKUP(E949,Направление!A$1:B$4746,2))))))</f>
        <v>Обеспечение мероприятий по  содержанию мест захоронения</v>
      </c>
      <c r="B949" s="87"/>
      <c r="C949" s="88"/>
      <c r="D949" s="77"/>
      <c r="E949" s="90">
        <v>29316</v>
      </c>
      <c r="F949" s="89"/>
      <c r="G949" s="387">
        <v>1100000</v>
      </c>
      <c r="H949" s="387">
        <f t="shared" si="296"/>
        <v>0</v>
      </c>
      <c r="I949" s="387">
        <f t="shared" si="296"/>
        <v>1100000</v>
      </c>
    </row>
    <row r="950" spans="1:9" ht="33" customHeight="1">
      <c r="A950" s="49" t="str">
        <f>IF(B950&gt;0,VLOOKUP(B950,КВСР!A823:B1988,2),IF(C950&gt;0,VLOOKUP(C950,КФСР!A823:B2335,2),IF(D950&gt;0,VLOOKUP(D950,Программа!A$1:B$5063,2),IF(F950&gt;0,VLOOKUP(F950,КВР!A$1:B$5001,2),IF(E950&gt;0,VLOOKUP(E950,Направление!A$1:B$4746,2))))))</f>
        <v>Закупка товаров, работ и услуг для государственных нужд</v>
      </c>
      <c r="B950" s="87"/>
      <c r="C950" s="88"/>
      <c r="D950" s="77"/>
      <c r="E950" s="90"/>
      <c r="F950" s="89">
        <v>200</v>
      </c>
      <c r="G950" s="387">
        <v>1100000</v>
      </c>
      <c r="H950" s="382"/>
      <c r="I950" s="387">
        <f>SUM(G950:H950)</f>
        <v>1100000</v>
      </c>
    </row>
    <row r="951" spans="1:9" ht="71.25" customHeight="1">
      <c r="A951" s="49" t="str">
        <f>IF(B951&gt;0,VLOOKUP(B951,КВСР!A824:B1989,2),IF(C951&gt;0,VLOOKUP(C951,КФСР!A824:B2336,2),IF(D951&gt;0,VLOOKUP(D951,Программа!A$1:B$5063,2),IF(F951&gt;0,VLOOKUP(F951,КВР!A$1:B$5001,2),IF(E951&gt;0,VLOOKUP(E951,Направление!A$1:B$4746,2))))))</f>
        <v>Муниципальная целевая программа "Благоустройство и озеленение территории  в Тутаевского муниципального  района"</v>
      </c>
      <c r="B951" s="87"/>
      <c r="C951" s="88"/>
      <c r="D951" s="77" t="s">
        <v>2798</v>
      </c>
      <c r="E951" s="90"/>
      <c r="F951" s="89"/>
      <c r="G951" s="387">
        <v>33805398.299999997</v>
      </c>
      <c r="H951" s="387">
        <f>H952+H966+H970</f>
        <v>-1062189.1000000001</v>
      </c>
      <c r="I951" s="387">
        <f>I952+I966+I970</f>
        <v>32743209.699999999</v>
      </c>
    </row>
    <row r="952" spans="1:9" ht="73.5" customHeight="1">
      <c r="A952" s="49" t="str">
        <f>IF(B952&gt;0,VLOOKUP(B952,КВСР!A825:B1990,2),IF(C952&gt;0,VLOOKUP(C952,КФСР!A825:B2337,2),IF(D952&gt;0,VLOOKUP(D952,Программа!A$1:B$5063,2),IF(F952&gt;0,VLOOKUP(F952,КВР!A$1:B$5001,2),IF(E952&gt;0,VLOOKUP(E952,Направление!A$1:B$4746,2))))))</f>
        <v>Улучшение уровня внешнего благоустройства и санитарного  состояния территорий Тутаевского муниципального района</v>
      </c>
      <c r="B952" s="87"/>
      <c r="C952" s="88"/>
      <c r="D952" s="77" t="s">
        <v>2799</v>
      </c>
      <c r="E952" s="90"/>
      <c r="F952" s="89"/>
      <c r="G952" s="387">
        <v>17752435.800000001</v>
      </c>
      <c r="H952" s="387">
        <f>H953+H955+H957+H960+H962+H964</f>
        <v>150000</v>
      </c>
      <c r="I952" s="50">
        <f>SUM(G952:H952)</f>
        <v>17902435.800000001</v>
      </c>
    </row>
    <row r="953" spans="1:9" ht="40.5" customHeight="1">
      <c r="A953" s="49" t="str">
        <f>IF(B953&gt;0,VLOOKUP(B953,КВСР!A826:B1991,2),IF(C953&gt;0,VLOOKUP(C953,КФСР!A826:B2338,2),IF(D953&gt;0,VLOOKUP(D953,Программа!A$1:B$5063,2),IF(F953&gt;0,VLOOKUP(F953,КВР!A$1:B$5001,2),IF(E953&gt;0,VLOOKUP(E953,Направление!A$1:B$4746,2))))))</f>
        <v>Обеспечение мероприятий по уличному освещению</v>
      </c>
      <c r="B953" s="87"/>
      <c r="C953" s="88"/>
      <c r="D953" s="77"/>
      <c r="E953" s="90">
        <v>29236</v>
      </c>
      <c r="F953" s="89"/>
      <c r="G953" s="387">
        <v>8000000</v>
      </c>
      <c r="H953" s="387">
        <f>H954</f>
        <v>0</v>
      </c>
      <c r="I953" s="50">
        <f>I954</f>
        <v>8000000</v>
      </c>
    </row>
    <row r="954" spans="1:9" ht="45" customHeight="1">
      <c r="A954" s="49" t="str">
        <f>IF(B954&gt;0,VLOOKUP(B954,КВСР!A827:B1992,2),IF(C954&gt;0,VLOOKUP(C954,КФСР!A827:B2339,2),IF(D954&gt;0,VLOOKUP(D954,Программа!A$1:B$5063,2),IF(F954&gt;0,VLOOKUP(F954,КВР!A$1:B$5001,2),IF(E954&gt;0,VLOOKUP(E954,Направление!A$1:B$4746,2))))))</f>
        <v>Закупка товаров, работ и услуг для государственных нужд</v>
      </c>
      <c r="B954" s="87"/>
      <c r="C954" s="88"/>
      <c r="D954" s="77"/>
      <c r="E954" s="90"/>
      <c r="F954" s="89">
        <v>200</v>
      </c>
      <c r="G954" s="387">
        <v>8000000</v>
      </c>
      <c r="H954" s="382"/>
      <c r="I954" s="387">
        <f>SUM(G954:H954)</f>
        <v>8000000</v>
      </c>
    </row>
    <row r="955" spans="1:9" ht="68.25" customHeight="1">
      <c r="A955" s="49" t="str">
        <f>IF(B955&gt;0,VLOOKUP(B955,КВСР!A828:B1993,2),IF(C955&gt;0,VLOOKUP(C955,КФСР!A828:B2340,2),IF(D955&gt;0,VLOOKUP(D955,Программа!A$1:B$5063,2),IF(F955&gt;0,VLOOKUP(F955,КВР!A$1:B$5001,2),IF(E955&gt;0,VLOOKUP(E955,Направление!A$1:B$4746,2))))))</f>
        <v>Обеспечение мероприятий по техническому содержанию, текущему и капитальному ремонту сетей уличного освещения</v>
      </c>
      <c r="B955" s="87"/>
      <c r="C955" s="88"/>
      <c r="D955" s="77"/>
      <c r="E955" s="90">
        <v>29246</v>
      </c>
      <c r="F955" s="89"/>
      <c r="G955" s="387">
        <v>2000000</v>
      </c>
      <c r="H955" s="387">
        <f>H956</f>
        <v>0</v>
      </c>
      <c r="I955" s="50">
        <f>I956</f>
        <v>2000000</v>
      </c>
    </row>
    <row r="956" spans="1:9" ht="38.25" customHeight="1">
      <c r="A956" s="49" t="str">
        <f>IF(B956&gt;0,VLOOKUP(B956,КВСР!A829:B1994,2),IF(C956&gt;0,VLOOKUP(C956,КФСР!A829:B2341,2),IF(D956&gt;0,VLOOKUP(D956,Программа!A$1:B$5063,2),IF(F956&gt;0,VLOOKUP(F956,КВР!A$1:B$5001,2),IF(E956&gt;0,VLOOKUP(E956,Направление!A$1:B$4746,2))))))</f>
        <v>Закупка товаров, работ и услуг для государственных нужд</v>
      </c>
      <c r="B956" s="87"/>
      <c r="C956" s="88"/>
      <c r="D956" s="77"/>
      <c r="E956" s="90"/>
      <c r="F956" s="89">
        <v>200</v>
      </c>
      <c r="G956" s="387">
        <v>2000000</v>
      </c>
      <c r="H956" s="382"/>
      <c r="I956" s="387">
        <f>SUM(G956:H956)</f>
        <v>2000000</v>
      </c>
    </row>
    <row r="957" spans="1:9" ht="45" customHeight="1">
      <c r="A957" s="49" t="str">
        <f>IF(B957&gt;0,VLOOKUP(B957,КВСР!A830:B1995,2),IF(C957&gt;0,VLOOKUP(C957,КФСР!A830:B2342,2),IF(D957&gt;0,VLOOKUP(D957,Программа!A$1:B$5063,2),IF(F957&gt;0,VLOOKUP(F957,КВР!A$1:B$5001,2),IF(E957&gt;0,VLOOKUP(E957,Направление!A$1:B$4746,2))))))</f>
        <v>Обеспечение мероприятий в области благоустройства</v>
      </c>
      <c r="B957" s="87"/>
      <c r="C957" s="88"/>
      <c r="D957" s="77"/>
      <c r="E957" s="90">
        <v>29266</v>
      </c>
      <c r="F957" s="89"/>
      <c r="G957" s="387">
        <v>1427327.7999999998</v>
      </c>
      <c r="H957" s="387">
        <f>H958+H959</f>
        <v>150000</v>
      </c>
      <c r="I957" s="387">
        <f>SUM(G957:H957)</f>
        <v>1577327.7999999998</v>
      </c>
    </row>
    <row r="958" spans="1:9" ht="39.75" customHeight="1">
      <c r="A958" s="49" t="str">
        <f>IF(B958&gt;0,VLOOKUP(B958,КВСР!A831:B1996,2),IF(C958&gt;0,VLOOKUP(C958,КФСР!A831:B2343,2),IF(D958&gt;0,VLOOKUP(D958,Программа!A$1:B$5063,2),IF(F958&gt;0,VLOOKUP(F958,КВР!A$1:B$5001,2),IF(E958&gt;0,VLOOKUP(E958,Направление!A$1:B$4746,2))))))</f>
        <v>Закупка товаров, работ и услуг для государственных нужд</v>
      </c>
      <c r="B958" s="87"/>
      <c r="C958" s="88"/>
      <c r="D958" s="77"/>
      <c r="E958" s="90"/>
      <c r="F958" s="89">
        <v>200</v>
      </c>
      <c r="G958" s="387">
        <v>1427327.7999999998</v>
      </c>
      <c r="H958" s="382"/>
      <c r="I958" s="387">
        <f>SUM(G958:H958)</f>
        <v>1427327.7999999998</v>
      </c>
    </row>
    <row r="959" spans="1:9" ht="57.75" customHeight="1">
      <c r="A959" s="49" t="str">
        <f>IF(B959&gt;0,VLOOKUP(B959,КВСР!A832:B1997,2),IF(C959&gt;0,VLOOKUP(C959,КФСР!A832:B2344,2),IF(D959&gt;0,VLOOKUP(D959,Программа!A$1:B$5063,2),IF(F959&gt;0,VLOOKUP(F959,КВР!A$1:B$5001,2),IF(E959&gt;0,VLOOKUP(E959,Направление!A$1:B$4746,2))))))</f>
        <v>Предоставление субсидий бюджетным, автономным учреждениям и иным некоммерческим организациям</v>
      </c>
      <c r="B959" s="87"/>
      <c r="C959" s="88"/>
      <c r="D959" s="77"/>
      <c r="E959" s="90"/>
      <c r="F959" s="89">
        <v>600</v>
      </c>
      <c r="G959" s="387"/>
      <c r="H959" s="382">
        <v>150000</v>
      </c>
      <c r="I959" s="387">
        <f>SUM(G959:H959)</f>
        <v>150000</v>
      </c>
    </row>
    <row r="960" spans="1:9" ht="31.2">
      <c r="A960" s="49" t="str">
        <f>IF(B960&gt;0,VLOOKUP(B960,КВСР!A831:B1996,2),IF(C960&gt;0,VLOOKUP(C960,КФСР!A831:B2343,2),IF(D960&gt;0,VLOOKUP(D960,Программа!A$1:B$5063,2),IF(F960&gt;0,VLOOKUP(F960,КВР!A$1:B$5001,2),IF(E960&gt;0,VLOOKUP(E960,Направление!A$1:B$4746,2))))))</f>
        <v>Обеспечение участия  по  сбору   и  транспортированию ТКО и КГО</v>
      </c>
      <c r="B960" s="87"/>
      <c r="C960" s="88"/>
      <c r="D960" s="77"/>
      <c r="E960" s="90">
        <v>29546</v>
      </c>
      <c r="F960" s="89"/>
      <c r="G960" s="387">
        <v>2303078</v>
      </c>
      <c r="H960" s="387">
        <f>H961</f>
        <v>0</v>
      </c>
      <c r="I960" s="50">
        <f>I961</f>
        <v>2303078</v>
      </c>
    </row>
    <row r="961" spans="1:9" ht="39.75" customHeight="1">
      <c r="A961" s="49" t="str">
        <f>IF(B961&gt;0,VLOOKUP(B961,КВСР!A833:B1998,2),IF(C961&gt;0,VLOOKUP(C961,КФСР!A833:B2345,2),IF(D961&gt;0,VLOOKUP(D961,Программа!A$1:B$5063,2),IF(F961&gt;0,VLOOKUP(F961,КВР!A$1:B$5001,2),IF(E961&gt;0,VLOOKUP(E961,Направление!A$1:B$4746,2))))))</f>
        <v>Закупка товаров, работ и услуг для государственных нужд</v>
      </c>
      <c r="B961" s="87"/>
      <c r="C961" s="88"/>
      <c r="D961" s="77"/>
      <c r="E961" s="90"/>
      <c r="F961" s="89">
        <v>200</v>
      </c>
      <c r="G961" s="387">
        <v>2303078</v>
      </c>
      <c r="H961" s="382"/>
      <c r="I961" s="387">
        <f>SUM(G961:H961)</f>
        <v>2303078</v>
      </c>
    </row>
    <row r="962" spans="1:9" ht="50.25" customHeight="1">
      <c r="A962" s="49" t="str">
        <f>IF(B962&gt;0,VLOOKUP(B962,КВСР!A834:B1999,2),IF(C962&gt;0,VLOOKUP(C962,КФСР!A834:B2346,2),IF(D962&gt;0,VLOOKUP(D962,Программа!A$1:B$5063,2),IF(F962&gt;0,VLOOKUP(F962,КВР!A$1:B$5001,2),IF(E962&gt;0,VLOOKUP(E962,Направление!A$1:B$4746,2))))))</f>
        <v>Субсидия на благоустройство населенных пунктов Ярославской  области</v>
      </c>
      <c r="B962" s="87"/>
      <c r="C962" s="88"/>
      <c r="D962" s="77"/>
      <c r="E962" s="90">
        <v>74776</v>
      </c>
      <c r="F962" s="89"/>
      <c r="G962" s="387">
        <v>2757000</v>
      </c>
      <c r="H962" s="387">
        <f>H963</f>
        <v>0</v>
      </c>
      <c r="I962" s="50">
        <f>I963</f>
        <v>2757000</v>
      </c>
    </row>
    <row r="963" spans="1:9" ht="39.75" customHeight="1">
      <c r="A963" s="49" t="str">
        <f>IF(B963&gt;0,VLOOKUP(B963,КВСР!A835:B2000,2),IF(C963&gt;0,VLOOKUP(C963,КФСР!A835:B2347,2),IF(D963&gt;0,VLOOKUP(D963,Программа!A$1:B$5063,2),IF(F963&gt;0,VLOOKUP(F963,КВР!A$1:B$5001,2),IF(E963&gt;0,VLOOKUP(E963,Направление!A$1:B$4746,2))))))</f>
        <v>Закупка товаров, работ и услуг для государственных нужд</v>
      </c>
      <c r="B963" s="87"/>
      <c r="C963" s="88"/>
      <c r="D963" s="77"/>
      <c r="E963" s="90"/>
      <c r="F963" s="89">
        <v>200</v>
      </c>
      <c r="G963" s="387">
        <v>2757000</v>
      </c>
      <c r="H963" s="382"/>
      <c r="I963" s="387">
        <f>SUM(G963:H963)</f>
        <v>2757000</v>
      </c>
    </row>
    <row r="964" spans="1:9" ht="63.75" customHeight="1">
      <c r="A964" s="49" t="str">
        <f>IF(B964&gt;0,VLOOKUP(B964,КВСР!A836:B2001,2),IF(C964&gt;0,VLOOKUP(C964,КФСР!A836:B2348,2),IF(D964&gt;0,VLOOKUP(D964,Программа!A$1:B$5063,2),IF(F964&gt;0,VLOOKUP(F964,КВР!A$1:B$5001,2),IF(E964&gt;0,VLOOKUP(E964,Направление!A$1:B$4746,2))))))</f>
        <v>Софинансирование субсидии на благоустройство населенных пунктов Ярославской области</v>
      </c>
      <c r="B964" s="87"/>
      <c r="C964" s="88"/>
      <c r="D964" s="77"/>
      <c r="E964" s="90" t="s">
        <v>3193</v>
      </c>
      <c r="F964" s="89"/>
      <c r="G964" s="387">
        <v>1265030</v>
      </c>
      <c r="H964" s="387">
        <f>H965</f>
        <v>0</v>
      </c>
      <c r="I964" s="50">
        <f>I965</f>
        <v>1265030</v>
      </c>
    </row>
    <row r="965" spans="1:9" ht="39.75" customHeight="1">
      <c r="A965" s="49" t="str">
        <f>IF(B965&gt;0,VLOOKUP(B965,КВСР!A837:B2002,2),IF(C965&gt;0,VLOOKUP(C965,КФСР!A837:B2349,2),IF(D965&gt;0,VLOOKUP(D965,Программа!A$1:B$5063,2),IF(F965&gt;0,VLOOKUP(F965,КВР!A$1:B$5001,2),IF(E965&gt;0,VLOOKUP(E965,Направление!A$1:B$4746,2))))))</f>
        <v>Закупка товаров, работ и услуг для государственных нужд</v>
      </c>
      <c r="B965" s="87"/>
      <c r="C965" s="88"/>
      <c r="D965" s="77"/>
      <c r="E965" s="90"/>
      <c r="F965" s="89">
        <v>200</v>
      </c>
      <c r="G965" s="387">
        <v>1265030</v>
      </c>
      <c r="H965" s="382"/>
      <c r="I965" s="387">
        <f>SUM(G965:H965)</f>
        <v>1265030</v>
      </c>
    </row>
    <row r="966" spans="1:9" ht="54" customHeight="1">
      <c r="A966" s="49" t="str">
        <f>IF(B966&gt;0,VLOOKUP(B966,КВСР!A838:B2003,2),IF(C966&gt;0,VLOOKUP(C966,КФСР!A838:B2350,2),IF(D966&gt;0,VLOOKUP(D966,Программа!A$1:B$5063,2),IF(F966&gt;0,VLOOKUP(F966,КВР!A$1:B$5001,2),IF(E966&gt;0,VLOOKUP(E966,Направление!A$1:B$4746,2))))))</f>
        <v xml:space="preserve">Обеспечение мероприятий по совершенствованию  эстетического  состояния территорий </v>
      </c>
      <c r="B966" s="87"/>
      <c r="C966" s="88"/>
      <c r="D966" s="77" t="s">
        <v>2801</v>
      </c>
      <c r="E966" s="90"/>
      <c r="F966" s="89"/>
      <c r="G966" s="387">
        <v>2072679.7</v>
      </c>
      <c r="H966" s="387">
        <f>H967</f>
        <v>0</v>
      </c>
      <c r="I966" s="387">
        <f>I967</f>
        <v>2072680.2</v>
      </c>
    </row>
    <row r="967" spans="1:9" ht="39.75" customHeight="1">
      <c r="A967" s="49" t="str">
        <f>IF(B967&gt;0,VLOOKUP(B967,КВСР!A839:B2004,2),IF(C967&gt;0,VLOOKUP(C967,КФСР!A839:B2351,2),IF(D967&gt;0,VLOOKUP(D967,Программа!A$1:B$5063,2),IF(F967&gt;0,VLOOKUP(F967,КВР!A$1:B$5001,2),IF(E967&gt;0,VLOOKUP(E967,Направление!A$1:B$4746,2))))))</f>
        <v>Обеспечение мероприятий в области благоустройства</v>
      </c>
      <c r="B967" s="87"/>
      <c r="C967" s="88"/>
      <c r="D967" s="77"/>
      <c r="E967" s="90">
        <v>29266</v>
      </c>
      <c r="F967" s="89"/>
      <c r="G967" s="387">
        <v>2072679.7</v>
      </c>
      <c r="H967" s="387">
        <f>H968+H969</f>
        <v>0</v>
      </c>
      <c r="I967" s="50">
        <f>SUM(I968:I969)</f>
        <v>2072680.2</v>
      </c>
    </row>
    <row r="968" spans="1:9" ht="36.75" customHeight="1">
      <c r="A968" s="49" t="str">
        <f>IF(B968&gt;0,VLOOKUP(B968,КВСР!A840:B2005,2),IF(C968&gt;0,VLOOKUP(C968,КФСР!A840:B2352,2),IF(D968&gt;0,VLOOKUP(D968,Программа!A$1:B$5063,2),IF(F968&gt;0,VLOOKUP(F968,КВР!A$1:B$5001,2),IF(E968&gt;0,VLOOKUP(E968,Направление!A$1:B$4746,2))))))</f>
        <v>Закупка товаров, работ и услуг для государственных нужд</v>
      </c>
      <c r="B968" s="87"/>
      <c r="C968" s="88"/>
      <c r="D968" s="77"/>
      <c r="E968" s="90"/>
      <c r="F968" s="89">
        <v>200</v>
      </c>
      <c r="G968" s="387">
        <f>72679.7+0.5</f>
        <v>72680.2</v>
      </c>
      <c r="H968" s="382"/>
      <c r="I968" s="50">
        <f>SUM(G968:H968)</f>
        <v>72680.2</v>
      </c>
    </row>
    <row r="969" spans="1:9" ht="51.75" customHeight="1">
      <c r="A969" s="49" t="str">
        <f>IF(B969&gt;0,VLOOKUP(B969,КВСР!A841:B2006,2),IF(C969&gt;0,VLOOKUP(C969,КФСР!A841:B2353,2),IF(D969&gt;0,VLOOKUP(D969,Программа!A$1:B$5063,2),IF(F969&gt;0,VLOOKUP(F969,КВР!A$1:B$5001,2),IF(E969&gt;0,VLOOKUP(E969,Направление!A$1:B$4746,2))))))</f>
        <v>Предоставление субсидий бюджетным, автономным учреждениям и иным некоммерческим организациям</v>
      </c>
      <c r="B969" s="87"/>
      <c r="C969" s="88"/>
      <c r="D969" s="77"/>
      <c r="E969" s="90"/>
      <c r="F969" s="89">
        <v>600</v>
      </c>
      <c r="G969" s="387">
        <v>2000000</v>
      </c>
      <c r="H969" s="382"/>
      <c r="I969" s="50">
        <f>SUM(G969:H969)</f>
        <v>2000000</v>
      </c>
    </row>
    <row r="970" spans="1:9" ht="37.5" customHeight="1">
      <c r="A970" s="49" t="str">
        <f>IF(B970&gt;0,VLOOKUP(B970,КВСР!A842:B2007,2),IF(C970&gt;0,VLOOKUP(C970,КФСР!A842:B2354,2),IF(D970&gt;0,VLOOKUP(D970,Программа!A$1:B$5063,2),IF(F970&gt;0,VLOOKUP(F970,КВР!A$1:B$5001,2),IF(E970&gt;0,VLOOKUP(E970,Направление!A$1:B$4746,2))))))</f>
        <v>Обеспечение мероприятий по благоустройству мест массового отдыха населения</v>
      </c>
      <c r="B970" s="87"/>
      <c r="C970" s="88"/>
      <c r="D970" s="77" t="s">
        <v>2802</v>
      </c>
      <c r="E970" s="90"/>
      <c r="F970" s="89"/>
      <c r="G970" s="387">
        <v>13980282.800000001</v>
      </c>
      <c r="H970" s="387">
        <f>H971+H974+H976+H979</f>
        <v>-1212189.1000000001</v>
      </c>
      <c r="I970" s="387">
        <f>I971+I974+I976+I979</f>
        <v>12768093.699999999</v>
      </c>
    </row>
    <row r="971" spans="1:9" ht="35.25" customHeight="1">
      <c r="A971" s="49" t="str">
        <f>IF(B971&gt;0,VLOOKUP(B971,КВСР!A843:B2008,2),IF(C971&gt;0,VLOOKUP(C971,КФСР!A843:B2355,2),IF(D971&gt;0,VLOOKUP(D971,Программа!A$1:B$5063,2),IF(F971&gt;0,VLOOKUP(F971,КВР!A$1:B$5001,2),IF(E971&gt;0,VLOOKUP(E971,Направление!A$1:B$4746,2))))))</f>
        <v>Обеспечение мероприятий в области благоустройства</v>
      </c>
      <c r="B971" s="87"/>
      <c r="C971" s="88"/>
      <c r="D971" s="77"/>
      <c r="E971" s="90">
        <v>29266</v>
      </c>
      <c r="F971" s="89"/>
      <c r="G971" s="387">
        <v>975995.79999999981</v>
      </c>
      <c r="H971" s="387">
        <f>H972+H973</f>
        <v>167810.9</v>
      </c>
      <c r="I971" s="50">
        <f t="shared" ref="I971:I981" si="297">SUM(G971:H971)</f>
        <v>1143806.6999999997</v>
      </c>
    </row>
    <row r="972" spans="1:9" ht="36.75" customHeight="1">
      <c r="A972" s="49" t="str">
        <f>IF(B972&gt;0,VLOOKUP(B972,КВСР!A844:B2009,2),IF(C972&gt;0,VLOOKUP(C972,КФСР!A844:B2356,2),IF(D972&gt;0,VLOOKUP(D972,Программа!A$1:B$5063,2),IF(F972&gt;0,VLOOKUP(F972,КВР!A$1:B$5001,2),IF(E972&gt;0,VLOOKUP(E972,Направление!A$1:B$4746,2))))))</f>
        <v>Закупка товаров, работ и услуг для государственных нужд</v>
      </c>
      <c r="B972" s="87"/>
      <c r="C972" s="88"/>
      <c r="D972" s="77"/>
      <c r="E972" s="90"/>
      <c r="F972" s="89">
        <v>200</v>
      </c>
      <c r="G972" s="387">
        <v>675995.79999999981</v>
      </c>
      <c r="H972" s="382">
        <v>-232189.1</v>
      </c>
      <c r="I972" s="50">
        <f t="shared" si="297"/>
        <v>443806.69999999984</v>
      </c>
    </row>
    <row r="973" spans="1:9" ht="48.75" customHeight="1">
      <c r="A973" s="49" t="str">
        <f>IF(B973&gt;0,VLOOKUP(B973,КВСР!A845:B2010,2),IF(C973&gt;0,VLOOKUP(C973,КФСР!A845:B2357,2),IF(D973&gt;0,VLOOKUP(D973,Программа!A$1:B$5063,2),IF(F973&gt;0,VLOOKUP(F973,КВР!A$1:B$5001,2),IF(E973&gt;0,VLOOKUP(E973,Направление!A$1:B$4746,2))))))</f>
        <v>Предоставление субсидий бюджетным, автономным учреждениям и иным некоммерческим организациям</v>
      </c>
      <c r="B973" s="87"/>
      <c r="C973" s="88"/>
      <c r="D973" s="77"/>
      <c r="E973" s="90"/>
      <c r="F973" s="89">
        <v>600</v>
      </c>
      <c r="G973" s="387">
        <v>300000</v>
      </c>
      <c r="H973" s="382">
        <v>400000</v>
      </c>
      <c r="I973" s="50">
        <f t="shared" si="297"/>
        <v>700000</v>
      </c>
    </row>
    <row r="974" spans="1:9" ht="62.4">
      <c r="A974" s="49" t="str">
        <f>IF(B974&gt;0,VLOOKUP(B974,КВСР!A846:B2011,2),IF(C974&gt;0,VLOOKUP(C974,КФСР!A846:B2358,2),IF(D974&gt;0,VLOOKUP(D974,Программа!A$1:B$5063,2),IF(F974&gt;0,VLOOKUP(F974,КВР!A$1:B$5001,2),IF(E974&gt;0,VLOOKUP(E974,Направление!A$1:B$4746,2))))))</f>
        <v>Субсидия на мероприятия по благоустройству  на содействие решения вопросов МЗ по обращению депутатов Думы   ЯО</v>
      </c>
      <c r="B974" s="87"/>
      <c r="C974" s="88"/>
      <c r="D974" s="77"/>
      <c r="E974" s="90">
        <v>74436</v>
      </c>
      <c r="F974" s="89"/>
      <c r="G974" s="387">
        <v>290000</v>
      </c>
      <c r="H974" s="387">
        <f>H975</f>
        <v>0</v>
      </c>
      <c r="I974" s="50">
        <f t="shared" si="297"/>
        <v>290000</v>
      </c>
    </row>
    <row r="975" spans="1:9" ht="48.75" customHeight="1">
      <c r="A975" s="49" t="str">
        <f>IF(B975&gt;0,VLOOKUP(B975,КВСР!A847:B2012,2),IF(C975&gt;0,VLOOKUP(C975,КФСР!A847:B2359,2),IF(D975&gt;0,VLOOKUP(D975,Программа!A$1:B$5063,2),IF(F975&gt;0,VLOOKUP(F975,КВР!A$1:B$5001,2),IF(E975&gt;0,VLOOKUP(E975,Направление!A$1:B$4746,2))))))</f>
        <v>Закупка товаров, работ и услуг для государственных нужд</v>
      </c>
      <c r="B975" s="87"/>
      <c r="C975" s="88"/>
      <c r="D975" s="77"/>
      <c r="E975" s="90"/>
      <c r="F975" s="89">
        <v>200</v>
      </c>
      <c r="G975" s="387">
        <v>290000</v>
      </c>
      <c r="H975" s="382"/>
      <c r="I975" s="50">
        <f t="shared" si="297"/>
        <v>290000</v>
      </c>
    </row>
    <row r="976" spans="1:9" ht="51" customHeight="1">
      <c r="A976" s="49" t="str">
        <f>IF(B976&gt;0,VLOOKUP(B976,КВСР!A848:B2013,2),IF(C976&gt;0,VLOOKUP(C976,КФСР!A848:B2360,2),IF(D976&gt;0,VLOOKUP(D976,Программа!A$1:B$5063,2),IF(F976&gt;0,VLOOKUP(F976,КВР!A$1:B$5001,2),IF(E976&gt;0,VLOOKUP(E976,Направление!A$1:B$4746,2))))))</f>
        <v>Субсидия на благоустройство населенных пунктов Ярославской  области</v>
      </c>
      <c r="B976" s="87"/>
      <c r="C976" s="88"/>
      <c r="D976" s="77"/>
      <c r="E976" s="90">
        <v>74776</v>
      </c>
      <c r="F976" s="89"/>
      <c r="G976" s="387">
        <v>9377900</v>
      </c>
      <c r="H976" s="387">
        <f>H977+H978</f>
        <v>0</v>
      </c>
      <c r="I976" s="50">
        <f t="shared" si="297"/>
        <v>9377900</v>
      </c>
    </row>
    <row r="977" spans="1:9" ht="39.75" customHeight="1">
      <c r="A977" s="49" t="str">
        <f>IF(B977&gt;0,VLOOKUP(B977,КВСР!A849:B2014,2),IF(C977&gt;0,VLOOKUP(C977,КФСР!A849:B2361,2),IF(D977&gt;0,VLOOKUP(D977,Программа!A$1:B$5063,2),IF(F977&gt;0,VLOOKUP(F977,КВР!A$1:B$5001,2),IF(E977&gt;0,VLOOKUP(E977,Направление!A$1:B$4746,2))))))</f>
        <v>Закупка товаров, работ и услуг для государственных нужд</v>
      </c>
      <c r="B977" s="87"/>
      <c r="C977" s="88"/>
      <c r="D977" s="77"/>
      <c r="E977" s="90"/>
      <c r="F977" s="89">
        <v>200</v>
      </c>
      <c r="G977" s="387">
        <v>4597900</v>
      </c>
      <c r="H977" s="382"/>
      <c r="I977" s="50">
        <f t="shared" si="297"/>
        <v>4597900</v>
      </c>
    </row>
    <row r="978" spans="1:9" ht="35.25" customHeight="1">
      <c r="A978" s="49" t="str">
        <f>IF(B978&gt;0,VLOOKUP(B978,КВСР!A850:B2015,2),IF(C978&gt;0,VLOOKUP(C978,КФСР!A850:B2362,2),IF(D978&gt;0,VLOOKUP(D978,Программа!A$1:B$5063,2),IF(F978&gt;0,VLOOKUP(F978,КВР!A$1:B$5001,2),IF(E978&gt;0,VLOOKUP(E978,Направление!A$1:B$4746,2))))))</f>
        <v>Бюджетные инвестиции</v>
      </c>
      <c r="B978" s="87"/>
      <c r="C978" s="88"/>
      <c r="D978" s="77"/>
      <c r="E978" s="90"/>
      <c r="F978" s="89">
        <v>400</v>
      </c>
      <c r="G978" s="387">
        <v>4780000</v>
      </c>
      <c r="H978" s="382"/>
      <c r="I978" s="50">
        <f t="shared" si="297"/>
        <v>4780000</v>
      </c>
    </row>
    <row r="979" spans="1:9" ht="48.75" customHeight="1">
      <c r="A979" s="49" t="str">
        <f>IF(B979&gt;0,VLOOKUP(B979,КВСР!A851:B2016,2),IF(C979&gt;0,VLOOKUP(C979,КФСР!A851:B2363,2),IF(D979&gt;0,VLOOKUP(D979,Программа!A$1:B$5063,2),IF(F979&gt;0,VLOOKUP(F979,КВР!A$1:B$5001,2),IF(E979&gt;0,VLOOKUP(E979,Направление!A$1:B$4746,2))))))</f>
        <v>Софинансирование субсидии на благоустройство населенных пунктов Ярославской области</v>
      </c>
      <c r="B979" s="87"/>
      <c r="C979" s="88"/>
      <c r="D979" s="77"/>
      <c r="E979" s="90" t="s">
        <v>3193</v>
      </c>
      <c r="F979" s="89"/>
      <c r="G979" s="387">
        <v>3336387</v>
      </c>
      <c r="H979" s="387">
        <f>H980+H981</f>
        <v>-1380000</v>
      </c>
      <c r="I979" s="50">
        <f t="shared" si="297"/>
        <v>1956387</v>
      </c>
    </row>
    <row r="980" spans="1:9" ht="39.75" customHeight="1">
      <c r="A980" s="49" t="str">
        <f>IF(B980&gt;0,VLOOKUP(B980,КВСР!A852:B2017,2),IF(C980&gt;0,VLOOKUP(C980,КФСР!A852:B2364,2),IF(D980&gt;0,VLOOKUP(D980,Программа!A$1:B$5063,2),IF(F980&gt;0,VLOOKUP(F980,КВР!A$1:B$5001,2),IF(E980&gt;0,VLOOKUP(E980,Направление!A$1:B$4746,2))))))</f>
        <v>Закупка товаров, работ и услуг для государственных нужд</v>
      </c>
      <c r="B980" s="87"/>
      <c r="C980" s="88"/>
      <c r="D980" s="77"/>
      <c r="E980" s="90"/>
      <c r="F980" s="89">
        <v>200</v>
      </c>
      <c r="G980" s="387">
        <v>1576000</v>
      </c>
      <c r="H980" s="382">
        <v>-267420</v>
      </c>
      <c r="I980" s="50">
        <f t="shared" si="297"/>
        <v>1308580</v>
      </c>
    </row>
    <row r="981" spans="1:9" ht="30.75" customHeight="1">
      <c r="A981" s="49" t="str">
        <f>IF(B981&gt;0,VLOOKUP(B981,КВСР!A853:B2018,2),IF(C981&gt;0,VLOOKUP(C981,КФСР!A853:B2365,2),IF(D981&gt;0,VLOOKUP(D981,Программа!A$1:B$5063,2),IF(F981&gt;0,VLOOKUP(F981,КВР!A$1:B$5001,2),IF(E981&gt;0,VLOOKUP(E981,Направление!A$1:B$4746,2))))))</f>
        <v>Бюджетные инвестиции</v>
      </c>
      <c r="B981" s="87"/>
      <c r="C981" s="88"/>
      <c r="D981" s="77"/>
      <c r="E981" s="90"/>
      <c r="F981" s="89">
        <v>400</v>
      </c>
      <c r="G981" s="387">
        <v>1760387</v>
      </c>
      <c r="H981" s="382">
        <v>-1112580</v>
      </c>
      <c r="I981" s="50">
        <f t="shared" si="297"/>
        <v>647807</v>
      </c>
    </row>
    <row r="982" spans="1:9" ht="31.2">
      <c r="A982" s="49" t="str">
        <f>IF(B982&gt;0,VLOOKUP(B982,КВСР!A854:B2019,2),IF(C982&gt;0,VLOOKUP(C982,КФСР!A854:B2366,2),IF(D982&gt;0,VLOOKUP(D982,Программа!A$1:B$5063,2),IF(F982&gt;0,VLOOKUP(F982,КВР!A$1:B$5001,2),IF(E982&gt;0,VLOOKUP(E982,Направление!A$1:B$4746,2))))))</f>
        <v>Другие вопросы в области жилищно-коммунального хозяйства</v>
      </c>
      <c r="B982" s="77"/>
      <c r="C982" s="84">
        <v>505</v>
      </c>
      <c r="D982" s="444"/>
      <c r="E982" s="91"/>
      <c r="F982" s="85"/>
      <c r="G982" s="50">
        <v>15203629</v>
      </c>
      <c r="H982" s="50">
        <f>H987+H983</f>
        <v>-300000</v>
      </c>
      <c r="I982" s="50">
        <f t="shared" si="290"/>
        <v>14903629</v>
      </c>
    </row>
    <row r="983" spans="1:9" ht="78">
      <c r="A983" s="49" t="str">
        <f>IF(B983&gt;0,VLOOKUP(B983,КВСР!A855:B2020,2),IF(C983&gt;0,VLOOKUP(C983,КФСР!A855:B2367,2),IF(D983&gt;0,VLOOKUP(D983,Программа!A$1:B$5063,2),IF(F983&gt;0,VLOOKUP(F983,КВР!A$1:B$5001,2),IF(E983&gt;0,VLOOKUP(E983,Направление!A$1:B$4746,2))))))</f>
        <v>Муниципальная программа "Информатизация управленческой деятельности Администрации Тутаевского муниципального района"</v>
      </c>
      <c r="B983" s="77"/>
      <c r="C983" s="84"/>
      <c r="D983" s="444" t="s">
        <v>2882</v>
      </c>
      <c r="E983" s="91"/>
      <c r="F983" s="85"/>
      <c r="G983" s="50">
        <v>340000</v>
      </c>
      <c r="H983" s="50">
        <f t="shared" ref="H983:H985" si="298">H984</f>
        <v>0</v>
      </c>
      <c r="I983" s="50">
        <f t="shared" si="290"/>
        <v>340000</v>
      </c>
    </row>
    <row r="984" spans="1:9" ht="78">
      <c r="A984" s="49" t="str">
        <f>IF(B984&gt;0,VLOOKUP(B984,КВСР!A856:B2021,2),IF(C984&gt;0,VLOOKUP(C984,КФСР!A856:B2368,2),IF(D984&gt;0,VLOOKUP(D984,Программа!A$1:B$5063,2),IF(F984&gt;0,VLOOKUP(F984,КВР!A$1:B$5001,2),IF(E984&gt;0,VLOOKUP(E984,Направление!A$1:B$4746,2))))))</f>
        <v>Закупка компьютерного оборудования  и оргтехники для бесперебойного обеспечения деятельности органов местного самоуправления</v>
      </c>
      <c r="B984" s="77"/>
      <c r="C984" s="84"/>
      <c r="D984" s="444" t="s">
        <v>2891</v>
      </c>
      <c r="E984" s="91"/>
      <c r="F984" s="85"/>
      <c r="G984" s="50">
        <v>340000</v>
      </c>
      <c r="H984" s="50">
        <f t="shared" si="298"/>
        <v>0</v>
      </c>
      <c r="I984" s="50">
        <f t="shared" si="290"/>
        <v>340000</v>
      </c>
    </row>
    <row r="985" spans="1:9" ht="31.2">
      <c r="A985" s="49" t="str">
        <f>IF(B985&gt;0,VLOOKUP(B985,КВСР!A857:B2022,2),IF(C985&gt;0,VLOOKUP(C985,КФСР!A857:B2369,2),IF(D985&gt;0,VLOOKUP(D985,Программа!A$1:B$5063,2),IF(F985&gt;0,VLOOKUP(F985,КВР!A$1:B$5001,2),IF(E985&gt;0,VLOOKUP(E985,Направление!A$1:B$4746,2))))))</f>
        <v>Расходы на проведение мероприятий по информатизации</v>
      </c>
      <c r="B985" s="77"/>
      <c r="C985" s="84"/>
      <c r="D985" s="444"/>
      <c r="E985" s="91">
        <v>12210</v>
      </c>
      <c r="F985" s="85"/>
      <c r="G985" s="50">
        <v>340000</v>
      </c>
      <c r="H985" s="50">
        <f t="shared" si="298"/>
        <v>0</v>
      </c>
      <c r="I985" s="50">
        <f t="shared" si="290"/>
        <v>340000</v>
      </c>
    </row>
    <row r="986" spans="1:9" ht="31.2">
      <c r="A986" s="49" t="str">
        <f>IF(B986&gt;0,VLOOKUP(B986,КВСР!A858:B2023,2),IF(C986&gt;0,VLOOKUP(C986,КФСР!A858:B2370,2),IF(D986&gt;0,VLOOKUP(D986,Программа!A$1:B$5063,2),IF(F986&gt;0,VLOOKUP(F986,КВР!A$1:B$5001,2),IF(E986&gt;0,VLOOKUP(E986,Направление!A$1:B$4746,2))))))</f>
        <v>Закупка товаров, работ и услуг для государственных нужд</v>
      </c>
      <c r="B986" s="77"/>
      <c r="C986" s="84"/>
      <c r="D986" s="444"/>
      <c r="E986" s="91"/>
      <c r="F986" s="85">
        <v>200</v>
      </c>
      <c r="G986" s="387">
        <v>340000</v>
      </c>
      <c r="H986" s="382"/>
      <c r="I986" s="50">
        <f t="shared" si="290"/>
        <v>340000</v>
      </c>
    </row>
    <row r="987" spans="1:9">
      <c r="A987" s="49" t="str">
        <f>IF(B987&gt;0,VLOOKUP(B987,КВСР!A859:B2024,2),IF(C987&gt;0,VLOOKUP(C987,КФСР!A859:B2371,2),IF(D987&gt;0,VLOOKUP(D987,Программа!A$1:B$5063,2),IF(F987&gt;0,VLOOKUP(F987,КВР!A$1:B$5001,2),IF(E987&gt;0,VLOOKUP(E987,Направление!A$1:B$4746,2))))))</f>
        <v>Непрограммные расходы бюджета</v>
      </c>
      <c r="B987" s="91"/>
      <c r="C987" s="84"/>
      <c r="D987" s="444" t="s">
        <v>2852</v>
      </c>
      <c r="E987" s="91"/>
      <c r="F987" s="85"/>
      <c r="G987" s="52">
        <v>14863629</v>
      </c>
      <c r="H987" s="52">
        <f t="shared" ref="H987" si="299">H988+H991+H995</f>
        <v>-300000</v>
      </c>
      <c r="I987" s="50">
        <f t="shared" si="290"/>
        <v>14563629</v>
      </c>
    </row>
    <row r="988" spans="1:9">
      <c r="A988" s="49" t="str">
        <f>IF(B988&gt;0,VLOOKUP(B988,КВСР!A860:B2025,2),IF(C988&gt;0,VLOOKUP(C988,КФСР!A860:B2372,2),IF(D988&gt;0,VLOOKUP(D988,Программа!A$1:B$5063,2),IF(F988&gt;0,VLOOKUP(F988,КВР!A$1:B$5001,2),IF(E988&gt;0,VLOOKUP(E988,Направление!A$1:B$4746,2))))))</f>
        <v>Содержание центрального аппарата</v>
      </c>
      <c r="B988" s="91"/>
      <c r="C988" s="84"/>
      <c r="D988" s="444"/>
      <c r="E988" s="91">
        <v>12010</v>
      </c>
      <c r="F988" s="85"/>
      <c r="G988" s="50">
        <v>5055772</v>
      </c>
      <c r="H988" s="50">
        <f t="shared" ref="H988" si="300">H989+H990</f>
        <v>0</v>
      </c>
      <c r="I988" s="50">
        <f t="shared" si="290"/>
        <v>5055772</v>
      </c>
    </row>
    <row r="989" spans="1:9" ht="109.2">
      <c r="A989" s="49" t="str">
        <f>IF(B989&gt;0,VLOOKUP(B989,КВСР!A861:B2026,2),IF(C989&gt;0,VLOOKUP(C989,КФСР!A861:B2373,2),IF(D989&gt;0,VLOOKUP(D989,Программа!A$1:B$5063,2),IF(F989&gt;0,VLOOKUP(F989,КВР!A$1:B$5001,2),IF(E989&gt;0,VLOOKUP(E989,Направление!A$1:B$4746,2))))))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989" s="91"/>
      <c r="C989" s="84"/>
      <c r="D989" s="85"/>
      <c r="E989" s="91"/>
      <c r="F989" s="85">
        <v>100</v>
      </c>
      <c r="G989" s="387">
        <v>3755177</v>
      </c>
      <c r="H989" s="382"/>
      <c r="I989" s="50">
        <f t="shared" si="290"/>
        <v>3755177</v>
      </c>
    </row>
    <row r="990" spans="1:9" ht="31.2">
      <c r="A990" s="49" t="str">
        <f>IF(B990&gt;0,VLOOKUP(B990,КВСР!A862:B2027,2),IF(C990&gt;0,VLOOKUP(C990,КФСР!A862:B2374,2),IF(D990&gt;0,VLOOKUP(D990,Программа!A$1:B$5063,2),IF(F990&gt;0,VLOOKUP(F990,КВР!A$1:B$5001,2),IF(E990&gt;0,VLOOKUP(E990,Направление!A$1:B$4746,2))))))</f>
        <v>Закупка товаров, работ и услуг для государственных нужд</v>
      </c>
      <c r="B990" s="91"/>
      <c r="C990" s="84"/>
      <c r="D990" s="85"/>
      <c r="E990" s="91"/>
      <c r="F990" s="85">
        <v>200</v>
      </c>
      <c r="G990" s="387">
        <v>1300595</v>
      </c>
      <c r="H990" s="382"/>
      <c r="I990" s="50">
        <f t="shared" si="290"/>
        <v>1300595</v>
      </c>
    </row>
    <row r="991" spans="1:9" ht="46.8">
      <c r="A991" s="49" t="str">
        <f>IF(B991&gt;0,VLOOKUP(B991,КВСР!A863:B2028,2),IF(C991&gt;0,VLOOKUP(C991,КФСР!A863:B2375,2),IF(D991&gt;0,VLOOKUP(D991,Программа!A$1:B$5063,2),IF(F991&gt;0,VLOOKUP(F991,КВР!A$1:B$5001,2),IF(E991&gt;0,VLOOKUP(E991,Направление!A$1:B$4746,2))))))</f>
        <v>Содержание органов местного самоуправления за счет средств поселений</v>
      </c>
      <c r="B991" s="91"/>
      <c r="C991" s="84"/>
      <c r="D991" s="85"/>
      <c r="E991" s="91">
        <v>29016</v>
      </c>
      <c r="F991" s="85"/>
      <c r="G991" s="387">
        <v>7632857</v>
      </c>
      <c r="H991" s="387">
        <f t="shared" ref="H991" si="301">SUM(H992:H994)</f>
        <v>0</v>
      </c>
      <c r="I991" s="50">
        <f t="shared" si="290"/>
        <v>7632857</v>
      </c>
    </row>
    <row r="992" spans="1:9" ht="109.2">
      <c r="A992" s="49" t="str">
        <f>IF(B992&gt;0,VLOOKUP(B992,КВСР!A864:B2029,2),IF(C992&gt;0,VLOOKUP(C992,КФСР!A864:B2376,2),IF(D992&gt;0,VLOOKUP(D992,Программа!A$1:B$5063,2),IF(F992&gt;0,VLOOKUP(F992,КВР!A$1:B$5001,2),IF(E992&gt;0,VLOOKUP(E992,Направление!A$1:B$4746,2))))))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992" s="91"/>
      <c r="C992" s="84"/>
      <c r="D992" s="85"/>
      <c r="E992" s="91"/>
      <c r="F992" s="85">
        <v>100</v>
      </c>
      <c r="G992" s="387">
        <v>6939052</v>
      </c>
      <c r="H992" s="382"/>
      <c r="I992" s="50">
        <f t="shared" si="290"/>
        <v>6939052</v>
      </c>
    </row>
    <row r="993" spans="1:9" ht="31.2">
      <c r="A993" s="49" t="str">
        <f>IF(B993&gt;0,VLOOKUP(B993,КВСР!A865:B2030,2),IF(C993&gt;0,VLOOKUP(C993,КФСР!A865:B2377,2),IF(D993&gt;0,VLOOKUP(D993,Программа!A$1:B$5063,2),IF(F993&gt;0,VLOOKUP(F993,КВР!A$1:B$5001,2),IF(E993&gt;0,VLOOKUP(E993,Направление!A$1:B$4746,2))))))</f>
        <v>Закупка товаров, работ и услуг для государственных нужд</v>
      </c>
      <c r="B993" s="91"/>
      <c r="C993" s="84"/>
      <c r="D993" s="85"/>
      <c r="E993" s="91"/>
      <c r="F993" s="85">
        <v>200</v>
      </c>
      <c r="G993" s="387">
        <v>647805</v>
      </c>
      <c r="H993" s="382"/>
      <c r="I993" s="50">
        <f t="shared" si="290"/>
        <v>647805</v>
      </c>
    </row>
    <row r="994" spans="1:9">
      <c r="A994" s="49" t="str">
        <f>IF(B994&gt;0,VLOOKUP(B994,КВСР!A866:B2031,2),IF(C994&gt;0,VLOOKUP(C994,КФСР!A866:B2378,2),IF(D994&gt;0,VLOOKUP(D994,Программа!A$1:B$5063,2),IF(F994&gt;0,VLOOKUP(F994,КВР!A$1:B$5001,2),IF(E994&gt;0,VLOOKUP(E994,Направление!A$1:B$4746,2))))))</f>
        <v>Иные бюджетные ассигнования</v>
      </c>
      <c r="B994" s="91"/>
      <c r="C994" s="84"/>
      <c r="D994" s="85"/>
      <c r="E994" s="91"/>
      <c r="F994" s="85">
        <v>800</v>
      </c>
      <c r="G994" s="387">
        <v>46000</v>
      </c>
      <c r="H994" s="382"/>
      <c r="I994" s="50">
        <f t="shared" si="290"/>
        <v>46000</v>
      </c>
    </row>
    <row r="995" spans="1:9" ht="31.2">
      <c r="A995" s="49" t="str">
        <f>IF(B995&gt;0,VLOOKUP(B995,КВСР!A867:B2032,2),IF(C995&gt;0,VLOOKUP(C995,КФСР!A867:B2379,2),IF(D995&gt;0,VLOOKUP(D995,Программа!A$1:B$5063,2),IF(F995&gt;0,VLOOKUP(F995,КВР!A$1:B$5001,2),IF(E995&gt;0,VLOOKUP(E995,Направление!A$1:B$4746,2))))))</f>
        <v>Выполнение других обязательств органов местного самоуправления</v>
      </c>
      <c r="B995" s="91"/>
      <c r="C995" s="84"/>
      <c r="D995" s="85"/>
      <c r="E995" s="91">
        <v>12080</v>
      </c>
      <c r="F995" s="85"/>
      <c r="G995" s="387">
        <v>2175000</v>
      </c>
      <c r="H995" s="387">
        <f t="shared" ref="H995" si="302">H996</f>
        <v>-300000</v>
      </c>
      <c r="I995" s="50">
        <f t="shared" si="290"/>
        <v>1875000</v>
      </c>
    </row>
    <row r="996" spans="1:9" ht="31.2">
      <c r="A996" s="49" t="str">
        <f>IF(B996&gt;0,VLOOKUP(B996,КВСР!A868:B2033,2),IF(C996&gt;0,VLOOKUP(C996,КФСР!A868:B2380,2),IF(D996&gt;0,VLOOKUP(D996,Программа!A$1:B$5063,2),IF(F996&gt;0,VLOOKUP(F996,КВР!A$1:B$5001,2),IF(E996&gt;0,VLOOKUP(E996,Направление!A$1:B$4746,2))))))</f>
        <v>Закупка товаров, работ и услуг для государственных нужд</v>
      </c>
      <c r="B996" s="91"/>
      <c r="C996" s="84"/>
      <c r="D996" s="85"/>
      <c r="E996" s="91"/>
      <c r="F996" s="85">
        <v>200</v>
      </c>
      <c r="G996" s="387">
        <v>2175000</v>
      </c>
      <c r="H996" s="382">
        <v>-300000</v>
      </c>
      <c r="I996" s="50">
        <f t="shared" si="290"/>
        <v>1875000</v>
      </c>
    </row>
    <row r="997" spans="1:9">
      <c r="A997" s="49" t="str">
        <f>IF(B997&gt;0,VLOOKUP(B997,КВСР!A869:B2034,2),IF(C997&gt;0,VLOOKUP(C997,КФСР!A869:B2381,2),IF(D997&gt;0,VLOOKUP(D997,Программа!A$1:B$5063,2),IF(F997&gt;0,VLOOKUP(F997,КВР!A$1:B$5001,2),IF(E997&gt;0,VLOOKUP(E997,Направление!A$1:B$4746,2))))))</f>
        <v>Дошкольное образование</v>
      </c>
      <c r="B997" s="91"/>
      <c r="C997" s="84">
        <v>701</v>
      </c>
      <c r="D997" s="85"/>
      <c r="E997" s="91"/>
      <c r="F997" s="85"/>
      <c r="G997" s="387">
        <v>5735</v>
      </c>
      <c r="H997" s="387">
        <f t="shared" ref="H997:I999" si="303">H998</f>
        <v>0</v>
      </c>
      <c r="I997" s="387">
        <f t="shared" si="303"/>
        <v>5735</v>
      </c>
    </row>
    <row r="998" spans="1:9">
      <c r="A998" s="49" t="str">
        <f>IF(B998&gt;0,VLOOKUP(B998,КВСР!A870:B2035,2),IF(C998&gt;0,VLOOKUP(C998,КФСР!A870:B2382,2),IF(D998&gt;0,VLOOKUP(D998,Программа!A$1:B$5063,2),IF(F998&gt;0,VLOOKUP(F998,КВР!A$1:B$5001,2),IF(E998&gt;0,VLOOKUP(E998,Направление!A$1:B$4746,2))))))</f>
        <v>Непрограммные расходы бюджета</v>
      </c>
      <c r="B998" s="91"/>
      <c r="C998" s="84"/>
      <c r="D998" s="85" t="s">
        <v>2852</v>
      </c>
      <c r="E998" s="91"/>
      <c r="F998" s="85"/>
      <c r="G998" s="387">
        <v>5735</v>
      </c>
      <c r="H998" s="387">
        <f t="shared" si="303"/>
        <v>0</v>
      </c>
      <c r="I998" s="387">
        <f t="shared" si="303"/>
        <v>5735</v>
      </c>
    </row>
    <row r="999" spans="1:9" ht="31.2">
      <c r="A999" s="49" t="str">
        <f>IF(B999&gt;0,VLOOKUP(B999,КВСР!A871:B2036,2),IF(C999&gt;0,VLOOKUP(C999,КФСР!A871:B2383,2),IF(D999&gt;0,VLOOKUP(D999,Программа!A$1:B$5063,2),IF(F999&gt;0,VLOOKUP(F999,КВР!A$1:B$5001,2),IF(E999&gt;0,VLOOKUP(E999,Направление!A$1:B$4746,2))))))</f>
        <v>Обеспечение деятельности дошкольных учреждений</v>
      </c>
      <c r="B999" s="91"/>
      <c r="C999" s="84"/>
      <c r="D999" s="85"/>
      <c r="E999" s="91">
        <v>13010</v>
      </c>
      <c r="F999" s="85"/>
      <c r="G999" s="387">
        <v>5735</v>
      </c>
      <c r="H999" s="387">
        <f t="shared" si="303"/>
        <v>0</v>
      </c>
      <c r="I999" s="387">
        <f t="shared" si="303"/>
        <v>5735</v>
      </c>
    </row>
    <row r="1000" spans="1:9" ht="62.4">
      <c r="A1000" s="49" t="str">
        <f>IF(B1000&gt;0,VLOOKUP(B1000,КВСР!A872:B2037,2),IF(C1000&gt;0,VLOOKUP(C1000,КФСР!A872:B2384,2),IF(D1000&gt;0,VLOOKUP(D1000,Программа!A$1:B$5063,2),IF(F1000&gt;0,VLOOKUP(F1000,КВР!A$1:B$5001,2),IF(E1000&gt;0,VLOOKUP(E1000,Направление!A$1:B$4746,2))))))</f>
        <v>Предоставление субсидий бюджетным, автономным учреждениям и иным некоммерческим организациям</v>
      </c>
      <c r="B1000" s="91"/>
      <c r="C1000" s="84"/>
      <c r="D1000" s="85"/>
      <c r="E1000" s="91"/>
      <c r="F1000" s="85">
        <v>600</v>
      </c>
      <c r="G1000" s="387">
        <v>5735</v>
      </c>
      <c r="H1000" s="382"/>
      <c r="I1000" s="50">
        <f>G1000+H1000</f>
        <v>5735</v>
      </c>
    </row>
    <row r="1001" spans="1:9" ht="16.5" customHeight="1">
      <c r="A1001" s="49" t="str">
        <f>IF(B1001&gt;0,VLOOKUP(B1001,КВСР!A869:B2034,2),IF(C1001&gt;0,VLOOKUP(C1001,КФСР!A869:B2381,2),IF(D1001&gt;0,VLOOKUP(D1001,Программа!A$1:B$5063,2),IF(F1001&gt;0,VLOOKUP(F1001,КВР!A$1:B$5001,2),IF(E1001&gt;0,VLOOKUP(E1001,Направление!A$1:B$4746,2))))))</f>
        <v>Общее образование</v>
      </c>
      <c r="B1001" s="91"/>
      <c r="C1001" s="84">
        <v>702</v>
      </c>
      <c r="D1001" s="444"/>
      <c r="E1001" s="91"/>
      <c r="F1001" s="85"/>
      <c r="G1001" s="101">
        <v>1248679</v>
      </c>
      <c r="H1001" s="101">
        <f t="shared" ref="H1001" si="304">H1004</f>
        <v>0</v>
      </c>
      <c r="I1001" s="50">
        <f t="shared" si="290"/>
        <v>1248679</v>
      </c>
    </row>
    <row r="1002" spans="1:9" ht="78">
      <c r="A1002" s="49" t="str">
        <f>IF(B1002&gt;0,VLOOKUP(B1002,КВСР!A870:B2035,2),IF(C1002&gt;0,VLOOKUP(C1002,КФСР!A870:B2382,2),IF(D1002&gt;0,VLOOKUP(D1002,Программа!A$1:B$5063,2),IF(F1002&gt;0,VLOOKUP(F1002,КВР!A$1:B$5001,2),IF(E1002&gt;0,VLOOKUP(E1002,Направление!A$1:B$4746,2))))))</f>
        <v>Муниципальная программа "Обеспечение качественными коммунальными услугами населения Тутаевского муниципального района"</v>
      </c>
      <c r="B1002" s="91"/>
      <c r="C1002" s="84"/>
      <c r="D1002" s="444" t="s">
        <v>2753</v>
      </c>
      <c r="E1002" s="91"/>
      <c r="F1002" s="85"/>
      <c r="G1002" s="101">
        <v>1248679</v>
      </c>
      <c r="H1002" s="101">
        <f t="shared" ref="H1002" si="305">H1004</f>
        <v>0</v>
      </c>
      <c r="I1002" s="50">
        <f t="shared" si="290"/>
        <v>1248679</v>
      </c>
    </row>
    <row r="1003" spans="1:9" ht="92.25" customHeight="1">
      <c r="A1003" s="49" t="str">
        <f>IF(B1003&gt;0,VLOOKUP(B1003,КВСР!A871:B2036,2),IF(C1003&gt;0,VLOOKUP(C1003,КФСР!A871:B2383,2),IF(D1003&gt;0,VLOOKUP(D1003,Программа!A$1:B$5063,2),IF(F1003&gt;0,VLOOKUP(F1003,КВР!A$1:B$5001,2),IF(E1003&gt;0,VLOOKUP(E1003,Направление!A$1:B$4746,2))))))</f>
        <v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v>
      </c>
      <c r="B1003" s="91"/>
      <c r="C1003" s="84"/>
      <c r="D1003" s="444" t="s">
        <v>2759</v>
      </c>
      <c r="E1003" s="91"/>
      <c r="F1003" s="85"/>
      <c r="G1003" s="101">
        <v>1248679</v>
      </c>
      <c r="H1003" s="101">
        <f t="shared" ref="H1003:H1005" si="306">H1004</f>
        <v>0</v>
      </c>
      <c r="I1003" s="50">
        <f t="shared" si="290"/>
        <v>1248679</v>
      </c>
    </row>
    <row r="1004" spans="1:9" ht="62.4">
      <c r="A1004" s="49" t="str">
        <f>IF(B1004&gt;0,VLOOKUP(B1004,КВСР!A872:B2037,2),IF(C1004&gt;0,VLOOKUP(C1004,КФСР!A872:B2384,2),IF(D1004&gt;0,VLOOKUP(D1004,Программа!A$1:B$5063,2),IF(F1004&gt;0,VLOOKUP(F1004,КВР!A$1:B$5001,2),IF(E1004&gt;0,VLOOKUP(E1004,Направление!A$1:B$4746,2))))))</f>
        <v>Модернизация объектов теплоснабжения с вводом их в эксплуатацию (строительство и реконструкция котельных)</v>
      </c>
      <c r="B1004" s="91"/>
      <c r="C1004" s="84"/>
      <c r="D1004" s="444" t="s">
        <v>2761</v>
      </c>
      <c r="E1004" s="91"/>
      <c r="F1004" s="85"/>
      <c r="G1004" s="101">
        <v>1248679</v>
      </c>
      <c r="H1004" s="101">
        <f t="shared" si="306"/>
        <v>0</v>
      </c>
      <c r="I1004" s="50">
        <f t="shared" si="290"/>
        <v>1248679</v>
      </c>
    </row>
    <row r="1005" spans="1:9" ht="31.2">
      <c r="A1005" s="49" t="str">
        <f>IF(B1005&gt;0,VLOOKUP(B1005,КВСР!A873:B2038,2),IF(C1005&gt;0,VLOOKUP(C1005,КФСР!A873:B2385,2),IF(D1005&gt;0,VLOOKUP(D1005,Программа!A$1:B$5063,2),IF(F1005&gt;0,VLOOKUP(F1005,КВР!A$1:B$5001,2),IF(E1005&gt;0,VLOOKUP(E1005,Направление!A$1:B$4746,2))))))</f>
        <v>Обеспечение деятельности общеобразовательных учреждений</v>
      </c>
      <c r="B1005" s="91"/>
      <c r="C1005" s="84"/>
      <c r="D1005" s="444"/>
      <c r="E1005" s="91">
        <v>13110</v>
      </c>
      <c r="F1005" s="85"/>
      <c r="G1005" s="101">
        <v>1248679</v>
      </c>
      <c r="H1005" s="101">
        <f t="shared" si="306"/>
        <v>0</v>
      </c>
      <c r="I1005" s="50">
        <f t="shared" si="290"/>
        <v>1248679</v>
      </c>
    </row>
    <row r="1006" spans="1:9">
      <c r="A1006" s="49" t="str">
        <f>IF(B1006&gt;0,VLOOKUP(B1006,КВСР!A874:B2039,2),IF(C1006&gt;0,VLOOKUP(C1006,КФСР!A874:B2386,2),IF(D1006&gt;0,VLOOKUP(D1006,Программа!A$1:B$5063,2),IF(F1006&gt;0,VLOOKUP(F1006,КВР!A$1:B$5001,2),IF(E1006&gt;0,VLOOKUP(E1006,Направление!A$1:B$4746,2))))))</f>
        <v>Бюджетные инвестиции</v>
      </c>
      <c r="B1006" s="91"/>
      <c r="C1006" s="84"/>
      <c r="D1006" s="85"/>
      <c r="E1006" s="91"/>
      <c r="F1006" s="85">
        <v>400</v>
      </c>
      <c r="G1006" s="557">
        <v>1248679</v>
      </c>
      <c r="H1006" s="384"/>
      <c r="I1006" s="50">
        <f t="shared" si="290"/>
        <v>1248679</v>
      </c>
    </row>
    <row r="1007" spans="1:9">
      <c r="A1007" s="49" t="str">
        <f>IF(B1007&gt;0,VLOOKUP(B1007,КВСР!A875:B2040,2),IF(C1007&gt;0,VLOOKUP(C1007,КФСР!A875:B2387,2),IF(D1007&gt;0,VLOOKUP(D1007,Программа!A$1:B$5063,2),IF(F1007&gt;0,VLOOKUP(F1007,КВР!A$1:B$5001,2),IF(E1007&gt;0,VLOOKUP(E1007,Направление!A$1:B$4746,2))))))</f>
        <v>Культура</v>
      </c>
      <c r="B1007" s="91"/>
      <c r="C1007" s="84">
        <v>801</v>
      </c>
      <c r="D1007" s="444"/>
      <c r="E1007" s="91"/>
      <c r="F1007" s="85"/>
      <c r="G1007" s="101">
        <v>8821872</v>
      </c>
      <c r="H1007" s="101">
        <f>H1008+H1015</f>
        <v>0</v>
      </c>
      <c r="I1007" s="50">
        <f t="shared" si="290"/>
        <v>8821872</v>
      </c>
    </row>
    <row r="1008" spans="1:9" ht="62.4">
      <c r="A1008" s="49" t="str">
        <f>IF(B1008&gt;0,VLOOKUP(B1008,КВСР!A876:B2041,2),IF(C1008&gt;0,VLOOKUP(C1008,КФСР!A876:B2388,2),IF(D1008&gt;0,VLOOKUP(D1008,Программа!A$1:B$5063,2),IF(F1008&gt;0,VLOOKUP(F1008,КВР!A$1:B$5001,2),IF(E1008&gt;0,VLOOKUP(E1008,Направление!A$1:B$4746,2))))))</f>
        <v>Муниципальная программа  "Развитие культуры, туризма и молодежной политики в Тутаевском муниципальном районе"</v>
      </c>
      <c r="B1008" s="91"/>
      <c r="C1008" s="84"/>
      <c r="D1008" s="444" t="s">
        <v>2721</v>
      </c>
      <c r="E1008" s="91"/>
      <c r="F1008" s="85"/>
      <c r="G1008" s="101">
        <v>8821872</v>
      </c>
      <c r="H1008" s="101">
        <f t="shared" ref="H1008:H1009" si="307">H1009</f>
        <v>0</v>
      </c>
      <c r="I1008" s="50">
        <f t="shared" si="290"/>
        <v>8821872</v>
      </c>
    </row>
    <row r="1009" spans="1:9" ht="62.4">
      <c r="A1009" s="49" t="str">
        <f>IF(B1009&gt;0,VLOOKUP(B1009,КВСР!A877:B2042,2),IF(C1009&gt;0,VLOOKUP(C1009,КФСР!A877:B2389,2),IF(D1009&gt;0,VLOOKUP(D1009,Программа!A$1:B$5063,2),IF(F1009&gt;0,VLOOKUP(F1009,КВР!A$1:B$5001,2),IF(E1009&gt;0,VLOOKUP(E1009,Направление!A$1:B$4746,2))))))</f>
        <v>Ведомственная целевая программа «Сохранение и развитие культуры Тутаевского муниципального района»</v>
      </c>
      <c r="B1009" s="91"/>
      <c r="C1009" s="84"/>
      <c r="D1009" s="444" t="s">
        <v>2728</v>
      </c>
      <c r="E1009" s="91"/>
      <c r="F1009" s="85"/>
      <c r="G1009" s="101">
        <v>8821872</v>
      </c>
      <c r="H1009" s="101">
        <f t="shared" si="307"/>
        <v>0</v>
      </c>
      <c r="I1009" s="50">
        <f t="shared" si="290"/>
        <v>8821872</v>
      </c>
    </row>
    <row r="1010" spans="1:9" ht="31.2">
      <c r="A1010" s="49" t="str">
        <f>IF(B1010&gt;0,VLOOKUP(B1010,КВСР!A878:B2043,2),IF(C1010&gt;0,VLOOKUP(C1010,КФСР!A878:B2390,2),IF(D1010&gt;0,VLOOKUP(D1010,Программа!A$1:B$5063,2),IF(F1010&gt;0,VLOOKUP(F1010,КВР!A$1:B$5001,2),IF(E1010&gt;0,VLOOKUP(E1010,Направление!A$1:B$4746,2))))))</f>
        <v>Содействие доступу граждан к культурным ценностям</v>
      </c>
      <c r="B1010" s="91"/>
      <c r="C1010" s="84"/>
      <c r="D1010" s="444" t="s">
        <v>2731</v>
      </c>
      <c r="E1010" s="91"/>
      <c r="F1010" s="85"/>
      <c r="G1010" s="101">
        <v>8821872</v>
      </c>
      <c r="H1010" s="101">
        <f t="shared" ref="H1010" si="308">H1011+H1013</f>
        <v>0</v>
      </c>
      <c r="I1010" s="50">
        <f t="shared" si="290"/>
        <v>8821872</v>
      </c>
    </row>
    <row r="1011" spans="1:9" ht="46.8">
      <c r="A1011" s="49" t="str">
        <f>IF(B1011&gt;0,VLOOKUP(B1011,КВСР!A879:B2044,2),IF(C1011&gt;0,VLOOKUP(C1011,КФСР!A879:B2391,2),IF(D1011&gt;0,VLOOKUP(D1011,Программа!A$1:B$5063,2),IF(F1011&gt;0,VLOOKUP(F1011,КВР!A$1:B$5001,2),IF(E1011&gt;0,VLOOKUP(E1011,Направление!A$1:B$4746,2))))))</f>
        <v>Расходы на проведение капитального ремонта муниципальных учреждений культуры</v>
      </c>
      <c r="B1011" s="91"/>
      <c r="C1011" s="84"/>
      <c r="D1011" s="444"/>
      <c r="E1011" s="91" t="s">
        <v>3007</v>
      </c>
      <c r="F1011" s="85"/>
      <c r="G1011" s="101">
        <v>1063400</v>
      </c>
      <c r="H1011" s="101">
        <f t="shared" ref="H1011" si="309">H1012</f>
        <v>0</v>
      </c>
      <c r="I1011" s="50">
        <f t="shared" si="290"/>
        <v>1063400</v>
      </c>
    </row>
    <row r="1012" spans="1:9" ht="62.4">
      <c r="A1012" s="49" t="str">
        <f>IF(B1012&gt;0,VLOOKUP(B1012,КВСР!A880:B2045,2),IF(C1012&gt;0,VLOOKUP(C1012,КФСР!A880:B2392,2),IF(D1012&gt;0,VLOOKUP(D1012,Программа!A$1:B$5063,2),IF(F1012&gt;0,VLOOKUP(F1012,КВР!A$1:B$5001,2),IF(E1012&gt;0,VLOOKUP(E1012,Направление!A$1:B$4746,2))))))</f>
        <v>Предоставление субсидий бюджетным, автономным учреждениям и иным некоммерческим организациям</v>
      </c>
      <c r="B1012" s="91"/>
      <c r="C1012" s="84"/>
      <c r="D1012" s="85"/>
      <c r="E1012" s="91"/>
      <c r="F1012" s="85">
        <v>600</v>
      </c>
      <c r="G1012" s="557">
        <v>1063400</v>
      </c>
      <c r="H1012" s="384"/>
      <c r="I1012" s="50">
        <f t="shared" si="290"/>
        <v>1063400</v>
      </c>
    </row>
    <row r="1013" spans="1:9" ht="46.8">
      <c r="A1013" s="49" t="str">
        <f>IF(B1013&gt;0,VLOOKUP(B1013,КВСР!A881:B2046,2),IF(C1013&gt;0,VLOOKUP(C1013,КФСР!A881:B2393,2),IF(D1013&gt;0,VLOOKUP(D1013,Программа!A$1:B$5063,2),IF(F1013&gt;0,VLOOKUP(F1013,КВР!A$1:B$5001,2),IF(E1013&gt;0,VLOOKUP(E1013,Направление!A$1:B$4746,2))))))</f>
        <v>Расходы на проведение капитального ремонта муниципальных учреждений культуры</v>
      </c>
      <c r="B1013" s="91"/>
      <c r="C1013" s="84"/>
      <c r="D1013" s="85"/>
      <c r="E1013" s="91">
        <v>71690</v>
      </c>
      <c r="F1013" s="85"/>
      <c r="G1013" s="101">
        <v>7758472</v>
      </c>
      <c r="H1013" s="101">
        <f t="shared" ref="H1013" si="310">H1014</f>
        <v>0</v>
      </c>
      <c r="I1013" s="50">
        <f t="shared" si="290"/>
        <v>7758472</v>
      </c>
    </row>
    <row r="1014" spans="1:9" ht="62.4">
      <c r="A1014" s="49" t="str">
        <f>IF(B1014&gt;0,VLOOKUP(B1014,КВСР!A882:B2047,2),IF(C1014&gt;0,VLOOKUP(C1014,КФСР!A882:B2394,2),IF(D1014&gt;0,VLOOKUP(D1014,Программа!A$1:B$5063,2),IF(F1014&gt;0,VLOOKUP(F1014,КВР!A$1:B$5001,2),IF(E1014&gt;0,VLOOKUP(E1014,Направление!A$1:B$4746,2))))))</f>
        <v>Предоставление субсидий бюджетным, автономным учреждениям и иным некоммерческим организациям</v>
      </c>
      <c r="B1014" s="91"/>
      <c r="C1014" s="84"/>
      <c r="D1014" s="85"/>
      <c r="E1014" s="91"/>
      <c r="F1014" s="85">
        <v>600</v>
      </c>
      <c r="G1014" s="557">
        <v>7758472</v>
      </c>
      <c r="H1014" s="384"/>
      <c r="I1014" s="50">
        <f t="shared" si="290"/>
        <v>7758472</v>
      </c>
    </row>
    <row r="1015" spans="1:9" ht="63.75" hidden="1" customHeight="1">
      <c r="A1015" s="49" t="str">
        <f>IF(B1015&gt;0,VLOOKUP(B1015,КВСР!A883:B2048,2),IF(C1015&gt;0,VLOOKUP(C1015,КФСР!A883:B2395,2),IF(D1015&gt;0,VLOOKUP(D1015,Программа!A$1:B$5063,2),IF(F1015&gt;0,VLOOKUP(F1015,КВР!A$1:B$5001,2),IF(E1015&gt;0,VLOOKUP(E1015,Направление!A$1:B$4746,2))))))</f>
        <v>Муниципальная программа "Обеспечение качественными коммунальными услугами населения Тутаевского муниципального района"</v>
      </c>
      <c r="B1015" s="444"/>
      <c r="C1015" s="444"/>
      <c r="D1015" s="85" t="s">
        <v>2753</v>
      </c>
      <c r="E1015" s="91"/>
      <c r="F1015" s="444"/>
      <c r="G1015" s="557">
        <v>0</v>
      </c>
      <c r="H1015" s="557">
        <f t="shared" ref="H1015:I1015" si="311">H1016</f>
        <v>0</v>
      </c>
      <c r="I1015" s="557">
        <f t="shared" si="311"/>
        <v>0</v>
      </c>
    </row>
    <row r="1016" spans="1:9" ht="92.25" hidden="1" customHeight="1">
      <c r="A1016" s="49" t="str">
        <f>IF(B1016&gt;0,VLOOKUP(B1016,КВСР!A884:B2049,2),IF(C1016&gt;0,VLOOKUP(C1016,КФСР!A884:B2396,2),IF(D1016&gt;0,VLOOKUP(D1016,Программа!A$1:B$5063,2),IF(F1016&gt;0,VLOOKUP(F1016,КВР!A$1:B$5001,2),IF(E1016&gt;0,VLOOKUP(E1016,Направление!A$1:B$4746,2))))))</f>
        <v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v>
      </c>
      <c r="B1016" s="444"/>
      <c r="C1016" s="444"/>
      <c r="D1016" s="444" t="s">
        <v>2759</v>
      </c>
      <c r="E1016" s="91"/>
      <c r="F1016" s="444"/>
      <c r="G1016" s="557">
        <v>0</v>
      </c>
      <c r="H1016" s="557">
        <f t="shared" ref="H1016:I1016" si="312">H1017</f>
        <v>0</v>
      </c>
      <c r="I1016" s="557">
        <f t="shared" si="312"/>
        <v>0</v>
      </c>
    </row>
    <row r="1017" spans="1:9" ht="62.4" hidden="1">
      <c r="A1017" s="49" t="str">
        <f>IF(B1017&gt;0,VLOOKUP(B1017,КВСР!A885:B2050,2),IF(C1017&gt;0,VLOOKUP(C1017,КФСР!A885:B2397,2),IF(D1017&gt;0,VLOOKUP(D1017,Программа!A$1:B$5063,2),IF(F1017&gt;0,VLOOKUP(F1017,КВР!A$1:B$5001,2),IF(E1017&gt;0,VLOOKUP(E1017,Направление!A$1:B$4746,2))))))</f>
        <v>Модернизация объектов теплоснабжения с вводом их в эксплуатацию (строительство и реконструкция котельных)</v>
      </c>
      <c r="B1017" s="444"/>
      <c r="C1017" s="444"/>
      <c r="D1017" s="444" t="s">
        <v>2761</v>
      </c>
      <c r="E1017" s="91"/>
      <c r="F1017" s="444"/>
      <c r="G1017" s="557">
        <v>0</v>
      </c>
      <c r="H1017" s="557">
        <f t="shared" ref="H1017:I1017" si="313">H1018</f>
        <v>0</v>
      </c>
      <c r="I1017" s="557">
        <f t="shared" si="313"/>
        <v>0</v>
      </c>
    </row>
    <row r="1018" spans="1:9" ht="46.8" hidden="1">
      <c r="A1018" s="49" t="str">
        <f>IF(B1018&gt;0,VLOOKUP(B1018,КВСР!A886:B2051,2),IF(C1018&gt;0,VLOOKUP(C1018,КФСР!A886:B2398,2),IF(D1018&gt;0,VLOOKUP(D1018,Программа!A$1:B$5063,2),IF(F1018&gt;0,VLOOKUP(F1018,КВР!A$1:B$5001,2),IF(E1018&gt;0,VLOOKUP(E1018,Направление!A$1:B$4746,2))))))</f>
        <v>Обеспечение деятельности учреждений по организации досуга в сфере культуры</v>
      </c>
      <c r="B1018" s="444"/>
      <c r="C1018" s="444"/>
      <c r="D1018" s="444"/>
      <c r="E1018" s="91">
        <v>15010</v>
      </c>
      <c r="F1018" s="444"/>
      <c r="G1018" s="557">
        <v>0</v>
      </c>
      <c r="H1018" s="557">
        <f t="shared" ref="H1018:I1018" si="314">H1019</f>
        <v>0</v>
      </c>
      <c r="I1018" s="557">
        <f t="shared" si="314"/>
        <v>0</v>
      </c>
    </row>
    <row r="1019" spans="1:9" hidden="1">
      <c r="A1019" s="49" t="str">
        <f>IF(B1019&gt;0,VLOOKUP(B1019,КВСР!A887:B2052,2),IF(C1019&gt;0,VLOOKUP(C1019,КФСР!A887:B2399,2),IF(D1019&gt;0,VLOOKUP(D1019,Программа!A$1:B$5063,2),IF(F1019&gt;0,VLOOKUP(F1019,КВР!A$1:B$5001,2),IF(E1019&gt;0,VLOOKUP(E1019,Направление!A$1:B$4746,2))))))</f>
        <v>Бюджетные инвестиции</v>
      </c>
      <c r="B1019" s="444"/>
      <c r="C1019" s="444"/>
      <c r="D1019" s="444"/>
      <c r="E1019" s="91"/>
      <c r="F1019" s="85">
        <v>400</v>
      </c>
      <c r="G1019" s="557">
        <v>0</v>
      </c>
      <c r="H1019" s="384"/>
      <c r="I1019" s="50">
        <f>G1019+H1019</f>
        <v>0</v>
      </c>
    </row>
    <row r="1020" spans="1:9">
      <c r="A1020" s="49" t="str">
        <f>IF(B1020&gt;0,VLOOKUP(B1020,КВСР!A888:B2053,2),IF(C1020&gt;0,VLOOKUP(C1020,КФСР!A888:B2400,2),IF(D1020&gt;0,VLOOKUP(D1020,Программа!A$1:B$5063,2),IF(F1020&gt;0,VLOOKUP(F1020,КВР!A$1:B$5001,2),IF(E1020&gt;0,VLOOKUP(E1020,Направление!A$1:B$4746,2))))))</f>
        <v>Социальное обслуживание населения</v>
      </c>
      <c r="B1020" s="91"/>
      <c r="C1020" s="84">
        <v>1002</v>
      </c>
      <c r="D1020" s="85"/>
      <c r="E1020" s="91"/>
      <c r="F1020" s="85"/>
      <c r="G1020" s="557">
        <v>110948</v>
      </c>
      <c r="H1020" s="557">
        <f t="shared" ref="H1020:I1020" si="315">H1021</f>
        <v>0</v>
      </c>
      <c r="I1020" s="557">
        <f t="shared" si="315"/>
        <v>110948</v>
      </c>
    </row>
    <row r="1021" spans="1:9">
      <c r="A1021" s="49" t="str">
        <f>IF(B1021&gt;0,VLOOKUP(B1021,КВСР!A889:B2054,2),IF(C1021&gt;0,VLOOKUP(C1021,КФСР!A889:B2401,2),IF(D1021&gt;0,VLOOKUP(D1021,Программа!A$1:B$5063,2),IF(F1021&gt;0,VLOOKUP(F1021,КВР!A$1:B$5001,2),IF(E1021&gt;0,VLOOKUP(E1021,Направление!A$1:B$4746,2))))))</f>
        <v>Непрограммные расходы бюджета</v>
      </c>
      <c r="B1021" s="91"/>
      <c r="C1021" s="84"/>
      <c r="D1021" s="85" t="s">
        <v>2852</v>
      </c>
      <c r="E1021" s="91"/>
      <c r="F1021" s="85"/>
      <c r="G1021" s="557">
        <v>110948</v>
      </c>
      <c r="H1021" s="557">
        <f t="shared" ref="H1021:I1021" si="316">H1022</f>
        <v>0</v>
      </c>
      <c r="I1021" s="557">
        <f t="shared" si="316"/>
        <v>110948</v>
      </c>
    </row>
    <row r="1022" spans="1:9" ht="46.8">
      <c r="A1022" s="49" t="str">
        <f>IF(B1022&gt;0,VLOOKUP(B1022,КВСР!A890:B2055,2),IF(C1022&gt;0,VLOOKUP(C1022,КФСР!A890:B2402,2),IF(D1022&gt;0,VLOOKUP(D1022,Программа!A$1:B$5063,2),IF(F1022&gt;0,VLOOKUP(F1022,КВР!A$1:B$5001,2),IF(E1022&gt;0,VLOOKUP(E1022,Направление!A$1:B$4746,2))))))</f>
        <v>Мероприятия по строительству и реконструкции учреждения социальной защиты</v>
      </c>
      <c r="B1022" s="91"/>
      <c r="C1022" s="84"/>
      <c r="D1022" s="85"/>
      <c r="E1022" s="91">
        <v>16050</v>
      </c>
      <c r="F1022" s="85"/>
      <c r="G1022" s="557">
        <v>110948</v>
      </c>
      <c r="H1022" s="557">
        <f t="shared" ref="H1022:I1022" si="317">H1023</f>
        <v>0</v>
      </c>
      <c r="I1022" s="557">
        <f t="shared" si="317"/>
        <v>110948</v>
      </c>
    </row>
    <row r="1023" spans="1:9">
      <c r="A1023" s="49" t="str">
        <f>IF(B1023&gt;0,VLOOKUP(B1023,КВСР!A891:B2056,2),IF(C1023&gt;0,VLOOKUP(C1023,КФСР!A891:B2403,2),IF(D1023&gt;0,VLOOKUP(D1023,Программа!A$1:B$5063,2),IF(F1023&gt;0,VLOOKUP(F1023,КВР!A$1:B$5001,2),IF(E1023&gt;0,VLOOKUP(E1023,Направление!A$1:B$4746,2))))))</f>
        <v>Бюджетные инвестиции</v>
      </c>
      <c r="B1023" s="91"/>
      <c r="C1023" s="84"/>
      <c r="D1023" s="85"/>
      <c r="E1023" s="91"/>
      <c r="F1023" s="85">
        <v>400</v>
      </c>
      <c r="G1023" s="557">
        <v>110948</v>
      </c>
      <c r="H1023" s="384"/>
      <c r="I1023" s="50">
        <f>G1023+H1023</f>
        <v>110948</v>
      </c>
    </row>
    <row r="1024" spans="1:9">
      <c r="A1024" s="49" t="str">
        <f>IF(B1024&gt;0,VLOOKUP(B1024,КВСР!A892:B2057,2),IF(C1024&gt;0,VLOOKUP(C1024,КФСР!A892:B2404,2),IF(D1024&gt;0,VLOOKUP(D1024,Программа!A$1:B$5063,2),IF(F1024&gt;0,VLOOKUP(F1024,КВР!A$1:B$5001,2),IF(E1024&gt;0,VLOOKUP(E1024,Направление!A$1:B$4746,2))))))</f>
        <v>Социальное обеспечение населения</v>
      </c>
      <c r="B1024" s="91"/>
      <c r="C1024" s="84">
        <v>1003</v>
      </c>
      <c r="D1024" s="85"/>
      <c r="E1024" s="91"/>
      <c r="F1024" s="85"/>
      <c r="G1024" s="557">
        <v>237942</v>
      </c>
      <c r="H1024" s="557">
        <f>H1026+H1029</f>
        <v>0</v>
      </c>
      <c r="I1024" s="50">
        <f t="shared" ref="I1024:I1031" si="318">G1024+H1024</f>
        <v>237942</v>
      </c>
    </row>
    <row r="1025" spans="1:9" ht="93.6">
      <c r="A1025" s="49" t="str">
        <f>IF(B1025&gt;0,VLOOKUP(B1025,КВСР!A893:B2058,2),IF(C1025&gt;0,VLOOKUP(C1025,КФСР!A893:B2405,2),IF(D1025&gt;0,VLOOKUP(D1025,Программа!A$1:B$5063,2),IF(F1025&gt;0,VLOOKUP(F1025,КВР!A$1:B$5001,2),IF(E1025&gt;0,VLOOKUP(E1025,Направление!A$1:B$4746,2))))))</f>
        <v>Муниципальная программа  "Организация перевозок автомобильным и речным транспортом на территории Тутаевского муниципального района"</v>
      </c>
      <c r="B1025" s="91"/>
      <c r="C1025" s="84"/>
      <c r="D1025" s="85" t="s">
        <v>2910</v>
      </c>
      <c r="E1025" s="91"/>
      <c r="F1025" s="85"/>
      <c r="G1025" s="557">
        <v>237942</v>
      </c>
      <c r="H1025" s="557">
        <f>H1026+H1029</f>
        <v>0</v>
      </c>
      <c r="I1025" s="557">
        <f>I1026+I1029</f>
        <v>237942</v>
      </c>
    </row>
    <row r="1026" spans="1:9" ht="93.6">
      <c r="A1026" s="49" t="str">
        <f>IF(B1026&gt;0,VLOOKUP(B1026,КВСР!A894:B2059,2),IF(C1026&gt;0,VLOOKUP(C1026,КФСР!A894:B2406,2),IF(D1026&gt;0,VLOOKUP(D1026,Программа!A$1:B$5063,2),IF(F1026&gt;0,VLOOKUP(F1026,КВР!A$1:B$5001,2),IF(E1026&gt;0,VLOOKUP(E1026,Направление!A$1:B$4746,2))))))</f>
        <v>Предоставление социальных услуг лицам, находящимся под диспансерным наблюдением в связи с туберкулезом, и больных туберкулезом  при проезде в транспорте общего пользования</v>
      </c>
      <c r="B1026" s="91"/>
      <c r="C1026" s="84"/>
      <c r="D1026" s="85" t="s">
        <v>2911</v>
      </c>
      <c r="E1026" s="91"/>
      <c r="F1026" s="85"/>
      <c r="G1026" s="557">
        <v>42478</v>
      </c>
      <c r="H1026" s="557">
        <f t="shared" ref="H1026" si="319">H1027</f>
        <v>0</v>
      </c>
      <c r="I1026" s="50">
        <f t="shared" si="318"/>
        <v>42478</v>
      </c>
    </row>
    <row r="1027" spans="1:9" ht="93.6">
      <c r="A1027" s="49" t="str">
        <f>IF(B1027&gt;0,VLOOKUP(B1027,КВСР!A895:B2060,2),IF(C1027&gt;0,VLOOKUP(C1027,КФСР!A895:B2407,2),IF(D1027&gt;0,VLOOKUP(D1027,Программа!A$1:B$5063,2),IF(F1027&gt;0,VLOOKUP(F1027,КВР!A$1:B$5001,2),IF(E1027&gt;0,VLOOKUP(E1027,Направление!A$1:B$4746,2))))))</f>
        <v>Предоставление бесплатного проезда лицам, находящимся под диспансерным наблюдением в связи с туберкулезом, и больным туберкулезом за счет средств областного бюджета</v>
      </c>
      <c r="B1027" s="91"/>
      <c r="C1027" s="84"/>
      <c r="D1027" s="85"/>
      <c r="E1027" s="91">
        <v>72550</v>
      </c>
      <c r="F1027" s="85"/>
      <c r="G1027" s="557">
        <v>42478</v>
      </c>
      <c r="H1027" s="557">
        <f>H1028</f>
        <v>0</v>
      </c>
      <c r="I1027" s="50">
        <f t="shared" si="318"/>
        <v>42478</v>
      </c>
    </row>
    <row r="1028" spans="1:9" ht="20.25" customHeight="1">
      <c r="A1028" s="49" t="str">
        <f>IF(B1028&gt;0,VLOOKUP(B1028,КВСР!A896:B2061,2),IF(C1028&gt;0,VLOOKUP(C1028,КФСР!A896:B2408,2),IF(D1028&gt;0,VLOOKUP(D1028,Программа!A$1:B$5063,2),IF(F1028&gt;0,VLOOKUP(F1028,КВР!A$1:B$5001,2),IF(E1028&gt;0,VLOOKUP(E1028,Направление!A$1:B$4746,2))))))</f>
        <v>Иные бюджетные ассигнования</v>
      </c>
      <c r="B1028" s="91"/>
      <c r="C1028" s="84"/>
      <c r="D1028" s="85"/>
      <c r="E1028" s="91"/>
      <c r="F1028" s="85">
        <v>800</v>
      </c>
      <c r="G1028" s="557">
        <v>42478</v>
      </c>
      <c r="H1028" s="384"/>
      <c r="I1028" s="50">
        <f t="shared" si="318"/>
        <v>42478</v>
      </c>
    </row>
    <row r="1029" spans="1:9" ht="82.5" customHeight="1">
      <c r="A1029" s="49" t="str">
        <f>IF(B1029&gt;0,VLOOKUP(B1029,КВСР!A897:B2062,2),IF(C1029&gt;0,VLOOKUP(C1029,КФСР!A897:B2409,2),IF(D1029&gt;0,VLOOKUP(D1029,Программа!A$1:B$5063,2),IF(F1029&gt;0,VLOOKUP(F1029,КВР!A$1:B$5001,2),IF(E1029&gt;0,VLOOKUP(E1029,Направление!A$1:B$4746,2))))))</f>
        <v>Предоставление социальных услуг детям из многодетных семей, обучающихся в общеобразовательных организациях  при проезде в транспорте общего пользования</v>
      </c>
      <c r="B1029" s="91"/>
      <c r="C1029" s="84"/>
      <c r="D1029" s="85" t="s">
        <v>2912</v>
      </c>
      <c r="E1029" s="91"/>
      <c r="F1029" s="85"/>
      <c r="G1029" s="557">
        <v>195464</v>
      </c>
      <c r="H1029" s="557">
        <f>H1030</f>
        <v>0</v>
      </c>
      <c r="I1029" s="50">
        <f t="shared" si="318"/>
        <v>195464</v>
      </c>
    </row>
    <row r="1030" spans="1:9" ht="93" customHeight="1">
      <c r="A1030" s="49" t="str">
        <f>IF(B1030&gt;0,VLOOKUP(B1030,КВСР!A898:B2063,2),IF(C1030&gt;0,VLOOKUP(C1030,КФСР!A898:B2410,2),IF(D1030&gt;0,VLOOKUP(D1030,Программа!A$1:B$5063,2),IF(F1030&gt;0,VLOOKUP(F1030,КВР!A$1:B$5001,2),IF(E1030&gt;0,VLOOKUP(E1030,Направление!A$1:B$4746,2))))))</f>
        <v>Предоставление бесплатного проезда детям из многодетных семей, обучающимся в общеобразовательных учреждениях, за счет средств областного бюджета</v>
      </c>
      <c r="B1030" s="91"/>
      <c r="C1030" s="84"/>
      <c r="D1030" s="85"/>
      <c r="E1030" s="91">
        <v>72560</v>
      </c>
      <c r="F1030" s="85"/>
      <c r="G1030" s="557">
        <v>195464</v>
      </c>
      <c r="H1030" s="557">
        <f>H1031</f>
        <v>0</v>
      </c>
      <c r="I1030" s="50">
        <f t="shared" si="318"/>
        <v>195464</v>
      </c>
    </row>
    <row r="1031" spans="1:9">
      <c r="A1031" s="49" t="str">
        <f>IF(B1031&gt;0,VLOOKUP(B1031,КВСР!A899:B2064,2),IF(C1031&gt;0,VLOOKUP(C1031,КФСР!A899:B2411,2),IF(D1031&gt;0,VLOOKUP(D1031,Программа!A$1:B$5063,2),IF(F1031&gt;0,VLOOKUP(F1031,КВР!A$1:B$5001,2),IF(E1031&gt;0,VLOOKUP(E1031,Направление!A$1:B$4746,2))))))</f>
        <v>Иные бюджетные ассигнования</v>
      </c>
      <c r="B1031" s="91"/>
      <c r="C1031" s="84"/>
      <c r="D1031" s="85"/>
      <c r="E1031" s="91"/>
      <c r="F1031" s="85">
        <v>800</v>
      </c>
      <c r="G1031" s="557">
        <v>195464</v>
      </c>
      <c r="H1031" s="384"/>
      <c r="I1031" s="50">
        <f t="shared" si="318"/>
        <v>195464</v>
      </c>
    </row>
    <row r="1032" spans="1:9">
      <c r="A1032" s="49" t="str">
        <f>IF(B1032&gt;0,VLOOKUP(B1032,КВСР!A900:B2065,2),IF(C1032&gt;0,VLOOKUP(C1032,КФСР!A900:B2412,2),IF(D1032&gt;0,VLOOKUP(D1032,Программа!A$1:B$5063,2),IF(F1032&gt;0,VLOOKUP(F1032,КВР!A$1:B$5001,2),IF(E1032&gt;0,VLOOKUP(E1032,Направление!A$1:B$4746,2))))))</f>
        <v>Массовый спорт</v>
      </c>
      <c r="B1032" s="91"/>
      <c r="C1032" s="84">
        <v>1102</v>
      </c>
      <c r="D1032" s="444"/>
      <c r="E1032" s="91"/>
      <c r="F1032" s="85"/>
      <c r="G1032" s="50">
        <v>13081025</v>
      </c>
      <c r="H1032" s="50">
        <f t="shared" ref="H1032" si="320">H1035</f>
        <v>0</v>
      </c>
      <c r="I1032" s="50">
        <f t="shared" si="290"/>
        <v>13081025</v>
      </c>
    </row>
    <row r="1033" spans="1:9" ht="62.4">
      <c r="A1033" s="49" t="str">
        <f>IF(B1033&gt;0,VLOOKUP(B1033,КВСР!A901:B2066,2),IF(C1033&gt;0,VLOOKUP(C1033,КФСР!A901:B2413,2),IF(D1033&gt;0,VLOOKUP(D1033,Программа!A$1:B$5063,2),IF(F1033&gt;0,VLOOKUP(F1033,КВР!A$1:B$5001,2),IF(E1033&gt;0,VLOOKUP(E1033,Направление!A$1:B$4746,2))))))</f>
        <v>Муниципальная программа "Развитие образования, физической культуры и спорта в Тутаевском муниципальном районе"</v>
      </c>
      <c r="B1033" s="91"/>
      <c r="C1033" s="84"/>
      <c r="D1033" s="444" t="s">
        <v>2739</v>
      </c>
      <c r="E1033" s="91"/>
      <c r="F1033" s="85"/>
      <c r="G1033" s="50">
        <v>13081025</v>
      </c>
      <c r="H1033" s="50">
        <f t="shared" ref="H1033" si="321">H1035</f>
        <v>0</v>
      </c>
      <c r="I1033" s="50">
        <f t="shared" si="290"/>
        <v>13081025</v>
      </c>
    </row>
    <row r="1034" spans="1:9" ht="62.4">
      <c r="A1034" s="49" t="str">
        <f>IF(B1034&gt;0,VLOOKUP(B1034,КВСР!A902:B2067,2),IF(C1034&gt;0,VLOOKUP(C1034,КФСР!A902:B2414,2),IF(D1034&gt;0,VLOOKUP(D1034,Программа!A$1:B$5063,2),IF(F1034&gt;0,VLOOKUP(F1034,КВР!A$1:B$5001,2),IF(E1034&gt;0,VLOOKUP(E1034,Направление!A$1:B$4746,2))))))</f>
        <v>Муниципальная целевая программа "Развитие физической культуры и спорта в Тутаевском муниципальном районе"</v>
      </c>
      <c r="B1034" s="91"/>
      <c r="C1034" s="84"/>
      <c r="D1034" s="444" t="s">
        <v>2856</v>
      </c>
      <c r="E1034" s="91"/>
      <c r="F1034" s="85"/>
      <c r="G1034" s="50">
        <v>13081025</v>
      </c>
      <c r="H1034" s="50">
        <f t="shared" ref="H1034" si="322">H1035</f>
        <v>0</v>
      </c>
      <c r="I1034" s="50">
        <f t="shared" si="290"/>
        <v>13081025</v>
      </c>
    </row>
    <row r="1035" spans="1:9" ht="46.8">
      <c r="A1035" s="49" t="str">
        <f>IF(B1035&gt;0,VLOOKUP(B1035,КВСР!A903:B2068,2),IF(C1035&gt;0,VLOOKUP(C1035,КФСР!A903:B2415,2),IF(D1035&gt;0,VLOOKUP(D1035,Программа!A$1:B$5063,2),IF(F1035&gt;0,VLOOKUP(F1035,КВР!A$1:B$5001,2),IF(E1035&gt;0,VLOOKUP(E1035,Направление!A$1:B$4746,2))))))</f>
        <v>Строительство, реконструкция и капитальный ремонт спортивных сооружений</v>
      </c>
      <c r="B1035" s="91"/>
      <c r="C1035" s="84"/>
      <c r="D1035" s="444" t="s">
        <v>2860</v>
      </c>
      <c r="E1035" s="91"/>
      <c r="F1035" s="85"/>
      <c r="G1035" s="50">
        <v>13081025</v>
      </c>
      <c r="H1035" s="50">
        <f>H1038+H1036+H1040</f>
        <v>0</v>
      </c>
      <c r="I1035" s="50">
        <f>I1038+I1036+I1040</f>
        <v>13081025</v>
      </c>
    </row>
    <row r="1036" spans="1:9" ht="46.8">
      <c r="A1036" s="49" t="str">
        <f>IF(B1036&gt;0,VLOOKUP(B1036,КВСР!A904:B2069,2),IF(C1036&gt;0,VLOOKUP(C1036,КФСР!A904:B2416,2),IF(D1036&gt;0,VLOOKUP(D1036,Программа!A$1:B$5063,2),IF(F1036&gt;0,VLOOKUP(F1036,КВР!A$1:B$5001,2),IF(E1036&gt;0,VLOOKUP(E1036,Направление!A$1:B$4746,2))))))</f>
        <v>Мероприятия по строительству, реконструкции и ремонту спортивных объектов</v>
      </c>
      <c r="B1036" s="91"/>
      <c r="C1036" s="84"/>
      <c r="D1036" s="444"/>
      <c r="E1036" s="91">
        <v>14100</v>
      </c>
      <c r="F1036" s="85"/>
      <c r="G1036" s="50">
        <v>31152</v>
      </c>
      <c r="H1036" s="50">
        <f t="shared" ref="H1036:I1036" si="323">H1037</f>
        <v>0</v>
      </c>
      <c r="I1036" s="50">
        <f t="shared" si="323"/>
        <v>31152</v>
      </c>
    </row>
    <row r="1037" spans="1:9">
      <c r="A1037" s="49" t="str">
        <f>IF(B1037&gt;0,VLOOKUP(B1037,КВСР!A905:B2070,2),IF(C1037&gt;0,VLOOKUP(C1037,КФСР!A905:B2417,2),IF(D1037&gt;0,VLOOKUP(D1037,Программа!A$1:B$5063,2),IF(F1037&gt;0,VLOOKUP(F1037,КВР!A$1:B$5001,2),IF(E1037&gt;0,VLOOKUP(E1037,Направление!A$1:B$4746,2))))))</f>
        <v>Бюджетные инвестиции</v>
      </c>
      <c r="B1037" s="91"/>
      <c r="C1037" s="84"/>
      <c r="D1037" s="444"/>
      <c r="E1037" s="91"/>
      <c r="F1037" s="85">
        <v>400</v>
      </c>
      <c r="G1037" s="50">
        <v>31152</v>
      </c>
      <c r="H1037" s="603"/>
      <c r="I1037" s="50">
        <f>G1037+H1037</f>
        <v>31152</v>
      </c>
    </row>
    <row r="1038" spans="1:9" ht="46.8">
      <c r="A1038" s="49" t="str">
        <f>IF(B1038&gt;0,VLOOKUP(B1038,КВСР!A906:B2071,2),IF(C1038&gt;0,VLOOKUP(C1038,КФСР!A906:B2418,2),IF(D1038&gt;0,VLOOKUP(D1038,Программа!A$1:B$5063,2),IF(F1038&gt;0,VLOOKUP(F1038,КВР!A$1:B$5001,2),IF(E1038&gt;0,VLOOKUP(E1038,Направление!A$1:B$4746,2))))))</f>
        <v xml:space="preserve">Развитие сети плоскостных спортивных сооружений в муниципальных образованиях </v>
      </c>
      <c r="B1038" s="91"/>
      <c r="C1038" s="84"/>
      <c r="D1038" s="444"/>
      <c r="E1038" s="92" t="s">
        <v>2992</v>
      </c>
      <c r="F1038" s="94"/>
      <c r="G1038" s="50">
        <v>2298525</v>
      </c>
      <c r="H1038" s="50">
        <f t="shared" ref="H1038" si="324">H1039</f>
        <v>0</v>
      </c>
      <c r="I1038" s="50">
        <f t="shared" si="290"/>
        <v>2298525</v>
      </c>
    </row>
    <row r="1039" spans="1:9" ht="62.4">
      <c r="A1039" s="49" t="str">
        <f>IF(B1039&gt;0,VLOOKUP(B1039,КВСР!A907:B2072,2),IF(C1039&gt;0,VLOOKUP(C1039,КФСР!A907:B2419,2),IF(D1039&gt;0,VLOOKUP(D1039,Программа!A$1:B$5063,2),IF(F1039&gt;0,VLOOKUP(F1039,КВР!A$1:B$5001,2),IF(E1039&gt;0,VLOOKUP(E1039,Направление!A$1:B$4746,2))))))</f>
        <v>Предоставление субсидий бюджетным, автономным учреждениям и иным некоммерческим организациям</v>
      </c>
      <c r="B1039" s="91"/>
      <c r="C1039" s="84"/>
      <c r="D1039" s="444"/>
      <c r="E1039" s="92"/>
      <c r="F1039" s="94">
        <v>600</v>
      </c>
      <c r="G1039" s="387">
        <v>2298525</v>
      </c>
      <c r="H1039" s="382"/>
      <c r="I1039" s="50">
        <f t="shared" si="290"/>
        <v>2298525</v>
      </c>
    </row>
    <row r="1040" spans="1:9" ht="46.8">
      <c r="A1040" s="49" t="str">
        <f>IF(B1040&gt;0,VLOOKUP(B1040,КВСР!A908:B2073,2),IF(C1040&gt;0,VLOOKUP(C1040,КФСР!A908:B2420,2),IF(D1040&gt;0,VLOOKUP(D1040,Программа!A$1:B$5063,2),IF(F1040&gt;0,VLOOKUP(F1040,КВР!A$1:B$5001,2),IF(E1040&gt;0,VLOOKUP(E1040,Направление!A$1:B$4746,2))))))</f>
        <v xml:space="preserve">Развитие сети плоскостных спортивных сооружений в муниципальных образованиях </v>
      </c>
      <c r="B1040" s="91"/>
      <c r="C1040" s="84"/>
      <c r="D1040" s="444"/>
      <c r="E1040" s="92">
        <v>71970</v>
      </c>
      <c r="F1040" s="94"/>
      <c r="G1040" s="387">
        <v>10751348</v>
      </c>
      <c r="H1040" s="387">
        <f t="shared" ref="H1040:I1040" si="325">H1041+H1042</f>
        <v>0</v>
      </c>
      <c r="I1040" s="387">
        <f t="shared" si="325"/>
        <v>10751348</v>
      </c>
    </row>
    <row r="1041" spans="1:9">
      <c r="A1041" s="49" t="str">
        <f>IF(B1041&gt;0,VLOOKUP(B1041,КВСР!A909:B2074,2),IF(C1041&gt;0,VLOOKUP(C1041,КФСР!A909:B2421,2),IF(D1041&gt;0,VLOOKUP(D1041,Программа!A$1:B$5063,2),IF(F1041&gt;0,VLOOKUP(F1041,КВР!A$1:B$5001,2),IF(E1041&gt;0,VLOOKUP(E1041,Направление!A$1:B$4746,2))))))</f>
        <v>Бюджетные инвестиции</v>
      </c>
      <c r="B1041" s="91"/>
      <c r="C1041" s="84"/>
      <c r="D1041" s="444"/>
      <c r="E1041" s="92"/>
      <c r="F1041" s="94">
        <v>400</v>
      </c>
      <c r="G1041" s="387">
        <v>1600000</v>
      </c>
      <c r="H1041" s="382"/>
      <c r="I1041" s="50">
        <f>G1041+H1041</f>
        <v>1600000</v>
      </c>
    </row>
    <row r="1042" spans="1:9" ht="62.4">
      <c r="A1042" s="49" t="str">
        <f>IF(B1042&gt;0,VLOOKUP(B1042,КВСР!A910:B2075,2),IF(C1042&gt;0,VLOOKUP(C1042,КФСР!A910:B2422,2),IF(D1042&gt;0,VLOOKUP(D1042,Программа!A$1:B$5063,2),IF(F1042&gt;0,VLOOKUP(F1042,КВР!A$1:B$5001,2),IF(E1042&gt;0,VLOOKUP(E1042,Направление!A$1:B$4746,2))))))</f>
        <v>Предоставление субсидий бюджетным, автономным учреждениям и иным некоммерческим организациям</v>
      </c>
      <c r="B1042" s="91"/>
      <c r="C1042" s="84"/>
      <c r="D1042" s="444"/>
      <c r="E1042" s="92"/>
      <c r="F1042" s="94">
        <v>600</v>
      </c>
      <c r="G1042" s="387">
        <v>9151348</v>
      </c>
      <c r="H1042" s="382"/>
      <c r="I1042" s="50">
        <f>G1042+H1042</f>
        <v>9151348</v>
      </c>
    </row>
    <row r="1043" spans="1:9">
      <c r="A1043" s="49" t="str">
        <f>IF(B1043&gt;0,VLOOKUP(B1043,КВСР!A911:B2076,2),IF(C1043&gt;0,VLOOKUP(C1043,КФСР!A911:B2423,2),IF(D1043&gt;0,VLOOKUP(D1043,Программа!A$1:B$5063,2),IF(F1043&gt;0,VLOOKUP(F1043,КВР!A$1:B$5001,2),IF(E1043&gt;0,VLOOKUP(E1043,Направление!A$1:B$4746,2))))))</f>
        <v>МУ Контрольно-счетная палата ТМР</v>
      </c>
      <c r="B1043" s="87">
        <v>982</v>
      </c>
      <c r="C1043" s="95"/>
      <c r="D1043" s="448"/>
      <c r="E1043" s="87"/>
      <c r="F1043" s="99"/>
      <c r="G1043" s="56">
        <v>2253095</v>
      </c>
      <c r="H1043" s="56">
        <f t="shared" ref="H1043:H1044" si="326">H1044</f>
        <v>0</v>
      </c>
      <c r="I1043" s="86">
        <f t="shared" si="290"/>
        <v>2253095</v>
      </c>
    </row>
    <row r="1044" spans="1:9" ht="78">
      <c r="A1044" s="49" t="str">
        <f>IF(B1044&gt;0,VLOOKUP(B1044,КВСР!A912:B2077,2),IF(C1044&gt;0,VLOOKUP(C1044,КФСР!A912:B2424,2),IF(D1044&gt;0,VLOOKUP(D1044,Программа!A$1:B$5063,2),IF(F1044&gt;0,VLOOKUP(F1044,КВР!A$1:B$5001,2),IF(E1044&gt;0,VLOOKUP(E1044,Направление!A$1:B$4746,2))))))</f>
        <v>Обеспечение деятельности финансовых, налоговых и таможенных органов и органов финансового (финансово-бюджетного) надзора</v>
      </c>
      <c r="B1044" s="96"/>
      <c r="C1044" s="84">
        <v>106</v>
      </c>
      <c r="D1044" s="449"/>
      <c r="E1044" s="96"/>
      <c r="F1044" s="98"/>
      <c r="G1044" s="52">
        <v>2253095</v>
      </c>
      <c r="H1044" s="52">
        <f t="shared" si="326"/>
        <v>0</v>
      </c>
      <c r="I1044" s="50">
        <f t="shared" si="290"/>
        <v>2253095</v>
      </c>
    </row>
    <row r="1045" spans="1:9">
      <c r="A1045" s="49" t="str">
        <f>IF(B1045&gt;0,VLOOKUP(B1045,КВСР!A913:B2078,2),IF(C1045&gt;0,VLOOKUP(C1045,КФСР!A913:B2425,2),IF(D1045&gt;0,VLOOKUP(D1045,Программа!A$1:B$5063,2),IF(F1045&gt;0,VLOOKUP(F1045,КВР!A$1:B$5001,2),IF(E1045&gt;0,VLOOKUP(E1045,Направление!A$1:B$4746,2))))))</f>
        <v>Непрограммные расходы бюджета</v>
      </c>
      <c r="B1045" s="96"/>
      <c r="C1045" s="84"/>
      <c r="D1045" s="449" t="s">
        <v>2852</v>
      </c>
      <c r="E1045" s="96"/>
      <c r="F1045" s="98"/>
      <c r="G1045" s="52">
        <v>2253095</v>
      </c>
      <c r="H1045" s="52">
        <f t="shared" ref="H1045" si="327">H1046+H1050+H1052</f>
        <v>0</v>
      </c>
      <c r="I1045" s="50">
        <f t="shared" si="290"/>
        <v>2253095</v>
      </c>
    </row>
    <row r="1046" spans="1:9">
      <c r="A1046" s="49" t="str">
        <f>IF(B1046&gt;0,VLOOKUP(B1046,КВСР!A914:B2079,2),IF(C1046&gt;0,VLOOKUP(C1046,КФСР!A914:B2426,2),IF(D1046&gt;0,VLOOKUP(D1046,Программа!A$1:B$5063,2),IF(F1046&gt;0,VLOOKUP(F1046,КВР!A$1:B$5001,2),IF(E1046&gt;0,VLOOKUP(E1046,Направление!A$1:B$4746,2))))))</f>
        <v>Содержание центрального аппарата</v>
      </c>
      <c r="B1046" s="96"/>
      <c r="C1046" s="97"/>
      <c r="D1046" s="77"/>
      <c r="E1046" s="90">
        <v>12010</v>
      </c>
      <c r="F1046" s="98"/>
      <c r="G1046" s="50">
        <v>1335080</v>
      </c>
      <c r="H1046" s="50">
        <f t="shared" ref="H1046" si="328">H1047+H1048+H1049</f>
        <v>0</v>
      </c>
      <c r="I1046" s="50">
        <f t="shared" si="290"/>
        <v>1335080</v>
      </c>
    </row>
    <row r="1047" spans="1:9" ht="100.5" customHeight="1">
      <c r="A1047" s="49" t="str">
        <f>IF(B1047&gt;0,VLOOKUP(B1047,КВСР!A915:B2080,2),IF(C1047&gt;0,VLOOKUP(C1047,КФСР!A915:B2427,2),IF(D1047&gt;0,VLOOKUP(D1047,Программа!A$1:B$5063,2),IF(F1047&gt;0,VLOOKUP(F1047,КВР!A$1:B$5001,2),IF(E1047&gt;0,VLOOKUP(E1047,Направление!A$1:B$4746,2)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1047" s="96"/>
      <c r="C1047" s="97"/>
      <c r="D1047" s="98"/>
      <c r="E1047" s="96"/>
      <c r="F1047" s="98">
        <v>100</v>
      </c>
      <c r="G1047" s="387">
        <v>945940</v>
      </c>
      <c r="H1047" s="382"/>
      <c r="I1047" s="50">
        <f>SUM(G1047:H1047)</f>
        <v>945940</v>
      </c>
    </row>
    <row r="1048" spans="1:9" ht="31.2">
      <c r="A1048" s="49" t="str">
        <f>IF(B1048&gt;0,VLOOKUP(B1048,КВСР!A916:B2081,2),IF(C1048&gt;0,VLOOKUP(C1048,КФСР!A916:B2428,2),IF(D1048&gt;0,VLOOKUP(D1048,Программа!A$1:B$5063,2),IF(F1048&gt;0,VLOOKUP(F1048,КВР!A$1:B$5001,2),IF(E1048&gt;0,VLOOKUP(E1048,Направление!A$1:B$4746,2))))))</f>
        <v>Закупка товаров, работ и услуг для государственных нужд</v>
      </c>
      <c r="B1048" s="96"/>
      <c r="C1048" s="97"/>
      <c r="D1048" s="98"/>
      <c r="E1048" s="96"/>
      <c r="F1048" s="98">
        <v>200</v>
      </c>
      <c r="G1048" s="387">
        <v>386140</v>
      </c>
      <c r="H1048" s="382"/>
      <c r="I1048" s="50">
        <f t="shared" si="290"/>
        <v>386140</v>
      </c>
    </row>
    <row r="1049" spans="1:9">
      <c r="A1049" s="49" t="str">
        <f>IF(B1049&gt;0,VLOOKUP(B1049,КВСР!A917:B2082,2),IF(C1049&gt;0,VLOOKUP(C1049,КФСР!A917:B2429,2),IF(D1049&gt;0,VLOOKUP(D1049,Программа!A$1:B$5063,2),IF(F1049&gt;0,VLOOKUP(F1049,КВР!A$1:B$5001,2),IF(E1049&gt;0,VLOOKUP(E1049,Направление!A$1:B$4746,2))))))</f>
        <v>Иные бюджетные ассигнования</v>
      </c>
      <c r="B1049" s="96"/>
      <c r="C1049" s="97"/>
      <c r="D1049" s="98"/>
      <c r="E1049" s="96"/>
      <c r="F1049" s="98">
        <v>800</v>
      </c>
      <c r="G1049" s="387">
        <v>3000</v>
      </c>
      <c r="H1049" s="382"/>
      <c r="I1049" s="50">
        <f t="shared" si="290"/>
        <v>3000</v>
      </c>
    </row>
    <row r="1050" spans="1:9" ht="54" customHeight="1">
      <c r="A1050" s="49" t="str">
        <f>IF(B1050&gt;0,VLOOKUP(B1050,КВСР!A918:B2083,2),IF(C1050&gt;0,VLOOKUP(C1050,КФСР!A918:B2430,2),IF(D1050&gt;0,VLOOKUP(D1050,Программа!A$1:B$5063,2),IF(F1050&gt;0,VLOOKUP(F1050,КВР!A$1:B$5001,2),IF(E1050&gt;0,VLOOKUP(E1050,Направление!A$1:B$4746,2))))))</f>
        <v>Содержание руководителя контрольно-счетной палаты муниципального образования и его заместителей</v>
      </c>
      <c r="B1050" s="96"/>
      <c r="C1050" s="97"/>
      <c r="D1050" s="449"/>
      <c r="E1050" s="96">
        <v>12030</v>
      </c>
      <c r="F1050" s="98"/>
      <c r="G1050" s="50">
        <v>864920</v>
      </c>
      <c r="H1050" s="50">
        <f t="shared" ref="H1050" si="329">H1051</f>
        <v>0</v>
      </c>
      <c r="I1050" s="50">
        <f t="shared" si="290"/>
        <v>864920</v>
      </c>
    </row>
    <row r="1051" spans="1:9" ht="97.5" customHeight="1">
      <c r="A1051" s="49" t="str">
        <f>IF(B1051&gt;0,VLOOKUP(B1051,КВСР!A919:B2084,2),IF(C1051&gt;0,VLOOKUP(C1051,КФСР!A919:B2431,2),IF(D1051&gt;0,VLOOKUP(D1051,Программа!A$1:B$5063,2),IF(F1051&gt;0,VLOOKUP(F1051,КВР!A$1:B$5001,2),IF(E1051&gt;0,VLOOKUP(E1051,Направление!A$1:B$4746,2)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1051" s="96"/>
      <c r="C1051" s="97"/>
      <c r="D1051" s="98"/>
      <c r="E1051" s="96"/>
      <c r="F1051" s="98">
        <v>100</v>
      </c>
      <c r="G1051" s="387">
        <v>864920</v>
      </c>
      <c r="H1051" s="382"/>
      <c r="I1051" s="50">
        <f t="shared" si="290"/>
        <v>864920</v>
      </c>
    </row>
    <row r="1052" spans="1:9" ht="46.8">
      <c r="A1052" s="49" t="str">
        <f>IF(B1052&gt;0,VLOOKUP(B1052,КВСР!A920:B2085,2),IF(C1052&gt;0,VLOOKUP(C1052,КФСР!A920:B2432,2),IF(D1052&gt;0,VLOOKUP(D1052,Программа!A$1:B$5063,2),IF(F1052&gt;0,VLOOKUP(F1052,КВР!A$1:B$5001,2),IF(E1052&gt;0,VLOOKUP(E1052,Направление!A$1:B$4746,2))))))</f>
        <v>Содержание органов местного самоуправления за счет средств поселений</v>
      </c>
      <c r="B1052" s="96"/>
      <c r="C1052" s="97"/>
      <c r="D1052" s="98"/>
      <c r="E1052" s="96">
        <v>29016</v>
      </c>
      <c r="F1052" s="98"/>
      <c r="G1052" s="50">
        <v>53095</v>
      </c>
      <c r="H1052" s="50">
        <f t="shared" ref="H1052" si="330">H1054+H1053</f>
        <v>0</v>
      </c>
      <c r="I1052" s="50">
        <f t="shared" si="290"/>
        <v>53095</v>
      </c>
    </row>
    <row r="1053" spans="1:9" ht="100.5" customHeight="1">
      <c r="A1053" s="49" t="str">
        <f>IF(B1053&gt;0,VLOOKUP(B1053,КВСР!A921:B2086,2),IF(C1053&gt;0,VLOOKUP(C1053,КФСР!A921:B2433,2),IF(D1053&gt;0,VLOOKUP(D1053,Программа!A$1:B$5063,2),IF(F1053&gt;0,VLOOKUP(F1053,КВР!A$1:B$5001,2),IF(E1053&gt;0,VLOOKUP(E1053,Направление!A$1:B$4746,2)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1053" s="96"/>
      <c r="C1053" s="97"/>
      <c r="D1053" s="98"/>
      <c r="E1053" s="96"/>
      <c r="F1053" s="98">
        <v>100</v>
      </c>
      <c r="G1053" s="387">
        <v>48268</v>
      </c>
      <c r="H1053" s="391"/>
      <c r="I1053" s="50">
        <f t="shared" si="290"/>
        <v>48268</v>
      </c>
    </row>
    <row r="1054" spans="1:9" ht="31.2">
      <c r="A1054" s="49" t="str">
        <f>IF(B1054&gt;0,VLOOKUP(B1054,КВСР!A922:B2087,2),IF(C1054&gt;0,VLOOKUP(C1054,КФСР!A922:B2434,2),IF(D1054&gt;0,VLOOKUP(D1054,Программа!A$1:B$5063,2),IF(F1054&gt;0,VLOOKUP(F1054,КВР!A$1:B$5001,2),IF(E1054&gt;0,VLOOKUP(E1054,Направление!A$1:B$4746,2))))))</f>
        <v>Закупка товаров, работ и услуг для государственных нужд</v>
      </c>
      <c r="B1054" s="96"/>
      <c r="C1054" s="97"/>
      <c r="D1054" s="98"/>
      <c r="E1054" s="96"/>
      <c r="F1054" s="98">
        <v>200</v>
      </c>
      <c r="G1054" s="387">
        <v>4827</v>
      </c>
      <c r="H1054" s="382"/>
      <c r="I1054" s="50">
        <f t="shared" si="290"/>
        <v>4827</v>
      </c>
    </row>
    <row r="1055" spans="1:9">
      <c r="A1055" s="54" t="s">
        <v>1148</v>
      </c>
      <c r="B1055" s="77"/>
      <c r="C1055" s="77"/>
      <c r="D1055" s="89"/>
      <c r="E1055" s="449"/>
      <c r="F1055" s="77"/>
      <c r="G1055" s="55">
        <v>1903091504.6800001</v>
      </c>
      <c r="H1055" s="55">
        <f>SUM(H10+H213+H250+H449+H564+H605+H754+H1043)</f>
        <v>72015658.299999997</v>
      </c>
      <c r="I1055" s="86">
        <f>SUM(G1055:H1055)</f>
        <v>1975107162.98</v>
      </c>
    </row>
    <row r="1056" spans="1:9">
      <c r="E1056" s="88"/>
    </row>
    <row r="1059" spans="7:7">
      <c r="G1059" s="415"/>
    </row>
  </sheetData>
  <sheetProtection formatCells="0"/>
  <protectedRanges>
    <protectedRange password="EE71" sqref="E1057:E1098 B1056:D1097 F1056:F1097" name="Диапазон1" securityDescriptor="O:WDG:WDD:(A;;CC;;;S-1-5-21-796845957-1547161642-725345543-1004)"/>
    <protectedRange sqref="G46:H57 G268:H270 G281:H287 G250:H250 G390:H390 G414:H414 G462:H465 G645:H645 G598:H599 G712:H718 G611:H626 G564:H564 I1025 G601:H604 G728:H750 G442:H443 G446:H446 I438 G1020:I1022 G1023:H1031 G98:H104 G58:I59 I57 G60:H67 G68:I68 G69:H69 G75:H82 G72:I74 G423:H439 G422:I422 G420:H421 G415:I419 G447:I447 G448:H448 G444:I445 I623:I625 I620 I618 G1001:H1014 G1019:H1019 G1015:I1018 G84:H93 G83:I83 G721:H722 G719:I720 G71:H71 G70:I70 I65 G650:H654 G656:H656 G658:H666 G655:I655 G657:I657" name="Диапазон1_14"/>
  </protectedRanges>
  <dataConsolidate/>
  <customSheetViews>
    <customSheetView guid="{91923F83-3A6B-4204-9891-178562AB34F1}" scale="90" showPageBreaks="1" printArea="1" showAutoFilter="1" view="pageBreakPreview" showRuler="0" topLeftCell="A677">
      <selection activeCell="G685" sqref="G685"/>
      <rowBreaks count="30" manualBreakCount="30">
        <brk id="27" max="6" man="1"/>
        <brk id="46" max="6" man="1"/>
        <brk id="73" max="6" man="1"/>
        <brk id="96" max="6" man="1"/>
        <brk id="121" max="6" man="1"/>
        <brk id="147" max="6" man="1"/>
        <brk id="170" max="6" man="1"/>
        <brk id="197" max="6" man="1"/>
        <brk id="222" max="6" man="1"/>
        <brk id="246" max="6" man="1"/>
        <brk id="271" max="6" man="1"/>
        <brk id="296" max="6" man="1"/>
        <brk id="325" max="6" man="1"/>
        <brk id="351" max="6" man="1"/>
        <brk id="376" max="6" man="1"/>
        <brk id="402" max="6" man="1"/>
        <brk id="428" max="6" man="1"/>
        <brk id="456" max="6" man="1"/>
        <brk id="482" max="6" man="1"/>
        <brk id="504" max="6" man="1"/>
        <brk id="529" max="6" man="1"/>
        <brk id="551" max="6" man="1"/>
        <brk id="576" max="6" man="1"/>
        <brk id="600" max="6" man="1"/>
        <brk id="624" max="6" man="1"/>
        <brk id="649" max="6" man="1"/>
        <brk id="673" max="6" man="1"/>
        <brk id="696" max="6" man="1"/>
        <brk id="722" max="6" man="1"/>
        <brk id="746" max="6" man="1"/>
      </rowBreaks>
      <pageMargins left="0.78740157480314965" right="0.19685039370078741" top="0.39370078740157483" bottom="0.59055118110236227" header="0.31496062992125984" footer="0.31496062992125984"/>
      <pageSetup paperSize="9" scale="90" orientation="portrait" r:id="rId1"/>
      <headerFooter alignWithMargins="0">
        <oddFooter>&amp;C&amp;P</oddFooter>
      </headerFooter>
      <autoFilter ref="B1:J1"/>
    </customSheetView>
    <customSheetView guid="{66DBF0AC-E9A0-482F-9E41-1928B6CA83DC}" scale="90" showPageBreaks="1" showAutoFilter="1" view="pageBreakPreview" showRuler="0" topLeftCell="B748">
      <selection activeCell="F760" sqref="F760"/>
      <rowBreaks count="30" manualBreakCount="30">
        <brk id="27" max="6" man="1"/>
        <brk id="46" max="6" man="1"/>
        <brk id="73" max="6" man="1"/>
        <brk id="96" max="6" man="1"/>
        <brk id="121" max="6" man="1"/>
        <brk id="147" max="6" man="1"/>
        <brk id="170" max="6" man="1"/>
        <brk id="197" max="6" man="1"/>
        <brk id="222" max="6" man="1"/>
        <brk id="246" max="6" man="1"/>
        <brk id="271" max="6" man="1"/>
        <brk id="296" max="6" man="1"/>
        <brk id="325" max="6" man="1"/>
        <brk id="351" max="6" man="1"/>
        <brk id="376" max="6" man="1"/>
        <brk id="402" max="6" man="1"/>
        <brk id="428" max="6" man="1"/>
        <brk id="456" max="6" man="1"/>
        <brk id="482" max="6" man="1"/>
        <brk id="504" max="6" man="1"/>
        <brk id="529" max="6" man="1"/>
        <brk id="551" max="6" man="1"/>
        <brk id="576" max="6" man="1"/>
        <brk id="600" max="6" man="1"/>
        <brk id="624" max="6" man="1"/>
        <brk id="649" max="6" man="1"/>
        <brk id="673" max="6" man="1"/>
        <brk id="696" max="6" man="1"/>
        <brk id="722" max="6" man="1"/>
        <brk id="746" max="6" man="1"/>
      </rowBreaks>
      <pageMargins left="0.78740157480314965" right="0.19685039370078741" top="0.39370078740157483" bottom="0.59055118110236227" header="0.31496062992125984" footer="0.31496062992125984"/>
      <pageSetup paperSize="9" scale="90" orientation="portrait" r:id="rId2"/>
      <headerFooter alignWithMargins="0">
        <oddFooter>&amp;C&amp;P</oddFooter>
      </headerFooter>
      <autoFilter ref="B1:J1"/>
    </customSheetView>
    <customSheetView guid="{A5E41FC9-89B1-40D2-B587-57BC4C5E4715}" scale="90" showPageBreaks="1" printArea="1" showAutoFilter="1" view="pageBreakPreview" showRuler="0" topLeftCell="B256">
      <selection activeCell="G263" sqref="G263"/>
      <rowBreaks count="30" manualBreakCount="30">
        <brk id="27" max="6" man="1"/>
        <brk id="46" max="6" man="1"/>
        <brk id="73" max="6" man="1"/>
        <brk id="96" max="6" man="1"/>
        <brk id="121" max="6" man="1"/>
        <brk id="147" max="6" man="1"/>
        <brk id="170" max="6" man="1"/>
        <brk id="197" max="6" man="1"/>
        <brk id="222" max="6" man="1"/>
        <brk id="246" max="6" man="1"/>
        <brk id="271" max="6" man="1"/>
        <brk id="296" max="6" man="1"/>
        <brk id="325" max="6" man="1"/>
        <brk id="351" max="6" man="1"/>
        <brk id="376" max="6" man="1"/>
        <brk id="402" max="6" man="1"/>
        <brk id="428" max="6" man="1"/>
        <brk id="456" max="6" man="1"/>
        <brk id="482" max="6" man="1"/>
        <brk id="504" max="6" man="1"/>
        <brk id="529" max="6" man="1"/>
        <brk id="551" max="6" man="1"/>
        <brk id="576" max="6" man="1"/>
        <brk id="600" max="6" man="1"/>
        <brk id="624" max="6" man="1"/>
        <brk id="649" max="6" man="1"/>
        <brk id="673" max="6" man="1"/>
        <brk id="696" max="6" man="1"/>
        <brk id="722" max="6" man="1"/>
        <brk id="746" max="6" man="1"/>
      </rowBreaks>
      <pageMargins left="0.78740157480314965" right="0.19685039370078741" top="0.39370078740157483" bottom="0.59055118110236227" header="0.31496062992125984" footer="0.31496062992125984"/>
      <pageSetup paperSize="9" scale="90" orientation="portrait" r:id="rId3"/>
      <headerFooter alignWithMargins="0">
        <oddFooter>&amp;C&amp;P</oddFooter>
      </headerFooter>
      <autoFilter ref="B1:J1"/>
    </customSheetView>
    <customSheetView guid="{F3607253-7816-4CF7-9CFD-2ADFFAD916F8}" scale="90" showPageBreaks="1" printArea="1" showAutoFilter="1" view="pageBreakPreview" showRuler="0">
      <selection activeCell="G48" sqref="G48"/>
      <rowBreaks count="30" manualBreakCount="30">
        <brk id="27" max="6" man="1"/>
        <brk id="46" max="6" man="1"/>
        <brk id="73" max="6" man="1"/>
        <brk id="96" max="6" man="1"/>
        <brk id="121" max="6" man="1"/>
        <brk id="147" max="6" man="1"/>
        <brk id="170" max="6" man="1"/>
        <brk id="197" max="6" man="1"/>
        <brk id="222" max="6" man="1"/>
        <brk id="246" max="6" man="1"/>
        <brk id="271" max="6" man="1"/>
        <brk id="296" max="6" man="1"/>
        <brk id="325" max="6" man="1"/>
        <brk id="351" max="6" man="1"/>
        <brk id="376" max="6" man="1"/>
        <brk id="402" max="6" man="1"/>
        <brk id="428" max="6" man="1"/>
        <brk id="456" max="6" man="1"/>
        <brk id="482" max="6" man="1"/>
        <brk id="504" max="6" man="1"/>
        <brk id="529" max="6" man="1"/>
        <brk id="551" max="6" man="1"/>
        <brk id="576" max="6" man="1"/>
        <brk id="600" max="6" man="1"/>
        <brk id="624" max="6" man="1"/>
        <brk id="649" max="6" man="1"/>
        <brk id="673" max="6" man="1"/>
        <brk id="696" max="6" man="1"/>
        <brk id="722" max="6" man="1"/>
        <brk id="746" max="6" man="1"/>
      </rowBreaks>
      <pageMargins left="0.78740157480314965" right="0.19685039370078741" top="0.39370078740157483" bottom="0.59055118110236227" header="0.31496062992125984" footer="0.31496062992125984"/>
      <pageSetup paperSize="9" scale="90" orientation="portrait" r:id="rId4"/>
      <headerFooter alignWithMargins="0">
        <oddFooter>&amp;C&amp;P</oddFooter>
      </headerFooter>
      <autoFilter ref="B1:J1"/>
    </customSheetView>
    <customSheetView guid="{B3311466-F005-49F1-A579-3E6CECE305A8}" scale="90" showPageBreaks="1" printArea="1" showAutoFilter="1" view="pageBreakPreview" showRuler="0" topLeftCell="A625">
      <selection activeCell="E644" sqref="E644"/>
      <rowBreaks count="31" manualBreakCount="31">
        <brk id="27" max="6" man="1"/>
        <brk id="46" max="6" man="1"/>
        <brk id="73" max="6" man="1"/>
        <brk id="96" max="6" man="1"/>
        <brk id="121" max="6" man="1"/>
        <brk id="147" max="6" man="1"/>
        <brk id="170" max="6" man="1"/>
        <brk id="197" max="6" man="1"/>
        <brk id="222" max="6" man="1"/>
        <brk id="246" max="6" man="1"/>
        <brk id="271" max="6" man="1"/>
        <brk id="296" max="6" man="1"/>
        <brk id="325" max="6" man="1"/>
        <brk id="351" max="6" man="1"/>
        <brk id="376" max="6" man="1"/>
        <brk id="402" max="6" man="1"/>
        <brk id="428" max="6" man="1"/>
        <brk id="456" max="6" man="1"/>
        <brk id="482" max="6" man="1"/>
        <brk id="504" max="6" man="1"/>
        <brk id="529" max="6" man="1"/>
        <brk id="551" max="6" man="1"/>
        <brk id="576" max="6" man="1"/>
        <brk id="600" max="6" man="1"/>
        <brk id="624" max="6" man="1"/>
        <brk id="650" max="6" man="1"/>
        <brk id="652" max="6" man="1"/>
        <brk id="676" max="6" man="1"/>
        <brk id="699" max="6" man="1"/>
        <brk id="725" max="6" man="1"/>
        <brk id="749" max="6" man="1"/>
      </rowBreaks>
      <pageMargins left="0.78740157480314965" right="0.19685039370078741" top="0.39370078740157483" bottom="0.59055118110236227" header="0.31496062992125984" footer="0.31496062992125984"/>
      <pageSetup paperSize="9" scale="90" orientation="portrait" r:id="rId5"/>
      <headerFooter alignWithMargins="0">
        <oddFooter>&amp;C&amp;P</oddFooter>
      </headerFooter>
      <autoFilter ref="B1:J1"/>
    </customSheetView>
    <customSheetView guid="{E5662E33-D4B0-43EA-9B06-C8DA9DFDBEF6}" scale="90" showPageBreaks="1" printArea="1" showAutoFilter="1" view="pageBreakPreview" showRuler="0" topLeftCell="A641">
      <selection activeCell="G644" sqref="G644"/>
      <rowBreaks count="33" manualBreakCount="33">
        <brk id="27" max="6" man="1"/>
        <brk id="46" max="6" man="1"/>
        <brk id="73" max="6" man="1"/>
        <brk id="96" max="6" man="1"/>
        <brk id="121" max="6" man="1"/>
        <brk id="147" max="6" man="1"/>
        <brk id="170" max="6" man="1"/>
        <brk id="197" max="6" man="1"/>
        <brk id="222" max="6" man="1"/>
        <brk id="246" max="6" man="1"/>
        <brk id="271" max="6" man="1"/>
        <brk id="296" max="6" man="1"/>
        <brk id="325" max="6" man="1"/>
        <brk id="351" max="6" man="1"/>
        <brk id="376" max="6" man="1"/>
        <brk id="402" max="6" man="1"/>
        <brk id="428" max="6" man="1"/>
        <brk id="456" max="6" man="1"/>
        <brk id="482" max="6" man="1"/>
        <brk id="504" max="6" man="1"/>
        <brk id="529" max="6" man="1"/>
        <brk id="551" max="6" man="1"/>
        <brk id="576" max="6" man="1"/>
        <brk id="600" max="6" man="1"/>
        <brk id="624" max="6" man="1"/>
        <brk id="649" max="6" man="1"/>
        <brk id="673" max="6" man="1"/>
        <brk id="695" max="6" man="1"/>
        <brk id="696" max="6" man="1"/>
        <brk id="721" max="6" man="1"/>
        <brk id="722" max="6" man="1"/>
        <brk id="745" max="6" man="1"/>
        <brk id="746" max="6" man="1"/>
      </rowBreaks>
      <pageMargins left="0.78740157480314965" right="0.19685039370078741" top="0.39370078740157483" bottom="0.59055118110236227" header="0.31496062992125984" footer="0.31496062992125984"/>
      <pageSetup paperSize="9" scale="90" orientation="portrait" r:id="rId6"/>
      <headerFooter alignWithMargins="0">
        <oddFooter>&amp;C&amp;P</oddFooter>
      </headerFooter>
      <autoFilter ref="B1:J1"/>
    </customSheetView>
  </customSheetViews>
  <mergeCells count="13">
    <mergeCell ref="A1:I1"/>
    <mergeCell ref="A2:I2"/>
    <mergeCell ref="A3:I3"/>
    <mergeCell ref="A4:I4"/>
    <mergeCell ref="A6:I6"/>
    <mergeCell ref="H8:H9"/>
    <mergeCell ref="I8:I9"/>
    <mergeCell ref="G8:G9"/>
    <mergeCell ref="A8:A9"/>
    <mergeCell ref="B8:B9"/>
    <mergeCell ref="C8:C9"/>
    <mergeCell ref="D8:E8"/>
    <mergeCell ref="F8:F9"/>
  </mergeCells>
  <phoneticPr fontId="0" type="noConversion"/>
  <pageMargins left="0.70866141732283472" right="0.70866141732283472" top="0.74803149606299213" bottom="0.74803149606299213" header="0.31496062992125984" footer="0.31496062992125984"/>
  <pageSetup paperSize="9" scale="86" fitToHeight="0" orientation="portrait" r:id="rId7"/>
  <headerFooter alignWithMargins="0">
    <oddFooter>&amp;C&amp;P</oddFooter>
  </headerFooter>
  <rowBreaks count="2" manualBreakCount="2">
    <brk id="737" max="8" man="1"/>
    <brk id="764" max="8" man="1"/>
  </rowBreaks>
</worksheet>
</file>

<file path=xl/worksheets/sheet15.xml><?xml version="1.0" encoding="utf-8"?>
<worksheet xmlns="http://schemas.openxmlformats.org/spreadsheetml/2006/main" xmlns:r="http://schemas.openxmlformats.org/officeDocument/2006/relationships">
  <sheetPr codeName="Лист13">
    <pageSetUpPr fitToPage="1"/>
  </sheetPr>
  <dimension ref="A1:L443"/>
  <sheetViews>
    <sheetView showGridLines="0" view="pageBreakPreview" zoomScale="80" zoomScaleSheetLayoutView="80" workbookViewId="0">
      <selection activeCell="B14" sqref="B14"/>
    </sheetView>
  </sheetViews>
  <sheetFormatPr defaultColWidth="9.109375" defaultRowHeight="13.2"/>
  <cols>
    <col min="1" max="1" width="44.44140625" style="154" customWidth="1"/>
    <col min="2" max="2" width="10.6640625" style="154" customWidth="1"/>
    <col min="3" max="3" width="8.44140625" style="154" customWidth="1"/>
    <col min="4" max="4" width="12" style="275" customWidth="1"/>
    <col min="5" max="5" width="8.109375" style="279" customWidth="1"/>
    <col min="6" max="6" width="8.88671875" style="154" customWidth="1"/>
    <col min="7" max="7" width="16.6640625" style="158" hidden="1" customWidth="1"/>
    <col min="8" max="8" width="17.88671875" style="154" hidden="1" customWidth="1"/>
    <col min="9" max="9" width="18.33203125" style="154" customWidth="1"/>
    <col min="10" max="10" width="16.33203125" style="158" hidden="1" customWidth="1"/>
    <col min="11" max="11" width="14.33203125" style="154" hidden="1" customWidth="1"/>
    <col min="12" max="12" width="17.5546875" style="601" customWidth="1"/>
    <col min="13" max="16384" width="9.109375" style="154"/>
  </cols>
  <sheetData>
    <row r="1" spans="1:12" ht="15.6">
      <c r="A1" s="881" t="s">
        <v>1590</v>
      </c>
      <c r="B1" s="881"/>
      <c r="C1" s="881"/>
      <c r="D1" s="881"/>
      <c r="E1" s="881"/>
      <c r="F1" s="881"/>
      <c r="G1" s="881"/>
      <c r="H1" s="881"/>
      <c r="I1" s="881"/>
      <c r="J1" s="881"/>
      <c r="K1" s="881"/>
      <c r="L1" s="881"/>
    </row>
    <row r="2" spans="1:12" ht="15.6">
      <c r="A2" s="881" t="s">
        <v>1069</v>
      </c>
      <c r="B2" s="881"/>
      <c r="C2" s="881"/>
      <c r="D2" s="881"/>
      <c r="E2" s="881"/>
      <c r="F2" s="881"/>
      <c r="G2" s="881"/>
      <c r="H2" s="881"/>
      <c r="I2" s="881"/>
      <c r="J2" s="881"/>
      <c r="K2" s="881"/>
      <c r="L2" s="881"/>
    </row>
    <row r="3" spans="1:12" ht="15.6">
      <c r="A3" s="881" t="s">
        <v>720</v>
      </c>
      <c r="B3" s="881"/>
      <c r="C3" s="881"/>
      <c r="D3" s="881"/>
      <c r="E3" s="881"/>
      <c r="F3" s="881"/>
      <c r="G3" s="881"/>
      <c r="H3" s="881"/>
      <c r="I3" s="881"/>
      <c r="J3" s="881"/>
      <c r="K3" s="881"/>
      <c r="L3" s="881"/>
    </row>
    <row r="4" spans="1:12" ht="15.6">
      <c r="A4" s="881" t="s">
        <v>3148</v>
      </c>
      <c r="B4" s="881"/>
      <c r="C4" s="881"/>
      <c r="D4" s="881"/>
      <c r="E4" s="881"/>
      <c r="F4" s="881"/>
      <c r="G4" s="881"/>
      <c r="H4" s="881"/>
      <c r="I4" s="881"/>
      <c r="J4" s="881"/>
      <c r="K4" s="881"/>
      <c r="L4" s="881"/>
    </row>
    <row r="5" spans="1:12" ht="15.6">
      <c r="A5" s="78"/>
      <c r="B5" s="79"/>
      <c r="C5" s="79"/>
      <c r="D5" s="265"/>
      <c r="E5" s="269"/>
      <c r="F5" s="79"/>
      <c r="G5" s="791"/>
      <c r="H5" s="791"/>
      <c r="I5" s="791"/>
      <c r="J5" s="791"/>
      <c r="K5" s="791"/>
      <c r="L5" s="791"/>
    </row>
    <row r="6" spans="1:12" ht="48.6" customHeight="1">
      <c r="A6" s="885" t="s">
        <v>2626</v>
      </c>
      <c r="B6" s="885"/>
      <c r="C6" s="885"/>
      <c r="D6" s="885"/>
      <c r="E6" s="885"/>
      <c r="F6" s="885"/>
      <c r="G6" s="885"/>
      <c r="H6" s="885"/>
      <c r="I6" s="885"/>
      <c r="J6" s="885"/>
      <c r="K6" s="885"/>
      <c r="L6" s="885"/>
    </row>
    <row r="7" spans="1:12" ht="29.4" customHeight="1">
      <c r="A7" s="16"/>
      <c r="B7" s="17"/>
      <c r="C7" s="17"/>
      <c r="D7" s="266"/>
      <c r="E7" s="270"/>
      <c r="F7" s="17"/>
      <c r="G7" s="883"/>
      <c r="H7" s="883"/>
      <c r="I7" s="883"/>
      <c r="J7" s="883"/>
      <c r="K7" s="883"/>
      <c r="L7" s="883"/>
    </row>
    <row r="8" spans="1:12" ht="12.75" customHeight="1">
      <c r="A8" s="878" t="s">
        <v>970</v>
      </c>
      <c r="B8" s="879" t="s">
        <v>1393</v>
      </c>
      <c r="C8" s="879" t="s">
        <v>1522</v>
      </c>
      <c r="D8" s="880" t="s">
        <v>2406</v>
      </c>
      <c r="E8" s="880"/>
      <c r="F8" s="879" t="s">
        <v>1523</v>
      </c>
      <c r="G8" s="884" t="s">
        <v>3230</v>
      </c>
      <c r="H8" s="877" t="s">
        <v>1140</v>
      </c>
      <c r="I8" s="877" t="s">
        <v>2524</v>
      </c>
      <c r="J8" s="884" t="s">
        <v>3231</v>
      </c>
      <c r="K8" s="877" t="s">
        <v>1140</v>
      </c>
      <c r="L8" s="877" t="s">
        <v>2617</v>
      </c>
    </row>
    <row r="9" spans="1:12" ht="57.75" customHeight="1">
      <c r="A9" s="878"/>
      <c r="B9" s="879"/>
      <c r="C9" s="879"/>
      <c r="D9" s="326" t="s">
        <v>2417</v>
      </c>
      <c r="E9" s="327" t="s">
        <v>2416</v>
      </c>
      <c r="F9" s="879"/>
      <c r="G9" s="884"/>
      <c r="H9" s="877"/>
      <c r="I9" s="877"/>
      <c r="J9" s="884"/>
      <c r="K9" s="877"/>
      <c r="L9" s="877"/>
    </row>
    <row r="10" spans="1:12" ht="31.2">
      <c r="A10" s="300" t="str">
        <f>IF(B10&gt;0,VLOOKUP(B10,КВСР!A1:B1166,2),IF(C10&gt;0,VLOOKUP(C10,КФСР!A1:B1513,2),IF(D10&gt;0,VLOOKUP(D10,Программа!A$1:B$5063,2),IF(F10&gt;0,VLOOKUP(F10,КВР!A$1:B$5001,2),IF(E10&gt;0,VLOOKUP(E10,Направление!A$1:B$4746,2))))))</f>
        <v>Администрация Тутаевского муниципального района</v>
      </c>
      <c r="B10" s="87">
        <v>950</v>
      </c>
      <c r="C10" s="88"/>
      <c r="D10" s="77"/>
      <c r="E10" s="88"/>
      <c r="F10" s="89"/>
      <c r="G10" s="595">
        <v>52330693</v>
      </c>
      <c r="H10" s="86">
        <f>H11+H15+H22+H26+H47+H53+H41+H66</f>
        <v>11479870</v>
      </c>
      <c r="I10" s="86">
        <f t="shared" ref="I10:L10" si="0">I11+I15+I22+I26+I47+I53+I41+I66</f>
        <v>63810563</v>
      </c>
      <c r="J10" s="86">
        <v>39106247</v>
      </c>
      <c r="K10" s="86">
        <f t="shared" si="0"/>
        <v>0</v>
      </c>
      <c r="L10" s="86">
        <f t="shared" si="0"/>
        <v>39106247</v>
      </c>
    </row>
    <row r="11" spans="1:12" ht="62.4">
      <c r="A11" s="49" t="str">
        <f>IF(B11&gt;0,VLOOKUP(B11,КВСР!A2:B1167,2),IF(C11&gt;0,VLOOKUP(C11,КФСР!A2:B1514,2),IF(D11&gt;0,VLOOKUP(D11,Программа!A$1:B$5063,2),IF(F11&gt;0,VLOOKUP(F11,КВР!A$1:B$5001,2),IF(E11&gt;0,VLOOKUP(E11,Направление!A$1:B$4746,2))))))</f>
        <v>Функционирование высшего должностного лица субъекта Российской Федерации и муниципального образования</v>
      </c>
      <c r="B11" s="90"/>
      <c r="C11" s="88">
        <v>102</v>
      </c>
      <c r="D11" s="77"/>
      <c r="E11" s="88"/>
      <c r="F11" s="89"/>
      <c r="G11" s="387">
        <v>1473723</v>
      </c>
      <c r="H11" s="50">
        <f t="shared" ref="H11:H13" si="1">H12</f>
        <v>0</v>
      </c>
      <c r="I11" s="50">
        <f t="shared" ref="I11:I107" si="2">SUM(G11:H11)</f>
        <v>1473723</v>
      </c>
      <c r="J11" s="387">
        <v>1473723</v>
      </c>
      <c r="K11" s="50">
        <f t="shared" ref="K11:K13" si="3">K12</f>
        <v>0</v>
      </c>
      <c r="L11" s="50">
        <f t="shared" ref="L11:L107" si="4">SUM(J11:K11)</f>
        <v>1473723</v>
      </c>
    </row>
    <row r="12" spans="1:12" ht="15.6">
      <c r="A12" s="49" t="str">
        <f>IF(B12&gt;0,VLOOKUP(B12,КВСР!A3:B1168,2),IF(C12&gt;0,VLOOKUP(C12,КФСР!A3:B1515,2),IF(D12&gt;0,VLOOKUP(D12,Программа!A$1:B$5063,2),IF(F12&gt;0,VLOOKUP(F12,КВР!A$1:B$5001,2),IF(E12&gt;0,VLOOKUP(E12,Направление!A$1:B$4746,2))))))</f>
        <v>Непрограммные расходы бюджета</v>
      </c>
      <c r="B12" s="90"/>
      <c r="C12" s="88"/>
      <c r="D12" s="77" t="s">
        <v>2852</v>
      </c>
      <c r="E12" s="88"/>
      <c r="F12" s="89"/>
      <c r="G12" s="387">
        <v>1473723</v>
      </c>
      <c r="H12" s="50">
        <f t="shared" si="1"/>
        <v>0</v>
      </c>
      <c r="I12" s="50">
        <f t="shared" si="2"/>
        <v>1473723</v>
      </c>
      <c r="J12" s="387">
        <v>1473723</v>
      </c>
      <c r="K12" s="50">
        <f t="shared" si="3"/>
        <v>0</v>
      </c>
      <c r="L12" s="50">
        <f t="shared" si="4"/>
        <v>1473723</v>
      </c>
    </row>
    <row r="13" spans="1:12" ht="31.2">
      <c r="A13" s="49" t="str">
        <f>IF(B13&gt;0,VLOOKUP(B13,КВСР!A4:B1169,2),IF(C13&gt;0,VLOOKUP(C13,КФСР!A4:B1516,2),IF(D13&gt;0,VLOOKUP(D13,Программа!A$1:B$5063,2),IF(F13&gt;0,VLOOKUP(F13,КВР!A$1:B$5001,2),IF(E13&gt;0,VLOOKUP(E13,Направление!A$1:B$4746,2))))))</f>
        <v>Содержание главы муниципального образования</v>
      </c>
      <c r="B13" s="90"/>
      <c r="C13" s="88"/>
      <c r="D13" s="77"/>
      <c r="E13" s="88">
        <v>12020</v>
      </c>
      <c r="F13" s="89"/>
      <c r="G13" s="387">
        <v>1473723</v>
      </c>
      <c r="H13" s="50">
        <f t="shared" si="1"/>
        <v>0</v>
      </c>
      <c r="I13" s="50">
        <f t="shared" si="2"/>
        <v>1473723</v>
      </c>
      <c r="J13" s="387">
        <v>1473723</v>
      </c>
      <c r="K13" s="50">
        <f t="shared" si="3"/>
        <v>0</v>
      </c>
      <c r="L13" s="50">
        <f t="shared" si="4"/>
        <v>1473723</v>
      </c>
    </row>
    <row r="14" spans="1:12" ht="93.6">
      <c r="A14" s="49" t="str">
        <f>IF(B14&gt;0,VLOOKUP(B14,КВСР!A5:B1170,2),IF(C14&gt;0,VLOOKUP(C14,КФСР!A5:B1517,2),IF(D14&gt;0,VLOOKUP(D14,Программа!A$1:B$5063,2),IF(F14&gt;0,VLOOKUP(F14,КВР!A$1:B$5001,2),IF(E14&gt;0,VLOOKUP(E14,Направление!A$1:B$4746,2))))))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14" s="90"/>
      <c r="C14" s="88"/>
      <c r="D14" s="77"/>
      <c r="E14" s="88"/>
      <c r="F14" s="89">
        <v>100</v>
      </c>
      <c r="G14" s="387">
        <v>1473723</v>
      </c>
      <c r="H14" s="385"/>
      <c r="I14" s="50">
        <f t="shared" si="2"/>
        <v>1473723</v>
      </c>
      <c r="J14" s="387">
        <v>1473723</v>
      </c>
      <c r="K14" s="385"/>
      <c r="L14" s="50">
        <f t="shared" si="4"/>
        <v>1473723</v>
      </c>
    </row>
    <row r="15" spans="1:12" ht="93.6">
      <c r="A15" s="49" t="str">
        <f>IF(B15&gt;0,VLOOKUP(B15,КВСР!A7:B1172,2),IF(C15&gt;0,VLOOKUP(C15,КФСР!A7:B1519,2),IF(D15&gt;0,VLOOKUP(D15,Программа!A$1:B$5063,2),IF(F15&gt;0,VLOOKUP(F15,КВР!A$1:B$5001,2),IF(E15&gt;0,VLOOKUP(E15,Направление!A$1:B$4746,2))))))</f>
        <v>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v>
      </c>
      <c r="B15" s="91"/>
      <c r="C15" s="84">
        <v>104</v>
      </c>
      <c r="D15" s="444"/>
      <c r="E15" s="84"/>
      <c r="F15" s="85"/>
      <c r="G15" s="387">
        <v>33464069</v>
      </c>
      <c r="H15" s="50">
        <f t="shared" ref="H15:H17" si="5">H16</f>
        <v>0</v>
      </c>
      <c r="I15" s="50">
        <f t="shared" si="2"/>
        <v>33464069</v>
      </c>
      <c r="J15" s="387">
        <v>27122183</v>
      </c>
      <c r="K15" s="50">
        <f t="shared" ref="K15:K17" si="6">K16</f>
        <v>0</v>
      </c>
      <c r="L15" s="50">
        <f t="shared" si="4"/>
        <v>27122183</v>
      </c>
    </row>
    <row r="16" spans="1:12" ht="15.6">
      <c r="A16" s="49" t="str">
        <f>IF(B16&gt;0,VLOOKUP(B16,КВСР!A8:B1173,2),IF(C16&gt;0,VLOOKUP(C16,КФСР!A8:B1520,2),IF(D16&gt;0,VLOOKUP(D16,Программа!A$1:B$5063,2),IF(F16&gt;0,VLOOKUP(F16,КВР!A$1:B$5001,2),IF(E16&gt;0,VLOOKUP(E16,Направление!A$1:B$4746,2))))))</f>
        <v>Непрограммные расходы бюджета</v>
      </c>
      <c r="B16" s="91"/>
      <c r="C16" s="84"/>
      <c r="D16" s="444" t="s">
        <v>2852</v>
      </c>
      <c r="E16" s="84"/>
      <c r="F16" s="85"/>
      <c r="G16" s="387">
        <v>33464069</v>
      </c>
      <c r="H16" s="50">
        <f t="shared" ref="H16" si="7">H17+H19</f>
        <v>0</v>
      </c>
      <c r="I16" s="50">
        <f t="shared" si="2"/>
        <v>33464069</v>
      </c>
      <c r="J16" s="387">
        <v>27122183</v>
      </c>
      <c r="K16" s="50">
        <f t="shared" ref="K16" si="8">K17+K19</f>
        <v>0</v>
      </c>
      <c r="L16" s="50">
        <f t="shared" si="4"/>
        <v>27122183</v>
      </c>
    </row>
    <row r="17" spans="1:12" ht="15.6">
      <c r="A17" s="49" t="str">
        <f>IF(B17&gt;0,VLOOKUP(B17,КВСР!A9:B1174,2),IF(C17&gt;0,VLOOKUP(C17,КФСР!A9:B1521,2),IF(D17&gt;0,VLOOKUP(D17,Программа!A$1:B$5063,2),IF(F17&gt;0,VLOOKUP(F17,КВР!A$1:B$5001,2),IF(E17&gt;0,VLOOKUP(E17,Направление!A$1:B$4746,2))))))</f>
        <v>Содержание центрального аппарата</v>
      </c>
      <c r="B17" s="91"/>
      <c r="C17" s="84"/>
      <c r="D17" s="77"/>
      <c r="E17" s="88">
        <v>12010</v>
      </c>
      <c r="F17" s="85"/>
      <c r="G17" s="387">
        <v>27122183</v>
      </c>
      <c r="H17" s="50">
        <f t="shared" si="5"/>
        <v>0</v>
      </c>
      <c r="I17" s="50">
        <f t="shared" si="2"/>
        <v>27122183</v>
      </c>
      <c r="J17" s="387">
        <v>27122183</v>
      </c>
      <c r="K17" s="50">
        <f t="shared" si="6"/>
        <v>0</v>
      </c>
      <c r="L17" s="50">
        <f t="shared" si="4"/>
        <v>27122183</v>
      </c>
    </row>
    <row r="18" spans="1:12" ht="93.6">
      <c r="A18" s="49" t="str">
        <f>IF(B18&gt;0,VLOOKUP(B18,КВСР!A10:B1175,2),IF(C18&gt;0,VLOOKUP(C18,КФСР!A10:B1522,2),IF(D18&gt;0,VLOOKUP(D18,Программа!A$1:B$5063,2),IF(F18&gt;0,VLOOKUP(F18,КВР!A$1:B$5001,2),IF(E18&gt;0,VLOOKUP(E18,Направление!A$1:B$4746,2))))))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18" s="91"/>
      <c r="C18" s="84"/>
      <c r="D18" s="444"/>
      <c r="E18" s="84"/>
      <c r="F18" s="85">
        <v>100</v>
      </c>
      <c r="G18" s="387">
        <v>27122183</v>
      </c>
      <c r="H18" s="385"/>
      <c r="I18" s="50">
        <f t="shared" si="2"/>
        <v>27122183</v>
      </c>
      <c r="J18" s="387">
        <v>27122183</v>
      </c>
      <c r="K18" s="385"/>
      <c r="L18" s="50">
        <f t="shared" si="4"/>
        <v>27122183</v>
      </c>
    </row>
    <row r="19" spans="1:12" ht="46.8">
      <c r="A19" s="49" t="str">
        <f>IF(B19&gt;0,VLOOKUP(B19,КВСР!A11:B1176,2),IF(C19&gt;0,VLOOKUP(C19,КФСР!A11:B1523,2),IF(D19&gt;0,VLOOKUP(D19,Программа!A$1:B$5063,2),IF(F19&gt;0,VLOOKUP(F19,КВР!A$1:B$5001,2),IF(E19&gt;0,VLOOKUP(E19,Направление!A$1:B$4746,2))))))</f>
        <v>Содержание органов местного самоуправления за счет средств поселений</v>
      </c>
      <c r="B19" s="91"/>
      <c r="C19" s="84"/>
      <c r="D19" s="444"/>
      <c r="E19" s="84">
        <v>29016</v>
      </c>
      <c r="F19" s="85"/>
      <c r="G19" s="387">
        <v>6341886</v>
      </c>
      <c r="H19" s="50">
        <f t="shared" ref="H19" si="9">H20+H21</f>
        <v>0</v>
      </c>
      <c r="I19" s="50">
        <f t="shared" si="2"/>
        <v>6341886</v>
      </c>
      <c r="J19" s="387">
        <v>0</v>
      </c>
      <c r="K19" s="50">
        <f t="shared" ref="K19" si="10">K20+K21</f>
        <v>0</v>
      </c>
      <c r="L19" s="50">
        <f t="shared" si="4"/>
        <v>0</v>
      </c>
    </row>
    <row r="20" spans="1:12" ht="93.6">
      <c r="A20" s="49" t="str">
        <f>IF(B20&gt;0,VLOOKUP(B20,КВСР!A12:B1177,2),IF(C20&gt;0,VLOOKUP(C20,КФСР!A12:B1524,2),IF(D20&gt;0,VLOOKUP(D20,Программа!A$1:B$5063,2),IF(F20&gt;0,VLOOKUP(F20,КВР!A$1:B$5001,2),IF(E20&gt;0,VLOOKUP(E20,Направление!A$1:B$4746,2))))))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20" s="91"/>
      <c r="C20" s="84"/>
      <c r="D20" s="444"/>
      <c r="E20" s="84"/>
      <c r="F20" s="85">
        <v>100</v>
      </c>
      <c r="G20" s="387">
        <v>5765348</v>
      </c>
      <c r="H20" s="385"/>
      <c r="I20" s="50">
        <f t="shared" si="2"/>
        <v>5765348</v>
      </c>
      <c r="J20" s="387">
        <v>0</v>
      </c>
      <c r="K20" s="385"/>
      <c r="L20" s="50">
        <f t="shared" si="4"/>
        <v>0</v>
      </c>
    </row>
    <row r="21" spans="1:12" ht="31.2">
      <c r="A21" s="49" t="str">
        <f>IF(B21&gt;0,VLOOKUP(B21,КВСР!A13:B1178,2),IF(C21&gt;0,VLOOKUP(C21,КФСР!A13:B1525,2),IF(D21&gt;0,VLOOKUP(D21,Программа!A$1:B$5063,2),IF(F21&gt;0,VLOOKUP(F21,КВР!A$1:B$5001,2),IF(E21&gt;0,VLOOKUP(E21,Направление!A$1:B$4746,2))))))</f>
        <v>Закупка товаров, работ и услуг для государственных нужд</v>
      </c>
      <c r="B21" s="91"/>
      <c r="C21" s="84"/>
      <c r="D21" s="444"/>
      <c r="E21" s="84"/>
      <c r="F21" s="85">
        <v>200</v>
      </c>
      <c r="G21" s="387">
        <v>576538</v>
      </c>
      <c r="H21" s="385"/>
      <c r="I21" s="50">
        <f t="shared" si="2"/>
        <v>576538</v>
      </c>
      <c r="J21" s="387">
        <v>0</v>
      </c>
      <c r="K21" s="385"/>
      <c r="L21" s="50">
        <f t="shared" si="4"/>
        <v>0</v>
      </c>
    </row>
    <row r="22" spans="1:12" ht="15.6">
      <c r="A22" s="49" t="str">
        <f>IF(B22&gt;0,VLOOKUP(B22,КВСР!A14:B1179,2),IF(C22&gt;0,VLOOKUP(C22,КФСР!A14:B1526,2),IF(D22&gt;0,VLOOKUP(D22,Программа!A$1:B$5063,2),IF(F22&gt;0,VLOOKUP(F22,КВР!A$1:B$5001,2),IF(E22&gt;0,VLOOKUP(E22,Направление!A$1:B$4746,2))))))</f>
        <v>Резервные фонды</v>
      </c>
      <c r="B22" s="91"/>
      <c r="C22" s="84">
        <v>111</v>
      </c>
      <c r="D22" s="444"/>
      <c r="E22" s="84"/>
      <c r="F22" s="85"/>
      <c r="G22" s="387">
        <v>3000000</v>
      </c>
      <c r="H22" s="50">
        <f t="shared" ref="H22:H24" si="11">H23</f>
        <v>0</v>
      </c>
      <c r="I22" s="50">
        <f t="shared" si="2"/>
        <v>3000000</v>
      </c>
      <c r="J22" s="387">
        <v>3000000</v>
      </c>
      <c r="K22" s="50">
        <f t="shared" ref="K22:K24" si="12">K23</f>
        <v>0</v>
      </c>
      <c r="L22" s="50">
        <f t="shared" si="4"/>
        <v>3000000</v>
      </c>
    </row>
    <row r="23" spans="1:12" ht="15.6">
      <c r="A23" s="49" t="str">
        <f>IF(B23&gt;0,VLOOKUP(B23,КВСР!A22:B1187,2),IF(C23&gt;0,VLOOKUP(C23,КФСР!A22:B1534,2),IF(D23&gt;0,VLOOKUP(D23,Программа!A$1:B$5063,2),IF(F23&gt;0,VLOOKUP(F23,КВР!A$1:B$5001,2),IF(E23&gt;0,VLOOKUP(E23,Направление!A$1:B$4746,2))))))</f>
        <v>Непрограммные расходы бюджета</v>
      </c>
      <c r="B23" s="91"/>
      <c r="C23" s="84"/>
      <c r="D23" s="444" t="s">
        <v>2852</v>
      </c>
      <c r="E23" s="84"/>
      <c r="F23" s="85"/>
      <c r="G23" s="387">
        <v>3000000</v>
      </c>
      <c r="H23" s="50">
        <f t="shared" si="11"/>
        <v>0</v>
      </c>
      <c r="I23" s="50">
        <f t="shared" si="2"/>
        <v>3000000</v>
      </c>
      <c r="J23" s="387">
        <v>3000000</v>
      </c>
      <c r="K23" s="50">
        <f t="shared" si="12"/>
        <v>0</v>
      </c>
      <c r="L23" s="50">
        <f t="shared" si="4"/>
        <v>3000000</v>
      </c>
    </row>
    <row r="24" spans="1:12" ht="31.2">
      <c r="A24" s="49" t="str">
        <f>IF(B24&gt;0,VLOOKUP(B24,КВСР!A23:B1188,2),IF(C24&gt;0,VLOOKUP(C24,КФСР!A23:B1535,2),IF(D24&gt;0,VLOOKUP(D24,Программа!A$1:B$5063,2),IF(F24&gt;0,VLOOKUP(F24,КВР!A$1:B$5001,2),IF(E24&gt;0,VLOOKUP(E24,Направление!A$1:B$4746,2))))))</f>
        <v>Резервные фонды местных администраций</v>
      </c>
      <c r="B24" s="91"/>
      <c r="C24" s="84"/>
      <c r="D24" s="444"/>
      <c r="E24" s="84">
        <v>12900</v>
      </c>
      <c r="F24" s="85"/>
      <c r="G24" s="387">
        <v>3000000</v>
      </c>
      <c r="H24" s="50">
        <f t="shared" si="11"/>
        <v>0</v>
      </c>
      <c r="I24" s="50">
        <f t="shared" si="2"/>
        <v>3000000</v>
      </c>
      <c r="J24" s="387">
        <v>3000000</v>
      </c>
      <c r="K24" s="50">
        <f t="shared" si="12"/>
        <v>0</v>
      </c>
      <c r="L24" s="50">
        <f t="shared" si="4"/>
        <v>3000000</v>
      </c>
    </row>
    <row r="25" spans="1:12" ht="15.6">
      <c r="A25" s="49" t="str">
        <f>IF(B25&gt;0,VLOOKUP(B25,КВСР!A24:B1189,2),IF(C25&gt;0,VLOOKUP(C25,КФСР!A24:B1536,2),IF(D25&gt;0,VLOOKUP(D25,Программа!A$1:B$5063,2),IF(F25&gt;0,VLOOKUP(F25,КВР!A$1:B$5001,2),IF(E25&gt;0,VLOOKUP(E25,Направление!A$1:B$4746,2))))))</f>
        <v>Иные бюджетные ассигнования</v>
      </c>
      <c r="B25" s="91"/>
      <c r="C25" s="84"/>
      <c r="D25" s="444"/>
      <c r="E25" s="84"/>
      <c r="F25" s="85">
        <v>800</v>
      </c>
      <c r="G25" s="387">
        <v>3000000</v>
      </c>
      <c r="H25" s="385"/>
      <c r="I25" s="50">
        <f t="shared" si="2"/>
        <v>3000000</v>
      </c>
      <c r="J25" s="387">
        <v>3000000</v>
      </c>
      <c r="K25" s="385"/>
      <c r="L25" s="50">
        <f t="shared" si="4"/>
        <v>3000000</v>
      </c>
    </row>
    <row r="26" spans="1:12" ht="15.6">
      <c r="A26" s="49" t="str">
        <f>IF(B26&gt;0,VLOOKUP(B26,КВСР!A25:B1190,2),IF(C26&gt;0,VLOOKUP(C26,КФСР!A25:B1537,2),IF(D26&gt;0,VLOOKUP(D26,Программа!A$1:B$5063,2),IF(F26&gt;0,VLOOKUP(F26,КВР!A$1:B$5001,2),IF(E26&gt;0,VLOOKUP(E26,Направление!A$1:B$4746,2))))))</f>
        <v>Другие общегосударственные вопросы</v>
      </c>
      <c r="B26" s="91"/>
      <c r="C26" s="84">
        <v>113</v>
      </c>
      <c r="D26" s="444"/>
      <c r="E26" s="84"/>
      <c r="F26" s="85"/>
      <c r="G26" s="387">
        <v>6605241</v>
      </c>
      <c r="H26" s="50">
        <f>H31+H27</f>
        <v>0</v>
      </c>
      <c r="I26" s="50">
        <f>I31+I27</f>
        <v>6605241</v>
      </c>
      <c r="J26" s="50">
        <v>6105241</v>
      </c>
      <c r="K26" s="50">
        <f t="shared" ref="K26:L26" si="13">K31+K27</f>
        <v>0</v>
      </c>
      <c r="L26" s="50">
        <f t="shared" si="13"/>
        <v>6105241</v>
      </c>
    </row>
    <row r="27" spans="1:12" ht="93.6">
      <c r="A27" s="49" t="str">
        <f>IF(B27&gt;0,VLOOKUP(B27,КВСР!A26:B1191,2),IF(C27&gt;0,VLOOKUP(C27,КФСР!A26:B1538,2),IF(D27&gt;0,VLOOKUP(D27,Программа!A$1:B$5063,2),IF(F27&gt;0,VLOOKUP(F27,КВР!A$1:B$5001,2),IF(E27&gt;0,VLOOKUP(E27,Направление!A$1:B$4746,2))))))</f>
        <v>Муниципальная программа "Поддержки социально ориентированных некоммерческих организаций и территориального общественного самоуправления Тутаевского муниципального района"</v>
      </c>
      <c r="B27" s="91"/>
      <c r="C27" s="84"/>
      <c r="D27" s="444" t="s">
        <v>2884</v>
      </c>
      <c r="E27" s="84"/>
      <c r="F27" s="85"/>
      <c r="G27" s="387">
        <v>500000</v>
      </c>
      <c r="H27" s="387">
        <f t="shared" ref="H27:L27" si="14">H28</f>
        <v>0</v>
      </c>
      <c r="I27" s="387">
        <f t="shared" si="14"/>
        <v>500000</v>
      </c>
      <c r="J27" s="387">
        <v>0</v>
      </c>
      <c r="K27" s="387">
        <f t="shared" si="14"/>
        <v>0</v>
      </c>
      <c r="L27" s="387">
        <f t="shared" si="14"/>
        <v>0</v>
      </c>
    </row>
    <row r="28" spans="1:12" ht="78">
      <c r="A28" s="49" t="str">
        <f>IF(B28&gt;0,VLOOKUP(B28,КВСР!A27:B1192,2),IF(C28&gt;0,VLOOKUP(C28,КФСР!A27:B1539,2),IF(D28&gt;0,VLOOKUP(D28,Программа!A$1:B$5063,2),IF(F28&gt;0,VLOOKUP(F28,КВР!A$1:B$5001,2),IF(E28&gt;0,VLOOKUP(E28,Направление!A$1:B$4746,2))))))</f>
        <v>Размещение форм поддержки деятельности социально ориентированных некоммерческих организаций в средствах массовой информации</v>
      </c>
      <c r="B28" s="91"/>
      <c r="C28" s="84"/>
      <c r="D28" s="444" t="s">
        <v>2885</v>
      </c>
      <c r="E28" s="84"/>
      <c r="F28" s="85"/>
      <c r="G28" s="387">
        <v>500000</v>
      </c>
      <c r="H28" s="387">
        <f t="shared" ref="H28:L28" si="15">H29</f>
        <v>0</v>
      </c>
      <c r="I28" s="387">
        <f t="shared" si="15"/>
        <v>500000</v>
      </c>
      <c r="J28" s="387">
        <v>0</v>
      </c>
      <c r="K28" s="387">
        <f t="shared" si="15"/>
        <v>0</v>
      </c>
      <c r="L28" s="387">
        <f t="shared" si="15"/>
        <v>0</v>
      </c>
    </row>
    <row r="29" spans="1:12" ht="46.8">
      <c r="A29" s="49" t="str">
        <f>IF(B29&gt;0,VLOOKUP(B29,КВСР!A28:B1193,2),IF(C29&gt;0,VLOOKUP(C29,КФСР!A28:B1540,2),IF(D29&gt;0,VLOOKUP(D29,Программа!A$1:B$5063,2),IF(F29&gt;0,VLOOKUP(F29,КВР!A$1:B$5001,2),IF(E29&gt;0,VLOOKUP(E29,Направление!A$1:B$4746,2))))))</f>
        <v>Поддержка деятельности социально-ориентированных некоммерческих организаций</v>
      </c>
      <c r="B29" s="91"/>
      <c r="C29" s="84"/>
      <c r="D29" s="444"/>
      <c r="E29" s="84">
        <v>29516</v>
      </c>
      <c r="F29" s="85"/>
      <c r="G29" s="387">
        <v>500000</v>
      </c>
      <c r="H29" s="387">
        <f t="shared" ref="H29:L29" si="16">H30</f>
        <v>0</v>
      </c>
      <c r="I29" s="387">
        <f t="shared" si="16"/>
        <v>500000</v>
      </c>
      <c r="J29" s="387">
        <v>0</v>
      </c>
      <c r="K29" s="387">
        <f t="shared" si="16"/>
        <v>0</v>
      </c>
      <c r="L29" s="387">
        <f t="shared" si="16"/>
        <v>0</v>
      </c>
    </row>
    <row r="30" spans="1:12" ht="46.8">
      <c r="A30" s="49" t="str">
        <f>IF(B30&gt;0,VLOOKUP(B30,КВСР!A29:B1194,2),IF(C30&gt;0,VLOOKUP(C30,КФСР!A29:B1541,2),IF(D30&gt;0,VLOOKUP(D30,Программа!A$1:B$5063,2),IF(F30&gt;0,VLOOKUP(F30,КВР!A$1:B$5001,2),IF(E30&gt;0,VLOOKUP(E30,Направление!A$1:B$4746,2))))))</f>
        <v>Предоставление субсидий бюджетным, автономным учреждениям и иным некоммерческим организациям</v>
      </c>
      <c r="B30" s="91"/>
      <c r="C30" s="84"/>
      <c r="D30" s="444"/>
      <c r="E30" s="84"/>
      <c r="F30" s="85">
        <v>600</v>
      </c>
      <c r="G30" s="387">
        <v>500000</v>
      </c>
      <c r="H30" s="50"/>
      <c r="I30" s="50">
        <f>G30+H30</f>
        <v>500000</v>
      </c>
      <c r="J30" s="387">
        <v>0</v>
      </c>
      <c r="K30" s="50"/>
      <c r="L30" s="50">
        <f>J30+K30</f>
        <v>0</v>
      </c>
    </row>
    <row r="31" spans="1:12" ht="15.6">
      <c r="A31" s="49" t="str">
        <f>IF(B31&gt;0,VLOOKUP(B31,КВСР!A38:B1203,2),IF(C31&gt;0,VLOOKUP(C31,КФСР!A38:B1550,2),IF(D31&gt;0,VLOOKUP(D31,Программа!A$1:B$5063,2),IF(F31&gt;0,VLOOKUP(F31,КВР!A$1:B$5001,2),IF(E31&gt;0,VLOOKUP(E31,Направление!A$1:B$4746,2))))))</f>
        <v>Непрограммные расходы бюджета</v>
      </c>
      <c r="B31" s="91"/>
      <c r="C31" s="84"/>
      <c r="D31" s="444" t="s">
        <v>2852</v>
      </c>
      <c r="E31" s="84"/>
      <c r="F31" s="85"/>
      <c r="G31" s="387">
        <v>6105241</v>
      </c>
      <c r="H31" s="50">
        <f t="shared" ref="H31" si="17">H35+H38+H32</f>
        <v>0</v>
      </c>
      <c r="I31" s="50">
        <f t="shared" si="2"/>
        <v>6105241</v>
      </c>
      <c r="J31" s="387">
        <v>6105241</v>
      </c>
      <c r="K31" s="50">
        <f t="shared" ref="K31" si="18">K35+K38+K32</f>
        <v>0</v>
      </c>
      <c r="L31" s="50">
        <f t="shared" si="4"/>
        <v>6105241</v>
      </c>
    </row>
    <row r="32" spans="1:12" ht="46.8">
      <c r="A32" s="49" t="str">
        <f>IF(B32&gt;0,VLOOKUP(B32,КВСР!A39:B1204,2),IF(C32&gt;0,VLOOKUP(C32,КФСР!A39:B1551,2),IF(D32&gt;0,VLOOKUP(D32,Программа!A$1:B$5063,2),IF(F32&gt;0,VLOOKUP(F32,КВР!A$1:B$5001,2),IF(E32&gt;0,VLOOKUP(E32,Направление!A$1:B$4746,2))))))</f>
        <v>Обеспечение деятельности подведомственных учреждений органов местного самоуправления</v>
      </c>
      <c r="B32" s="91"/>
      <c r="C32" s="84"/>
      <c r="D32" s="444"/>
      <c r="E32" s="84">
        <v>12100</v>
      </c>
      <c r="F32" s="85"/>
      <c r="G32" s="387">
        <v>3601652</v>
      </c>
      <c r="H32" s="50">
        <f t="shared" ref="H32" si="19">H33+H34</f>
        <v>0</v>
      </c>
      <c r="I32" s="50">
        <f t="shared" si="2"/>
        <v>3601652</v>
      </c>
      <c r="J32" s="387">
        <v>3601652</v>
      </c>
      <c r="K32" s="50">
        <f t="shared" ref="K32" si="20">K33+K34</f>
        <v>0</v>
      </c>
      <c r="L32" s="50">
        <f t="shared" si="4"/>
        <v>3601652</v>
      </c>
    </row>
    <row r="33" spans="1:12" ht="93.6">
      <c r="A33" s="49" t="str">
        <f>IF(B33&gt;0,VLOOKUP(B33,КВСР!A40:B1205,2),IF(C33&gt;0,VLOOKUP(C33,КФСР!A40:B1552,2),IF(D33&gt;0,VLOOKUP(D33,Программа!A$1:B$5063,2),IF(F33&gt;0,VLOOKUP(F33,КВР!A$1:B$5001,2),IF(E33&gt;0,VLOOKUP(E33,Направление!A$1:B$4746,2))))))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33" s="91"/>
      <c r="C33" s="84"/>
      <c r="D33" s="444"/>
      <c r="E33" s="84"/>
      <c r="F33" s="85">
        <v>100</v>
      </c>
      <c r="G33" s="387">
        <v>3601652</v>
      </c>
      <c r="H33" s="392"/>
      <c r="I33" s="50">
        <f t="shared" si="2"/>
        <v>3601652</v>
      </c>
      <c r="J33" s="387">
        <v>3601652</v>
      </c>
      <c r="K33" s="392"/>
      <c r="L33" s="50">
        <f t="shared" si="4"/>
        <v>3601652</v>
      </c>
    </row>
    <row r="34" spans="1:12" ht="31.2" hidden="1">
      <c r="A34" s="49" t="str">
        <f>IF(B34&gt;0,VLOOKUP(B34,КВСР!A41:B1206,2),IF(C34&gt;0,VLOOKUP(C34,КФСР!A41:B1553,2),IF(D34&gt;0,VLOOKUP(D34,Программа!A$1:B$5063,2),IF(F34&gt;0,VLOOKUP(F34,КВР!A$1:B$5001,2),IF(E34&gt;0,VLOOKUP(E34,Направление!A$1:B$4746,2))))))</f>
        <v>Закупка товаров, работ и услуг для государственных нужд</v>
      </c>
      <c r="B34" s="91"/>
      <c r="C34" s="84"/>
      <c r="D34" s="444"/>
      <c r="E34" s="84"/>
      <c r="F34" s="85">
        <v>200</v>
      </c>
      <c r="G34" s="387">
        <v>0</v>
      </c>
      <c r="H34" s="392"/>
      <c r="I34" s="50">
        <f t="shared" si="2"/>
        <v>0</v>
      </c>
      <c r="J34" s="387">
        <v>0</v>
      </c>
      <c r="K34" s="392"/>
      <c r="L34" s="50">
        <f t="shared" si="4"/>
        <v>0</v>
      </c>
    </row>
    <row r="35" spans="1:12" ht="62.4">
      <c r="A35" s="49" t="str">
        <f>IF(B35&gt;0,VLOOKUP(B35,КВСР!A39:B1204,2),IF(C35&gt;0,VLOOKUP(C35,КФСР!A39:B1551,2),IF(D35&gt;0,VLOOKUP(D35,Программа!A$1:B$5063,2),IF(F35&gt;0,VLOOKUP(F35,КВР!A$1:B$5001,2),IF(E35&gt;0,VLOOKUP(E35,Направление!A$1:B$4746,2))))))</f>
        <v>Расходы на обеспечение профилактики безнадзорности, правонарушений несовершеннолетних и защиты их прав за счет средств областного бюджета</v>
      </c>
      <c r="B35" s="91"/>
      <c r="C35" s="84"/>
      <c r="D35" s="444"/>
      <c r="E35" s="84">
        <v>80190</v>
      </c>
      <c r="F35" s="85"/>
      <c r="G35" s="387">
        <v>2272875</v>
      </c>
      <c r="H35" s="50">
        <f t="shared" ref="H35" si="21">H36+H37</f>
        <v>0</v>
      </c>
      <c r="I35" s="50">
        <f t="shared" si="2"/>
        <v>2272875</v>
      </c>
      <c r="J35" s="387">
        <v>2272875</v>
      </c>
      <c r="K35" s="50">
        <f t="shared" ref="K35" si="22">K36+K37</f>
        <v>0</v>
      </c>
      <c r="L35" s="50">
        <f t="shared" si="4"/>
        <v>2272875</v>
      </c>
    </row>
    <row r="36" spans="1:12" ht="93.6">
      <c r="A36" s="49" t="str">
        <f>IF(B36&gt;0,VLOOKUP(B36,КВСР!A40:B1205,2),IF(C36&gt;0,VLOOKUP(C36,КФСР!A40:B1552,2),IF(D36&gt;0,VLOOKUP(D36,Программа!A$1:B$5063,2),IF(F36&gt;0,VLOOKUP(F36,КВР!A$1:B$5001,2),IF(E36&gt;0,VLOOKUP(E36,Направление!A$1:B$4746,2))))))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36" s="91"/>
      <c r="C36" s="84"/>
      <c r="D36" s="444"/>
      <c r="E36" s="84"/>
      <c r="F36" s="85">
        <v>100</v>
      </c>
      <c r="G36" s="387">
        <v>2267859</v>
      </c>
      <c r="H36" s="385"/>
      <c r="I36" s="50">
        <f t="shared" si="2"/>
        <v>2267859</v>
      </c>
      <c r="J36" s="387">
        <v>2267859</v>
      </c>
      <c r="K36" s="385"/>
      <c r="L36" s="50">
        <f t="shared" si="4"/>
        <v>2267859</v>
      </c>
    </row>
    <row r="37" spans="1:12" ht="31.2">
      <c r="A37" s="49" t="str">
        <f>IF(B37&gt;0,VLOOKUP(B37,КВСР!A41:B1206,2),IF(C37&gt;0,VLOOKUP(C37,КФСР!A41:B1553,2),IF(D37&gt;0,VLOOKUP(D37,Программа!A$1:B$5063,2),IF(F37&gt;0,VLOOKUP(F37,КВР!A$1:B$5001,2),IF(E37&gt;0,VLOOKUP(E37,Направление!A$1:B$4746,2))))))</f>
        <v>Закупка товаров, работ и услуг для государственных нужд</v>
      </c>
      <c r="B37" s="91"/>
      <c r="C37" s="84"/>
      <c r="D37" s="444"/>
      <c r="E37" s="84"/>
      <c r="F37" s="85">
        <v>200</v>
      </c>
      <c r="G37" s="387">
        <v>5016</v>
      </c>
      <c r="H37" s="385"/>
      <c r="I37" s="50">
        <f t="shared" si="2"/>
        <v>5016</v>
      </c>
      <c r="J37" s="387">
        <v>5016</v>
      </c>
      <c r="K37" s="385"/>
      <c r="L37" s="50">
        <f t="shared" si="4"/>
        <v>5016</v>
      </c>
    </row>
    <row r="38" spans="1:12" ht="62.4">
      <c r="A38" s="49" t="str">
        <f>IF(B38&gt;0,VLOOKUP(B38,КВСР!A42:B1207,2),IF(C38&gt;0,VLOOKUP(C38,КФСР!A42:B1554,2),IF(D38&gt;0,VLOOKUP(D38,Программа!A$1:B$5063,2),IF(F38&gt;0,VLOOKUP(F38,КВР!A$1:B$5001,2),IF(E38&gt;0,VLOOKUP(E38,Направление!A$1:B$4746,2))))))</f>
        <v>Расходы на реализацию отдельных полномочий в сфере законодательства об административных правонарушениях за счет средств областного бюджета</v>
      </c>
      <c r="B38" s="91"/>
      <c r="C38" s="84"/>
      <c r="D38" s="444"/>
      <c r="E38" s="84">
        <v>80200</v>
      </c>
      <c r="F38" s="85"/>
      <c r="G38" s="387">
        <v>230714</v>
      </c>
      <c r="H38" s="50">
        <f t="shared" ref="H38" si="23">H39+H40</f>
        <v>0</v>
      </c>
      <c r="I38" s="50">
        <f t="shared" si="2"/>
        <v>230714</v>
      </c>
      <c r="J38" s="387">
        <v>230714</v>
      </c>
      <c r="K38" s="50">
        <f t="shared" ref="K38" si="24">K39+K40</f>
        <v>0</v>
      </c>
      <c r="L38" s="50">
        <f t="shared" si="4"/>
        <v>230714</v>
      </c>
    </row>
    <row r="39" spans="1:12" ht="93.6">
      <c r="A39" s="49" t="str">
        <f>IF(B39&gt;0,VLOOKUP(B39,КВСР!A43:B1208,2),IF(C39&gt;0,VLOOKUP(C39,КФСР!A43:B1555,2),IF(D39&gt;0,VLOOKUP(D39,Программа!A$1:B$5063,2),IF(F39&gt;0,VLOOKUP(F39,КВР!A$1:B$5001,2),IF(E39&gt;0,VLOOKUP(E39,Направление!A$1:B$4746,2))))))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39" s="91"/>
      <c r="C39" s="84"/>
      <c r="D39" s="444"/>
      <c r="E39" s="84"/>
      <c r="F39" s="85">
        <v>100</v>
      </c>
      <c r="G39" s="387">
        <v>182214</v>
      </c>
      <c r="H39" s="385"/>
      <c r="I39" s="50">
        <f t="shared" si="2"/>
        <v>182214</v>
      </c>
      <c r="J39" s="387">
        <v>182214</v>
      </c>
      <c r="K39" s="385"/>
      <c r="L39" s="50">
        <f t="shared" si="4"/>
        <v>182214</v>
      </c>
    </row>
    <row r="40" spans="1:12" ht="31.2">
      <c r="A40" s="49" t="str">
        <f>IF(B40&gt;0,VLOOKUP(B40,КВСР!A44:B1209,2),IF(C40&gt;0,VLOOKUP(C40,КФСР!A44:B1556,2),IF(D40&gt;0,VLOOKUP(D40,Программа!A$1:B$5063,2),IF(F40&gt;0,VLOOKUP(F40,КВР!A$1:B$5001,2),IF(E40&gt;0,VLOOKUP(E40,Направление!A$1:B$4746,2))))))</f>
        <v>Закупка товаров, работ и услуг для государственных нужд</v>
      </c>
      <c r="B40" s="91"/>
      <c r="C40" s="84"/>
      <c r="D40" s="444"/>
      <c r="E40" s="84"/>
      <c r="F40" s="85">
        <v>200</v>
      </c>
      <c r="G40" s="387">
        <v>48500</v>
      </c>
      <c r="H40" s="385"/>
      <c r="I40" s="50">
        <f t="shared" si="2"/>
        <v>48500</v>
      </c>
      <c r="J40" s="387">
        <v>48500</v>
      </c>
      <c r="K40" s="385"/>
      <c r="L40" s="50">
        <f t="shared" si="4"/>
        <v>48500</v>
      </c>
    </row>
    <row r="41" spans="1:12" ht="62.4">
      <c r="A41" s="49" t="str">
        <f>IF(B41&gt;0,VLOOKUP(B41,КВСР!A41:B1206,2),IF(C41&gt;0,VLOOKUP(C41,КФСР!A41:B1553,2),IF(D41&gt;0,VLOOKUP(D41,Программа!A$1:B$5063,2),IF(F41&gt;0,VLOOKUP(F41,КВР!A$1:B$5001,2),IF(E41&gt;0,VLOOKUP(E41,Направление!A$1:B$4746,2))))))</f>
        <v>Защита населения и территории от последствий чрезвычайных ситуаций природного и техногенного характера, гражданская оборона</v>
      </c>
      <c r="B41" s="91"/>
      <c r="C41" s="84">
        <v>309</v>
      </c>
      <c r="D41" s="444"/>
      <c r="E41" s="84"/>
      <c r="F41" s="85"/>
      <c r="G41" s="387">
        <v>200000</v>
      </c>
      <c r="H41" s="387">
        <f t="shared" ref="H41" si="25">H42</f>
        <v>0</v>
      </c>
      <c r="I41" s="50">
        <f t="shared" si="2"/>
        <v>200000</v>
      </c>
      <c r="J41" s="387">
        <v>0</v>
      </c>
      <c r="K41" s="387">
        <f t="shared" ref="K41" si="26">K42</f>
        <v>0</v>
      </c>
      <c r="L41" s="50">
        <f t="shared" si="4"/>
        <v>0</v>
      </c>
    </row>
    <row r="42" spans="1:12" ht="15.6">
      <c r="A42" s="49" t="str">
        <f>IF(B42&gt;0,VLOOKUP(B42,КВСР!A42:B1207,2),IF(C42&gt;0,VLOOKUP(C42,КФСР!A42:B1554,2),IF(D42&gt;0,VLOOKUP(D42,Программа!A$1:B$5063,2),IF(F42&gt;0,VLOOKUP(F42,КВР!A$1:B$5001,2),IF(E42&gt;0,VLOOKUP(E42,Направление!A$1:B$4746,2))))))</f>
        <v>Непрограммные расходы бюджета</v>
      </c>
      <c r="B42" s="91"/>
      <c r="C42" s="84"/>
      <c r="D42" s="444" t="s">
        <v>2852</v>
      </c>
      <c r="E42" s="84"/>
      <c r="F42" s="85"/>
      <c r="G42" s="387">
        <v>200000</v>
      </c>
      <c r="H42" s="387">
        <f>H43+H45</f>
        <v>0</v>
      </c>
      <c r="I42" s="50">
        <f t="shared" si="2"/>
        <v>200000</v>
      </c>
      <c r="J42" s="387">
        <v>0</v>
      </c>
      <c r="K42" s="387">
        <f>K43+K45</f>
        <v>0</v>
      </c>
      <c r="L42" s="50">
        <f t="shared" si="4"/>
        <v>0</v>
      </c>
    </row>
    <row r="43" spans="1:12" ht="62.4">
      <c r="A43" s="49" t="str">
        <f>IF(B43&gt;0,VLOOKUP(B43,КВСР!A43:B1208,2),IF(C43&gt;0,VLOOKUP(C43,КФСР!A43:B1555,2),IF(D43&gt;0,VLOOKUP(D43,Программа!A$1:B$5063,2),IF(F43&gt;0,VLOOKUP(F43,КВР!A$1:B$5001,2),IF(E43&gt;0,VLOOKUP(E43,Направление!A$1:B$4746,2))))))</f>
        <v>Обеспечение мероприятий по  предупреждению и ликвидации последствий чрезвычайных ситуаций в границах поселения</v>
      </c>
      <c r="B43" s="91"/>
      <c r="C43" s="84"/>
      <c r="D43" s="444"/>
      <c r="E43" s="84">
        <v>29186</v>
      </c>
      <c r="F43" s="85"/>
      <c r="G43" s="387">
        <v>100000</v>
      </c>
      <c r="H43" s="387">
        <f>H44</f>
        <v>0</v>
      </c>
      <c r="I43" s="50">
        <f t="shared" si="2"/>
        <v>100000</v>
      </c>
      <c r="J43" s="387">
        <v>0</v>
      </c>
      <c r="K43" s="387">
        <f>K44</f>
        <v>0</v>
      </c>
      <c r="L43" s="50">
        <f t="shared" si="4"/>
        <v>0</v>
      </c>
    </row>
    <row r="44" spans="1:12" ht="31.2">
      <c r="A44" s="49" t="str">
        <f>IF(B44&gt;0,VLOOKUP(B44,КВСР!A44:B1209,2),IF(C44&gt;0,VLOOKUP(C44,КФСР!A44:B1556,2),IF(D44&gt;0,VLOOKUP(D44,Программа!A$1:B$5063,2),IF(F44&gt;0,VLOOKUP(F44,КВР!A$1:B$5001,2),IF(E44&gt;0,VLOOKUP(E44,Направление!A$1:B$4746,2))))))</f>
        <v>Закупка товаров, работ и услуг для государственных нужд</v>
      </c>
      <c r="B44" s="91"/>
      <c r="C44" s="84"/>
      <c r="D44" s="444"/>
      <c r="E44" s="84"/>
      <c r="F44" s="85">
        <v>200</v>
      </c>
      <c r="G44" s="387">
        <v>100000</v>
      </c>
      <c r="H44" s="385"/>
      <c r="I44" s="50">
        <f t="shared" si="2"/>
        <v>100000</v>
      </c>
      <c r="J44" s="387">
        <v>0</v>
      </c>
      <c r="K44" s="385"/>
      <c r="L44" s="50">
        <f t="shared" si="4"/>
        <v>0</v>
      </c>
    </row>
    <row r="45" spans="1:12" ht="46.8">
      <c r="A45" s="49" t="str">
        <f>IF(B45&gt;0,VLOOKUP(B45,КВСР!A43:B1208,2),IF(C45&gt;0,VLOOKUP(C45,КФСР!A43:B1555,2),IF(D45&gt;0,VLOOKUP(D45,Программа!A$1:B$5063,2),IF(F45&gt;0,VLOOKUP(F45,КВР!A$1:B$5001,2),IF(E45&gt;0,VLOOKUP(E45,Направление!A$1:B$4746,2))))))</f>
        <v>Обеспечение мероприятий по защите от чрезвычайных ситуаций природного и техногенного характера</v>
      </c>
      <c r="B45" s="91"/>
      <c r="C45" s="84"/>
      <c r="D45" s="444"/>
      <c r="E45" s="84">
        <v>29466</v>
      </c>
      <c r="F45" s="85"/>
      <c r="G45" s="387">
        <v>100000</v>
      </c>
      <c r="H45" s="387">
        <f>H46</f>
        <v>0</v>
      </c>
      <c r="I45" s="50">
        <f t="shared" si="2"/>
        <v>100000</v>
      </c>
      <c r="J45" s="387">
        <v>0</v>
      </c>
      <c r="K45" s="387">
        <f>K46</f>
        <v>0</v>
      </c>
      <c r="L45" s="50">
        <f t="shared" si="4"/>
        <v>0</v>
      </c>
    </row>
    <row r="46" spans="1:12" ht="31.2">
      <c r="A46" s="49" t="str">
        <f>IF(B46&gt;0,VLOOKUP(B46,КВСР!A44:B1209,2),IF(C46&gt;0,VLOOKUP(C46,КФСР!A44:B1556,2),IF(D46&gt;0,VLOOKUP(D46,Программа!A$1:B$5063,2),IF(F46&gt;0,VLOOKUP(F46,КВР!A$1:B$5001,2),IF(E46&gt;0,VLOOKUP(E46,Направление!A$1:B$4746,2))))))</f>
        <v>Закупка товаров, работ и услуг для государственных нужд</v>
      </c>
      <c r="B46" s="91"/>
      <c r="C46" s="84"/>
      <c r="D46" s="444"/>
      <c r="E46" s="84"/>
      <c r="F46" s="85">
        <v>200</v>
      </c>
      <c r="G46" s="387">
        <v>100000</v>
      </c>
      <c r="H46" s="385"/>
      <c r="I46" s="50">
        <f t="shared" si="2"/>
        <v>100000</v>
      </c>
      <c r="J46" s="387">
        <v>0</v>
      </c>
      <c r="K46" s="385"/>
      <c r="L46" s="50">
        <f t="shared" si="4"/>
        <v>0</v>
      </c>
    </row>
    <row r="47" spans="1:12" ht="15.6">
      <c r="A47" s="49" t="str">
        <f>IF(B47&gt;0,VLOOKUP(B47,КВСР!A45:B1210,2),IF(C47&gt;0,VLOOKUP(C47,КФСР!A45:B1557,2),IF(D47&gt;0,VLOOKUP(D47,Программа!A$1:B$5063,2),IF(F47&gt;0,VLOOKUP(F47,КВР!A$1:B$5001,2),IF(E47&gt;0,VLOOKUP(E47,Направление!A$1:B$4746,2))))))</f>
        <v>Сельское хозяйство и рыболовство</v>
      </c>
      <c r="B47" s="91"/>
      <c r="C47" s="84">
        <v>405</v>
      </c>
      <c r="D47" s="444"/>
      <c r="E47" s="84"/>
      <c r="F47" s="85"/>
      <c r="G47" s="387">
        <v>5100</v>
      </c>
      <c r="H47" s="387">
        <f t="shared" ref="H47:H51" si="27">H48</f>
        <v>0</v>
      </c>
      <c r="I47" s="50">
        <f t="shared" si="2"/>
        <v>5100</v>
      </c>
      <c r="J47" s="387">
        <v>5100</v>
      </c>
      <c r="K47" s="387">
        <f t="shared" ref="K47:K51" si="28">K48</f>
        <v>0</v>
      </c>
      <c r="L47" s="50">
        <f t="shared" si="4"/>
        <v>5100</v>
      </c>
    </row>
    <row r="48" spans="1:12" ht="93.6">
      <c r="A48" s="49" t="str">
        <f>IF(B48&gt;0,VLOOKUP(B48,КВСР!A46:B1211,2),IF(C48&gt;0,VLOOKUP(C48,КФСР!A46:B1558,2),IF(D48&gt;0,VLOOKUP(D48,Программа!A$1:B$5063,2),IF(F48&gt;0,VLOOKUP(F48,КВР!A$1:B$5001,2),IF(E48&gt;0,VLOOKUP(E48,Направление!A$1:B$4746,2))))))</f>
        <v>Муниципальная программа "Экономическое развитие и инновационная экономика, развитие предпринимательства и сельского хозяйства в Тутаевском муниципальном районе"</v>
      </c>
      <c r="B48" s="91"/>
      <c r="C48" s="84"/>
      <c r="D48" s="444" t="s">
        <v>2813</v>
      </c>
      <c r="E48" s="84"/>
      <c r="F48" s="85"/>
      <c r="G48" s="387">
        <v>5100</v>
      </c>
      <c r="H48" s="387">
        <f t="shared" si="27"/>
        <v>0</v>
      </c>
      <c r="I48" s="50">
        <f t="shared" si="2"/>
        <v>5100</v>
      </c>
      <c r="J48" s="387">
        <v>5100</v>
      </c>
      <c r="K48" s="387">
        <f t="shared" si="28"/>
        <v>0</v>
      </c>
      <c r="L48" s="50">
        <f t="shared" si="4"/>
        <v>5100</v>
      </c>
    </row>
    <row r="49" spans="1:12" ht="62.4">
      <c r="A49" s="49" t="str">
        <f>IF(B49&gt;0,VLOOKUP(B49,КВСР!A47:B1212,2),IF(C49&gt;0,VLOOKUP(C49,КФСР!A47:B1559,2),IF(D49&gt;0,VLOOKUP(D49,Программа!A$1:B$5063,2),IF(F49&gt;0,VLOOKUP(F49,КВР!A$1:B$5001,2),IF(E49&gt;0,VLOOKUP(E49,Направление!A$1:B$4746,2))))))</f>
        <v>Муниципальная целевая программа "Развитие агропромышленного комплекса и сельских территорий Тутаевского муниципального района"</v>
      </c>
      <c r="B49" s="91"/>
      <c r="C49" s="84"/>
      <c r="D49" s="444" t="s">
        <v>2817</v>
      </c>
      <c r="E49" s="84"/>
      <c r="F49" s="85"/>
      <c r="G49" s="387">
        <v>5100</v>
      </c>
      <c r="H49" s="387">
        <f t="shared" si="27"/>
        <v>0</v>
      </c>
      <c r="I49" s="50">
        <f t="shared" si="2"/>
        <v>5100</v>
      </c>
      <c r="J49" s="387">
        <v>5100</v>
      </c>
      <c r="K49" s="387">
        <f t="shared" si="28"/>
        <v>0</v>
      </c>
      <c r="L49" s="50">
        <f t="shared" si="4"/>
        <v>5100</v>
      </c>
    </row>
    <row r="50" spans="1:12" ht="78">
      <c r="A50" s="49" t="str">
        <f>IF(B50&gt;0,VLOOKUP(B50,КВСР!A48:B1213,2),IF(C50&gt;0,VLOOKUP(C50,КФСР!A48:B1560,2),IF(D50&gt;0,VLOOKUP(D50,Программа!A$1:B$5063,2),IF(F50&gt;0,VLOOKUP(F50,КВР!A$1:B$5001,2),IF(E50&gt;0,VLOOKUP(E50,Направление!A$1:B$4746,2))))))</f>
        <v>Поддержка сельскохозяйственного производства в рамках субсидирования  (молоко, овцеводство) сельскохозяйственных товаропроизводителей</v>
      </c>
      <c r="B50" s="91"/>
      <c r="C50" s="84"/>
      <c r="D50" s="444" t="s">
        <v>2818</v>
      </c>
      <c r="E50" s="84"/>
      <c r="F50" s="85"/>
      <c r="G50" s="387">
        <v>5100</v>
      </c>
      <c r="H50" s="387">
        <f t="shared" si="27"/>
        <v>0</v>
      </c>
      <c r="I50" s="50">
        <f t="shared" si="2"/>
        <v>5100</v>
      </c>
      <c r="J50" s="387">
        <v>5100</v>
      </c>
      <c r="K50" s="387">
        <f t="shared" si="28"/>
        <v>0</v>
      </c>
      <c r="L50" s="50">
        <f t="shared" si="4"/>
        <v>5100</v>
      </c>
    </row>
    <row r="51" spans="1:12" ht="78">
      <c r="A51" s="49" t="str">
        <f>IF(B51&gt;0,VLOOKUP(B51,КВСР!A49:B1214,2),IF(C51&gt;0,VLOOKUP(C51,КФСР!A49:B1561,2),IF(D51&gt;0,VLOOKUP(D51,Программа!A$1:B$5063,2),IF(F51&gt;0,VLOOKUP(F51,КВР!A$1:B$5001,2),IF(E51&gt;0,VLOOKUP(E51,Направление!A$1:B$4746,2))))))</f>
        <v>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v>
      </c>
      <c r="B51" s="91"/>
      <c r="C51" s="84"/>
      <c r="D51" s="444"/>
      <c r="E51" s="84">
        <v>74450</v>
      </c>
      <c r="F51" s="85"/>
      <c r="G51" s="387">
        <v>5100</v>
      </c>
      <c r="H51" s="387">
        <f t="shared" si="27"/>
        <v>0</v>
      </c>
      <c r="I51" s="50">
        <f t="shared" si="2"/>
        <v>5100</v>
      </c>
      <c r="J51" s="387">
        <v>5100</v>
      </c>
      <c r="K51" s="387">
        <f t="shared" si="28"/>
        <v>0</v>
      </c>
      <c r="L51" s="50">
        <f t="shared" si="4"/>
        <v>5100</v>
      </c>
    </row>
    <row r="52" spans="1:12" ht="31.2">
      <c r="A52" s="49" t="str">
        <f>IF(B52&gt;0,VLOOKUP(B52,КВСР!A50:B1215,2),IF(C52&gt;0,VLOOKUP(C52,КФСР!A50:B1562,2),IF(D52&gt;0,VLOOKUP(D52,Программа!A$1:B$5063,2),IF(F52&gt;0,VLOOKUP(F52,КВР!A$1:B$5001,2),IF(E52&gt;0,VLOOKUP(E52,Направление!A$1:B$4746,2))))))</f>
        <v>Закупка товаров, работ и услуг для государственных нужд</v>
      </c>
      <c r="B52" s="91"/>
      <c r="C52" s="84"/>
      <c r="D52" s="444"/>
      <c r="E52" s="84"/>
      <c r="F52" s="85">
        <v>200</v>
      </c>
      <c r="G52" s="387">
        <v>5100</v>
      </c>
      <c r="H52" s="385"/>
      <c r="I52" s="50">
        <f t="shared" si="2"/>
        <v>5100</v>
      </c>
      <c r="J52" s="387">
        <v>5100</v>
      </c>
      <c r="K52" s="385"/>
      <c r="L52" s="50">
        <f t="shared" si="4"/>
        <v>5100</v>
      </c>
    </row>
    <row r="53" spans="1:12" ht="15.6">
      <c r="A53" s="49" t="str">
        <f>IF(B53&gt;0,VLOOKUP(B53,КВСР!A51:B1216,2),IF(C53&gt;0,VLOOKUP(C53,КФСР!A51:B1563,2),IF(D53&gt;0,VLOOKUP(D53,Программа!A$1:B$5063,2),IF(F53&gt;0,VLOOKUP(F53,КВР!A$1:B$5001,2),IF(E53&gt;0,VLOOKUP(E53,Направление!A$1:B$4746,2))))))</f>
        <v>Жилищное хозяйство</v>
      </c>
      <c r="B53" s="91"/>
      <c r="C53" s="84">
        <v>501</v>
      </c>
      <c r="D53" s="444"/>
      <c r="E53" s="84"/>
      <c r="F53" s="85"/>
      <c r="G53" s="387">
        <v>6182560</v>
      </c>
      <c r="H53" s="387">
        <f>H54+H61</f>
        <v>11479870</v>
      </c>
      <c r="I53" s="387">
        <f t="shared" ref="I53:L53" si="29">I54+I61</f>
        <v>17662430</v>
      </c>
      <c r="J53" s="387">
        <f t="shared" si="29"/>
        <v>0</v>
      </c>
      <c r="K53" s="387">
        <f t="shared" si="29"/>
        <v>0</v>
      </c>
      <c r="L53" s="387">
        <f t="shared" si="29"/>
        <v>0</v>
      </c>
    </row>
    <row r="54" spans="1:12" ht="78">
      <c r="A54" s="49" t="str">
        <f>IF(B54&gt;0,VLOOKUP(B54,КВСР!A52:B1217,2),IF(C54&gt;0,VLOOKUP(C54,КФСР!A52:B1564,2),IF(D54&gt;0,VLOOKUP(D54,Программа!A$1:B$5063,2),IF(F54&gt;0,VLOOKUP(F54,КВР!A$1:B$5001,2),IF(E54&gt;0,VLOOKUP(E54,Направление!A$1:B$4746,2))))))</f>
        <v>Муниципальная программа "Стимулирование развития жилищного строительства в Тутаевском муниципальном  районе Ярославской области"</v>
      </c>
      <c r="B54" s="91"/>
      <c r="C54" s="84"/>
      <c r="D54" s="444" t="s">
        <v>2780</v>
      </c>
      <c r="E54" s="84"/>
      <c r="F54" s="85"/>
      <c r="G54" s="387">
        <v>6182560</v>
      </c>
      <c r="H54" s="387">
        <f t="shared" ref="H54:I57" si="30">H55</f>
        <v>0</v>
      </c>
      <c r="I54" s="387">
        <f t="shared" si="30"/>
        <v>6182560</v>
      </c>
      <c r="J54" s="387">
        <v>0</v>
      </c>
      <c r="K54" s="387">
        <f>K55</f>
        <v>0</v>
      </c>
      <c r="L54" s="387">
        <v>0</v>
      </c>
    </row>
    <row r="55" spans="1:12" ht="93.6">
      <c r="A55" s="49" t="str">
        <f>IF(B55&gt;0,VLOOKUP(B55,КВСР!A53:B1218,2),IF(C55&gt;0,VLOOKUP(C55,КФСР!A53:B1565,2),IF(D55&gt;0,VLOOKUP(D55,Программа!A$1:B$5063,2),IF(F55&gt;0,VLOOKUP(F55,КВР!A$1:B$5001,2),IF(E55&gt;0,VLOOKUP(E55,Направление!A$1:B$4746,2))))))</f>
        <v>Муниципальная целевая программа "Переселение граждан из  жилищного фонда, признанного непригодным для проживания, и (или) жилищного фонда с высоким уровнем износа на территории Тутаевского муниципального района"</v>
      </c>
      <c r="B55" s="91"/>
      <c r="C55" s="84"/>
      <c r="D55" s="444" t="s">
        <v>2785</v>
      </c>
      <c r="E55" s="84"/>
      <c r="F55" s="85"/>
      <c r="G55" s="387">
        <v>6182560</v>
      </c>
      <c r="H55" s="387">
        <f t="shared" si="30"/>
        <v>0</v>
      </c>
      <c r="I55" s="387">
        <f t="shared" si="30"/>
        <v>6182560</v>
      </c>
      <c r="J55" s="387">
        <v>0</v>
      </c>
      <c r="K55" s="387">
        <f>K56</f>
        <v>0</v>
      </c>
      <c r="L55" s="387">
        <v>0</v>
      </c>
    </row>
    <row r="56" spans="1:12" ht="78">
      <c r="A56" s="49" t="str">
        <f>IF(B56&gt;0,VLOOKUP(B56,КВСР!A54:B1219,2),IF(C56&gt;0,VLOOKUP(C56,КФСР!A54:B1566,2),IF(D56&gt;0,VLOOKUP(D56,Программа!A$1:B$5063,2),IF(F56&gt;0,VLOOKUP(F56,КВР!A$1:B$5001,2),IF(E56&gt;0,VLOOKUP(E56,Направление!A$1:B$4746,2))))))</f>
        <v>Финансовое и организационное обеспечение переселения граждан из непригодного для проживания жилищного фонда с высоким уровнем износа</v>
      </c>
      <c r="B56" s="91"/>
      <c r="C56" s="84"/>
      <c r="D56" s="444" t="s">
        <v>2786</v>
      </c>
      <c r="E56" s="84"/>
      <c r="F56" s="85"/>
      <c r="G56" s="387">
        <v>6182560</v>
      </c>
      <c r="H56" s="387">
        <f>H57+H59</f>
        <v>0</v>
      </c>
      <c r="I56" s="387">
        <f>I57+I59</f>
        <v>6182560</v>
      </c>
      <c r="J56" s="387">
        <v>0</v>
      </c>
      <c r="K56" s="387">
        <f>K57+K59</f>
        <v>0</v>
      </c>
      <c r="L56" s="387">
        <v>0</v>
      </c>
    </row>
    <row r="57" spans="1:12" ht="78">
      <c r="A57" s="49" t="str">
        <f>IF(B57&gt;0,VLOOKUP(B57,КВСР!A55:B1220,2),IF(C57&gt;0,VLOOKUP(C57,КФСР!A55:B1567,2),IF(D57&gt;0,VLOOKUP(D57,Программа!A$1:B$5063,2),IF(F57&gt;0,VLOOKUP(F57,КВР!A$1:B$5001,2),IF(E57&gt;0,VLOOKUP(E57,Направление!A$1:B$4746,2))))))</f>
        <v>Обеспечение мероприятий по переселению граждан из аварийного жилищного фонда, непригодного для проживания, с высоким уровнем износа  за счет средств бюджета поселения</v>
      </c>
      <c r="B57" s="91"/>
      <c r="C57" s="84"/>
      <c r="D57" s="444"/>
      <c r="E57" s="84">
        <v>29406</v>
      </c>
      <c r="F57" s="85"/>
      <c r="G57" s="387">
        <v>6182560</v>
      </c>
      <c r="H57" s="387">
        <f t="shared" si="30"/>
        <v>0</v>
      </c>
      <c r="I57" s="387">
        <f t="shared" si="30"/>
        <v>6182560</v>
      </c>
      <c r="J57" s="387">
        <v>0</v>
      </c>
      <c r="K57" s="387">
        <f>K58</f>
        <v>0</v>
      </c>
      <c r="L57" s="387">
        <v>0</v>
      </c>
    </row>
    <row r="58" spans="1:12" ht="15.6">
      <c r="A58" s="49" t="str">
        <f>IF(B58&gt;0,VLOOKUP(B58,КВСР!A56:B1221,2),IF(C58&gt;0,VLOOKUP(C58,КФСР!A56:B1568,2),IF(D58&gt;0,VLOOKUP(D58,Программа!A$1:B$5063,2),IF(F58&gt;0,VLOOKUP(F58,КВР!A$1:B$5001,2),IF(E58&gt;0,VLOOKUP(E58,Направление!A$1:B$4746,2))))))</f>
        <v>Бюджетные инвестиции</v>
      </c>
      <c r="B58" s="91"/>
      <c r="C58" s="84"/>
      <c r="D58" s="444"/>
      <c r="E58" s="84"/>
      <c r="F58" s="85">
        <v>400</v>
      </c>
      <c r="G58" s="387">
        <v>6182560</v>
      </c>
      <c r="H58" s="385"/>
      <c r="I58" s="50">
        <f>G58+H58</f>
        <v>6182560</v>
      </c>
      <c r="J58" s="387">
        <v>0</v>
      </c>
      <c r="K58" s="385"/>
      <c r="L58" s="387">
        <v>0</v>
      </c>
    </row>
    <row r="59" spans="1:12" ht="90" hidden="1" customHeight="1">
      <c r="A59" s="49" t="str">
        <f>IF(B59&gt;0,VLOOKUP(B59,КВСР!A57:B1222,2),IF(C59&gt;0,VLOOKUP(C59,КФСР!A57:B1569,2),IF(D59&gt;0,VLOOKUP(D59,Программа!A$1:B$5063,2),IF(F59&gt;0,VLOOKUP(F59,КВР!A$1:B$5001,2),IF(E59&gt;0,VLOOKUP(E59,Направление!A$1:B$4746,2))))))</f>
        <v>Субсидия на переселение граждан из жилищного фонда, признанного непригодным для проживания, и (или) жилищного фонда с высоким уровнем износа из бюджета поселения</v>
      </c>
      <c r="B59" s="91"/>
      <c r="C59" s="84"/>
      <c r="D59" s="444"/>
      <c r="E59" s="84" t="s">
        <v>3159</v>
      </c>
      <c r="F59" s="85"/>
      <c r="G59" s="387">
        <v>0</v>
      </c>
      <c r="H59" s="387">
        <f>H60</f>
        <v>0</v>
      </c>
      <c r="I59" s="50">
        <f>I60</f>
        <v>0</v>
      </c>
      <c r="J59" s="387">
        <v>0</v>
      </c>
      <c r="K59" s="387">
        <f>K60</f>
        <v>0</v>
      </c>
      <c r="L59" s="387">
        <f>L60</f>
        <v>0</v>
      </c>
    </row>
    <row r="60" spans="1:12" ht="18.75" hidden="1" customHeight="1">
      <c r="A60" s="49" t="str">
        <f>IF(B60&gt;0,VLOOKUP(B60,КВСР!A58:B1223,2),IF(C60&gt;0,VLOOKUP(C60,КФСР!A58:B1570,2),IF(D60&gt;0,VLOOKUP(D60,Программа!A$1:B$5063,2),IF(F60&gt;0,VLOOKUP(F60,КВР!A$1:B$5001,2),IF(E60&gt;0,VLOOKUP(E60,Направление!A$1:B$4746,2))))))</f>
        <v>Бюджетные инвестиции</v>
      </c>
      <c r="B60" s="91"/>
      <c r="C60" s="84"/>
      <c r="D60" s="444"/>
      <c r="E60" s="84"/>
      <c r="F60" s="85">
        <v>400</v>
      </c>
      <c r="G60" s="387">
        <v>0</v>
      </c>
      <c r="H60" s="385"/>
      <c r="I60" s="50">
        <f>SUM(G60:H60)</f>
        <v>0</v>
      </c>
      <c r="J60" s="387">
        <v>0</v>
      </c>
      <c r="K60" s="385"/>
      <c r="L60" s="387">
        <f>SUM(J60:K60)</f>
        <v>0</v>
      </c>
    </row>
    <row r="61" spans="1:12" ht="18.75" customHeight="1">
      <c r="A61" s="49" t="str">
        <f>IF(B61&gt;0,VLOOKUP(B61,КВСР!A59:B1224,2),IF(C61&gt;0,VLOOKUP(C61,КФСР!A59:B1571,2),IF(D61&gt;0,VLOOKUP(D61,Программа!A$1:B$5063,2),IF(F61&gt;0,VLOOKUP(F61,КВР!A$1:B$5001,2),IF(E61&gt;0,VLOOKUP(E61,Направление!A$1:B$4746,2))))))</f>
        <v>Межбюджетные трансферты  поселениям района</v>
      </c>
      <c r="B61" s="91"/>
      <c r="C61" s="84"/>
      <c r="D61" s="444" t="s">
        <v>2853</v>
      </c>
      <c r="E61" s="84"/>
      <c r="F61" s="85"/>
      <c r="G61" s="387">
        <f>G62+G64</f>
        <v>0</v>
      </c>
      <c r="H61" s="387">
        <f t="shared" ref="H61:K61" si="31">H62+H64</f>
        <v>11479870</v>
      </c>
      <c r="I61" s="50">
        <f t="shared" ref="I61:I65" si="32">SUM(G61:H61)</f>
        <v>11479870</v>
      </c>
      <c r="J61" s="387">
        <f t="shared" si="31"/>
        <v>0</v>
      </c>
      <c r="K61" s="387">
        <f t="shared" si="31"/>
        <v>0</v>
      </c>
      <c r="L61" s="387">
        <f t="shared" ref="L61:L65" si="33">SUM(J61:K61)</f>
        <v>0</v>
      </c>
    </row>
    <row r="62" spans="1:12" ht="156">
      <c r="A62" s="49" t="s">
        <v>3131</v>
      </c>
      <c r="B62" s="91"/>
      <c r="C62" s="84"/>
      <c r="D62" s="444"/>
      <c r="E62" s="444" t="s">
        <v>3266</v>
      </c>
      <c r="F62" s="85"/>
      <c r="G62" s="387">
        <f>G63</f>
        <v>0</v>
      </c>
      <c r="H62" s="387">
        <f t="shared" ref="H62:K62" si="34">H63</f>
        <v>2937936</v>
      </c>
      <c r="I62" s="50">
        <f t="shared" si="32"/>
        <v>2937936</v>
      </c>
      <c r="J62" s="387">
        <f t="shared" si="34"/>
        <v>0</v>
      </c>
      <c r="K62" s="387">
        <f t="shared" si="34"/>
        <v>0</v>
      </c>
      <c r="L62" s="387">
        <f t="shared" si="33"/>
        <v>0</v>
      </c>
    </row>
    <row r="63" spans="1:12" ht="15.6">
      <c r="A63" s="49" t="str">
        <f>IF(B63&gt;0,VLOOKUP(B63,КВСР!A61:B1226,2),IF(C63&gt;0,VLOOKUP(C63,КФСР!A61:B1573,2),IF(D63&gt;0,VLOOKUP(D63,Программа!A$1:B$5063,2),IF(F63&gt;0,VLOOKUP(F63,КВР!A$1:B$5001,2),IF(E63&gt;0,VLOOKUP(E63,Направление!A$1:B$4746,2))))))</f>
        <v xml:space="preserve"> Межбюджетные трансферты</v>
      </c>
      <c r="B63" s="91"/>
      <c r="C63" s="84"/>
      <c r="D63" s="444"/>
      <c r="E63" s="444"/>
      <c r="F63" s="85">
        <v>500</v>
      </c>
      <c r="G63" s="387"/>
      <c r="H63" s="385">
        <v>2937936</v>
      </c>
      <c r="I63" s="50">
        <f t="shared" si="32"/>
        <v>2937936</v>
      </c>
      <c r="J63" s="387"/>
      <c r="K63" s="385"/>
      <c r="L63" s="387">
        <f t="shared" si="33"/>
        <v>0</v>
      </c>
    </row>
    <row r="64" spans="1:12" ht="144" customHeight="1">
      <c r="A64" s="49" t="str">
        <f>IF(B64&gt;0,VLOOKUP(B64,КВСР!A62:B1227,2),IF(C64&gt;0,VLOOKUP(C64,КФСР!A62:B1574,2),IF(D64&gt;0,VLOOKUP(D64,Программа!A$1:B$5063,2),IF(F64&gt;0,VLOOKUP(F64,КВР!A$1:B$5001,2),IF(E64&gt;0,VLOOKUP(E64,Направление!A$1:B$4746,2))))))</f>
        <v xml:space="preserve">Субсидия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v>
      </c>
      <c r="B64" s="91"/>
      <c r="C64" s="84"/>
      <c r="D64" s="444"/>
      <c r="E64" s="444" t="s">
        <v>3267</v>
      </c>
      <c r="F64" s="85"/>
      <c r="G64" s="387">
        <f>G65</f>
        <v>0</v>
      </c>
      <c r="H64" s="387">
        <f t="shared" ref="H64:K64" si="35">H65</f>
        <v>8541934</v>
      </c>
      <c r="I64" s="50">
        <f t="shared" si="32"/>
        <v>8541934</v>
      </c>
      <c r="J64" s="387">
        <f t="shared" si="35"/>
        <v>0</v>
      </c>
      <c r="K64" s="387">
        <f t="shared" si="35"/>
        <v>0</v>
      </c>
      <c r="L64" s="387">
        <f t="shared" si="33"/>
        <v>0</v>
      </c>
    </row>
    <row r="65" spans="1:12" ht="15.6">
      <c r="A65" s="49" t="str">
        <f>IF(B65&gt;0,VLOOKUP(B65,КВСР!A63:B1228,2),IF(C65&gt;0,VLOOKUP(C65,КФСР!A63:B1575,2),IF(D65&gt;0,VLOOKUP(D65,Программа!A$1:B$5063,2),IF(F65&gt;0,VLOOKUP(F65,КВР!A$1:B$5001,2),IF(E65&gt;0,VLOOKUP(E65,Направление!A$1:B$4746,2))))))</f>
        <v xml:space="preserve"> Межбюджетные трансферты</v>
      </c>
      <c r="B65" s="91"/>
      <c r="C65" s="84"/>
      <c r="D65" s="444"/>
      <c r="E65" s="84"/>
      <c r="F65" s="85">
        <v>500</v>
      </c>
      <c r="G65" s="387"/>
      <c r="H65" s="385">
        <v>8541934</v>
      </c>
      <c r="I65" s="50">
        <f t="shared" si="32"/>
        <v>8541934</v>
      </c>
      <c r="J65" s="387"/>
      <c r="K65" s="385"/>
      <c r="L65" s="387">
        <f t="shared" si="33"/>
        <v>0</v>
      </c>
    </row>
    <row r="66" spans="1:12" ht="15.6">
      <c r="A66" s="49" t="str">
        <f>IF(B66&gt;0,VLOOKUP(B66,КВСР!A59:B1224,2),IF(C66&gt;0,VLOOKUP(C66,КФСР!A59:B1571,2),IF(D66&gt;0,VLOOKUP(D66,Программа!A$1:B$5063,2),IF(F66&gt;0,VLOOKUP(F66,КВР!A$1:B$5001,2),IF(E66&gt;0,VLOOKUP(E66,Направление!A$1:B$4746,2))))))</f>
        <v>Социальное обеспечение населения</v>
      </c>
      <c r="B66" s="91"/>
      <c r="C66" s="84">
        <v>1003</v>
      </c>
      <c r="D66" s="444"/>
      <c r="E66" s="84"/>
      <c r="F66" s="85"/>
      <c r="G66" s="387">
        <v>1400000</v>
      </c>
      <c r="H66" s="387">
        <f t="shared" ref="H66:H67" si="36">H67</f>
        <v>0</v>
      </c>
      <c r="I66" s="50">
        <f t="shared" ref="I66:I69" si="37">SUM(G66:H66)</f>
        <v>1400000</v>
      </c>
      <c r="J66" s="387">
        <v>1400000</v>
      </c>
      <c r="K66" s="387">
        <f t="shared" ref="K66:K67" si="38">K67</f>
        <v>0</v>
      </c>
      <c r="L66" s="387">
        <f t="shared" ref="L66:L69" si="39">SUM(J66:K66)</f>
        <v>1400000</v>
      </c>
    </row>
    <row r="67" spans="1:12" ht="31.2">
      <c r="A67" s="49" t="str">
        <f>IF(B67&gt;0,VLOOKUP(B67,КВСР!A60:B1225,2),IF(C67&gt;0,VLOOKUP(C67,КФСР!A60:B1572,2),IF(D67&gt;0,VLOOKUP(D67,Программа!A$1:B$5063,2),IF(F67&gt;0,VLOOKUP(F67,КВР!A$1:B$5001,2),IF(E67&gt;0,VLOOKUP(E67,Направление!A$1:B$4746,2))))))</f>
        <v>Межбюджетные трансферты  поселениям района</v>
      </c>
      <c r="B67" s="91"/>
      <c r="C67" s="84"/>
      <c r="D67" s="444" t="s">
        <v>2853</v>
      </c>
      <c r="E67" s="84"/>
      <c r="F67" s="85"/>
      <c r="G67" s="387">
        <v>1400000</v>
      </c>
      <c r="H67" s="387">
        <f t="shared" si="36"/>
        <v>0</v>
      </c>
      <c r="I67" s="50">
        <f t="shared" si="37"/>
        <v>1400000</v>
      </c>
      <c r="J67" s="387">
        <v>1400000</v>
      </c>
      <c r="K67" s="387">
        <f t="shared" si="38"/>
        <v>0</v>
      </c>
      <c r="L67" s="387">
        <f t="shared" si="39"/>
        <v>1400000</v>
      </c>
    </row>
    <row r="68" spans="1:12" ht="62.4">
      <c r="A68" s="49" t="str">
        <f>IF(B68&gt;0,VLOOKUP(B68,КВСР!A61:B1226,2),IF(C68&gt;0,VLOOKUP(C68,КФСР!A61:B1573,2),IF(D68&gt;0,VLOOKUP(D68,Программа!A$1:B$5063,2),IF(F68&gt;0,VLOOKUP(F68,КВР!A$1:B$5001,2),IF(E68&gt;0,VLOOKUP(E68,Направление!A$1:B$4746,2))))))</f>
        <v xml:space="preserve">Субсидия на государственную поддержку молодых семей Ярославской области в приобретении (строительстве) жилья </v>
      </c>
      <c r="B68" s="91"/>
      <c r="C68" s="84"/>
      <c r="D68" s="444"/>
      <c r="E68" s="84">
        <v>71190</v>
      </c>
      <c r="F68" s="85"/>
      <c r="G68" s="387">
        <v>1400000</v>
      </c>
      <c r="H68" s="387">
        <f>H69</f>
        <v>0</v>
      </c>
      <c r="I68" s="50">
        <f t="shared" si="37"/>
        <v>1400000</v>
      </c>
      <c r="J68" s="387">
        <v>1400000</v>
      </c>
      <c r="K68" s="387">
        <f>K69</f>
        <v>0</v>
      </c>
      <c r="L68" s="387">
        <f t="shared" si="39"/>
        <v>1400000</v>
      </c>
    </row>
    <row r="69" spans="1:12" ht="15.6">
      <c r="A69" s="49" t="str">
        <f>IF(B69&gt;0,VLOOKUP(B69,КВСР!A62:B1227,2),IF(C69&gt;0,VLOOKUP(C69,КФСР!A62:B1574,2),IF(D69&gt;0,VLOOKUP(D69,Программа!A$1:B$5063,2),IF(F69&gt;0,VLOOKUP(F69,КВР!A$1:B$5001,2),IF(E69&gt;0,VLOOKUP(E69,Направление!A$1:B$4746,2))))))</f>
        <v xml:space="preserve"> Межбюджетные трансферты</v>
      </c>
      <c r="B69" s="91"/>
      <c r="C69" s="84"/>
      <c r="D69" s="444"/>
      <c r="E69" s="84"/>
      <c r="F69" s="85">
        <v>500</v>
      </c>
      <c r="G69" s="387">
        <v>1400000</v>
      </c>
      <c r="H69" s="385"/>
      <c r="I69" s="50">
        <f t="shared" si="37"/>
        <v>1400000</v>
      </c>
      <c r="J69" s="387">
        <v>1400000</v>
      </c>
      <c r="K69" s="385"/>
      <c r="L69" s="387">
        <f t="shared" si="39"/>
        <v>1400000</v>
      </c>
    </row>
    <row r="70" spans="1:12" ht="31.2">
      <c r="A70" s="300" t="str">
        <f>IF(B70&gt;0,VLOOKUP(B70,КВСР!A51:B1216,2),IF(C70&gt;0,VLOOKUP(C70,КФСР!A51:B1563,2),IF(D70&gt;0,VLOOKUP(D70,Программа!A$1:B$5063,2),IF(F70&gt;0,VLOOKUP(F70,КВР!A$1:B$5001,2),IF(E70&gt;0,VLOOKUP(E70,Направление!A$1:B$4746,2))))))</f>
        <v>Департамент муниципального имущества Администрации ТМР</v>
      </c>
      <c r="B70" s="87">
        <v>952</v>
      </c>
      <c r="C70" s="88"/>
      <c r="D70" s="77"/>
      <c r="E70" s="88"/>
      <c r="F70" s="89"/>
      <c r="G70" s="595">
        <v>8812180</v>
      </c>
      <c r="H70" s="86">
        <f>H71+H80</f>
        <v>0</v>
      </c>
      <c r="I70" s="86">
        <f t="shared" si="2"/>
        <v>8812180</v>
      </c>
      <c r="J70" s="595">
        <v>7054202</v>
      </c>
      <c r="K70" s="86">
        <f>K71+K80</f>
        <v>0</v>
      </c>
      <c r="L70" s="86">
        <f t="shared" si="4"/>
        <v>7054202</v>
      </c>
    </row>
    <row r="71" spans="1:12" ht="15.6">
      <c r="A71" s="49" t="str">
        <f>IF(B71&gt;0,VLOOKUP(B71,КВСР!A52:B1217,2),IF(C71&gt;0,VLOOKUP(C71,КФСР!A52:B1564,2),IF(D71&gt;0,VLOOKUP(D71,Программа!A$1:B$5063,2),IF(F71&gt;0,VLOOKUP(F71,КВР!A$1:B$5001,2),IF(E71&gt;0,VLOOKUP(E71,Направление!A$1:B$4746,2))))))</f>
        <v>Другие общегосударственные вопросы</v>
      </c>
      <c r="B71" s="91"/>
      <c r="C71" s="84">
        <v>113</v>
      </c>
      <c r="D71" s="444"/>
      <c r="E71" s="84"/>
      <c r="F71" s="85"/>
      <c r="G71" s="387">
        <v>8462180</v>
      </c>
      <c r="H71" s="50">
        <f t="shared" ref="H71:H73" si="40">H72</f>
        <v>0</v>
      </c>
      <c r="I71" s="50">
        <f t="shared" si="2"/>
        <v>8462180</v>
      </c>
      <c r="J71" s="387">
        <v>7054202</v>
      </c>
      <c r="K71" s="50">
        <f t="shared" ref="K71" si="41">K72</f>
        <v>0</v>
      </c>
      <c r="L71" s="50">
        <f t="shared" si="4"/>
        <v>7054202</v>
      </c>
    </row>
    <row r="72" spans="1:12" ht="15.6">
      <c r="A72" s="49" t="str">
        <f>IF(B72&gt;0,VLOOKUP(B72,КВСР!A53:B1218,2),IF(C72&gt;0,VLOOKUP(C72,КФСР!A53:B1565,2),IF(D72&gt;0,VLOOKUP(D72,Программа!A$1:B$5063,2),IF(F72&gt;0,VLOOKUP(F72,КВР!A$1:B$5001,2),IF(E72&gt;0,VLOOKUP(E72,Направление!A$1:B$4746,2))))))</f>
        <v>Непрограммные расходы бюджета</v>
      </c>
      <c r="B72" s="91"/>
      <c r="C72" s="84"/>
      <c r="D72" s="444" t="s">
        <v>2852</v>
      </c>
      <c r="E72" s="84"/>
      <c r="F72" s="85"/>
      <c r="G72" s="387">
        <v>8462180</v>
      </c>
      <c r="H72" s="50">
        <f t="shared" ref="H72" si="42">H73+H75</f>
        <v>0</v>
      </c>
      <c r="I72" s="50">
        <f t="shared" si="2"/>
        <v>8462180</v>
      </c>
      <c r="J72" s="387">
        <v>7054202</v>
      </c>
      <c r="K72" s="50">
        <f t="shared" ref="K72" si="43">K73+K75</f>
        <v>0</v>
      </c>
      <c r="L72" s="50">
        <f t="shared" si="4"/>
        <v>7054202</v>
      </c>
    </row>
    <row r="73" spans="1:12" ht="15.6">
      <c r="A73" s="49" t="str">
        <f>IF(B73&gt;0,VLOOKUP(B73,КВСР!A54:B1219,2),IF(C73&gt;0,VLOOKUP(C73,КФСР!A54:B1566,2),IF(D73&gt;0,VLOOKUP(D73,Программа!A$1:B$5063,2),IF(F73&gt;0,VLOOKUP(F73,КВР!A$1:B$5001,2),IF(E73&gt;0,VLOOKUP(E73,Направление!A$1:B$4746,2))))))</f>
        <v>Содержание центрального аппарата</v>
      </c>
      <c r="B73" s="91"/>
      <c r="C73" s="84"/>
      <c r="D73" s="444"/>
      <c r="E73" s="84">
        <v>12010</v>
      </c>
      <c r="F73" s="85"/>
      <c r="G73" s="387">
        <v>7054202</v>
      </c>
      <c r="H73" s="50">
        <f t="shared" si="40"/>
        <v>0</v>
      </c>
      <c r="I73" s="50">
        <f t="shared" si="2"/>
        <v>7054202</v>
      </c>
      <c r="J73" s="387">
        <v>7054202</v>
      </c>
      <c r="K73" s="50">
        <f t="shared" ref="K73" si="44">K74</f>
        <v>0</v>
      </c>
      <c r="L73" s="50">
        <f t="shared" si="4"/>
        <v>7054202</v>
      </c>
    </row>
    <row r="74" spans="1:12" ht="93.6">
      <c r="A74" s="49" t="str">
        <f>IF(B74&gt;0,VLOOKUP(B74,КВСР!A55:B1220,2),IF(C74&gt;0,VLOOKUP(C74,КФСР!A55:B1567,2),IF(D74&gt;0,VLOOKUP(D74,Программа!A$1:B$5063,2),IF(F74&gt;0,VLOOKUP(F74,КВР!A$1:B$5001,2),IF(E74&gt;0,VLOOKUP(E74,Направление!A$1:B$4746,2))))))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74" s="91"/>
      <c r="C74" s="84"/>
      <c r="D74" s="77"/>
      <c r="E74" s="88"/>
      <c r="F74" s="85">
        <v>100</v>
      </c>
      <c r="G74" s="387">
        <v>7054202</v>
      </c>
      <c r="H74" s="385"/>
      <c r="I74" s="50">
        <f t="shared" si="2"/>
        <v>7054202</v>
      </c>
      <c r="J74" s="387">
        <v>7054202</v>
      </c>
      <c r="K74" s="385"/>
      <c r="L74" s="50">
        <f t="shared" si="4"/>
        <v>7054202</v>
      </c>
    </row>
    <row r="75" spans="1:12" ht="46.8">
      <c r="A75" s="49" t="str">
        <f>IF(B75&gt;0,VLOOKUP(B75,КВСР!A56:B1221,2),IF(C75&gt;0,VLOOKUP(C75,КФСР!A56:B1568,2),IF(D75&gt;0,VLOOKUP(D75,Программа!A$1:B$5063,2),IF(F75&gt;0,VLOOKUP(F75,КВР!A$1:B$5001,2),IF(E75&gt;0,VLOOKUP(E75,Направление!A$1:B$4746,2))))))</f>
        <v>Содержание органов местного самоуправления за счет средств поселений</v>
      </c>
      <c r="B75" s="91"/>
      <c r="C75" s="84"/>
      <c r="D75" s="77"/>
      <c r="E75" s="88">
        <v>29016</v>
      </c>
      <c r="F75" s="85"/>
      <c r="G75" s="387">
        <v>1407978</v>
      </c>
      <c r="H75" s="50">
        <f>H76+H77+H78</f>
        <v>0</v>
      </c>
      <c r="I75" s="50">
        <f t="shared" ref="I75:L75" si="45">I76+I77+I78</f>
        <v>1407978</v>
      </c>
      <c r="J75" s="50">
        <v>0</v>
      </c>
      <c r="K75" s="50">
        <f t="shared" si="45"/>
        <v>0</v>
      </c>
      <c r="L75" s="50">
        <f t="shared" si="45"/>
        <v>0</v>
      </c>
    </row>
    <row r="76" spans="1:12" ht="93.6">
      <c r="A76" s="49" t="str">
        <f>IF(B76&gt;0,VLOOKUP(B76,КВСР!A57:B1222,2),IF(C76&gt;0,VLOOKUP(C76,КФСР!A57:B1569,2),IF(D76&gt;0,VLOOKUP(D76,Программа!A$1:B$5063,2),IF(F76&gt;0,VLOOKUP(F76,КВР!A$1:B$5001,2),IF(E76&gt;0,VLOOKUP(E76,Направление!A$1:B$4746,2))))))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76" s="91"/>
      <c r="C76" s="84"/>
      <c r="D76" s="77"/>
      <c r="E76" s="88"/>
      <c r="F76" s="85">
        <v>100</v>
      </c>
      <c r="G76" s="387">
        <v>1098162</v>
      </c>
      <c r="H76" s="385"/>
      <c r="I76" s="50">
        <f t="shared" si="2"/>
        <v>1098162</v>
      </c>
      <c r="J76" s="387">
        <v>0</v>
      </c>
      <c r="K76" s="385"/>
      <c r="L76" s="50">
        <f t="shared" si="4"/>
        <v>0</v>
      </c>
    </row>
    <row r="77" spans="1:12" ht="31.2">
      <c r="A77" s="49" t="str">
        <f>IF(B77&gt;0,VLOOKUP(B77,КВСР!A58:B1223,2),IF(C77&gt;0,VLOOKUP(C77,КФСР!A58:B1570,2),IF(D77&gt;0,VLOOKUP(D77,Программа!A$1:B$5063,2),IF(F77&gt;0,VLOOKUP(F77,КВР!A$1:B$5001,2),IF(E77&gt;0,VLOOKUP(E77,Направление!A$1:B$4746,2))))))</f>
        <v>Закупка товаров, работ и услуг для государственных нужд</v>
      </c>
      <c r="B77" s="91"/>
      <c r="C77" s="84"/>
      <c r="D77" s="77"/>
      <c r="E77" s="88"/>
      <c r="F77" s="85">
        <v>200</v>
      </c>
      <c r="G77" s="387">
        <v>109816</v>
      </c>
      <c r="H77" s="385"/>
      <c r="I77" s="50">
        <f t="shared" si="2"/>
        <v>109816</v>
      </c>
      <c r="J77" s="387">
        <v>0</v>
      </c>
      <c r="K77" s="385"/>
      <c r="L77" s="50">
        <f t="shared" si="4"/>
        <v>0</v>
      </c>
    </row>
    <row r="78" spans="1:12" ht="46.8">
      <c r="A78" s="49" t="str">
        <f>IF(B78&gt;0,VLOOKUP(B78,КВСР!A59:B1224,2),IF(C78&gt;0,VLOOKUP(C78,КФСР!A59:B1571,2),IF(D78&gt;0,VLOOKUP(D78,Программа!A$1:B$5063,2),IF(F78&gt;0,VLOOKUP(F78,КВР!A$1:B$5001,2),IF(E78&gt;0,VLOOKUP(E78,Направление!A$1:B$4746,2))))))</f>
        <v>Расходы на оборудование социально значимых объектов с целью обеспечения доступности для инвалидов</v>
      </c>
      <c r="B78" s="91"/>
      <c r="C78" s="84"/>
      <c r="D78" s="77"/>
      <c r="E78" s="88">
        <v>26026</v>
      </c>
      <c r="F78" s="85"/>
      <c r="G78" s="387">
        <v>200000</v>
      </c>
      <c r="H78" s="387">
        <f t="shared" ref="H78:L78" si="46">H79</f>
        <v>0</v>
      </c>
      <c r="I78" s="387">
        <f t="shared" si="46"/>
        <v>200000</v>
      </c>
      <c r="J78" s="387">
        <v>0</v>
      </c>
      <c r="K78" s="387">
        <f t="shared" si="46"/>
        <v>0</v>
      </c>
      <c r="L78" s="387">
        <f t="shared" si="46"/>
        <v>0</v>
      </c>
    </row>
    <row r="79" spans="1:12" ht="31.2">
      <c r="A79" s="49" t="str">
        <f>IF(B79&gt;0,VLOOKUP(B79,КВСР!A60:B1225,2),IF(C79&gt;0,VLOOKUP(C79,КФСР!A60:B1572,2),IF(D79&gt;0,VLOOKUP(D79,Программа!A$1:B$5063,2),IF(F79&gt;0,VLOOKUP(F79,КВР!A$1:B$5001,2),IF(E79&gt;0,VLOOKUP(E79,Направление!A$1:B$4746,2))))))</f>
        <v>Закупка товаров, работ и услуг для государственных нужд</v>
      </c>
      <c r="B79" s="91"/>
      <c r="C79" s="84"/>
      <c r="D79" s="77"/>
      <c r="E79" s="88"/>
      <c r="F79" s="85">
        <v>200</v>
      </c>
      <c r="G79" s="387">
        <v>200000</v>
      </c>
      <c r="H79" s="385"/>
      <c r="I79" s="50">
        <f>G79+H79</f>
        <v>200000</v>
      </c>
      <c r="J79" s="387">
        <v>0</v>
      </c>
      <c r="K79" s="385"/>
      <c r="L79" s="50">
        <f>J79+K79</f>
        <v>0</v>
      </c>
    </row>
    <row r="80" spans="1:12" ht="31.2">
      <c r="A80" s="49" t="str">
        <f>IF(B80&gt;0,VLOOKUP(B80,КВСР!A59:B1224,2),IF(C80&gt;0,VLOOKUP(C80,КФСР!A59:B1571,2),IF(D80&gt;0,VLOOKUP(D80,Программа!A$1:B$5063,2),IF(F80&gt;0,VLOOKUP(F80,КВР!A$1:B$5001,2),IF(E80&gt;0,VLOOKUP(E80,Направление!A$1:B$4746,2))))))</f>
        <v>Другие вопросы в области национальной экономики</v>
      </c>
      <c r="B80" s="91"/>
      <c r="C80" s="84">
        <v>412</v>
      </c>
      <c r="D80" s="77"/>
      <c r="E80" s="88"/>
      <c r="F80" s="85"/>
      <c r="G80" s="387">
        <v>350000</v>
      </c>
      <c r="H80" s="387">
        <f t="shared" ref="H80:H81" si="47">H81</f>
        <v>0</v>
      </c>
      <c r="I80" s="50">
        <f t="shared" si="2"/>
        <v>350000</v>
      </c>
      <c r="J80" s="387">
        <v>0</v>
      </c>
      <c r="K80" s="387">
        <f t="shared" ref="K80:K81" si="48">K81</f>
        <v>0</v>
      </c>
      <c r="L80" s="50">
        <f t="shared" si="4"/>
        <v>0</v>
      </c>
    </row>
    <row r="81" spans="1:12" ht="15.6">
      <c r="A81" s="49" t="str">
        <f>IF(B81&gt;0,VLOOKUP(B81,КВСР!A60:B1225,2),IF(C81&gt;0,VLOOKUP(C81,КФСР!A60:B1572,2),IF(D81&gt;0,VLOOKUP(D81,Программа!A$1:B$5063,2),IF(F81&gt;0,VLOOKUP(F81,КВР!A$1:B$5001,2),IF(E81&gt;0,VLOOKUP(E81,Направление!A$1:B$4746,2))))))</f>
        <v>Непрограммные расходы бюджета</v>
      </c>
      <c r="B81" s="91"/>
      <c r="C81" s="84"/>
      <c r="D81" s="77" t="s">
        <v>2852</v>
      </c>
      <c r="E81" s="88"/>
      <c r="F81" s="85"/>
      <c r="G81" s="387">
        <v>350000</v>
      </c>
      <c r="H81" s="387">
        <f t="shared" si="47"/>
        <v>0</v>
      </c>
      <c r="I81" s="50">
        <f t="shared" si="2"/>
        <v>350000</v>
      </c>
      <c r="J81" s="387">
        <v>0</v>
      </c>
      <c r="K81" s="387">
        <f t="shared" si="48"/>
        <v>0</v>
      </c>
      <c r="L81" s="50">
        <f t="shared" si="4"/>
        <v>0</v>
      </c>
    </row>
    <row r="82" spans="1:12" ht="62.4">
      <c r="A82" s="49" t="str">
        <f>IF(B82&gt;0,VLOOKUP(B82,КВСР!A61:B1226,2),IF(C82&gt;0,VLOOKUP(C82,КФСР!A61:B1573,2),IF(D82&gt;0,VLOOKUP(D82,Программа!A$1:B$5063,2),IF(F82&gt;0,VLOOKUP(F82,КВР!A$1:B$5001,2),IF(E82&gt;0,VLOOKUP(E82,Направление!A$1:B$4746,2))))))</f>
        <v>Обеспечение мероприятий  по землеустройству и землепользованию,   определению кадастровой стоимости и приобретению прав собственности</v>
      </c>
      <c r="B82" s="91"/>
      <c r="C82" s="84"/>
      <c r="D82" s="77"/>
      <c r="E82" s="88">
        <v>29276</v>
      </c>
      <c r="F82" s="85"/>
      <c r="G82" s="387">
        <v>350000</v>
      </c>
      <c r="H82" s="387">
        <f>H83</f>
        <v>0</v>
      </c>
      <c r="I82" s="50">
        <f t="shared" si="2"/>
        <v>350000</v>
      </c>
      <c r="J82" s="387">
        <v>0</v>
      </c>
      <c r="K82" s="387">
        <f>K83</f>
        <v>0</v>
      </c>
      <c r="L82" s="50">
        <f t="shared" si="4"/>
        <v>0</v>
      </c>
    </row>
    <row r="83" spans="1:12" ht="31.2">
      <c r="A83" s="49" t="str">
        <f>IF(B83&gt;0,VLOOKUP(B83,КВСР!A62:B1227,2),IF(C83&gt;0,VLOOKUP(C83,КФСР!A62:B1574,2),IF(D83&gt;0,VLOOKUP(D83,Программа!A$1:B$5063,2),IF(F83&gt;0,VLOOKUP(F83,КВР!A$1:B$5001,2),IF(E83&gt;0,VLOOKUP(E83,Направление!A$1:B$4746,2))))))</f>
        <v>Закупка товаров, работ и услуг для государственных нужд</v>
      </c>
      <c r="B83" s="91"/>
      <c r="C83" s="84"/>
      <c r="D83" s="77"/>
      <c r="E83" s="88"/>
      <c r="F83" s="85">
        <v>200</v>
      </c>
      <c r="G83" s="387">
        <v>350000</v>
      </c>
      <c r="H83" s="385"/>
      <c r="I83" s="50">
        <f t="shared" si="2"/>
        <v>350000</v>
      </c>
      <c r="J83" s="387">
        <v>0</v>
      </c>
      <c r="K83" s="385"/>
      <c r="L83" s="50">
        <f t="shared" si="4"/>
        <v>0</v>
      </c>
    </row>
    <row r="84" spans="1:12" s="227" customFormat="1" ht="31.2">
      <c r="A84" s="300" t="str">
        <f>IF(B84&gt;0,VLOOKUP(B84,КВСР!A76:B1241,2),IF(C84&gt;0,VLOOKUP(C84,КФСР!A76:B1588,2),IF(D84&gt;0,VLOOKUP(D84,Программа!A$1:B$5063,2),IF(F84&gt;0,VLOOKUP(F84,КВР!A$1:B$5001,2),IF(E84&gt;0,VLOOKUP(E84,Направление!A$1:B$4746,2))))))</f>
        <v>Департамент образования Администрации ТМР</v>
      </c>
      <c r="B84" s="87">
        <v>953</v>
      </c>
      <c r="C84" s="301"/>
      <c r="D84" s="567"/>
      <c r="E84" s="301"/>
      <c r="F84" s="302"/>
      <c r="G84" s="595">
        <v>748049382</v>
      </c>
      <c r="H84" s="86">
        <f t="shared" ref="H84" si="49">H85+H95+H109+H120+H144</f>
        <v>0</v>
      </c>
      <c r="I84" s="86">
        <f t="shared" si="2"/>
        <v>748049382</v>
      </c>
      <c r="J84" s="595">
        <v>743210339</v>
      </c>
      <c r="K84" s="86">
        <f t="shared" ref="K84" si="50">K85+K95+K109+K120+K144</f>
        <v>0</v>
      </c>
      <c r="L84" s="86">
        <f t="shared" si="4"/>
        <v>743210339</v>
      </c>
    </row>
    <row r="85" spans="1:12" ht="15.6">
      <c r="A85" s="49" t="str">
        <f>IF(B85&gt;0,VLOOKUP(B85,КВСР!A81:B1246,2),IF(C85&gt;0,VLOOKUP(C85,КФСР!A81:B1593,2),IF(D85&gt;0,VLOOKUP(D85,Программа!A$1:B$5063,2),IF(F85&gt;0,VLOOKUP(F85,КВР!A$1:B$5001,2),IF(E85&gt;0,VLOOKUP(E85,Направление!A$1:B$4746,2))))))</f>
        <v>Дошкольное образование</v>
      </c>
      <c r="B85" s="91"/>
      <c r="C85" s="84">
        <v>701</v>
      </c>
      <c r="D85" s="444"/>
      <c r="E85" s="84"/>
      <c r="F85" s="85"/>
      <c r="G85" s="387">
        <v>246063576</v>
      </c>
      <c r="H85" s="50">
        <f t="shared" ref="H85:H87" si="51">H86</f>
        <v>0</v>
      </c>
      <c r="I85" s="50">
        <f t="shared" si="2"/>
        <v>246063576</v>
      </c>
      <c r="J85" s="387">
        <v>244701775</v>
      </c>
      <c r="K85" s="50">
        <f t="shared" ref="K85:K87" si="52">K86</f>
        <v>0</v>
      </c>
      <c r="L85" s="50">
        <f t="shared" si="4"/>
        <v>244701775</v>
      </c>
    </row>
    <row r="86" spans="1:12" ht="62.4">
      <c r="A86" s="49" t="str">
        <f>IF(B86&gt;0,VLOOKUP(B86,КВСР!A82:B1247,2),IF(C86&gt;0,VLOOKUP(C86,КФСР!A82:B1594,2),IF(D86&gt;0,VLOOKUP(D86,Программа!A$1:B$5063,2),IF(F86&gt;0,VLOOKUP(F86,КВР!A$1:B$5001,2),IF(E86&gt;0,VLOOKUP(E86,Направление!A$1:B$4746,2))))))</f>
        <v>Муниципальная программа "Развитие образования, физической культуры и спорта в Тутаевском муниципальном районе"</v>
      </c>
      <c r="B86" s="91"/>
      <c r="C86" s="84"/>
      <c r="D86" s="444" t="s">
        <v>2739</v>
      </c>
      <c r="E86" s="84"/>
      <c r="F86" s="85"/>
      <c r="G86" s="387">
        <v>246063576</v>
      </c>
      <c r="H86" s="50">
        <f t="shared" si="51"/>
        <v>0</v>
      </c>
      <c r="I86" s="50">
        <f t="shared" si="2"/>
        <v>246063576</v>
      </c>
      <c r="J86" s="387">
        <v>244701775</v>
      </c>
      <c r="K86" s="50">
        <f t="shared" si="52"/>
        <v>0</v>
      </c>
      <c r="L86" s="50">
        <f t="shared" si="4"/>
        <v>244701775</v>
      </c>
    </row>
    <row r="87" spans="1:12" ht="62.4">
      <c r="A87" s="49" t="str">
        <f>IF(B87&gt;0,VLOOKUP(B87,КВСР!A83:B1248,2),IF(C87&gt;0,VLOOKUP(C87,КФСР!A83:B1595,2),IF(D87&gt;0,VLOOKUP(D87,Программа!A$1:B$5063,2),IF(F87&gt;0,VLOOKUP(F87,КВР!A$1:B$5001,2),IF(E87&gt;0,VLOOKUP(E87,Направление!A$1:B$4746,2))))))</f>
        <v xml:space="preserve">Ведомственная целевая программа департамента образования Администрации Тутаевского муниципального района </v>
      </c>
      <c r="B87" s="91"/>
      <c r="C87" s="84"/>
      <c r="D87" s="444" t="s">
        <v>2740</v>
      </c>
      <c r="E87" s="84"/>
      <c r="F87" s="85"/>
      <c r="G87" s="387">
        <v>246063576</v>
      </c>
      <c r="H87" s="50">
        <f t="shared" si="51"/>
        <v>0</v>
      </c>
      <c r="I87" s="50">
        <f t="shared" si="2"/>
        <v>246063576</v>
      </c>
      <c r="J87" s="387">
        <v>244701775</v>
      </c>
      <c r="K87" s="50">
        <f t="shared" si="52"/>
        <v>0</v>
      </c>
      <c r="L87" s="50">
        <f t="shared" si="4"/>
        <v>244701775</v>
      </c>
    </row>
    <row r="88" spans="1:12" ht="62.4">
      <c r="A88" s="49" t="str">
        <f>IF(B88&gt;0,VLOOKUP(B88,КВСР!A83:B1248,2),IF(C88&gt;0,VLOOKUP(C88,КФСР!A83:B1595,2),IF(D88&gt;0,VLOOKUP(D88,Программа!A$1:B$5063,2),IF(F88&gt;0,VLOOKUP(F88,КВР!A$1:B$5001,2),IF(E88&gt;0,VLOOKUP(E88,Направление!A$1:B$4746,2))))))</f>
        <v>Организация предоставления муниципальных услуг и выполнения работ  муниципальными учреждениями сферы образования</v>
      </c>
      <c r="B88" s="91"/>
      <c r="C88" s="84"/>
      <c r="D88" s="444" t="s">
        <v>2741</v>
      </c>
      <c r="E88" s="84"/>
      <c r="F88" s="85"/>
      <c r="G88" s="387">
        <v>246063576</v>
      </c>
      <c r="H88" s="50">
        <f t="shared" ref="H88" si="53">H89+H91+H93</f>
        <v>0</v>
      </c>
      <c r="I88" s="50">
        <f t="shared" si="2"/>
        <v>246063576</v>
      </c>
      <c r="J88" s="387">
        <v>244701775</v>
      </c>
      <c r="K88" s="50">
        <f t="shared" ref="K88" si="54">K89+K91+K93</f>
        <v>0</v>
      </c>
      <c r="L88" s="50">
        <f t="shared" si="4"/>
        <v>244701775</v>
      </c>
    </row>
    <row r="89" spans="1:12" ht="31.2">
      <c r="A89" s="49" t="str">
        <f>IF(B89&gt;0,VLOOKUP(B89,КВСР!A84:B1249,2),IF(C89&gt;0,VLOOKUP(C89,КФСР!A84:B1596,2),IF(D89&gt;0,VLOOKUP(D89,Программа!A$1:B$5063,2),IF(F89&gt;0,VLOOKUP(F89,КВР!A$1:B$5001,2),IF(E89&gt;0,VLOOKUP(E89,Направление!A$1:B$4746,2))))))</f>
        <v>Обеспечение деятельности дошкольных учреждений</v>
      </c>
      <c r="B89" s="91"/>
      <c r="C89" s="84"/>
      <c r="D89" s="444"/>
      <c r="E89" s="84">
        <v>13010</v>
      </c>
      <c r="F89" s="85"/>
      <c r="G89" s="387">
        <v>83347766</v>
      </c>
      <c r="H89" s="50">
        <f t="shared" ref="H89" si="55">H90</f>
        <v>0</v>
      </c>
      <c r="I89" s="50">
        <f t="shared" si="2"/>
        <v>83347766</v>
      </c>
      <c r="J89" s="387">
        <v>81985965</v>
      </c>
      <c r="K89" s="50">
        <f t="shared" ref="K89" si="56">K90</f>
        <v>0</v>
      </c>
      <c r="L89" s="50">
        <f t="shared" si="4"/>
        <v>81985965</v>
      </c>
    </row>
    <row r="90" spans="1:12" ht="46.8">
      <c r="A90" s="49" t="str">
        <f>IF(B90&gt;0,VLOOKUP(B90,КВСР!A85:B1250,2),IF(C90&gt;0,VLOOKUP(C90,КФСР!A85:B1597,2),IF(D90&gt;0,VLOOKUP(D90,Программа!A$1:B$5063,2),IF(F90&gt;0,VLOOKUP(F90,КВР!A$1:B$5001,2),IF(E90&gt;0,VLOOKUP(E90,Направление!A$1:B$4746,2))))))</f>
        <v>Предоставление субсидий бюджетным, автономным учреждениям и иным некоммерческим организациям</v>
      </c>
      <c r="B90" s="91"/>
      <c r="C90" s="84"/>
      <c r="D90" s="444"/>
      <c r="E90" s="84"/>
      <c r="F90" s="85">
        <v>600</v>
      </c>
      <c r="G90" s="387">
        <v>83347766</v>
      </c>
      <c r="H90" s="385"/>
      <c r="I90" s="50">
        <f t="shared" si="2"/>
        <v>83347766</v>
      </c>
      <c r="J90" s="387">
        <v>81985965</v>
      </c>
      <c r="K90" s="385"/>
      <c r="L90" s="50">
        <f t="shared" si="4"/>
        <v>81985965</v>
      </c>
    </row>
    <row r="91" spans="1:12" ht="109.2">
      <c r="A91" s="49" t="str">
        <f>IF(B91&gt;0,VLOOKUP(B91,КВСР!A89:B1254,2),IF(C91&gt;0,VLOOKUP(C91,КФСР!A89:B1601,2),IF(D91&gt;0,VLOOKUP(D91,Программа!A$1:B$5063,2),IF(F91&gt;0,VLOOKUP(F91,КВР!A$1:B$5001,2),IF(E91&gt;0,VLOOKUP(E91,Направление!A$1:B$4746,2))))))</f>
        <v>Расходы на выплаты медицинским работникам, осуществляющим медицинское обслуживание обучающихся и воспитанников муниципальных образовательных учреждений, за счет средств областного бюджета</v>
      </c>
      <c r="B91" s="91"/>
      <c r="C91" s="84"/>
      <c r="D91" s="444"/>
      <c r="E91" s="84">
        <v>70510</v>
      </c>
      <c r="F91" s="85"/>
      <c r="G91" s="387">
        <v>1841000</v>
      </c>
      <c r="H91" s="50">
        <f t="shared" ref="H91" si="57">H92</f>
        <v>0</v>
      </c>
      <c r="I91" s="50">
        <f t="shared" si="2"/>
        <v>1841000</v>
      </c>
      <c r="J91" s="387">
        <v>1841000</v>
      </c>
      <c r="K91" s="50">
        <f t="shared" ref="K91" si="58">K92</f>
        <v>0</v>
      </c>
      <c r="L91" s="50">
        <f t="shared" si="4"/>
        <v>1841000</v>
      </c>
    </row>
    <row r="92" spans="1:12" ht="46.8">
      <c r="A92" s="49" t="str">
        <f>IF(B92&gt;0,VLOOKUP(B92,КВСР!A90:B1255,2),IF(C92&gt;0,VLOOKUP(C92,КФСР!A90:B1602,2),IF(D92&gt;0,VLOOKUP(D92,Программа!A$1:B$5063,2),IF(F92&gt;0,VLOOKUP(F92,КВР!A$1:B$5001,2),IF(E92&gt;0,VLOOKUP(E92,Направление!A$1:B$4746,2))))))</f>
        <v>Предоставление субсидий бюджетным, автономным учреждениям и иным некоммерческим организациям</v>
      </c>
      <c r="B92" s="91"/>
      <c r="C92" s="84"/>
      <c r="D92" s="444"/>
      <c r="E92" s="84"/>
      <c r="F92" s="85">
        <v>600</v>
      </c>
      <c r="G92" s="387">
        <v>1841000</v>
      </c>
      <c r="H92" s="385"/>
      <c r="I92" s="50">
        <f t="shared" si="2"/>
        <v>1841000</v>
      </c>
      <c r="J92" s="387">
        <v>1841000</v>
      </c>
      <c r="K92" s="385"/>
      <c r="L92" s="50">
        <f t="shared" si="4"/>
        <v>1841000</v>
      </c>
    </row>
    <row r="93" spans="1:12" ht="62.4">
      <c r="A93" s="49" t="str">
        <f>IF(B93&gt;0,VLOOKUP(B93,КВСР!A91:B1256,2),IF(C93&gt;0,VLOOKUP(C93,КФСР!A91:B1603,2),IF(D93&gt;0,VLOOKUP(D93,Программа!A$1:B$5063,2),IF(F93&gt;0,VLOOKUP(F93,КВР!A$1:B$5001,2),IF(E93&gt;0,VLOOKUP(E93,Направление!A$1:B$4746,2))))))</f>
        <v xml:space="preserve">Расходы на обеспечение предоставления услуг по дошкольному образованию детей в дошкольных образовательных организациях </v>
      </c>
      <c r="B93" s="91"/>
      <c r="C93" s="84"/>
      <c r="D93" s="444"/>
      <c r="E93" s="84">
        <v>73110</v>
      </c>
      <c r="F93" s="85"/>
      <c r="G93" s="387">
        <v>160874810</v>
      </c>
      <c r="H93" s="50">
        <f t="shared" ref="H93" si="59">H94</f>
        <v>0</v>
      </c>
      <c r="I93" s="50">
        <f t="shared" si="2"/>
        <v>160874810</v>
      </c>
      <c r="J93" s="387">
        <v>160874810</v>
      </c>
      <c r="K93" s="50">
        <f t="shared" ref="K93" si="60">K94</f>
        <v>0</v>
      </c>
      <c r="L93" s="50">
        <f t="shared" si="4"/>
        <v>160874810</v>
      </c>
    </row>
    <row r="94" spans="1:12" ht="46.8">
      <c r="A94" s="49" t="str">
        <f>IF(B94&gt;0,VLOOKUP(B94,КВСР!A92:B1257,2),IF(C94&gt;0,VLOOKUP(C94,КФСР!A92:B1604,2),IF(D94&gt;0,VLOOKUP(D94,Программа!A$1:B$5063,2),IF(F94&gt;0,VLOOKUP(F94,КВР!A$1:B$5001,2),IF(E94&gt;0,VLOOKUP(E94,Направление!A$1:B$4746,2))))))</f>
        <v>Предоставление субсидий бюджетным, автономным учреждениям и иным некоммерческим организациям</v>
      </c>
      <c r="B94" s="91"/>
      <c r="C94" s="84"/>
      <c r="D94" s="444"/>
      <c r="E94" s="84"/>
      <c r="F94" s="85">
        <v>600</v>
      </c>
      <c r="G94" s="387">
        <v>160874810</v>
      </c>
      <c r="H94" s="385"/>
      <c r="I94" s="50">
        <f t="shared" si="2"/>
        <v>160874810</v>
      </c>
      <c r="J94" s="387">
        <v>160874810</v>
      </c>
      <c r="K94" s="385"/>
      <c r="L94" s="50">
        <f t="shared" si="4"/>
        <v>160874810</v>
      </c>
    </row>
    <row r="95" spans="1:12" ht="15.6">
      <c r="A95" s="49" t="str">
        <f>IF(B95&gt;0,VLOOKUP(B95,КВСР!A90:B1255,2),IF(C95&gt;0,VLOOKUP(C95,КФСР!A90:B1602,2),IF(D95&gt;0,VLOOKUP(D95,Программа!A$1:B$5063,2),IF(F95&gt;0,VLOOKUP(F95,КВР!A$1:B$5001,2),IF(E95&gt;0,VLOOKUP(E95,Направление!A$1:B$4746,2))))))</f>
        <v>Общее образование</v>
      </c>
      <c r="B95" s="91"/>
      <c r="C95" s="84">
        <v>702</v>
      </c>
      <c r="D95" s="444"/>
      <c r="E95" s="84"/>
      <c r="F95" s="85"/>
      <c r="G95" s="387">
        <v>420997485</v>
      </c>
      <c r="H95" s="50">
        <f t="shared" ref="H95" si="61">H96</f>
        <v>0</v>
      </c>
      <c r="I95" s="50">
        <f t="shared" si="2"/>
        <v>420997485</v>
      </c>
      <c r="J95" s="387">
        <v>417844373</v>
      </c>
      <c r="K95" s="50">
        <f t="shared" ref="K95" si="62">K96</f>
        <v>0</v>
      </c>
      <c r="L95" s="50">
        <f t="shared" si="4"/>
        <v>417844373</v>
      </c>
    </row>
    <row r="96" spans="1:12" ht="62.4">
      <c r="A96" s="49" t="str">
        <f>IF(B96&gt;0,VLOOKUP(B96,КВСР!A91:B1256,2),IF(C96&gt;0,VLOOKUP(C96,КФСР!A91:B1603,2),IF(D96&gt;0,VLOOKUP(D96,Программа!A$1:B$5063,2),IF(F96&gt;0,VLOOKUP(F96,КВР!A$1:B$5001,2),IF(E96&gt;0,VLOOKUP(E96,Направление!A$1:B$4746,2))))))</f>
        <v>Муниципальная программа "Развитие образования, физической культуры и спорта в Тутаевском муниципальном районе"</v>
      </c>
      <c r="B96" s="91"/>
      <c r="C96" s="84"/>
      <c r="D96" s="444" t="s">
        <v>2739</v>
      </c>
      <c r="E96" s="84"/>
      <c r="F96" s="85"/>
      <c r="G96" s="387">
        <v>420997485</v>
      </c>
      <c r="H96" s="50">
        <f t="shared" ref="H96" si="63">H98</f>
        <v>0</v>
      </c>
      <c r="I96" s="50">
        <f t="shared" si="2"/>
        <v>420997485</v>
      </c>
      <c r="J96" s="387">
        <v>417844373</v>
      </c>
      <c r="K96" s="50">
        <f t="shared" ref="K96" si="64">K98</f>
        <v>0</v>
      </c>
      <c r="L96" s="50">
        <f t="shared" si="4"/>
        <v>417844373</v>
      </c>
    </row>
    <row r="97" spans="1:12" ht="62.4">
      <c r="A97" s="49" t="str">
        <f>IF(B97&gt;0,VLOOKUP(B97,КВСР!A92:B1257,2),IF(C97&gt;0,VLOOKUP(C97,КФСР!A92:B1604,2),IF(D97&gt;0,VLOOKUP(D97,Программа!A$1:B$5063,2),IF(F97&gt;0,VLOOKUP(F97,КВР!A$1:B$5001,2),IF(E97&gt;0,VLOOKUP(E97,Направление!A$1:B$4746,2))))))</f>
        <v xml:space="preserve">Ведомственная целевая программа департамента образования Администрации Тутаевского муниципального района </v>
      </c>
      <c r="B97" s="91"/>
      <c r="C97" s="84"/>
      <c r="D97" s="444" t="s">
        <v>2740</v>
      </c>
      <c r="E97" s="84"/>
      <c r="F97" s="85"/>
      <c r="G97" s="387">
        <v>420997485</v>
      </c>
      <c r="H97" s="50">
        <f t="shared" ref="H97" si="65">H98</f>
        <v>0</v>
      </c>
      <c r="I97" s="50">
        <f t="shared" si="2"/>
        <v>420997485</v>
      </c>
      <c r="J97" s="387">
        <v>417844373</v>
      </c>
      <c r="K97" s="50">
        <f t="shared" ref="K97" si="66">K98</f>
        <v>0</v>
      </c>
      <c r="L97" s="50">
        <f t="shared" si="4"/>
        <v>417844373</v>
      </c>
    </row>
    <row r="98" spans="1:12" ht="62.4">
      <c r="A98" s="49" t="str">
        <f>IF(B98&gt;0,VLOOKUP(B98,КВСР!A93:B1258,2),IF(C98&gt;0,VLOOKUP(C98,КФСР!A93:B1605,2),IF(D98&gt;0,VLOOKUP(D98,Программа!A$1:B$5063,2),IF(F98&gt;0,VLOOKUP(F98,КВР!A$1:B$5001,2),IF(E98&gt;0,VLOOKUP(E98,Направление!A$1:B$4746,2))))))</f>
        <v>Организация предоставления муниципальных услуг и выполнения работ  муниципальными учреждениями сферы образования</v>
      </c>
      <c r="B98" s="91"/>
      <c r="C98" s="84"/>
      <c r="D98" s="444" t="s">
        <v>2741</v>
      </c>
      <c r="E98" s="84"/>
      <c r="F98" s="85"/>
      <c r="G98" s="387">
        <v>420997485</v>
      </c>
      <c r="H98" s="50">
        <f t="shared" ref="H98" si="67">H99+H101+H103+H105+H107</f>
        <v>0</v>
      </c>
      <c r="I98" s="50">
        <f t="shared" si="2"/>
        <v>420997485</v>
      </c>
      <c r="J98" s="387">
        <v>417844373</v>
      </c>
      <c r="K98" s="50">
        <f t="shared" ref="K98" si="68">K99+K101+K103+K105+K107</f>
        <v>0</v>
      </c>
      <c r="L98" s="50">
        <f t="shared" si="4"/>
        <v>417844373</v>
      </c>
    </row>
    <row r="99" spans="1:12" ht="31.2">
      <c r="A99" s="49" t="str">
        <f>IF(B99&gt;0,VLOOKUP(B99,КВСР!A94:B1259,2),IF(C99&gt;0,VLOOKUP(C99,КФСР!A94:B1606,2),IF(D99&gt;0,VLOOKUP(D99,Программа!A$1:B$5063,2),IF(F99&gt;0,VLOOKUP(F99,КВР!A$1:B$5001,2),IF(E99&gt;0,VLOOKUP(E99,Направление!A$1:B$4746,2))))))</f>
        <v>Обеспечение деятельности общеобразовательных учреждений</v>
      </c>
      <c r="B99" s="91"/>
      <c r="C99" s="84"/>
      <c r="D99" s="444"/>
      <c r="E99" s="84">
        <v>13110</v>
      </c>
      <c r="F99" s="85"/>
      <c r="G99" s="387">
        <v>58017437</v>
      </c>
      <c r="H99" s="50">
        <f t="shared" ref="H99" si="69">H100</f>
        <v>0</v>
      </c>
      <c r="I99" s="50">
        <f t="shared" si="2"/>
        <v>58017437</v>
      </c>
      <c r="J99" s="387">
        <v>56237245</v>
      </c>
      <c r="K99" s="50">
        <f t="shared" ref="K99" si="70">K100</f>
        <v>0</v>
      </c>
      <c r="L99" s="50">
        <f t="shared" si="4"/>
        <v>56237245</v>
      </c>
    </row>
    <row r="100" spans="1:12" ht="46.8">
      <c r="A100" s="49" t="str">
        <f>IF(B100&gt;0,VLOOKUP(B100,КВСР!A96:B1261,2),IF(C100&gt;0,VLOOKUP(C100,КФСР!A96:B1608,2),IF(D100&gt;0,VLOOKUP(D100,Программа!A$1:B$5063,2),IF(F100&gt;0,VLOOKUP(F100,КВР!A$1:B$5001,2),IF(E100&gt;0,VLOOKUP(E100,Направление!A$1:B$4746,2))))))</f>
        <v>Предоставление субсидий бюджетным, автономным учреждениям и иным некоммерческим организациям</v>
      </c>
      <c r="B100" s="92"/>
      <c r="C100" s="93"/>
      <c r="D100" s="445"/>
      <c r="E100" s="93"/>
      <c r="F100" s="94">
        <v>600</v>
      </c>
      <c r="G100" s="387">
        <v>58017437</v>
      </c>
      <c r="H100" s="385"/>
      <c r="I100" s="50">
        <f t="shared" si="2"/>
        <v>58017437</v>
      </c>
      <c r="J100" s="387">
        <v>56237245</v>
      </c>
      <c r="K100" s="385"/>
      <c r="L100" s="50">
        <f t="shared" si="4"/>
        <v>56237245</v>
      </c>
    </row>
    <row r="101" spans="1:12" ht="31.2">
      <c r="A101" s="49" t="str">
        <f>IF(B101&gt;0,VLOOKUP(B101,КВСР!A98:B1263,2),IF(C101&gt;0,VLOOKUP(C101,КФСР!A98:B1610,2),IF(D101&gt;0,VLOOKUP(D101,Программа!A$1:B$5063,2),IF(F101&gt;0,VLOOKUP(F101,КВР!A$1:B$5001,2),IF(E101&gt;0,VLOOKUP(E101,Направление!A$1:B$4746,2))))))</f>
        <v>Обеспечение деятельности учреждений дополнительного образования</v>
      </c>
      <c r="B101" s="92"/>
      <c r="C101" s="93"/>
      <c r="D101" s="444"/>
      <c r="E101" s="84">
        <v>13210</v>
      </c>
      <c r="F101" s="94"/>
      <c r="G101" s="387">
        <v>60473705</v>
      </c>
      <c r="H101" s="50">
        <f t="shared" ref="H101" si="71">H102</f>
        <v>0</v>
      </c>
      <c r="I101" s="50">
        <f t="shared" si="2"/>
        <v>60473705</v>
      </c>
      <c r="J101" s="387">
        <v>59100785</v>
      </c>
      <c r="K101" s="50">
        <f t="shared" ref="K101" si="72">K102</f>
        <v>0</v>
      </c>
      <c r="L101" s="50">
        <f t="shared" si="4"/>
        <v>59100785</v>
      </c>
    </row>
    <row r="102" spans="1:12" ht="46.8">
      <c r="A102" s="49" t="str">
        <f>IF(B102&gt;0,VLOOKUP(B102,КВСР!A99:B1264,2),IF(C102&gt;0,VLOOKUP(C102,КФСР!A99:B1611,2),IF(D102&gt;0,VLOOKUP(D102,Программа!A$1:B$5063,2),IF(F102&gt;0,VLOOKUP(F102,КВР!A$1:B$5001,2),IF(E102&gt;0,VLOOKUP(E102,Направление!A$1:B$4746,2))))))</f>
        <v>Предоставление субсидий бюджетным, автономным учреждениям и иным некоммерческим организациям</v>
      </c>
      <c r="B102" s="92"/>
      <c r="C102" s="93"/>
      <c r="D102" s="444"/>
      <c r="E102" s="84"/>
      <c r="F102" s="94">
        <v>600</v>
      </c>
      <c r="G102" s="387">
        <v>60473705</v>
      </c>
      <c r="H102" s="385"/>
      <c r="I102" s="50">
        <f t="shared" si="2"/>
        <v>60473705</v>
      </c>
      <c r="J102" s="387">
        <v>59100785</v>
      </c>
      <c r="K102" s="385"/>
      <c r="L102" s="50">
        <f t="shared" si="4"/>
        <v>59100785</v>
      </c>
    </row>
    <row r="103" spans="1:12" ht="109.2">
      <c r="A103" s="49" t="str">
        <f>IF(B103&gt;0,VLOOKUP(B103,КВСР!A100:B1265,2),IF(C103&gt;0,VLOOKUP(C103,КФСР!A100:B1612,2),IF(D103&gt;0,VLOOKUP(D103,Программа!A$1:B$5063,2),IF(F103&gt;0,VLOOKUP(F103,КВР!A$1:B$5001,2),IF(E103&gt;0,VLOOKUP(E103,Направление!A$1:B$4746,2))))))</f>
        <v>Расходы на выплаты медицинским работникам, осуществляющим медицинское обслуживание обучающихся и воспитанников муниципальных образовательных учреждений, за счет средств областного бюджета</v>
      </c>
      <c r="B103" s="92"/>
      <c r="C103" s="93"/>
      <c r="D103" s="444"/>
      <c r="E103" s="84">
        <v>70510</v>
      </c>
      <c r="F103" s="94"/>
      <c r="G103" s="387">
        <v>61700</v>
      </c>
      <c r="H103" s="50">
        <f t="shared" ref="H103" si="73">H104</f>
        <v>0</v>
      </c>
      <c r="I103" s="50">
        <f t="shared" si="2"/>
        <v>61700</v>
      </c>
      <c r="J103" s="387">
        <v>61700</v>
      </c>
      <c r="K103" s="50">
        <f t="shared" ref="K103" si="74">K104</f>
        <v>0</v>
      </c>
      <c r="L103" s="50">
        <f t="shared" si="4"/>
        <v>61700</v>
      </c>
    </row>
    <row r="104" spans="1:12" ht="46.8">
      <c r="A104" s="49" t="str">
        <f>IF(B104&gt;0,VLOOKUP(B104,КВСР!A101:B1266,2),IF(C104&gt;0,VLOOKUP(C104,КФСР!A101:B1613,2),IF(D104&gt;0,VLOOKUP(D104,Программа!A$1:B$5063,2),IF(F104&gt;0,VLOOKUP(F104,КВР!A$1:B$5001,2),IF(E104&gt;0,VLOOKUP(E104,Направление!A$1:B$4746,2))))))</f>
        <v>Предоставление субсидий бюджетным, автономным учреждениям и иным некоммерческим организациям</v>
      </c>
      <c r="B104" s="92"/>
      <c r="C104" s="93"/>
      <c r="D104" s="445"/>
      <c r="E104" s="93"/>
      <c r="F104" s="94">
        <v>600</v>
      </c>
      <c r="G104" s="387">
        <v>61700</v>
      </c>
      <c r="H104" s="385"/>
      <c r="I104" s="50">
        <f t="shared" si="2"/>
        <v>61700</v>
      </c>
      <c r="J104" s="387">
        <v>61700</v>
      </c>
      <c r="K104" s="385"/>
      <c r="L104" s="50">
        <f t="shared" si="4"/>
        <v>61700</v>
      </c>
    </row>
    <row r="105" spans="1:12" ht="46.8">
      <c r="A105" s="49" t="str">
        <f>IF(B105&gt;0,VLOOKUP(B105,КВСР!A102:B1267,2),IF(C105&gt;0,VLOOKUP(C105,КФСР!A102:B1614,2),IF(D105&gt;0,VLOOKUP(D105,Программа!A$1:B$5063,2),IF(F105&gt;0,VLOOKUP(F105,КВР!A$1:B$5001,2),IF(E105&gt;0,VLOOKUP(E105,Направление!A$1:B$4746,2))))))</f>
        <v>Организация образовательного процесса в образовательных учреждениях за счет средств областного бюджета</v>
      </c>
      <c r="B105" s="92"/>
      <c r="C105" s="93"/>
      <c r="D105" s="445"/>
      <c r="E105" s="93">
        <v>70520</v>
      </c>
      <c r="F105" s="94"/>
      <c r="G105" s="387">
        <v>286966643</v>
      </c>
      <c r="H105" s="50">
        <f t="shared" ref="H105" si="75">H106</f>
        <v>0</v>
      </c>
      <c r="I105" s="50">
        <f t="shared" si="2"/>
        <v>286966643</v>
      </c>
      <c r="J105" s="387">
        <v>286966643</v>
      </c>
      <c r="K105" s="50">
        <f t="shared" ref="K105" si="76">K106</f>
        <v>0</v>
      </c>
      <c r="L105" s="50">
        <f t="shared" si="4"/>
        <v>286966643</v>
      </c>
    </row>
    <row r="106" spans="1:12" ht="46.8">
      <c r="A106" s="49" t="str">
        <f>IF(B106&gt;0,VLOOKUP(B106,КВСР!A103:B1268,2),IF(C106&gt;0,VLOOKUP(C106,КФСР!A103:B1615,2),IF(D106&gt;0,VLOOKUP(D106,Программа!A$1:B$5063,2),IF(F106&gt;0,VLOOKUP(F106,КВР!A$1:B$5001,2),IF(E106&gt;0,VLOOKUP(E106,Направление!A$1:B$4746,2))))))</f>
        <v>Предоставление субсидий бюджетным, автономным учреждениям и иным некоммерческим организациям</v>
      </c>
      <c r="B106" s="92"/>
      <c r="C106" s="93"/>
      <c r="D106" s="445"/>
      <c r="E106" s="93"/>
      <c r="F106" s="94">
        <v>600</v>
      </c>
      <c r="G106" s="387">
        <v>286966643</v>
      </c>
      <c r="H106" s="385"/>
      <c r="I106" s="50">
        <f t="shared" si="2"/>
        <v>286966643</v>
      </c>
      <c r="J106" s="387">
        <v>286966643</v>
      </c>
      <c r="K106" s="385"/>
      <c r="L106" s="50">
        <f t="shared" si="4"/>
        <v>286966643</v>
      </c>
    </row>
    <row r="107" spans="1:12" ht="62.4">
      <c r="A107" s="49" t="str">
        <f>IF(B107&gt;0,VLOOKUP(B107,КВСР!A109:B1274,2),IF(C107&gt;0,VLOOKUP(C107,КФСР!A109:B1621,2),IF(D107&gt;0,VLOOKUP(D107,Программа!A$1:B$5063,2),IF(F107&gt;0,VLOOKUP(F107,КВР!A$1:B$5001,2),IF(E107&gt;0,VLOOKUP(E107,Направление!A$1:B$4746,2))))))</f>
        <v>Обеспечение бесплатным питанием обучающихся муниципальных образовательных учреждений за счет средств областного бюджета</v>
      </c>
      <c r="B107" s="92"/>
      <c r="C107" s="93"/>
      <c r="D107" s="445"/>
      <c r="E107" s="93">
        <v>70530</v>
      </c>
      <c r="F107" s="94"/>
      <c r="G107" s="387">
        <v>15478000</v>
      </c>
      <c r="H107" s="50">
        <f t="shared" ref="H107" si="77">H108</f>
        <v>0</v>
      </c>
      <c r="I107" s="50">
        <f t="shared" si="2"/>
        <v>15478000</v>
      </c>
      <c r="J107" s="387">
        <v>15478000</v>
      </c>
      <c r="K107" s="50">
        <f t="shared" ref="K107" si="78">K108</f>
        <v>0</v>
      </c>
      <c r="L107" s="50">
        <f t="shared" si="4"/>
        <v>15478000</v>
      </c>
    </row>
    <row r="108" spans="1:12" ht="46.8">
      <c r="A108" s="49" t="str">
        <f>IF(B108&gt;0,VLOOKUP(B108,КВСР!A110:B1275,2),IF(C108&gt;0,VLOOKUP(C108,КФСР!A110:B1622,2),IF(D108&gt;0,VLOOKUP(D108,Программа!A$1:B$5063,2),IF(F108&gt;0,VLOOKUP(F108,КВР!A$1:B$5001,2),IF(E108&gt;0,VLOOKUP(E108,Направление!A$1:B$4746,2))))))</f>
        <v>Предоставление субсидий бюджетным, автономным учреждениям и иным некоммерческим организациям</v>
      </c>
      <c r="B108" s="92"/>
      <c r="C108" s="93"/>
      <c r="D108" s="445"/>
      <c r="E108" s="93"/>
      <c r="F108" s="94">
        <v>600</v>
      </c>
      <c r="G108" s="387">
        <v>15478000</v>
      </c>
      <c r="H108" s="385"/>
      <c r="I108" s="50">
        <f t="shared" ref="I108:I171" si="79">SUM(G108:H108)</f>
        <v>15478000</v>
      </c>
      <c r="J108" s="387">
        <v>15478000</v>
      </c>
      <c r="K108" s="385"/>
      <c r="L108" s="50">
        <f t="shared" ref="L108:L171" si="80">SUM(J108:K108)</f>
        <v>15478000</v>
      </c>
    </row>
    <row r="109" spans="1:12" ht="31.2">
      <c r="A109" s="49" t="str">
        <f>IF(B109&gt;0,VLOOKUP(B109,КВСР!A109:B1274,2),IF(C109&gt;0,VLOOKUP(C109,КФСР!A109:B1621,2),IF(D109&gt;0,VLOOKUP(D109,Программа!A$1:B$5063,2),IF(F109&gt;0,VLOOKUP(F109,КВР!A$1:B$5001,2),IF(E109&gt;0,VLOOKUP(E109,Направление!A$1:B$4746,2))))))</f>
        <v>Молодежная политика и оздоровление детей</v>
      </c>
      <c r="B109" s="92"/>
      <c r="C109" s="93">
        <v>707</v>
      </c>
      <c r="D109" s="445"/>
      <c r="E109" s="93"/>
      <c r="F109" s="94"/>
      <c r="G109" s="387">
        <v>6192430</v>
      </c>
      <c r="H109" s="50">
        <f t="shared" ref="H109" si="81">H110</f>
        <v>0</v>
      </c>
      <c r="I109" s="50">
        <f t="shared" si="79"/>
        <v>6192430</v>
      </c>
      <c r="J109" s="387">
        <v>6192430</v>
      </c>
      <c r="K109" s="50">
        <f t="shared" ref="K109" si="82">K110</f>
        <v>0</v>
      </c>
      <c r="L109" s="50">
        <f t="shared" si="80"/>
        <v>6192430</v>
      </c>
    </row>
    <row r="110" spans="1:12" ht="62.4">
      <c r="A110" s="49" t="str">
        <f>IF(B110&gt;0,VLOOKUP(B110,КВСР!A110:B1275,2),IF(C110&gt;0,VLOOKUP(C110,КФСР!A110:B1622,2),IF(D110&gt;0,VLOOKUP(D110,Программа!A$1:B$5063,2),IF(F110&gt;0,VLOOKUP(F110,КВР!A$1:B$5001,2),IF(E110&gt;0,VLOOKUP(E110,Направление!A$1:B$4746,2))))))</f>
        <v>Муниципальная программа "Развитие образования, физической культуры и спорта в Тутаевском муниципальном районе"</v>
      </c>
      <c r="B110" s="92"/>
      <c r="C110" s="93"/>
      <c r="D110" s="445" t="s">
        <v>2739</v>
      </c>
      <c r="E110" s="93"/>
      <c r="F110" s="94"/>
      <c r="G110" s="387">
        <v>6192430</v>
      </c>
      <c r="H110" s="50">
        <f t="shared" ref="H110" si="83">H112</f>
        <v>0</v>
      </c>
      <c r="I110" s="50">
        <f t="shared" si="79"/>
        <v>6192430</v>
      </c>
      <c r="J110" s="387">
        <v>6192430</v>
      </c>
      <c r="K110" s="50">
        <f t="shared" ref="K110" si="84">K112</f>
        <v>0</v>
      </c>
      <c r="L110" s="50">
        <f t="shared" si="80"/>
        <v>6192430</v>
      </c>
    </row>
    <row r="111" spans="1:12" ht="62.4">
      <c r="A111" s="49" t="str">
        <f>IF(B111&gt;0,VLOOKUP(B111,КВСР!A111:B1276,2),IF(C111&gt;0,VLOOKUP(C111,КФСР!A111:B1623,2),IF(D111&gt;0,VLOOKUP(D111,Программа!A$1:B$5063,2),IF(F111&gt;0,VLOOKUP(F111,КВР!A$1:B$5001,2),IF(E111&gt;0,VLOOKUP(E111,Направление!A$1:B$4746,2))))))</f>
        <v xml:space="preserve">Ведомственная целевая программа департамента образования Администрации Тутаевского муниципального района </v>
      </c>
      <c r="B111" s="92"/>
      <c r="C111" s="93"/>
      <c r="D111" s="445" t="s">
        <v>2740</v>
      </c>
      <c r="E111" s="93"/>
      <c r="F111" s="94"/>
      <c r="G111" s="387">
        <v>6192430</v>
      </c>
      <c r="H111" s="50">
        <f t="shared" ref="H111" si="85">H112</f>
        <v>0</v>
      </c>
      <c r="I111" s="50">
        <f t="shared" si="79"/>
        <v>6192430</v>
      </c>
      <c r="J111" s="387">
        <v>6192430</v>
      </c>
      <c r="K111" s="50">
        <f t="shared" ref="K111" si="86">K112</f>
        <v>0</v>
      </c>
      <c r="L111" s="50">
        <f t="shared" si="80"/>
        <v>6192430</v>
      </c>
    </row>
    <row r="112" spans="1:12" ht="46.8">
      <c r="A112" s="49" t="str">
        <f>IF(B112&gt;0,VLOOKUP(B112,КВСР!A112:B1277,2),IF(C112&gt;0,VLOOKUP(C112,КФСР!A112:B1624,2),IF(D112&gt;0,VLOOKUP(D112,Программа!A$1:B$5063,2),IF(F112&gt;0,VLOOKUP(F112,КВР!A$1:B$5001,2),IF(E112&gt;0,VLOOKUP(E112,Направление!A$1:B$4746,2))))))</f>
        <v>Мероприятия направленные на осуществление отдельных полномочий в области образования</v>
      </c>
      <c r="B112" s="92"/>
      <c r="C112" s="93"/>
      <c r="D112" s="445" t="s">
        <v>2750</v>
      </c>
      <c r="E112" s="93"/>
      <c r="F112" s="94"/>
      <c r="G112" s="387">
        <v>6192430</v>
      </c>
      <c r="H112" s="50">
        <f t="shared" ref="H112" si="87">H118+H113+H115</f>
        <v>0</v>
      </c>
      <c r="I112" s="50">
        <f t="shared" si="79"/>
        <v>6192430</v>
      </c>
      <c r="J112" s="387">
        <v>6192430</v>
      </c>
      <c r="K112" s="50">
        <f t="shared" ref="K112" si="88">K118+K113+K115</f>
        <v>0</v>
      </c>
      <c r="L112" s="50">
        <f t="shared" si="80"/>
        <v>6192430</v>
      </c>
    </row>
    <row r="113" spans="1:12" ht="93.6">
      <c r="A113" s="49" t="str">
        <f>IF(B113&gt;0,VLOOKUP(B113,КВСР!A112:B1277,2),IF(C113&gt;0,VLOOKUP(C113,КФСР!A112:B1624,2),IF(D113&gt;0,VLOOKUP(D113,Программа!A$1:B$5063,2),IF(F113&gt;0,VLOOKUP(F113,КВР!A$1:B$5001,2),IF(E113&gt;0,VLOOKUP(E113,Направление!A$1:B$4746,2))))))</f>
        <v>Расходы на оплату стоимости набора продуктов питания в лагерях с дневной формой пребывания детей, расположенных на территории Ярославской области, за счет средств областного бюджета</v>
      </c>
      <c r="B113" s="92"/>
      <c r="C113" s="93"/>
      <c r="D113" s="445"/>
      <c r="E113" s="93">
        <v>71000</v>
      </c>
      <c r="F113" s="94"/>
      <c r="G113" s="387">
        <v>805430</v>
      </c>
      <c r="H113" s="50">
        <f t="shared" ref="H113" si="89">H114</f>
        <v>0</v>
      </c>
      <c r="I113" s="50">
        <f t="shared" si="79"/>
        <v>805430</v>
      </c>
      <c r="J113" s="387">
        <v>805430</v>
      </c>
      <c r="K113" s="50">
        <f t="shared" ref="K113" si="90">K114</f>
        <v>0</v>
      </c>
      <c r="L113" s="50">
        <f t="shared" si="80"/>
        <v>805430</v>
      </c>
    </row>
    <row r="114" spans="1:12" ht="46.8">
      <c r="A114" s="49" t="str">
        <f>IF(B114&gt;0,VLOOKUP(B114,КВСР!A114:B1279,2),IF(C114&gt;0,VLOOKUP(C114,КФСР!A114:B1626,2),IF(D114&gt;0,VLOOKUP(D114,Программа!A$1:B$5063,2),IF(F114&gt;0,VLOOKUP(F114,КВР!A$1:B$5001,2),IF(E114&gt;0,VLOOKUP(E114,Направление!A$1:B$4746,2))))))</f>
        <v>Предоставление субсидий бюджетным, автономным учреждениям и иным некоммерческим организациям</v>
      </c>
      <c r="B114" s="92"/>
      <c r="C114" s="93"/>
      <c r="D114" s="445"/>
      <c r="E114" s="93"/>
      <c r="F114" s="94">
        <v>600</v>
      </c>
      <c r="G114" s="387">
        <v>805430</v>
      </c>
      <c r="H114" s="392"/>
      <c r="I114" s="50">
        <f t="shared" si="79"/>
        <v>805430</v>
      </c>
      <c r="J114" s="387">
        <v>805430</v>
      </c>
      <c r="K114" s="392"/>
      <c r="L114" s="50">
        <f t="shared" si="80"/>
        <v>805430</v>
      </c>
    </row>
    <row r="115" spans="1:12" ht="109.2">
      <c r="A115" s="49" t="str">
        <f>IF(B115&gt;0,VLOOKUP(B115,КВСР!A115:B1280,2),IF(C115&gt;0,VLOOKUP(C115,КФСР!A115:B1627,2),IF(D115&gt;0,VLOOKUP(D115,Программа!A$1:B$5063,2),IF(F115&gt;0,VLOOKUP(F115,КВР!A$1:B$5001,2),IF(E115&gt;0,VLOOKUP(E115,Направление!A$1:B$4746,2))))))</f>
        <v>Расходы на обеспечение отдыха и оздоровления детей, находящихся в трудной жизненной ситуации, детей погибших сотрудников правоохранительных органов и военнослужащих, безнадзорных детей за счет средств областного бюджета</v>
      </c>
      <c r="B115" s="92"/>
      <c r="C115" s="93"/>
      <c r="D115" s="445"/>
      <c r="E115" s="93">
        <v>71060</v>
      </c>
      <c r="F115" s="94"/>
      <c r="G115" s="387">
        <v>4407000</v>
      </c>
      <c r="H115" s="50">
        <f t="shared" ref="H115" si="91">H117+H116</f>
        <v>0</v>
      </c>
      <c r="I115" s="50">
        <f t="shared" si="79"/>
        <v>4407000</v>
      </c>
      <c r="J115" s="387">
        <v>4407000</v>
      </c>
      <c r="K115" s="50">
        <f t="shared" ref="K115" si="92">K117+K116</f>
        <v>0</v>
      </c>
      <c r="L115" s="50">
        <f t="shared" si="80"/>
        <v>4407000</v>
      </c>
    </row>
    <row r="116" spans="1:12" ht="31.2">
      <c r="A116" s="49" t="str">
        <f>IF(B116&gt;0,VLOOKUP(B116,КВСР!A116:B1281,2),IF(C116&gt;0,VLOOKUP(C116,КФСР!A116:B1628,2),IF(D116&gt;0,VLOOKUP(D116,Программа!A$1:B$5063,2),IF(F116&gt;0,VLOOKUP(F116,КВР!A$1:B$5001,2),IF(E116&gt;0,VLOOKUP(E116,Направление!A$1:B$4746,2))))))</f>
        <v>Социальное обеспечение и иные выплаты населению</v>
      </c>
      <c r="B116" s="92"/>
      <c r="C116" s="93"/>
      <c r="D116" s="445"/>
      <c r="E116" s="93"/>
      <c r="F116" s="94">
        <v>300</v>
      </c>
      <c r="G116" s="387">
        <v>3306100</v>
      </c>
      <c r="H116" s="392"/>
      <c r="I116" s="50">
        <f t="shared" si="79"/>
        <v>3306100</v>
      </c>
      <c r="J116" s="387">
        <v>3306100</v>
      </c>
      <c r="K116" s="392"/>
      <c r="L116" s="50">
        <f t="shared" si="80"/>
        <v>3306100</v>
      </c>
    </row>
    <row r="117" spans="1:12" ht="46.8">
      <c r="A117" s="49" t="str">
        <f>IF(B117&gt;0,VLOOKUP(B117,КВСР!A116:B1281,2),IF(C117&gt;0,VLOOKUP(C117,КФСР!A116:B1628,2),IF(D117&gt;0,VLOOKUP(D117,Программа!A$1:B$5063,2),IF(F117&gt;0,VLOOKUP(F117,КВР!A$1:B$5001,2),IF(E117&gt;0,VLOOKUP(E117,Направление!A$1:B$4746,2))))))</f>
        <v>Предоставление субсидий бюджетным, автономным учреждениям и иным некоммерческим организациям</v>
      </c>
      <c r="B117" s="92"/>
      <c r="C117" s="93"/>
      <c r="D117" s="445"/>
      <c r="E117" s="93"/>
      <c r="F117" s="94">
        <v>600</v>
      </c>
      <c r="G117" s="387">
        <v>1100900</v>
      </c>
      <c r="H117" s="392"/>
      <c r="I117" s="50">
        <f t="shared" si="79"/>
        <v>1100900</v>
      </c>
      <c r="J117" s="387">
        <v>1100900</v>
      </c>
      <c r="K117" s="392"/>
      <c r="L117" s="50">
        <f t="shared" si="80"/>
        <v>1100900</v>
      </c>
    </row>
    <row r="118" spans="1:12" ht="46.8">
      <c r="A118" s="49" t="str">
        <f>IF(B118&gt;0,VLOOKUP(B118,КВСР!A114:B1279,2),IF(C118&gt;0,VLOOKUP(C118,КФСР!A114:B1626,2),IF(D118&gt;0,VLOOKUP(D118,Программа!A$1:B$5063,2),IF(F118&gt;0,VLOOKUP(F118,КВР!A$1:B$5001,2),IF(E118&gt;0,VLOOKUP(E118,Направление!A$1:B$4746,2))))))</f>
        <v>Компенсация части расходов на приобретение путевки в организации отдыха детей и их оздоровления</v>
      </c>
      <c r="B118" s="92"/>
      <c r="C118" s="93"/>
      <c r="D118" s="445"/>
      <c r="E118" s="93">
        <v>74390</v>
      </c>
      <c r="F118" s="94"/>
      <c r="G118" s="387">
        <v>980000</v>
      </c>
      <c r="H118" s="50">
        <f t="shared" ref="H118" si="93">H119</f>
        <v>0</v>
      </c>
      <c r="I118" s="50">
        <f t="shared" si="79"/>
        <v>980000</v>
      </c>
      <c r="J118" s="387">
        <v>980000</v>
      </c>
      <c r="K118" s="50">
        <f t="shared" ref="K118" si="94">K119</f>
        <v>0</v>
      </c>
      <c r="L118" s="50">
        <f t="shared" si="80"/>
        <v>980000</v>
      </c>
    </row>
    <row r="119" spans="1:12" ht="31.2">
      <c r="A119" s="49" t="str">
        <f>IF(B119&gt;0,VLOOKUP(B119,КВСР!A116:B1281,2),IF(C119&gt;0,VLOOKUP(C119,КФСР!A116:B1628,2),IF(D119&gt;0,VLOOKUP(D119,Программа!A$1:B$5063,2),IF(F119&gt;0,VLOOKUP(F119,КВР!A$1:B$5001,2),IF(E119&gt;0,VLOOKUP(E119,Направление!A$1:B$4746,2))))))</f>
        <v>Социальное обеспечение и иные выплаты населению</v>
      </c>
      <c r="B119" s="92"/>
      <c r="C119" s="93"/>
      <c r="D119" s="445"/>
      <c r="E119" s="93"/>
      <c r="F119" s="85">
        <v>300</v>
      </c>
      <c r="G119" s="387">
        <v>980000</v>
      </c>
      <c r="H119" s="385"/>
      <c r="I119" s="50">
        <f t="shared" si="79"/>
        <v>980000</v>
      </c>
      <c r="J119" s="387">
        <v>980000</v>
      </c>
      <c r="K119" s="385"/>
      <c r="L119" s="50">
        <f t="shared" si="80"/>
        <v>980000</v>
      </c>
    </row>
    <row r="120" spans="1:12" ht="15.6">
      <c r="A120" s="49" t="str">
        <f>IF(B120&gt;0,VLOOKUP(B120,КВСР!A122:B1287,2),IF(C120&gt;0,VLOOKUP(C120,КФСР!A122:B1634,2),IF(D120&gt;0,VLOOKUP(D120,Программа!A$1:B$5063,2),IF(F120&gt;0,VLOOKUP(F120,КВР!A$1:B$5001,2),IF(E120&gt;0,VLOOKUP(E120,Направление!A$1:B$4746,2))))))</f>
        <v>Другие вопросы в области образования</v>
      </c>
      <c r="B120" s="92"/>
      <c r="C120" s="93">
        <v>709</v>
      </c>
      <c r="D120" s="445"/>
      <c r="E120" s="93"/>
      <c r="F120" s="94"/>
      <c r="G120" s="387">
        <v>38379932</v>
      </c>
      <c r="H120" s="50">
        <f t="shared" ref="H120" si="95">H126+H121</f>
        <v>0</v>
      </c>
      <c r="I120" s="50">
        <f t="shared" si="79"/>
        <v>38379932</v>
      </c>
      <c r="J120" s="387">
        <v>38055802</v>
      </c>
      <c r="K120" s="50">
        <f t="shared" ref="K120" si="96">K126+K121</f>
        <v>0</v>
      </c>
      <c r="L120" s="50">
        <f t="shared" si="80"/>
        <v>38055802</v>
      </c>
    </row>
    <row r="121" spans="1:12" ht="62.4">
      <c r="A121" s="49" t="str">
        <f>IF(B121&gt;0,VLOOKUP(B121,КВСР!A123:B1288,2),IF(C121&gt;0,VLOOKUP(C121,КФСР!A123:B1635,2),IF(D121&gt;0,VLOOKUP(D121,Программа!A$1:B$5063,2),IF(F121&gt;0,VLOOKUP(F121,КВР!A$1:B$5001,2),IF(E121&gt;0,VLOOKUP(E121,Направление!A$1:B$4746,2))))))</f>
        <v>Муниципальная программа  "Развитие культуры, туризма и молодежной политики в Тутаевском муниципальном районе"</v>
      </c>
      <c r="B121" s="92"/>
      <c r="C121" s="93"/>
      <c r="D121" s="445" t="s">
        <v>2721</v>
      </c>
      <c r="E121" s="93"/>
      <c r="F121" s="94"/>
      <c r="G121" s="387">
        <v>167147</v>
      </c>
      <c r="H121" s="50">
        <f t="shared" ref="H121:H124" si="97">H122</f>
        <v>0</v>
      </c>
      <c r="I121" s="50">
        <f t="shared" si="79"/>
        <v>167147</v>
      </c>
      <c r="J121" s="387">
        <v>167147</v>
      </c>
      <c r="K121" s="50">
        <f t="shared" ref="K121:K124" si="98">K122</f>
        <v>0</v>
      </c>
      <c r="L121" s="50">
        <f t="shared" si="80"/>
        <v>167147</v>
      </c>
    </row>
    <row r="122" spans="1:12" ht="62.4">
      <c r="A122" s="49" t="str">
        <f>IF(B122&gt;0,VLOOKUP(B122,КВСР!A124:B1289,2),IF(C122&gt;0,VLOOKUP(C122,КФСР!A124:B1636,2),IF(D122&gt;0,VLOOKUP(D122,Программа!A$1:B$5063,2),IF(F122&gt;0,VLOOKUP(F122,КВР!A$1:B$5001,2),IF(E122&gt;0,VLOOKUP(E122,Направление!A$1:B$4746,2))))))</f>
        <v>Муниципальная целевая программа «Комплексные меры противодействия злоупотреблению наркотиками и их незаконному обороту»</v>
      </c>
      <c r="B122" s="92"/>
      <c r="C122" s="93"/>
      <c r="D122" s="445" t="s">
        <v>2726</v>
      </c>
      <c r="E122" s="93"/>
      <c r="F122" s="94"/>
      <c r="G122" s="387">
        <v>167147</v>
      </c>
      <c r="H122" s="50">
        <f t="shared" si="97"/>
        <v>0</v>
      </c>
      <c r="I122" s="50">
        <f t="shared" si="79"/>
        <v>167147</v>
      </c>
      <c r="J122" s="387">
        <v>167147</v>
      </c>
      <c r="K122" s="50">
        <f t="shared" si="98"/>
        <v>0</v>
      </c>
      <c r="L122" s="50">
        <f t="shared" si="80"/>
        <v>167147</v>
      </c>
    </row>
    <row r="123" spans="1:12" ht="46.8">
      <c r="A123" s="49" t="str">
        <f>IF(B123&gt;0,VLOOKUP(B123,КВСР!A125:B1290,2),IF(C123&gt;0,VLOOKUP(C123,КФСР!A125:B1637,2),IF(D123&gt;0,VLOOKUP(D123,Программа!A$1:B$5063,2),IF(F123&gt;0,VLOOKUP(F123,КВР!A$1:B$5001,2),IF(E123&gt;0,VLOOKUP(E123,Направление!A$1:B$4746,2))))))</f>
        <v>Развитие системы профилактики немедицинского потребления наркотиков</v>
      </c>
      <c r="B123" s="92"/>
      <c r="C123" s="93"/>
      <c r="D123" s="445" t="s">
        <v>2727</v>
      </c>
      <c r="E123" s="93"/>
      <c r="F123" s="94"/>
      <c r="G123" s="387">
        <v>167147</v>
      </c>
      <c r="H123" s="50">
        <f t="shared" si="97"/>
        <v>0</v>
      </c>
      <c r="I123" s="50">
        <f t="shared" si="79"/>
        <v>167147</v>
      </c>
      <c r="J123" s="387">
        <v>167147</v>
      </c>
      <c r="K123" s="50">
        <f t="shared" si="98"/>
        <v>0</v>
      </c>
      <c r="L123" s="50">
        <f t="shared" si="80"/>
        <v>167147</v>
      </c>
    </row>
    <row r="124" spans="1:12" ht="78">
      <c r="A124" s="49" t="str">
        <f>IF(B124&gt;0,VLOOKUP(B124,КВСР!A126:B1291,2),IF(C124&gt;0,VLOOKUP(C124,КФСР!A126:B1638,2),IF(D124&gt;0,VLOOKUP(D124,Программа!A$1:B$5063,2),IF(F124&gt;0,VLOOKUP(F124,КВР!A$1:B$5001,2),IF(E124&gt;0,VLOOKUP(E124,Направление!A$1:B$4746,2))))))</f>
        <v>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v>
      </c>
      <c r="B124" s="92"/>
      <c r="C124" s="93"/>
      <c r="D124" s="445"/>
      <c r="E124" s="93">
        <v>71430</v>
      </c>
      <c r="F124" s="94"/>
      <c r="G124" s="387">
        <v>167147</v>
      </c>
      <c r="H124" s="50">
        <f t="shared" si="97"/>
        <v>0</v>
      </c>
      <c r="I124" s="50">
        <f t="shared" si="79"/>
        <v>167147</v>
      </c>
      <c r="J124" s="387">
        <v>167147</v>
      </c>
      <c r="K124" s="50">
        <f t="shared" si="98"/>
        <v>0</v>
      </c>
      <c r="L124" s="50">
        <f t="shared" si="80"/>
        <v>167147</v>
      </c>
    </row>
    <row r="125" spans="1:12" ht="46.8">
      <c r="A125" s="49" t="str">
        <f>IF(B125&gt;0,VLOOKUP(B125,КВСР!A127:B1292,2),IF(C125&gt;0,VLOOKUP(C125,КФСР!A127:B1639,2),IF(D125&gt;0,VLOOKUP(D125,Программа!A$1:B$5063,2),IF(F125&gt;0,VLOOKUP(F125,КВР!A$1:B$5001,2),IF(E125&gt;0,VLOOKUP(E125,Направление!A$1:B$4746,2))))))</f>
        <v>Предоставление субсидий бюджетным, автономным учреждениям и иным некоммерческим организациям</v>
      </c>
      <c r="B125" s="92"/>
      <c r="C125" s="93"/>
      <c r="D125" s="445"/>
      <c r="E125" s="93"/>
      <c r="F125" s="94">
        <v>600</v>
      </c>
      <c r="G125" s="387">
        <v>167147</v>
      </c>
      <c r="H125" s="570"/>
      <c r="I125" s="50">
        <f t="shared" si="79"/>
        <v>167147</v>
      </c>
      <c r="J125" s="387">
        <v>167147</v>
      </c>
      <c r="K125" s="570"/>
      <c r="L125" s="50">
        <f t="shared" si="80"/>
        <v>167147</v>
      </c>
    </row>
    <row r="126" spans="1:12" ht="62.4">
      <c r="A126" s="49" t="str">
        <f>IF(B126&gt;0,VLOOKUP(B126,КВСР!A123:B1288,2),IF(C126&gt;0,VLOOKUP(C126,КФСР!A123:B1635,2),IF(D126&gt;0,VLOOKUP(D126,Программа!A$1:B$5063,2),IF(F126&gt;0,VLOOKUP(F126,КВР!A$1:B$5001,2),IF(E126&gt;0,VLOOKUP(E126,Направление!A$1:B$4746,2))))))</f>
        <v>Муниципальная программа "Развитие образования, физической культуры и спорта в Тутаевском муниципальном районе"</v>
      </c>
      <c r="B126" s="92"/>
      <c r="C126" s="93"/>
      <c r="D126" s="445" t="s">
        <v>2739</v>
      </c>
      <c r="E126" s="93"/>
      <c r="F126" s="94"/>
      <c r="G126" s="387">
        <v>38212785</v>
      </c>
      <c r="H126" s="50">
        <f t="shared" ref="H126" si="99">H127</f>
        <v>0</v>
      </c>
      <c r="I126" s="50">
        <f t="shared" si="79"/>
        <v>38212785</v>
      </c>
      <c r="J126" s="387">
        <v>37888655</v>
      </c>
      <c r="K126" s="50">
        <f t="shared" ref="K126" si="100">K127</f>
        <v>0</v>
      </c>
      <c r="L126" s="50">
        <f t="shared" si="80"/>
        <v>37888655</v>
      </c>
    </row>
    <row r="127" spans="1:12" ht="62.4">
      <c r="A127" s="49" t="str">
        <f>IF(B127&gt;0,VLOOKUP(B127,КВСР!A124:B1289,2),IF(C127&gt;0,VLOOKUP(C127,КФСР!A124:B1636,2),IF(D127&gt;0,VLOOKUP(D127,Программа!A$1:B$5063,2),IF(F127&gt;0,VLOOKUP(F127,КВР!A$1:B$5001,2),IF(E127&gt;0,VLOOKUP(E127,Направление!A$1:B$4746,2))))))</f>
        <v xml:space="preserve">Ведомственная целевая программа департамента образования Администрации Тутаевского муниципального района </v>
      </c>
      <c r="B127" s="92"/>
      <c r="C127" s="93"/>
      <c r="D127" s="445" t="s">
        <v>2740</v>
      </c>
      <c r="E127" s="93"/>
      <c r="F127" s="94"/>
      <c r="G127" s="387">
        <v>38212785</v>
      </c>
      <c r="H127" s="50">
        <f t="shared" ref="H127" si="101">H132+H128</f>
        <v>0</v>
      </c>
      <c r="I127" s="50">
        <f t="shared" si="79"/>
        <v>38212785</v>
      </c>
      <c r="J127" s="387">
        <v>37888655</v>
      </c>
      <c r="K127" s="50">
        <f t="shared" ref="K127" si="102">K132+K128</f>
        <v>0</v>
      </c>
      <c r="L127" s="50">
        <f t="shared" si="80"/>
        <v>37888655</v>
      </c>
    </row>
    <row r="128" spans="1:12" ht="62.4">
      <c r="A128" s="49" t="str">
        <f>IF(B128&gt;0,VLOOKUP(B128,КВСР!A125:B1290,2),IF(C128&gt;0,VLOOKUP(C128,КФСР!A125:B1637,2),IF(D128&gt;0,VLOOKUP(D128,Программа!A$1:B$5063,2),IF(F128&gt;0,VLOOKUP(F128,КВР!A$1:B$5001,2),IF(E128&gt;0,VLOOKUP(E128,Направление!A$1:B$4746,2))))))</f>
        <v>Методическая и консультационная помощь, психолого-педагогическое и медико-социальное сопровождение детей</v>
      </c>
      <c r="B128" s="92"/>
      <c r="C128" s="93"/>
      <c r="D128" s="445" t="s">
        <v>2746</v>
      </c>
      <c r="E128" s="93"/>
      <c r="F128" s="94"/>
      <c r="G128" s="387">
        <v>11015325</v>
      </c>
      <c r="H128" s="50">
        <f t="shared" ref="H128" si="103">H129</f>
        <v>0</v>
      </c>
      <c r="I128" s="50">
        <f t="shared" si="79"/>
        <v>11015325</v>
      </c>
      <c r="J128" s="387">
        <v>10751594</v>
      </c>
      <c r="K128" s="50">
        <f t="shared" ref="K128" si="104">K129</f>
        <v>0</v>
      </c>
      <c r="L128" s="50">
        <f t="shared" si="80"/>
        <v>10751594</v>
      </c>
    </row>
    <row r="129" spans="1:12" ht="31.2">
      <c r="A129" s="49" t="str">
        <f>IF(B129&gt;0,VLOOKUP(B129,КВСР!A126:B1291,2),IF(C129&gt;0,VLOOKUP(C129,КФСР!A126:B1638,2),IF(D129&gt;0,VLOOKUP(D129,Программа!A$1:B$5063,2),IF(F129&gt;0,VLOOKUP(F129,КВР!A$1:B$5001,2),IF(E129&gt;0,VLOOKUP(E129,Направление!A$1:B$4746,2))))))</f>
        <v>Обеспечение деятельности прочих учреждений в сфере образования</v>
      </c>
      <c r="B129" s="92"/>
      <c r="C129" s="93"/>
      <c r="D129" s="445"/>
      <c r="E129" s="93">
        <v>13310</v>
      </c>
      <c r="F129" s="94"/>
      <c r="G129" s="387">
        <v>11015325</v>
      </c>
      <c r="H129" s="50">
        <f t="shared" ref="H129" si="105">H130+H131</f>
        <v>0</v>
      </c>
      <c r="I129" s="50">
        <f t="shared" si="79"/>
        <v>11015325</v>
      </c>
      <c r="J129" s="387">
        <v>10751594</v>
      </c>
      <c r="K129" s="50">
        <f t="shared" ref="K129" si="106">K130+K131</f>
        <v>0</v>
      </c>
      <c r="L129" s="50">
        <f t="shared" si="80"/>
        <v>10751594</v>
      </c>
    </row>
    <row r="130" spans="1:12" ht="93.6">
      <c r="A130" s="49" t="str">
        <f>IF(B130&gt;0,VLOOKUP(B130,КВСР!A127:B1292,2),IF(C130&gt;0,VLOOKUP(C130,КФСР!A127:B1639,2),IF(D130&gt;0,VLOOKUP(D130,Программа!A$1:B$5063,2),IF(F130&gt;0,VLOOKUP(F130,КВР!A$1:B$5001,2),IF(E130&gt;0,VLOOKUP(E130,Направление!A$1:B$4746,2))))))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130" s="92"/>
      <c r="C130" s="93"/>
      <c r="D130" s="445"/>
      <c r="E130" s="93"/>
      <c r="F130" s="94">
        <v>100</v>
      </c>
      <c r="G130" s="387">
        <v>5311600</v>
      </c>
      <c r="H130" s="392"/>
      <c r="I130" s="50">
        <f t="shared" si="79"/>
        <v>5311600</v>
      </c>
      <c r="J130" s="387">
        <v>5311600</v>
      </c>
      <c r="K130" s="392"/>
      <c r="L130" s="50">
        <f t="shared" si="80"/>
        <v>5311600</v>
      </c>
    </row>
    <row r="131" spans="1:12" ht="46.8">
      <c r="A131" s="49" t="str">
        <f>IF(B131&gt;0,VLOOKUP(B131,КВСР!A128:B1293,2),IF(C131&gt;0,VLOOKUP(C131,КФСР!A128:B1640,2),IF(D131&gt;0,VLOOKUP(D131,Программа!A$1:B$5063,2),IF(F131&gt;0,VLOOKUP(F131,КВР!A$1:B$5001,2),IF(E131&gt;0,VLOOKUP(E131,Направление!A$1:B$4746,2))))))</f>
        <v>Предоставление субсидий бюджетным, автономным учреждениям и иным некоммерческим организациям</v>
      </c>
      <c r="B131" s="92"/>
      <c r="C131" s="93"/>
      <c r="D131" s="445"/>
      <c r="E131" s="93"/>
      <c r="F131" s="94">
        <v>600</v>
      </c>
      <c r="G131" s="387">
        <v>5703725</v>
      </c>
      <c r="H131" s="392"/>
      <c r="I131" s="50">
        <f t="shared" si="79"/>
        <v>5703725</v>
      </c>
      <c r="J131" s="387">
        <v>5439994</v>
      </c>
      <c r="K131" s="392"/>
      <c r="L131" s="50">
        <f t="shared" si="80"/>
        <v>5439994</v>
      </c>
    </row>
    <row r="132" spans="1:12" ht="31.2">
      <c r="A132" s="49" t="str">
        <f>IF(B132&gt;0,VLOOKUP(B132,КВСР!A124:B1289,2),IF(C132&gt;0,VLOOKUP(C132,КФСР!A124:B1636,2),IF(D132&gt;0,VLOOKUP(D132,Программа!A$1:B$5063,2),IF(F132&gt;0,VLOOKUP(F132,КВР!A$1:B$5001,2),IF(E132&gt;0,VLOOKUP(E132,Направление!A$1:B$4746,2))))))</f>
        <v>Обеспечение эффективности управления системой образования</v>
      </c>
      <c r="B132" s="92"/>
      <c r="C132" s="93"/>
      <c r="D132" s="445" t="s">
        <v>2751</v>
      </c>
      <c r="E132" s="93"/>
      <c r="F132" s="94"/>
      <c r="G132" s="387">
        <v>27197460</v>
      </c>
      <c r="H132" s="50">
        <f t="shared" ref="H132" si="107">H133+H135+H140+H137</f>
        <v>0</v>
      </c>
      <c r="I132" s="50">
        <f t="shared" si="79"/>
        <v>27197460</v>
      </c>
      <c r="J132" s="387">
        <v>27137061</v>
      </c>
      <c r="K132" s="50">
        <f t="shared" ref="K132" si="108">K133+K135+K140+K137</f>
        <v>0</v>
      </c>
      <c r="L132" s="50">
        <f t="shared" si="80"/>
        <v>27137061</v>
      </c>
    </row>
    <row r="133" spans="1:12" ht="15.6">
      <c r="A133" s="49" t="str">
        <f>IF(B133&gt;0,VLOOKUP(B133,КВСР!A125:B1290,2),IF(C133&gt;0,VLOOKUP(C133,КФСР!A125:B1637,2),IF(D133&gt;0,VLOOKUP(D133,Программа!A$1:B$5063,2),IF(F133&gt;0,VLOOKUP(F133,КВР!A$1:B$5001,2),IF(E133&gt;0,VLOOKUP(E133,Направление!A$1:B$4746,2))))))</f>
        <v>Содержание центрального аппарата</v>
      </c>
      <c r="B133" s="92"/>
      <c r="C133" s="93"/>
      <c r="D133" s="445"/>
      <c r="E133" s="93">
        <v>12010</v>
      </c>
      <c r="F133" s="85"/>
      <c r="G133" s="387">
        <v>5205620</v>
      </c>
      <c r="H133" s="50">
        <f t="shared" ref="H133" si="109">H134</f>
        <v>0</v>
      </c>
      <c r="I133" s="50">
        <f t="shared" si="79"/>
        <v>5205620</v>
      </c>
      <c r="J133" s="387">
        <v>5205620</v>
      </c>
      <c r="K133" s="50">
        <f t="shared" ref="K133" si="110">K134</f>
        <v>0</v>
      </c>
      <c r="L133" s="50">
        <f t="shared" si="80"/>
        <v>5205620</v>
      </c>
    </row>
    <row r="134" spans="1:12" ht="93.6">
      <c r="A134" s="49" t="str">
        <f>IF(B134&gt;0,VLOOKUP(B134,КВСР!A126:B1291,2),IF(C134&gt;0,VLOOKUP(C134,КФСР!A126:B1638,2),IF(D134&gt;0,VLOOKUP(D134,Программа!A$1:B$5063,2),IF(F134&gt;0,VLOOKUP(F134,КВР!A$1:B$5001,2),IF(E134&gt;0,VLOOKUP(E134,Направление!A$1:B$4746,2))))))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134" s="92"/>
      <c r="C134" s="93"/>
      <c r="D134" s="445"/>
      <c r="E134" s="93"/>
      <c r="F134" s="85">
        <v>100</v>
      </c>
      <c r="G134" s="387">
        <v>5205620</v>
      </c>
      <c r="H134" s="385"/>
      <c r="I134" s="50">
        <f t="shared" si="79"/>
        <v>5205620</v>
      </c>
      <c r="J134" s="387">
        <v>5205620</v>
      </c>
      <c r="K134" s="385"/>
      <c r="L134" s="50">
        <f t="shared" si="80"/>
        <v>5205620</v>
      </c>
    </row>
    <row r="135" spans="1:12" ht="31.2">
      <c r="A135" s="49" t="str">
        <f>IF(B135&gt;0,VLOOKUP(B135,КВСР!A127:B1292,2),IF(C135&gt;0,VLOOKUP(C135,КФСР!A127:B1639,2),IF(D135&gt;0,VLOOKUP(D135,Программа!A$1:B$5063,2),IF(F135&gt;0,VLOOKUP(F135,КВР!A$1:B$5001,2),IF(E135&gt;0,VLOOKUP(E135,Направление!A$1:B$4746,2))))))</f>
        <v>Обеспечение деятельности прочих учреждений в сфере образования</v>
      </c>
      <c r="B135" s="92"/>
      <c r="C135" s="93"/>
      <c r="D135" s="445"/>
      <c r="E135" s="93">
        <v>13310</v>
      </c>
      <c r="F135" s="85"/>
      <c r="G135" s="387">
        <v>18244952</v>
      </c>
      <c r="H135" s="50">
        <f t="shared" ref="H135" si="111">H136</f>
        <v>0</v>
      </c>
      <c r="I135" s="50">
        <f t="shared" si="79"/>
        <v>18244952</v>
      </c>
      <c r="J135" s="387">
        <v>18244952</v>
      </c>
      <c r="K135" s="50">
        <f t="shared" ref="K135" si="112">K136</f>
        <v>0</v>
      </c>
      <c r="L135" s="50">
        <f t="shared" si="80"/>
        <v>18244952</v>
      </c>
    </row>
    <row r="136" spans="1:12" ht="93.6">
      <c r="A136" s="49" t="str">
        <f>IF(B136&gt;0,VLOOKUP(B136,КВСР!A128:B1293,2),IF(C136&gt;0,VLOOKUP(C136,КФСР!A128:B1640,2),IF(D136&gt;0,VLOOKUP(D136,Программа!A$1:B$5063,2),IF(F136&gt;0,VLOOKUP(F136,КВР!A$1:B$5001,2),IF(E136&gt;0,VLOOKUP(E136,Направление!A$1:B$4746,2))))))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136" s="92"/>
      <c r="C136" s="93"/>
      <c r="D136" s="445"/>
      <c r="E136" s="93"/>
      <c r="F136" s="85">
        <v>100</v>
      </c>
      <c r="G136" s="387">
        <v>18244952</v>
      </c>
      <c r="H136" s="385"/>
      <c r="I136" s="50">
        <f t="shared" si="79"/>
        <v>18244952</v>
      </c>
      <c r="J136" s="387">
        <v>18244952</v>
      </c>
      <c r="K136" s="385"/>
      <c r="L136" s="50">
        <f t="shared" si="80"/>
        <v>18244952</v>
      </c>
    </row>
    <row r="137" spans="1:12" ht="46.8">
      <c r="A137" s="49" t="str">
        <f>IF(B137&gt;0,VLOOKUP(B137,КВСР!A129:B1294,2),IF(C137&gt;0,VLOOKUP(C137,КФСР!A129:B1641,2),IF(D137&gt;0,VLOOKUP(D137,Программа!A$1:B$5063,2),IF(F137&gt;0,VLOOKUP(F137,КВР!A$1:B$5001,2),IF(E137&gt;0,VLOOKUP(E137,Направление!A$1:B$4746,2))))))</f>
        <v>Содержание органов местного самоуправления за счет средств поселений</v>
      </c>
      <c r="B137" s="92"/>
      <c r="C137" s="93"/>
      <c r="D137" s="445"/>
      <c r="E137" s="93">
        <v>29016</v>
      </c>
      <c r="F137" s="85"/>
      <c r="G137" s="387">
        <v>60399</v>
      </c>
      <c r="H137" s="50">
        <f t="shared" ref="H137" si="113">H138+H139</f>
        <v>0</v>
      </c>
      <c r="I137" s="50">
        <f t="shared" si="79"/>
        <v>60399</v>
      </c>
      <c r="J137" s="387">
        <v>0</v>
      </c>
      <c r="K137" s="50">
        <f t="shared" ref="K137" si="114">K138+K139</f>
        <v>0</v>
      </c>
      <c r="L137" s="50">
        <f t="shared" si="80"/>
        <v>0</v>
      </c>
    </row>
    <row r="138" spans="1:12" ht="93.6">
      <c r="A138" s="49" t="str">
        <f>IF(B138&gt;0,VLOOKUP(B138,КВСР!A130:B1295,2),IF(C138&gt;0,VLOOKUP(C138,КФСР!A130:B1642,2),IF(D138&gt;0,VLOOKUP(D138,Программа!A$1:B$5063,2),IF(F138&gt;0,VLOOKUP(F138,КВР!A$1:B$5001,2),IF(E138&gt;0,VLOOKUP(E138,Направление!A$1:B$4746,2))))))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138" s="92"/>
      <c r="C138" s="93"/>
      <c r="D138" s="445"/>
      <c r="E138" s="93"/>
      <c r="F138" s="85">
        <v>100</v>
      </c>
      <c r="G138" s="387">
        <v>54908</v>
      </c>
      <c r="H138" s="385"/>
      <c r="I138" s="50">
        <f t="shared" si="79"/>
        <v>54908</v>
      </c>
      <c r="J138" s="387">
        <v>0</v>
      </c>
      <c r="K138" s="385"/>
      <c r="L138" s="50">
        <f t="shared" si="80"/>
        <v>0</v>
      </c>
    </row>
    <row r="139" spans="1:12" ht="31.2">
      <c r="A139" s="49" t="str">
        <f>IF(B139&gt;0,VLOOKUP(B139,КВСР!A131:B1296,2),IF(C139&gt;0,VLOOKUP(C139,КФСР!A131:B1643,2),IF(D139&gt;0,VLOOKUP(D139,Программа!A$1:B$5063,2),IF(F139&gt;0,VLOOKUP(F139,КВР!A$1:B$5001,2),IF(E139&gt;0,VLOOKUP(E139,Направление!A$1:B$4746,2))))))</f>
        <v>Закупка товаров, работ и услуг для государственных нужд</v>
      </c>
      <c r="B139" s="92"/>
      <c r="C139" s="93"/>
      <c r="D139" s="445"/>
      <c r="E139" s="93"/>
      <c r="F139" s="85">
        <v>200</v>
      </c>
      <c r="G139" s="387">
        <v>5491</v>
      </c>
      <c r="H139" s="385"/>
      <c r="I139" s="50">
        <f t="shared" si="79"/>
        <v>5491</v>
      </c>
      <c r="J139" s="387">
        <v>0</v>
      </c>
      <c r="K139" s="385"/>
      <c r="L139" s="50">
        <f t="shared" si="80"/>
        <v>0</v>
      </c>
    </row>
    <row r="140" spans="1:12" ht="46.8">
      <c r="A140" s="49" t="str">
        <f>IF(B140&gt;0,VLOOKUP(B140,КВСР!A130:B1295,2),IF(C140&gt;0,VLOOKUP(C140,КФСР!A130:B1642,2),IF(D140&gt;0,VLOOKUP(D140,Программа!A$1:B$5063,2),IF(F140&gt;0,VLOOKUP(F140,КВР!A$1:B$5001,2),IF(E140&gt;0,VLOOKUP(E140,Направление!A$1:B$4746,2))))))</f>
        <v>Расходы на обеспечение деятельности органов опеки и попечительства за счет средств областного бюджета</v>
      </c>
      <c r="B140" s="92"/>
      <c r="C140" s="93"/>
      <c r="D140" s="445"/>
      <c r="E140" s="93">
        <v>70550</v>
      </c>
      <c r="F140" s="94"/>
      <c r="G140" s="387">
        <v>3686489</v>
      </c>
      <c r="H140" s="50">
        <f t="shared" ref="H140" si="115">H141+H142+H143</f>
        <v>0</v>
      </c>
      <c r="I140" s="50">
        <f t="shared" si="79"/>
        <v>3686489</v>
      </c>
      <c r="J140" s="387">
        <v>3686489</v>
      </c>
      <c r="K140" s="50">
        <f t="shared" ref="K140" si="116">K141+K142+K143</f>
        <v>0</v>
      </c>
      <c r="L140" s="50">
        <f t="shared" si="80"/>
        <v>3686489</v>
      </c>
    </row>
    <row r="141" spans="1:12" ht="93.6">
      <c r="A141" s="49" t="str">
        <f>IF(B141&gt;0,VLOOKUP(B141,КВСР!A131:B1296,2),IF(C141&gt;0,VLOOKUP(C141,КФСР!A131:B1643,2),IF(D141&gt;0,VLOOKUP(D141,Программа!A$1:B$5063,2),IF(F141&gt;0,VLOOKUP(F141,КВР!A$1:B$5001,2),IF(E141&gt;0,VLOOKUP(E141,Направление!A$1:B$4746,2))))))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141" s="92"/>
      <c r="C141" s="93"/>
      <c r="D141" s="445"/>
      <c r="E141" s="93"/>
      <c r="F141" s="94">
        <v>100</v>
      </c>
      <c r="G141" s="387">
        <v>3208623</v>
      </c>
      <c r="H141" s="385"/>
      <c r="I141" s="50">
        <f t="shared" si="79"/>
        <v>3208623</v>
      </c>
      <c r="J141" s="387">
        <v>3208623</v>
      </c>
      <c r="K141" s="385"/>
      <c r="L141" s="50">
        <f t="shared" si="80"/>
        <v>3208623</v>
      </c>
    </row>
    <row r="142" spans="1:12" ht="31.2">
      <c r="A142" s="49" t="str">
        <f>IF(B142&gt;0,VLOOKUP(B142,КВСР!A132:B1297,2),IF(C142&gt;0,VLOOKUP(C142,КФСР!A132:B1644,2),IF(D142&gt;0,VLOOKUP(D142,Программа!A$1:B$5063,2),IF(F142&gt;0,VLOOKUP(F142,КВР!A$1:B$5001,2),IF(E142&gt;0,VLOOKUP(E142,Направление!A$1:B$4746,2))))))</f>
        <v>Закупка товаров, работ и услуг для государственных нужд</v>
      </c>
      <c r="B142" s="91"/>
      <c r="C142" s="93"/>
      <c r="D142" s="445"/>
      <c r="E142" s="93"/>
      <c r="F142" s="94">
        <v>200</v>
      </c>
      <c r="G142" s="387">
        <v>457866</v>
      </c>
      <c r="H142" s="385"/>
      <c r="I142" s="50">
        <f t="shared" si="79"/>
        <v>457866</v>
      </c>
      <c r="J142" s="387">
        <v>457866</v>
      </c>
      <c r="K142" s="385"/>
      <c r="L142" s="50">
        <f t="shared" si="80"/>
        <v>457866</v>
      </c>
    </row>
    <row r="143" spans="1:12" ht="15.6">
      <c r="A143" s="49" t="str">
        <f>IF(B143&gt;0,VLOOKUP(B143,КВСР!A133:B1298,2),IF(C143&gt;0,VLOOKUP(C143,КФСР!A133:B1645,2),IF(D143&gt;0,VLOOKUP(D143,Программа!A$1:B$5063,2),IF(F143&gt;0,VLOOKUP(F143,КВР!A$1:B$5001,2),IF(E143&gt;0,VLOOKUP(E143,Направление!A$1:B$4746,2))))))</f>
        <v>Иные бюджетные ассигнования</v>
      </c>
      <c r="B143" s="91"/>
      <c r="C143" s="93"/>
      <c r="D143" s="445"/>
      <c r="E143" s="93"/>
      <c r="F143" s="94">
        <v>800</v>
      </c>
      <c r="G143" s="387">
        <v>20000</v>
      </c>
      <c r="H143" s="385"/>
      <c r="I143" s="50">
        <f t="shared" si="79"/>
        <v>20000</v>
      </c>
      <c r="J143" s="387">
        <v>20000</v>
      </c>
      <c r="K143" s="385"/>
      <c r="L143" s="50">
        <f t="shared" si="80"/>
        <v>20000</v>
      </c>
    </row>
    <row r="144" spans="1:12" ht="15.6">
      <c r="A144" s="49" t="str">
        <f>IF(B144&gt;0,VLOOKUP(B144,КВСР!A134:B1299,2),IF(C144&gt;0,VLOOKUP(C144,КФСР!A134:B1646,2),IF(D144&gt;0,VLOOKUP(D144,Программа!A$1:B$5063,2),IF(F144&gt;0,VLOOKUP(F144,КВР!A$1:B$5001,2),IF(E144&gt;0,VLOOKUP(E144,Направление!A$1:B$4746,2))))))</f>
        <v>Охрана семьи и детства</v>
      </c>
      <c r="B144" s="92"/>
      <c r="C144" s="84">
        <v>1004</v>
      </c>
      <c r="D144" s="446"/>
      <c r="E144" s="271"/>
      <c r="F144" s="94"/>
      <c r="G144" s="387">
        <v>36415959</v>
      </c>
      <c r="H144" s="50">
        <f t="shared" ref="H144" si="117">H145</f>
        <v>0</v>
      </c>
      <c r="I144" s="50">
        <f t="shared" si="79"/>
        <v>36415959</v>
      </c>
      <c r="J144" s="387">
        <v>36415959</v>
      </c>
      <c r="K144" s="50">
        <f t="shared" ref="K144" si="118">K145</f>
        <v>0</v>
      </c>
      <c r="L144" s="50">
        <f t="shared" si="80"/>
        <v>36415959</v>
      </c>
    </row>
    <row r="145" spans="1:12" ht="62.4">
      <c r="A145" s="49" t="str">
        <f>IF(B145&gt;0,VLOOKUP(B145,КВСР!A152:B1317,2),IF(C145&gt;0,VLOOKUP(C145,КФСР!A152:B1664,2),IF(D145&gt;0,VLOOKUP(D145,Программа!A$1:B$5063,2),IF(F145&gt;0,VLOOKUP(F145,КВР!A$1:B$5001,2),IF(E145&gt;0,VLOOKUP(E145,Направление!A$1:B$4746,2))))))</f>
        <v>Муниципальная программа "Развитие образования, физической культуры и спорта в Тутаевском муниципальном районе"</v>
      </c>
      <c r="B145" s="91"/>
      <c r="C145" s="84"/>
      <c r="D145" s="447" t="s">
        <v>2739</v>
      </c>
      <c r="E145" s="272"/>
      <c r="F145" s="94"/>
      <c r="G145" s="387">
        <v>36415959</v>
      </c>
      <c r="H145" s="50">
        <f t="shared" ref="H145" si="119">H147</f>
        <v>0</v>
      </c>
      <c r="I145" s="50">
        <f t="shared" si="79"/>
        <v>36415959</v>
      </c>
      <c r="J145" s="387">
        <v>36415959</v>
      </c>
      <c r="K145" s="50">
        <f t="shared" ref="K145" si="120">K147</f>
        <v>0</v>
      </c>
      <c r="L145" s="50">
        <f t="shared" si="80"/>
        <v>36415959</v>
      </c>
    </row>
    <row r="146" spans="1:12" ht="62.4">
      <c r="A146" s="49" t="str">
        <f>IF(B146&gt;0,VLOOKUP(B146,КВСР!A153:B1318,2),IF(C146&gt;0,VLOOKUP(C146,КФСР!A153:B1665,2),IF(D146&gt;0,VLOOKUP(D146,Программа!A$1:B$5063,2),IF(F146&gt;0,VLOOKUP(F146,КВР!A$1:B$5001,2),IF(E146&gt;0,VLOOKUP(E146,Направление!A$1:B$4746,2))))))</f>
        <v xml:space="preserve">Ведомственная целевая программа департамента образования Администрации Тутаевского муниципального района </v>
      </c>
      <c r="B146" s="91"/>
      <c r="C146" s="84"/>
      <c r="D146" s="447" t="s">
        <v>2740</v>
      </c>
      <c r="E146" s="272"/>
      <c r="F146" s="94"/>
      <c r="G146" s="387">
        <v>36415959</v>
      </c>
      <c r="H146" s="50">
        <f t="shared" ref="H146" si="121">H147</f>
        <v>0</v>
      </c>
      <c r="I146" s="50">
        <f t="shared" si="79"/>
        <v>36415959</v>
      </c>
      <c r="J146" s="387">
        <v>36415959</v>
      </c>
      <c r="K146" s="50">
        <f t="shared" ref="K146" si="122">K147</f>
        <v>0</v>
      </c>
      <c r="L146" s="50">
        <f t="shared" si="80"/>
        <v>36415959</v>
      </c>
    </row>
    <row r="147" spans="1:12" ht="62.4">
      <c r="A147" s="49" t="str">
        <f>IF(B147&gt;0,VLOOKUP(B147,КВСР!A154:B1319,2),IF(C147&gt;0,VLOOKUP(C147,КФСР!A154:B1666,2),IF(D147&gt;0,VLOOKUP(D147,Программа!A$1:B$5063,2),IF(F147&gt;0,VLOOKUP(F147,КВР!A$1:B$5001,2),IF(E147&gt;0,VLOOKUP(E147,Направление!A$1:B$4746,2))))))</f>
        <v>Обеспечение качества реализации мер по социальной поддержке детей-сирот и детей оставшихся без попечения родителей</v>
      </c>
      <c r="B147" s="91"/>
      <c r="C147" s="84"/>
      <c r="D147" s="447" t="s">
        <v>2747</v>
      </c>
      <c r="E147" s="272"/>
      <c r="F147" s="94"/>
      <c r="G147" s="387">
        <v>36415959</v>
      </c>
      <c r="H147" s="50">
        <f t="shared" ref="H147" si="123">H148+H150+H152+H155+H159</f>
        <v>0</v>
      </c>
      <c r="I147" s="50">
        <f t="shared" si="79"/>
        <v>36415959</v>
      </c>
      <c r="J147" s="387">
        <v>36415959</v>
      </c>
      <c r="K147" s="50">
        <f t="shared" ref="K147" si="124">K148+K150+K152+K155+K159</f>
        <v>0</v>
      </c>
      <c r="L147" s="50">
        <f t="shared" si="80"/>
        <v>36415959</v>
      </c>
    </row>
    <row r="148" spans="1:12" ht="78" hidden="1">
      <c r="A148" s="49" t="str">
        <f>IF(B148&gt;0,VLOOKUP(B148,КВСР!A155:B1320,2),IF(C148&gt;0,VLOOKUP(C148,КФСР!A155:B1667,2),IF(D148&gt;0,VLOOKUP(D148,Программа!A$1:B$5063,2),IF(F148&gt;0,VLOOKUP(F148,КВР!A$1:B$5001,2),IF(E148&gt;0,VLOOKUP(E148,Направление!A$1:B$4746,2))))))</f>
        <v>Расходы на выплату единовременного пособия при всех формах устройства детей, лишенных родительского попечения, в семью за счет средств федерального бюджета</v>
      </c>
      <c r="B148" s="91"/>
      <c r="C148" s="84"/>
      <c r="D148" s="447"/>
      <c r="E148" s="272">
        <v>52600</v>
      </c>
      <c r="F148" s="94"/>
      <c r="G148" s="387">
        <v>0</v>
      </c>
      <c r="H148" s="50">
        <f t="shared" ref="H148" si="125">H149</f>
        <v>0</v>
      </c>
      <c r="I148" s="50">
        <f t="shared" si="79"/>
        <v>0</v>
      </c>
      <c r="J148" s="387">
        <v>0</v>
      </c>
      <c r="K148" s="50">
        <f t="shared" ref="K148" si="126">K149</f>
        <v>0</v>
      </c>
      <c r="L148" s="50">
        <f t="shared" si="80"/>
        <v>0</v>
      </c>
    </row>
    <row r="149" spans="1:12" ht="31.2" hidden="1">
      <c r="A149" s="49" t="str">
        <f>IF(B149&gt;0,VLOOKUP(B149,КВСР!A158:B1323,2),IF(C149&gt;0,VLOOKUP(C149,КФСР!A158:B1670,2),IF(D149&gt;0,VLOOKUP(D149,Программа!A$1:B$5063,2),IF(F149&gt;0,VLOOKUP(F149,КВР!A$1:B$5001,2),IF(E149&gt;0,VLOOKUP(E149,Направление!A$1:B$4746,2))))))</f>
        <v>Социальное обеспечение и иные выплаты населению</v>
      </c>
      <c r="B149" s="91"/>
      <c r="C149" s="84"/>
      <c r="D149" s="447"/>
      <c r="E149" s="272"/>
      <c r="F149" s="94">
        <v>300</v>
      </c>
      <c r="G149" s="387">
        <v>0</v>
      </c>
      <c r="H149" s="385"/>
      <c r="I149" s="50">
        <f t="shared" si="79"/>
        <v>0</v>
      </c>
      <c r="J149" s="387">
        <v>0</v>
      </c>
      <c r="K149" s="385"/>
      <c r="L149" s="50">
        <f t="shared" si="80"/>
        <v>0</v>
      </c>
    </row>
    <row r="150" spans="1:12" ht="93.6">
      <c r="A150" s="49" t="str">
        <f>IF(B150&gt;0,VLOOKUP(B150,КВСР!A159:B1324,2),IF(C150&gt;0,VLOOKUP(C150,КФСР!A159:B1671,2),IF(D150&gt;0,VLOOKUP(D150,Программа!A$1:B$5063,2),IF(F150&gt;0,VLOOKUP(F150,КВР!A$1:B$5001,2),IF(E150&gt;0,VLOOKUP(E150,Направление!A$1:B$4746,2))))))</f>
        <v>Компенсация расходов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v>
      </c>
      <c r="B150" s="91"/>
      <c r="C150" s="84"/>
      <c r="D150" s="447"/>
      <c r="E150" s="272">
        <v>70430</v>
      </c>
      <c r="F150" s="94"/>
      <c r="G150" s="387">
        <v>10593925</v>
      </c>
      <c r="H150" s="50">
        <f t="shared" ref="H150" si="127">H151</f>
        <v>0</v>
      </c>
      <c r="I150" s="50">
        <f t="shared" si="79"/>
        <v>10593925</v>
      </c>
      <c r="J150" s="387">
        <v>10593925</v>
      </c>
      <c r="K150" s="50">
        <f t="shared" ref="K150" si="128">K151</f>
        <v>0</v>
      </c>
      <c r="L150" s="50">
        <f t="shared" si="80"/>
        <v>10593925</v>
      </c>
    </row>
    <row r="151" spans="1:12" ht="31.2">
      <c r="A151" s="49" t="str">
        <f>IF(B151&gt;0,VLOOKUP(B151,КВСР!A160:B1325,2),IF(C151&gt;0,VLOOKUP(C151,КФСР!A160:B1672,2),IF(D151&gt;0,VLOOKUP(D151,Программа!A$1:B$5063,2),IF(F151&gt;0,VLOOKUP(F151,КВР!A$1:B$5001,2),IF(E151&gt;0,VLOOKUP(E151,Направление!A$1:B$4746,2))))))</f>
        <v>Социальное обеспечение и иные выплаты населению</v>
      </c>
      <c r="B151" s="91"/>
      <c r="C151" s="84"/>
      <c r="D151" s="447"/>
      <c r="E151" s="272"/>
      <c r="F151" s="94">
        <v>300</v>
      </c>
      <c r="G151" s="387">
        <v>10593925</v>
      </c>
      <c r="H151" s="385"/>
      <c r="I151" s="50">
        <f t="shared" si="79"/>
        <v>10593925</v>
      </c>
      <c r="J151" s="387">
        <v>10593925</v>
      </c>
      <c r="K151" s="385"/>
      <c r="L151" s="50">
        <f t="shared" si="80"/>
        <v>10593925</v>
      </c>
    </row>
    <row r="152" spans="1:12" ht="78">
      <c r="A152" s="49" t="str">
        <f>IF(B152&gt;0,VLOOKUP(B152,КВСР!A161:B1326,2),IF(C152&gt;0,VLOOKUP(C152,КФСР!A161:B1673,2),IF(D152&gt;0,VLOOKUP(D152,Программа!A$1:B$5063,2),IF(F152&gt;0,VLOOKUP(F152,КВР!A$1:B$5001,2),IF(E152&gt;0,VLOOKUP(E152,Направление!A$1:B$4746,2))))))</f>
        <v>Расходы на содержание ребенка в семье опекуна и приемной семье, а также вознаграждение, причитающееся приемному родителю, за счет средств областного бюджета</v>
      </c>
      <c r="B152" s="91"/>
      <c r="C152" s="84"/>
      <c r="D152" s="447"/>
      <c r="E152" s="272">
        <v>70460</v>
      </c>
      <c r="F152" s="94"/>
      <c r="G152" s="387">
        <v>23943268</v>
      </c>
      <c r="H152" s="50">
        <f t="shared" ref="H152" si="129">H153+H154</f>
        <v>0</v>
      </c>
      <c r="I152" s="50">
        <f t="shared" si="79"/>
        <v>23943268</v>
      </c>
      <c r="J152" s="387">
        <v>23943268</v>
      </c>
      <c r="K152" s="50">
        <f t="shared" ref="K152" si="130">K153+K154</f>
        <v>0</v>
      </c>
      <c r="L152" s="50">
        <f t="shared" si="80"/>
        <v>23943268</v>
      </c>
    </row>
    <row r="153" spans="1:12" ht="31.2">
      <c r="A153" s="49" t="str">
        <f>IF(B153&gt;0,VLOOKUP(B153,КВСР!A162:B1327,2),IF(C153&gt;0,VLOOKUP(C153,КФСР!A162:B1674,2),IF(D153&gt;0,VLOOKUP(D153,Программа!A$1:B$5063,2),IF(F153&gt;0,VLOOKUP(F153,КВР!A$1:B$5001,2),IF(E153&gt;0,VLOOKUP(E153,Направление!A$1:B$4746,2))))))</f>
        <v>Закупка товаров, работ и услуг для государственных нужд</v>
      </c>
      <c r="B153" s="91"/>
      <c r="C153" s="84"/>
      <c r="D153" s="568"/>
      <c r="E153" s="273"/>
      <c r="F153" s="94">
        <v>200</v>
      </c>
      <c r="G153" s="387">
        <v>86404</v>
      </c>
      <c r="H153" s="385"/>
      <c r="I153" s="50">
        <f t="shared" si="79"/>
        <v>86404</v>
      </c>
      <c r="J153" s="387">
        <v>86404</v>
      </c>
      <c r="K153" s="385"/>
      <c r="L153" s="50">
        <f t="shared" si="80"/>
        <v>86404</v>
      </c>
    </row>
    <row r="154" spans="1:12" ht="31.2">
      <c r="A154" s="49" t="str">
        <f>IF(B154&gt;0,VLOOKUP(B154,КВСР!A163:B1328,2),IF(C154&gt;0,VLOOKUP(C154,КФСР!A163:B1675,2),IF(D154&gt;0,VLOOKUP(D154,Программа!A$1:B$5063,2),IF(F154&gt;0,VLOOKUP(F154,КВР!A$1:B$5001,2),IF(E154&gt;0,VLOOKUP(E154,Направление!A$1:B$4746,2))))))</f>
        <v>Социальное обеспечение и иные выплаты населению</v>
      </c>
      <c r="B154" s="91"/>
      <c r="C154" s="84"/>
      <c r="D154" s="568"/>
      <c r="E154" s="273"/>
      <c r="F154" s="94">
        <v>300</v>
      </c>
      <c r="G154" s="387">
        <v>23856864</v>
      </c>
      <c r="H154" s="385"/>
      <c r="I154" s="50">
        <f t="shared" si="79"/>
        <v>23856864</v>
      </c>
      <c r="J154" s="387">
        <v>23856864</v>
      </c>
      <c r="K154" s="385"/>
      <c r="L154" s="50">
        <f t="shared" si="80"/>
        <v>23856864</v>
      </c>
    </row>
    <row r="155" spans="1:12" ht="46.8">
      <c r="A155" s="49" t="str">
        <f>IF(B155&gt;0,VLOOKUP(B155,КВСР!A164:B1329,2),IF(C155&gt;0,VLOOKUP(C155,КФСР!A164:B1676,2),IF(D155&gt;0,VLOOKUP(D155,Программа!A$1:B$5063,2),IF(F155&gt;0,VLOOKUP(F155,КВР!A$1:B$5001,2),IF(E155&gt;0,VLOOKUP(E155,Направление!A$1:B$4746,2))))))</f>
        <v>Государственная поддержка опеки и попечительства за счет средств областного бюджета</v>
      </c>
      <c r="B155" s="92"/>
      <c r="C155" s="84"/>
      <c r="D155" s="568"/>
      <c r="E155" s="84">
        <v>70500</v>
      </c>
      <c r="F155" s="94"/>
      <c r="G155" s="387">
        <v>1844836</v>
      </c>
      <c r="H155" s="50">
        <f t="shared" ref="H155" si="131">H156+H157+H158</f>
        <v>0</v>
      </c>
      <c r="I155" s="50">
        <f t="shared" si="79"/>
        <v>1844836</v>
      </c>
      <c r="J155" s="387">
        <v>1844836</v>
      </c>
      <c r="K155" s="50">
        <f t="shared" ref="K155" si="132">K156+K157+K158</f>
        <v>0</v>
      </c>
      <c r="L155" s="50">
        <f t="shared" si="80"/>
        <v>1844836</v>
      </c>
    </row>
    <row r="156" spans="1:12" ht="93.6">
      <c r="A156" s="49" t="str">
        <f>IF(B156&gt;0,VLOOKUP(B156,КВСР!A165:B1330,2),IF(C156&gt;0,VLOOKUP(C156,КФСР!A165:B1677,2),IF(D156&gt;0,VLOOKUP(D156,Программа!A$1:B$5063,2),IF(F156&gt;0,VLOOKUP(F156,КВР!A$1:B$5001,2),IF(E156&gt;0,VLOOKUP(E156,Направление!A$1:B$4746,2))))))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156" s="92"/>
      <c r="C156" s="93"/>
      <c r="D156" s="445"/>
      <c r="E156" s="93"/>
      <c r="F156" s="94">
        <v>100</v>
      </c>
      <c r="G156" s="387">
        <v>745419</v>
      </c>
      <c r="H156" s="385"/>
      <c r="I156" s="50">
        <f t="shared" si="79"/>
        <v>745419</v>
      </c>
      <c r="J156" s="387">
        <v>745419</v>
      </c>
      <c r="K156" s="385"/>
      <c r="L156" s="50">
        <f t="shared" si="80"/>
        <v>745419</v>
      </c>
    </row>
    <row r="157" spans="1:12" ht="31.2">
      <c r="A157" s="49" t="str">
        <f>IF(B157&gt;0,VLOOKUP(B157,КВСР!A166:B1331,2),IF(C157&gt;0,VLOOKUP(C157,КФСР!A166:B1678,2),IF(D157&gt;0,VLOOKUP(D157,Программа!A$1:B$5063,2),IF(F157&gt;0,VLOOKUP(F157,КВР!A$1:B$5001,2),IF(E157&gt;0,VLOOKUP(E157,Направление!A$1:B$4746,2))))))</f>
        <v>Закупка товаров, работ и услуг для государственных нужд</v>
      </c>
      <c r="B157" s="92"/>
      <c r="C157" s="93"/>
      <c r="D157" s="445"/>
      <c r="E157" s="93"/>
      <c r="F157" s="94">
        <v>200</v>
      </c>
      <c r="G157" s="387">
        <v>167693</v>
      </c>
      <c r="H157" s="385"/>
      <c r="I157" s="50">
        <f t="shared" si="79"/>
        <v>167693</v>
      </c>
      <c r="J157" s="387">
        <v>167693</v>
      </c>
      <c r="K157" s="385"/>
      <c r="L157" s="50">
        <f t="shared" si="80"/>
        <v>167693</v>
      </c>
    </row>
    <row r="158" spans="1:12" ht="31.2">
      <c r="A158" s="49" t="str">
        <f>IF(B158&gt;0,VLOOKUP(B158,КВСР!A167:B1332,2),IF(C158&gt;0,VLOOKUP(C158,КФСР!A167:B1679,2),IF(D158&gt;0,VLOOKUP(D158,Программа!A$1:B$5063,2),IF(F158&gt;0,VLOOKUP(F158,КВР!A$1:B$5001,2),IF(E158&gt;0,VLOOKUP(E158,Направление!A$1:B$4746,2))))))</f>
        <v>Социальное обеспечение и иные выплаты населению</v>
      </c>
      <c r="B158" s="92"/>
      <c r="C158" s="93"/>
      <c r="D158" s="445"/>
      <c r="E158" s="93"/>
      <c r="F158" s="94">
        <v>300</v>
      </c>
      <c r="G158" s="387">
        <v>931724</v>
      </c>
      <c r="H158" s="385"/>
      <c r="I158" s="50">
        <f t="shared" si="79"/>
        <v>931724</v>
      </c>
      <c r="J158" s="387">
        <v>931724</v>
      </c>
      <c r="K158" s="385"/>
      <c r="L158" s="50">
        <f t="shared" si="80"/>
        <v>931724</v>
      </c>
    </row>
    <row r="159" spans="1:12" ht="62.4">
      <c r="A159" s="49" t="str">
        <f>IF(B159&gt;0,VLOOKUP(B159,КВСР!A168:B1333,2),IF(C159&gt;0,VLOOKUP(C159,КФСР!A168:B1680,2),IF(D159&gt;0,VLOOKUP(D159,Программа!A$1:B$5063,2),IF(F159&gt;0,VLOOKUP(F159,КВР!A$1:B$5001,2),IF(E159&gt;0,VLOOKUP(E159,Направление!A$1:B$4746,2))))))</f>
        <v>Расходы на укрепление института семьи, повышение качества жизни семей с несовершеннолетними детьми за счет средств областного бюджета</v>
      </c>
      <c r="B159" s="92"/>
      <c r="C159" s="93"/>
      <c r="D159" s="445"/>
      <c r="E159" s="93">
        <v>70970</v>
      </c>
      <c r="F159" s="94"/>
      <c r="G159" s="387">
        <v>33930</v>
      </c>
      <c r="H159" s="50">
        <f t="shared" ref="H159" si="133">H160</f>
        <v>0</v>
      </c>
      <c r="I159" s="50">
        <f t="shared" si="79"/>
        <v>33930</v>
      </c>
      <c r="J159" s="387">
        <v>33930</v>
      </c>
      <c r="K159" s="50">
        <f t="shared" ref="K159" si="134">K160</f>
        <v>0</v>
      </c>
      <c r="L159" s="50">
        <f t="shared" si="80"/>
        <v>33930</v>
      </c>
    </row>
    <row r="160" spans="1:12" ht="31.2">
      <c r="A160" s="49" t="str">
        <f>IF(B160&gt;0,VLOOKUP(B160,КВСР!A169:B1334,2),IF(C160&gt;0,VLOOKUP(C160,КФСР!A169:B1681,2),IF(D160&gt;0,VLOOKUP(D160,Программа!A$1:B$5063,2),IF(F160&gt;0,VLOOKUP(F160,КВР!A$1:B$5001,2),IF(E160&gt;0,VLOOKUP(E160,Направление!A$1:B$4746,2))))))</f>
        <v>Закупка товаров, работ и услуг для государственных нужд</v>
      </c>
      <c r="B160" s="92"/>
      <c r="C160" s="93"/>
      <c r="D160" s="444"/>
      <c r="E160" s="84"/>
      <c r="F160" s="85">
        <v>200</v>
      </c>
      <c r="G160" s="387">
        <v>33930</v>
      </c>
      <c r="H160" s="385"/>
      <c r="I160" s="50">
        <f t="shared" si="79"/>
        <v>33930</v>
      </c>
      <c r="J160" s="387">
        <v>33930</v>
      </c>
      <c r="K160" s="385"/>
      <c r="L160" s="50">
        <f t="shared" si="80"/>
        <v>33930</v>
      </c>
    </row>
    <row r="161" spans="1:12" ht="31.2">
      <c r="A161" s="300" t="str">
        <f>IF(B161&gt;0,VLOOKUP(B161,КВСР!A182:B1347,2),IF(C161&gt;0,VLOOKUP(C161,КФСР!A182:B1694,2),IF(D161&gt;0,VLOOKUP(D161,Программа!A$1:B$5063,2),IF(F161&gt;0,VLOOKUP(F161,КВР!A$1:B$5001,2),IF(E161&gt;0,VLOOKUP(E161,Направление!A$1:B$4746,2))))))</f>
        <v>Департамент труда и соц. развития Администрации ТМР</v>
      </c>
      <c r="B161" s="87">
        <v>954</v>
      </c>
      <c r="C161" s="88"/>
      <c r="D161" s="77"/>
      <c r="E161" s="88"/>
      <c r="F161" s="89"/>
      <c r="G161" s="595">
        <v>248541923</v>
      </c>
      <c r="H161" s="86">
        <f t="shared" ref="H161" si="135">H162+H169+H175+H201+H213</f>
        <v>0</v>
      </c>
      <c r="I161" s="86">
        <f t="shared" si="79"/>
        <v>248541923</v>
      </c>
      <c r="J161" s="595">
        <v>248541923</v>
      </c>
      <c r="K161" s="86">
        <f t="shared" ref="K161" si="136">K162+K169+K175+K201+K213</f>
        <v>0</v>
      </c>
      <c r="L161" s="86">
        <f t="shared" si="80"/>
        <v>248541923</v>
      </c>
    </row>
    <row r="162" spans="1:12" ht="15.6">
      <c r="A162" s="49" t="str">
        <f>IF(B162&gt;0,VLOOKUP(B162,КВСР!A187:B1352,2),IF(C162&gt;0,VLOOKUP(C162,КФСР!A187:B1699,2),IF(D162&gt;0,VLOOKUP(D162,Программа!A$1:B$5063,2),IF(F162&gt;0,VLOOKUP(F162,КВР!A$1:B$5001,2),IF(E162&gt;0,VLOOKUP(E162,Направление!A$1:B$4746,2))))))</f>
        <v>Пенсионное обеспечение</v>
      </c>
      <c r="B162" s="91"/>
      <c r="C162" s="84">
        <v>1001</v>
      </c>
      <c r="D162" s="444"/>
      <c r="E162" s="84"/>
      <c r="F162" s="85"/>
      <c r="G162" s="387">
        <v>2000000</v>
      </c>
      <c r="H162" s="50">
        <f t="shared" ref="H162:H165" si="137">H163</f>
        <v>0</v>
      </c>
      <c r="I162" s="50">
        <f t="shared" si="79"/>
        <v>2000000</v>
      </c>
      <c r="J162" s="387">
        <v>2000000</v>
      </c>
      <c r="K162" s="50">
        <f t="shared" ref="K162:K165" si="138">K163</f>
        <v>0</v>
      </c>
      <c r="L162" s="50">
        <f t="shared" si="80"/>
        <v>2000000</v>
      </c>
    </row>
    <row r="163" spans="1:12" ht="46.8">
      <c r="A163" s="49" t="str">
        <f>IF(B163&gt;0,VLOOKUP(B163,КВСР!A188:B1353,2),IF(C163&gt;0,VLOOKUP(C163,КФСР!A188:B1700,2),IF(D163&gt;0,VLOOKUP(D163,Программа!A$1:B$5063,2),IF(F163&gt;0,VLOOKUP(F163,КВР!A$1:B$5001,2),IF(E163&gt;0,VLOOKUP(E163,Направление!A$1:B$4746,2))))))</f>
        <v>Муниципальная программа "Социальная поддержка населения Тутаевского муниципального района"</v>
      </c>
      <c r="B163" s="91"/>
      <c r="C163" s="84"/>
      <c r="D163" s="445" t="s">
        <v>2809</v>
      </c>
      <c r="E163" s="93"/>
      <c r="F163" s="85"/>
      <c r="G163" s="387">
        <v>2000000</v>
      </c>
      <c r="H163" s="50">
        <f t="shared" ref="H163" si="139">H165</f>
        <v>0</v>
      </c>
      <c r="I163" s="50">
        <f t="shared" si="79"/>
        <v>2000000</v>
      </c>
      <c r="J163" s="387">
        <v>2000000</v>
      </c>
      <c r="K163" s="50">
        <f t="shared" ref="K163" si="140">K165</f>
        <v>0</v>
      </c>
      <c r="L163" s="50">
        <f t="shared" si="80"/>
        <v>2000000</v>
      </c>
    </row>
    <row r="164" spans="1:12" ht="46.8">
      <c r="A164" s="49" t="str">
        <f>IF(B164&gt;0,VLOOKUP(B164,КВСР!A189:B1354,2),IF(C164&gt;0,VLOOKUP(C164,КФСР!A189:B1701,2),IF(D164&gt;0,VLOOKUP(D164,Программа!A$1:B$5063,2),IF(F164&gt;0,VLOOKUP(F164,КВР!A$1:B$5001,2),IF(E164&gt;0,VLOOKUP(E164,Направление!A$1:B$4746,2))))))</f>
        <v xml:space="preserve">Ведомственная целевая программа «Социальная поддержка населения Тутаевского муниципального района» </v>
      </c>
      <c r="B164" s="91"/>
      <c r="C164" s="84"/>
      <c r="D164" s="445" t="s">
        <v>2811</v>
      </c>
      <c r="E164" s="93"/>
      <c r="F164" s="85"/>
      <c r="G164" s="387">
        <v>2000000</v>
      </c>
      <c r="H164" s="50">
        <f t="shared" ref="H164" si="141">H165</f>
        <v>0</v>
      </c>
      <c r="I164" s="50">
        <f t="shared" si="79"/>
        <v>2000000</v>
      </c>
      <c r="J164" s="387">
        <v>2000000</v>
      </c>
      <c r="K164" s="50">
        <f t="shared" ref="K164" si="142">K165</f>
        <v>0</v>
      </c>
      <c r="L164" s="50">
        <f t="shared" si="80"/>
        <v>2000000</v>
      </c>
    </row>
    <row r="165" spans="1:12" ht="46.8">
      <c r="A165" s="49" t="str">
        <f>IF(B165&gt;0,VLOOKUP(B165,КВСР!A190:B1355,2),IF(C165&gt;0,VLOOKUP(C165,КФСР!A190:B1702,2),IF(D165&gt;0,VLOOKUP(D165,Программа!A$1:B$5063,2),IF(F165&gt;0,VLOOKUP(F165,КВР!A$1:B$5001,2),IF(E165&gt;0,VLOOKUP(E165,Направление!A$1:B$4746,2))))))</f>
        <v>Исполнение публичных обязательств по предоставлению выплат, пособий и компенсаций</v>
      </c>
      <c r="B165" s="91"/>
      <c r="C165" s="84"/>
      <c r="D165" s="444" t="s">
        <v>2862</v>
      </c>
      <c r="E165" s="84"/>
      <c r="F165" s="85"/>
      <c r="G165" s="387">
        <v>2000000</v>
      </c>
      <c r="H165" s="50">
        <f t="shared" si="137"/>
        <v>0</v>
      </c>
      <c r="I165" s="50">
        <f t="shared" si="79"/>
        <v>2000000</v>
      </c>
      <c r="J165" s="387">
        <v>2000000</v>
      </c>
      <c r="K165" s="50">
        <f t="shared" si="138"/>
        <v>0</v>
      </c>
      <c r="L165" s="50">
        <f t="shared" si="80"/>
        <v>2000000</v>
      </c>
    </row>
    <row r="166" spans="1:12" ht="31.2">
      <c r="A166" s="49" t="str">
        <f>IF(B166&gt;0,VLOOKUP(B166,КВСР!A191:B1356,2),IF(C166&gt;0,VLOOKUP(C166,КФСР!A191:B1703,2),IF(D166&gt;0,VLOOKUP(D166,Программа!A$1:B$5063,2),IF(F166&gt;0,VLOOKUP(F166,КВР!A$1:B$5001,2),IF(E166&gt;0,VLOOKUP(E166,Направление!A$1:B$4746,2))))))</f>
        <v>Доплаты к пенсиям муниципальных служащих</v>
      </c>
      <c r="B166" s="91"/>
      <c r="C166" s="84"/>
      <c r="D166" s="444"/>
      <c r="E166" s="84">
        <v>16010</v>
      </c>
      <c r="F166" s="85"/>
      <c r="G166" s="387">
        <v>2000000</v>
      </c>
      <c r="H166" s="50">
        <f t="shared" ref="H166" si="143">H168+H167</f>
        <v>0</v>
      </c>
      <c r="I166" s="50">
        <f t="shared" si="79"/>
        <v>2000000</v>
      </c>
      <c r="J166" s="387">
        <v>2000000</v>
      </c>
      <c r="K166" s="50">
        <f t="shared" ref="K166" si="144">K168+K167</f>
        <v>0</v>
      </c>
      <c r="L166" s="50">
        <f t="shared" si="80"/>
        <v>2000000</v>
      </c>
    </row>
    <row r="167" spans="1:12" ht="31.2">
      <c r="A167" s="49" t="str">
        <f>IF(B167&gt;0,VLOOKUP(B167,КВСР!A192:B1357,2),IF(C167&gt;0,VLOOKUP(C167,КФСР!A192:B1704,2),IF(D167&gt;0,VLOOKUP(D167,Программа!A$1:B$5063,2),IF(F167&gt;0,VLOOKUP(F167,КВР!A$1:B$5001,2),IF(E167&gt;0,VLOOKUP(E167,Направление!A$1:B$4746,2))))))</f>
        <v>Закупка товаров, работ и услуг для государственных нужд</v>
      </c>
      <c r="B167" s="91"/>
      <c r="C167" s="84"/>
      <c r="D167" s="444"/>
      <c r="E167" s="84"/>
      <c r="F167" s="85">
        <v>200</v>
      </c>
      <c r="G167" s="387">
        <v>30000</v>
      </c>
      <c r="H167" s="50"/>
      <c r="I167" s="50">
        <f t="shared" si="79"/>
        <v>30000</v>
      </c>
      <c r="J167" s="387">
        <v>30000</v>
      </c>
      <c r="K167" s="50"/>
      <c r="L167" s="50">
        <f t="shared" si="80"/>
        <v>30000</v>
      </c>
    </row>
    <row r="168" spans="1:12" ht="31.2">
      <c r="A168" s="49" t="str">
        <f>IF(B168&gt;0,VLOOKUP(B168,КВСР!A190:B1355,2),IF(C168&gt;0,VLOOKUP(C168,КФСР!A190:B1702,2),IF(D168&gt;0,VLOOKUP(D168,Программа!A$1:B$5063,2),IF(F168&gt;0,VLOOKUP(F168,КВР!A$1:B$5001,2),IF(E168&gt;0,VLOOKUP(E168,Направление!A$1:B$4746,2))))))</f>
        <v>Социальное обеспечение и иные выплаты населению</v>
      </c>
      <c r="B168" s="91"/>
      <c r="C168" s="84"/>
      <c r="D168" s="444"/>
      <c r="E168" s="84"/>
      <c r="F168" s="85">
        <v>300</v>
      </c>
      <c r="G168" s="387">
        <v>1970000</v>
      </c>
      <c r="H168" s="385"/>
      <c r="I168" s="50">
        <f t="shared" si="79"/>
        <v>1970000</v>
      </c>
      <c r="J168" s="387">
        <v>1970000</v>
      </c>
      <c r="K168" s="385"/>
      <c r="L168" s="50">
        <f t="shared" si="80"/>
        <v>1970000</v>
      </c>
    </row>
    <row r="169" spans="1:12" ht="15.6">
      <c r="A169" s="49" t="str">
        <f>IF(B169&gt;0,VLOOKUP(B169,КВСР!A191:B1356,2),IF(C169&gt;0,VLOOKUP(C169,КФСР!A191:B1703,2),IF(D169&gt;0,VLOOKUP(D169,Программа!A$1:B$5063,2),IF(F169&gt;0,VLOOKUP(F169,КВР!A$1:B$5001,2),IF(E169&gt;0,VLOOKUP(E169,Направление!A$1:B$4746,2))))))</f>
        <v>Социальное обслуживание населения</v>
      </c>
      <c r="B169" s="91"/>
      <c r="C169" s="84">
        <v>1002</v>
      </c>
      <c r="D169" s="444"/>
      <c r="E169" s="84"/>
      <c r="F169" s="85"/>
      <c r="G169" s="387">
        <v>44582019</v>
      </c>
      <c r="H169" s="50">
        <f t="shared" ref="H169:H173" si="145">H170</f>
        <v>0</v>
      </c>
      <c r="I169" s="50">
        <f t="shared" si="79"/>
        <v>44582019</v>
      </c>
      <c r="J169" s="387">
        <v>44582019</v>
      </c>
      <c r="K169" s="50">
        <f t="shared" ref="K169:K173" si="146">K170</f>
        <v>0</v>
      </c>
      <c r="L169" s="50">
        <f t="shared" si="80"/>
        <v>44582019</v>
      </c>
    </row>
    <row r="170" spans="1:12" ht="46.8">
      <c r="A170" s="49" t="str">
        <f>IF(B170&gt;0,VLOOKUP(B170,КВСР!A192:B1357,2),IF(C170&gt;0,VLOOKUP(C170,КФСР!A192:B1704,2),IF(D170&gt;0,VLOOKUP(D170,Программа!A$1:B$5063,2),IF(F170&gt;0,VLOOKUP(F170,КВР!A$1:B$5001,2),IF(E170&gt;0,VLOOKUP(E170,Направление!A$1:B$4746,2))))))</f>
        <v>Муниципальная программа "Социальная поддержка населения Тутаевского муниципального района"</v>
      </c>
      <c r="B170" s="91"/>
      <c r="C170" s="84"/>
      <c r="D170" s="444" t="s">
        <v>2809</v>
      </c>
      <c r="E170" s="84"/>
      <c r="F170" s="85"/>
      <c r="G170" s="387">
        <v>44582019</v>
      </c>
      <c r="H170" s="50">
        <f t="shared" ref="H170" si="147">H172</f>
        <v>0</v>
      </c>
      <c r="I170" s="50">
        <f t="shared" si="79"/>
        <v>44582019</v>
      </c>
      <c r="J170" s="387">
        <v>44582019</v>
      </c>
      <c r="K170" s="50">
        <f t="shared" ref="K170" si="148">K172</f>
        <v>0</v>
      </c>
      <c r="L170" s="50">
        <f t="shared" si="80"/>
        <v>44582019</v>
      </c>
    </row>
    <row r="171" spans="1:12" ht="46.8">
      <c r="A171" s="49" t="str">
        <f>IF(B171&gt;0,VLOOKUP(B171,КВСР!A193:B1358,2),IF(C171&gt;0,VLOOKUP(C171,КФСР!A193:B1705,2),IF(D171&gt;0,VLOOKUP(D171,Программа!A$1:B$5063,2),IF(F171&gt;0,VLOOKUP(F171,КВР!A$1:B$5001,2),IF(E171&gt;0,VLOOKUP(E171,Направление!A$1:B$4746,2))))))</f>
        <v xml:space="preserve">Ведомственная целевая программа «Социальная поддержка населения Тутаевского муниципального района» </v>
      </c>
      <c r="B171" s="91"/>
      <c r="C171" s="84"/>
      <c r="D171" s="444" t="s">
        <v>2811</v>
      </c>
      <c r="E171" s="84"/>
      <c r="F171" s="85"/>
      <c r="G171" s="387">
        <v>44582019</v>
      </c>
      <c r="H171" s="50">
        <f t="shared" ref="H171" si="149">H172</f>
        <v>0</v>
      </c>
      <c r="I171" s="50">
        <f t="shared" si="79"/>
        <v>44582019</v>
      </c>
      <c r="J171" s="387">
        <v>44582019</v>
      </c>
      <c r="K171" s="50">
        <f t="shared" ref="K171" si="150">K172</f>
        <v>0</v>
      </c>
      <c r="L171" s="50">
        <f t="shared" si="80"/>
        <v>44582019</v>
      </c>
    </row>
    <row r="172" spans="1:12" ht="62.4">
      <c r="A172" s="49" t="str">
        <f>IF(B172&gt;0,VLOOKUP(B172,КВСР!A194:B1359,2),IF(C172&gt;0,VLOOKUP(C172,КФСР!A194:B1706,2),IF(D172&gt;0,VLOOKUP(D172,Программа!A$1:B$5063,2),IF(F172&gt;0,VLOOKUP(F172,КВР!A$1:B$5001,2),IF(E172&gt;0,VLOOKUP(E172,Направление!A$1:B$4746,2))))))</f>
        <v>Предоставление социальных услуг населению Тутаевского муниципального района на основе соблюдения стандартов и нормативов</v>
      </c>
      <c r="B172" s="91"/>
      <c r="C172" s="84"/>
      <c r="D172" s="444" t="s">
        <v>2863</v>
      </c>
      <c r="E172" s="84"/>
      <c r="F172" s="85"/>
      <c r="G172" s="387">
        <v>44582019</v>
      </c>
      <c r="H172" s="50">
        <f t="shared" si="145"/>
        <v>0</v>
      </c>
      <c r="I172" s="50">
        <f t="shared" ref="I172:I235" si="151">SUM(G172:H172)</f>
        <v>44582019</v>
      </c>
      <c r="J172" s="387">
        <v>44582019</v>
      </c>
      <c r="K172" s="50">
        <f t="shared" si="146"/>
        <v>0</v>
      </c>
      <c r="L172" s="50">
        <f t="shared" ref="L172:L235" si="152">SUM(J172:K172)</f>
        <v>44582019</v>
      </c>
    </row>
    <row r="173" spans="1:12" ht="124.8">
      <c r="A173" s="49" t="str">
        <f>IF(B173&gt;0,VLOOKUP(B173,КВСР!A194:B1359,2),IF(C173&gt;0,VLOOKUP(C173,КФСР!A194:B1706,2),IF(D173&gt;0,VLOOKUP(D173,Программа!A$1:B$5063,2),IF(F173&gt;0,VLOOKUP(F173,КВР!A$1:B$5001,2),IF(E173&gt;0,VLOOKUP(E173,Направление!A$1:B$4746,2))))))</f>
        <v>Расходы на содержание муниципальных казенных учреждений социального обслуживания населения, на предоставление субсидий муниципальным бюджетным учреждениям социального обслуживания населения на выполнение муниципальных заданий и иные цели</v>
      </c>
      <c r="B173" s="91"/>
      <c r="C173" s="84"/>
      <c r="D173" s="444"/>
      <c r="E173" s="84">
        <v>70850</v>
      </c>
      <c r="F173" s="85"/>
      <c r="G173" s="387">
        <v>44582019</v>
      </c>
      <c r="H173" s="50">
        <f t="shared" si="145"/>
        <v>0</v>
      </c>
      <c r="I173" s="50">
        <f t="shared" si="151"/>
        <v>44582019</v>
      </c>
      <c r="J173" s="387">
        <v>44582019</v>
      </c>
      <c r="K173" s="50">
        <f t="shared" si="146"/>
        <v>0</v>
      </c>
      <c r="L173" s="50">
        <f t="shared" si="152"/>
        <v>44582019</v>
      </c>
    </row>
    <row r="174" spans="1:12" ht="46.8">
      <c r="A174" s="49" t="str">
        <f>IF(B174&gt;0,VLOOKUP(B174,КВСР!A195:B1360,2),IF(C174&gt;0,VLOOKUP(C174,КФСР!A195:B1707,2),IF(D174&gt;0,VLOOKUP(D174,Программа!A$1:B$5063,2),IF(F174&gt;0,VLOOKUP(F174,КВР!A$1:B$5001,2),IF(E174&gt;0,VLOOKUP(E174,Направление!A$1:B$4746,2))))))</f>
        <v>Предоставление субсидий бюджетным, автономным учреждениям и иным некоммерческим организациям</v>
      </c>
      <c r="B174" s="91"/>
      <c r="C174" s="84"/>
      <c r="D174" s="444"/>
      <c r="E174" s="84"/>
      <c r="F174" s="85">
        <v>600</v>
      </c>
      <c r="G174" s="387">
        <v>44582019</v>
      </c>
      <c r="H174" s="385"/>
      <c r="I174" s="50">
        <f t="shared" si="151"/>
        <v>44582019</v>
      </c>
      <c r="J174" s="387">
        <v>44582019</v>
      </c>
      <c r="K174" s="385"/>
      <c r="L174" s="50">
        <f t="shared" si="152"/>
        <v>44582019</v>
      </c>
    </row>
    <row r="175" spans="1:12" ht="15.6">
      <c r="A175" s="49" t="str">
        <f>IF(B175&gt;0,VLOOKUP(B175,КВСР!A196:B1361,2),IF(C175&gt;0,VLOOKUP(C175,КФСР!A196:B1708,2),IF(D175&gt;0,VLOOKUP(D175,Программа!A$1:B$5063,2),IF(F175&gt;0,VLOOKUP(F175,КВР!A$1:B$5001,2),IF(E175&gt;0,VLOOKUP(E175,Направление!A$1:B$4746,2))))))</f>
        <v>Социальное обеспечение населения</v>
      </c>
      <c r="B175" s="91"/>
      <c r="C175" s="84">
        <v>1003</v>
      </c>
      <c r="D175" s="444"/>
      <c r="E175" s="84"/>
      <c r="F175" s="85"/>
      <c r="G175" s="387">
        <v>171844534</v>
      </c>
      <c r="H175" s="50">
        <f t="shared" ref="H175:H176" si="153">H176</f>
        <v>0</v>
      </c>
      <c r="I175" s="50">
        <f t="shared" si="151"/>
        <v>171844534</v>
      </c>
      <c r="J175" s="387">
        <v>171844534</v>
      </c>
      <c r="K175" s="50">
        <f t="shared" ref="K175:K176" si="154">K176</f>
        <v>0</v>
      </c>
      <c r="L175" s="50">
        <f t="shared" si="152"/>
        <v>171844534</v>
      </c>
    </row>
    <row r="176" spans="1:12" ht="46.8">
      <c r="A176" s="49" t="str">
        <f>IF(B176&gt;0,VLOOKUP(B176,КВСР!A197:B1362,2),IF(C176&gt;0,VLOOKUP(C176,КФСР!A197:B1709,2),IF(D176&gt;0,VLOOKUP(D176,Программа!A$1:B$5063,2),IF(F176&gt;0,VLOOKUP(F176,КВР!A$1:B$5001,2),IF(E176&gt;0,VLOOKUP(E176,Направление!A$1:B$4746,2))))))</f>
        <v>Муниципальная программа "Социальная поддержка населения Тутаевского муниципального района"</v>
      </c>
      <c r="B176" s="91"/>
      <c r="C176" s="84"/>
      <c r="D176" s="444" t="s">
        <v>2809</v>
      </c>
      <c r="E176" s="84"/>
      <c r="F176" s="85"/>
      <c r="G176" s="387">
        <v>171844534</v>
      </c>
      <c r="H176" s="50">
        <f t="shared" si="153"/>
        <v>0</v>
      </c>
      <c r="I176" s="50">
        <f t="shared" si="151"/>
        <v>171844534</v>
      </c>
      <c r="J176" s="387">
        <v>171844534</v>
      </c>
      <c r="K176" s="50">
        <f t="shared" si="154"/>
        <v>0</v>
      </c>
      <c r="L176" s="50">
        <f t="shared" si="152"/>
        <v>171844534</v>
      </c>
    </row>
    <row r="177" spans="1:12" ht="46.8">
      <c r="A177" s="49" t="str">
        <f>IF(B177&gt;0,VLOOKUP(B177,КВСР!A198:B1363,2),IF(C177&gt;0,VLOOKUP(C177,КФСР!A198:B1710,2),IF(D177&gt;0,VLOOKUP(D177,Программа!A$1:B$5063,2),IF(F177&gt;0,VLOOKUP(F177,КВР!A$1:B$5001,2),IF(E177&gt;0,VLOOKUP(E177,Направление!A$1:B$4746,2))))))</f>
        <v xml:space="preserve">Ведомственная целевая программа «Социальная поддержка населения Тутаевского муниципального района» </v>
      </c>
      <c r="B177" s="91"/>
      <c r="C177" s="84"/>
      <c r="D177" s="444" t="s">
        <v>2811</v>
      </c>
      <c r="E177" s="84"/>
      <c r="F177" s="85"/>
      <c r="G177" s="387">
        <v>171844534</v>
      </c>
      <c r="H177" s="50">
        <f t="shared" ref="H177" si="155">H178+H197</f>
        <v>0</v>
      </c>
      <c r="I177" s="50">
        <f t="shared" si="151"/>
        <v>171844534</v>
      </c>
      <c r="J177" s="387">
        <v>171844534</v>
      </c>
      <c r="K177" s="50">
        <f t="shared" ref="K177" si="156">K178+K197</f>
        <v>0</v>
      </c>
      <c r="L177" s="50">
        <f t="shared" si="152"/>
        <v>171844534</v>
      </c>
    </row>
    <row r="178" spans="1:12" ht="46.8">
      <c r="A178" s="49" t="str">
        <f>IF(B178&gt;0,VLOOKUP(B178,КВСР!A199:B1364,2),IF(C178&gt;0,VLOOKUP(C178,КФСР!A199:B1711,2),IF(D178&gt;0,VLOOKUP(D178,Программа!A$1:B$5063,2),IF(F178&gt;0,VLOOKUP(F178,КВР!A$1:B$5001,2),IF(E178&gt;0,VLOOKUP(E178,Направление!A$1:B$4746,2))))))</f>
        <v>Исполнение публичных обязательств по предоставлению выплат, пособий и компенсаций</v>
      </c>
      <c r="B178" s="91"/>
      <c r="C178" s="84"/>
      <c r="D178" s="444" t="s">
        <v>2862</v>
      </c>
      <c r="E178" s="84"/>
      <c r="F178" s="85"/>
      <c r="G178" s="387">
        <v>171644534</v>
      </c>
      <c r="H178" s="50">
        <f t="shared" ref="H178" si="157">H179+H182+H185+H188+H191+H194</f>
        <v>0</v>
      </c>
      <c r="I178" s="50">
        <f t="shared" si="151"/>
        <v>171644534</v>
      </c>
      <c r="J178" s="387">
        <v>171644534</v>
      </c>
      <c r="K178" s="50">
        <f t="shared" ref="K178" si="158">K179+K182+K185+K188+K191+K194</f>
        <v>0</v>
      </c>
      <c r="L178" s="50">
        <f t="shared" si="152"/>
        <v>171644534</v>
      </c>
    </row>
    <row r="179" spans="1:12" ht="62.4">
      <c r="A179" s="49" t="str">
        <f>IF(B179&gt;0,VLOOKUP(B179,КВСР!A199:B1364,2),IF(C179&gt;0,VLOOKUP(C179,КФСР!A199:B1711,2),IF(D179&gt;0,VLOOKUP(D179,Программа!A$1:B$5063,2),IF(F179&gt;0,VLOOKUP(F179,КВР!A$1:B$5001,2),IF(E179&gt;0,VLOOKUP(E179,Направление!A$1:B$4746,2))))))</f>
        <v>Предоставление гражданам субсидий на оплату жилого помещения и коммунальных услуг за счет средств областного бюджета</v>
      </c>
      <c r="B179" s="91"/>
      <c r="C179" s="84"/>
      <c r="D179" s="444"/>
      <c r="E179" s="84">
        <v>70740</v>
      </c>
      <c r="F179" s="85"/>
      <c r="G179" s="387">
        <v>18261000</v>
      </c>
      <c r="H179" s="50">
        <f t="shared" ref="H179" si="159">H180+H181</f>
        <v>0</v>
      </c>
      <c r="I179" s="50">
        <f t="shared" si="151"/>
        <v>18261000</v>
      </c>
      <c r="J179" s="387">
        <v>18261000</v>
      </c>
      <c r="K179" s="50">
        <f t="shared" ref="K179" si="160">K180+K181</f>
        <v>0</v>
      </c>
      <c r="L179" s="50">
        <f t="shared" si="152"/>
        <v>18261000</v>
      </c>
    </row>
    <row r="180" spans="1:12" ht="31.2">
      <c r="A180" s="49" t="str">
        <f>IF(B180&gt;0,VLOOKUP(B180,КВСР!A200:B1365,2),IF(C180&gt;0,VLOOKUP(C180,КФСР!A200:B1712,2),IF(D180&gt;0,VLOOKUP(D180,Программа!A$1:B$5063,2),IF(F180&gt;0,VLOOKUP(F180,КВР!A$1:B$5001,2),IF(E180&gt;0,VLOOKUP(E180,Направление!A$1:B$4746,2))))))</f>
        <v>Закупка товаров, работ и услуг для государственных нужд</v>
      </c>
      <c r="B180" s="91"/>
      <c r="C180" s="84"/>
      <c r="D180" s="444"/>
      <c r="E180" s="84"/>
      <c r="F180" s="85">
        <v>200</v>
      </c>
      <c r="G180" s="387">
        <v>271000</v>
      </c>
      <c r="H180" s="392"/>
      <c r="I180" s="50">
        <f t="shared" si="151"/>
        <v>271000</v>
      </c>
      <c r="J180" s="387">
        <v>271000</v>
      </c>
      <c r="K180" s="392"/>
      <c r="L180" s="50">
        <f t="shared" si="152"/>
        <v>271000</v>
      </c>
    </row>
    <row r="181" spans="1:12" ht="31.2">
      <c r="A181" s="49" t="str">
        <f>IF(B181&gt;0,VLOOKUP(B181,КВСР!A201:B1366,2),IF(C181&gt;0,VLOOKUP(C181,КФСР!A201:B1713,2),IF(D181&gt;0,VLOOKUP(D181,Программа!A$1:B$5063,2),IF(F181&gt;0,VLOOKUP(F181,КВР!A$1:B$5001,2),IF(E181&gt;0,VLOOKUP(E181,Направление!A$1:B$4746,2))))))</f>
        <v>Социальное обеспечение и иные выплаты населению</v>
      </c>
      <c r="B181" s="91"/>
      <c r="C181" s="84"/>
      <c r="D181" s="444"/>
      <c r="E181" s="84"/>
      <c r="F181" s="85">
        <v>300</v>
      </c>
      <c r="G181" s="387">
        <v>17990000</v>
      </c>
      <c r="H181" s="392"/>
      <c r="I181" s="50">
        <f t="shared" si="151"/>
        <v>17990000</v>
      </c>
      <c r="J181" s="387">
        <v>17990000</v>
      </c>
      <c r="K181" s="392"/>
      <c r="L181" s="50">
        <f t="shared" si="152"/>
        <v>17990000</v>
      </c>
    </row>
    <row r="182" spans="1:12" ht="78">
      <c r="A182" s="49" t="str">
        <f>IF(B182&gt;0,VLOOKUP(B182,КВСР!A199:B1364,2),IF(C182&gt;0,VLOOKUP(C182,КФСР!A199:B1711,2),IF(D182&gt;0,VLOOKUP(D182,Программа!A$1:B$5063,2),IF(F182&gt;0,VLOOKUP(F182,КВР!A$1:B$5001,2),IF(E182&gt;0,VLOOKUP(E182,Направление!A$1:B$4746,2))))))</f>
        <v>Расходы на социальную поддержку отдельных категорий граждан в части ежемесячной денежной выплаты ветеранам труда, труженикам тыла, реабилитированным лицам</v>
      </c>
      <c r="B182" s="91"/>
      <c r="C182" s="84"/>
      <c r="D182" s="444"/>
      <c r="E182" s="84">
        <v>70750</v>
      </c>
      <c r="F182" s="85"/>
      <c r="G182" s="387">
        <v>35700000</v>
      </c>
      <c r="H182" s="50">
        <f t="shared" ref="H182" si="161">H184+H183</f>
        <v>0</v>
      </c>
      <c r="I182" s="50">
        <f t="shared" si="151"/>
        <v>35700000</v>
      </c>
      <c r="J182" s="387">
        <v>35700000</v>
      </c>
      <c r="K182" s="50">
        <f t="shared" ref="K182" si="162">K184+K183</f>
        <v>0</v>
      </c>
      <c r="L182" s="50">
        <f t="shared" si="152"/>
        <v>35700000</v>
      </c>
    </row>
    <row r="183" spans="1:12" ht="31.2">
      <c r="A183" s="49" t="str">
        <f>IF(B183&gt;0,VLOOKUP(B183,КВСР!A200:B1365,2),IF(C183&gt;0,VLOOKUP(C183,КФСР!A200:B1712,2),IF(D183&gt;0,VLOOKUP(D183,Программа!A$1:B$5063,2),IF(F183&gt;0,VLOOKUP(F183,КВР!A$1:B$5001,2),IF(E183&gt;0,VLOOKUP(E183,Направление!A$1:B$4746,2))))))</f>
        <v>Закупка товаров, работ и услуг для государственных нужд</v>
      </c>
      <c r="B183" s="91"/>
      <c r="C183" s="84"/>
      <c r="D183" s="444"/>
      <c r="E183" s="84"/>
      <c r="F183" s="85">
        <v>200</v>
      </c>
      <c r="G183" s="387">
        <v>585000</v>
      </c>
      <c r="H183" s="392"/>
      <c r="I183" s="50">
        <f t="shared" si="151"/>
        <v>585000</v>
      </c>
      <c r="J183" s="387">
        <v>585000</v>
      </c>
      <c r="K183" s="392"/>
      <c r="L183" s="50">
        <f t="shared" si="152"/>
        <v>585000</v>
      </c>
    </row>
    <row r="184" spans="1:12" ht="31.2">
      <c r="A184" s="49" t="str">
        <f>IF(B184&gt;0,VLOOKUP(B184,КВСР!A200:B1365,2),IF(C184&gt;0,VLOOKUP(C184,КФСР!A200:B1712,2),IF(D184&gt;0,VLOOKUP(D184,Программа!A$1:B$5063,2),IF(F184&gt;0,VLOOKUP(F184,КВР!A$1:B$5001,2),IF(E184&gt;0,VLOOKUP(E184,Направление!A$1:B$4746,2))))))</f>
        <v>Социальное обеспечение и иные выплаты населению</v>
      </c>
      <c r="B184" s="91"/>
      <c r="C184" s="84"/>
      <c r="D184" s="444"/>
      <c r="E184" s="84"/>
      <c r="F184" s="85">
        <v>300</v>
      </c>
      <c r="G184" s="387">
        <v>35115000</v>
      </c>
      <c r="H184" s="385"/>
      <c r="I184" s="50">
        <f t="shared" si="151"/>
        <v>35115000</v>
      </c>
      <c r="J184" s="387">
        <v>35115000</v>
      </c>
      <c r="K184" s="385"/>
      <c r="L184" s="50">
        <f t="shared" si="152"/>
        <v>35115000</v>
      </c>
    </row>
    <row r="185" spans="1:12" ht="109.2">
      <c r="A185" s="49" t="str">
        <f>IF(B185&gt;0,VLOOKUP(B185,КВСР!A201:B1366,2),IF(C185&gt;0,VLOOKUP(C185,КФСР!A201:B1713,2),IF(D185&gt;0,VLOOKUP(D185,Программа!A$1:B$5063,2),IF(F185&gt;0,VLOOKUP(F185,КВР!A$1:B$5001,2),IF(E185&gt;0,VLOOKUP(E185,Направление!A$1:B$4746,2))))))</f>
        <v>Оплата жилого помещения и коммунальных услуг отдельным категориям граждан, оказание мер социальной поддержки которым относится к полномочиям Ярославской области, за счет средств областного бюджета</v>
      </c>
      <c r="B185" s="91"/>
      <c r="C185" s="84"/>
      <c r="D185" s="444"/>
      <c r="E185" s="84">
        <v>70840</v>
      </c>
      <c r="F185" s="85"/>
      <c r="G185" s="387">
        <v>59079000</v>
      </c>
      <c r="H185" s="50">
        <f t="shared" ref="H185" si="163">H186+H187</f>
        <v>0</v>
      </c>
      <c r="I185" s="50">
        <f t="shared" si="151"/>
        <v>59079000</v>
      </c>
      <c r="J185" s="387">
        <v>59079000</v>
      </c>
      <c r="K185" s="50">
        <f t="shared" ref="K185" si="164">K186+K187</f>
        <v>0</v>
      </c>
      <c r="L185" s="50">
        <f t="shared" si="152"/>
        <v>59079000</v>
      </c>
    </row>
    <row r="186" spans="1:12" ht="31.2">
      <c r="A186" s="49" t="str">
        <f>IF(B186&gt;0,VLOOKUP(B186,КВСР!A202:B1367,2),IF(C186&gt;0,VLOOKUP(C186,КФСР!A202:B1714,2),IF(D186&gt;0,VLOOKUP(D186,Программа!A$1:B$5063,2),IF(F186&gt;0,VLOOKUP(F186,КВР!A$1:B$5001,2),IF(E186&gt;0,VLOOKUP(E186,Направление!A$1:B$4746,2))))))</f>
        <v>Закупка товаров, работ и услуг для государственных нужд</v>
      </c>
      <c r="B186" s="91"/>
      <c r="C186" s="84"/>
      <c r="D186" s="444"/>
      <c r="E186" s="84"/>
      <c r="F186" s="85">
        <v>200</v>
      </c>
      <c r="G186" s="387">
        <v>957000</v>
      </c>
      <c r="H186" s="385"/>
      <c r="I186" s="50">
        <f t="shared" si="151"/>
        <v>957000</v>
      </c>
      <c r="J186" s="387">
        <v>957000</v>
      </c>
      <c r="K186" s="385"/>
      <c r="L186" s="50">
        <f t="shared" si="152"/>
        <v>957000</v>
      </c>
    </row>
    <row r="187" spans="1:12" ht="31.2">
      <c r="A187" s="49" t="str">
        <f>IF(B187&gt;0,VLOOKUP(B187,КВСР!A203:B1368,2),IF(C187&gt;0,VLOOKUP(C187,КФСР!A203:B1715,2),IF(D187&gt;0,VLOOKUP(D187,Программа!A$1:B$5063,2),IF(F187&gt;0,VLOOKUP(F187,КВР!A$1:B$5001,2),IF(E187&gt;0,VLOOKUP(E187,Направление!A$1:B$4746,2))))))</f>
        <v>Социальное обеспечение и иные выплаты населению</v>
      </c>
      <c r="B187" s="91"/>
      <c r="C187" s="84"/>
      <c r="D187" s="444"/>
      <c r="E187" s="84"/>
      <c r="F187" s="85">
        <v>300</v>
      </c>
      <c r="G187" s="387">
        <v>58122000</v>
      </c>
      <c r="H187" s="385"/>
      <c r="I187" s="50">
        <f t="shared" si="151"/>
        <v>58122000</v>
      </c>
      <c r="J187" s="387">
        <v>58122000</v>
      </c>
      <c r="K187" s="385"/>
      <c r="L187" s="50">
        <f t="shared" si="152"/>
        <v>58122000</v>
      </c>
    </row>
    <row r="188" spans="1:12" ht="31.2">
      <c r="A188" s="49" t="str">
        <f>IF(B188&gt;0,VLOOKUP(B188,КВСР!A204:B1369,2),IF(C188&gt;0,VLOOKUP(C188,КФСР!A204:B1716,2),IF(D188&gt;0,VLOOKUP(D188,Программа!A$1:B$5063,2),IF(F188&gt;0,VLOOKUP(F188,КВР!A$1:B$5001,2),IF(E188&gt;0,VLOOKUP(E188,Направление!A$1:B$4746,2))))))</f>
        <v>Денежные выплаты за счет средств областного бюджета</v>
      </c>
      <c r="B188" s="91"/>
      <c r="C188" s="84"/>
      <c r="D188" s="444"/>
      <c r="E188" s="84">
        <v>70860</v>
      </c>
      <c r="F188" s="85"/>
      <c r="G188" s="387">
        <v>19500000</v>
      </c>
      <c r="H188" s="50">
        <f t="shared" ref="H188" si="165">H189+H190</f>
        <v>0</v>
      </c>
      <c r="I188" s="50">
        <f t="shared" si="151"/>
        <v>19500000</v>
      </c>
      <c r="J188" s="387">
        <v>19500000</v>
      </c>
      <c r="K188" s="50">
        <f t="shared" ref="K188" si="166">K189+K190</f>
        <v>0</v>
      </c>
      <c r="L188" s="50">
        <f t="shared" si="152"/>
        <v>19500000</v>
      </c>
    </row>
    <row r="189" spans="1:12" ht="31.2">
      <c r="A189" s="49" t="str">
        <f>IF(B189&gt;0,VLOOKUP(B189,КВСР!A205:B1370,2),IF(C189&gt;0,VLOOKUP(C189,КФСР!A205:B1717,2),IF(D189&gt;0,VLOOKUP(D189,Программа!A$1:B$5063,2),IF(F189&gt;0,VLOOKUP(F189,КВР!A$1:B$5001,2),IF(E189&gt;0,VLOOKUP(E189,Направление!A$1:B$4746,2))))))</f>
        <v>Закупка товаров, работ и услуг для государственных нужд</v>
      </c>
      <c r="B189" s="91"/>
      <c r="C189" s="84"/>
      <c r="D189" s="444"/>
      <c r="E189" s="84"/>
      <c r="F189" s="85">
        <v>200</v>
      </c>
      <c r="G189" s="387">
        <v>294000</v>
      </c>
      <c r="H189" s="385"/>
      <c r="I189" s="50">
        <f t="shared" si="151"/>
        <v>294000</v>
      </c>
      <c r="J189" s="387">
        <v>294000</v>
      </c>
      <c r="K189" s="385"/>
      <c r="L189" s="50">
        <f t="shared" si="152"/>
        <v>294000</v>
      </c>
    </row>
    <row r="190" spans="1:12" ht="31.2">
      <c r="A190" s="49" t="str">
        <f>IF(B190&gt;0,VLOOKUP(B190,КВСР!A206:B1371,2),IF(C190&gt;0,VLOOKUP(C190,КФСР!A206:B1718,2),IF(D190&gt;0,VLOOKUP(D190,Программа!A$1:B$5063,2),IF(F190&gt;0,VLOOKUP(F190,КВР!A$1:B$5001,2),IF(E190&gt;0,VLOOKUP(E190,Направление!A$1:B$4746,2))))))</f>
        <v>Социальное обеспечение и иные выплаты населению</v>
      </c>
      <c r="B190" s="91"/>
      <c r="C190" s="84"/>
      <c r="D190" s="444"/>
      <c r="E190" s="84"/>
      <c r="F190" s="85">
        <v>300</v>
      </c>
      <c r="G190" s="387">
        <v>19206000</v>
      </c>
      <c r="H190" s="385"/>
      <c r="I190" s="50">
        <f t="shared" si="151"/>
        <v>19206000</v>
      </c>
      <c r="J190" s="387">
        <v>19206000</v>
      </c>
      <c r="K190" s="385"/>
      <c r="L190" s="50">
        <f t="shared" si="152"/>
        <v>19206000</v>
      </c>
    </row>
    <row r="191" spans="1:12" ht="46.8">
      <c r="A191" s="49" t="str">
        <f>IF(B191&gt;0,VLOOKUP(B191,КВСР!A207:B1372,2),IF(C191&gt;0,VLOOKUP(C191,КФСР!A207:B1719,2),IF(D191&gt;0,VLOOKUP(D191,Программа!A$1:B$5063,2),IF(F191&gt;0,VLOOKUP(F191,КВР!A$1:B$5001,2),IF(E191&gt;0,VLOOKUP(E191,Направление!A$1:B$4746,2))))))</f>
        <v>Оказание социальной помощи отдельным категориям граждан за счет средств областного бюджета</v>
      </c>
      <c r="B191" s="91"/>
      <c r="C191" s="84"/>
      <c r="D191" s="444"/>
      <c r="E191" s="84">
        <v>70890</v>
      </c>
      <c r="F191" s="85"/>
      <c r="G191" s="387">
        <v>4204534</v>
      </c>
      <c r="H191" s="50">
        <f t="shared" ref="H191" si="167">H192+H193</f>
        <v>0</v>
      </c>
      <c r="I191" s="50">
        <f t="shared" si="151"/>
        <v>4204534</v>
      </c>
      <c r="J191" s="387">
        <v>4204534</v>
      </c>
      <c r="K191" s="50">
        <f t="shared" ref="K191" si="168">K192+K193</f>
        <v>0</v>
      </c>
      <c r="L191" s="50">
        <f t="shared" si="152"/>
        <v>4204534</v>
      </c>
    </row>
    <row r="192" spans="1:12" ht="31.2">
      <c r="A192" s="49" t="str">
        <f>IF(B192&gt;0,VLOOKUP(B192,КВСР!A208:B1373,2),IF(C192&gt;0,VLOOKUP(C192,КФСР!A208:B1720,2),IF(D192&gt;0,VLOOKUP(D192,Программа!A$1:B$5063,2),IF(F192&gt;0,VLOOKUP(F192,КВР!A$1:B$5001,2),IF(E192&gt;0,VLOOKUP(E192,Направление!A$1:B$4746,2))))))</f>
        <v>Закупка товаров, работ и услуг для государственных нужд</v>
      </c>
      <c r="B192" s="91"/>
      <c r="C192" s="84"/>
      <c r="D192" s="444"/>
      <c r="E192" s="84"/>
      <c r="F192" s="85">
        <v>200</v>
      </c>
      <c r="G192" s="387">
        <v>177534</v>
      </c>
      <c r="H192" s="385"/>
      <c r="I192" s="50">
        <f t="shared" si="151"/>
        <v>177534</v>
      </c>
      <c r="J192" s="387">
        <v>177534</v>
      </c>
      <c r="K192" s="385"/>
      <c r="L192" s="50">
        <f t="shared" si="152"/>
        <v>177534</v>
      </c>
    </row>
    <row r="193" spans="1:12" ht="31.2">
      <c r="A193" s="49" t="str">
        <f>IF(B193&gt;0,VLOOKUP(B193,КВСР!A209:B1374,2),IF(C193&gt;0,VLOOKUP(C193,КФСР!A209:B1721,2),IF(D193&gt;0,VLOOKUP(D193,Программа!A$1:B$5063,2),IF(F193&gt;0,VLOOKUP(F193,КВР!A$1:B$5001,2),IF(E193&gt;0,VLOOKUP(E193,Направление!A$1:B$4746,2))))))</f>
        <v>Социальное обеспечение и иные выплаты населению</v>
      </c>
      <c r="B193" s="91"/>
      <c r="C193" s="84"/>
      <c r="D193" s="444"/>
      <c r="E193" s="84"/>
      <c r="F193" s="85">
        <v>300</v>
      </c>
      <c r="G193" s="387">
        <v>4027000</v>
      </c>
      <c r="H193" s="385"/>
      <c r="I193" s="50">
        <f t="shared" si="151"/>
        <v>4027000</v>
      </c>
      <c r="J193" s="387">
        <v>4027000</v>
      </c>
      <c r="K193" s="385"/>
      <c r="L193" s="50">
        <f t="shared" si="152"/>
        <v>4027000</v>
      </c>
    </row>
    <row r="194" spans="1:12" ht="46.8">
      <c r="A194" s="49" t="str">
        <f>IF(B194&gt;0,VLOOKUP(B194,КВСР!A210:B1375,2),IF(C194&gt;0,VLOOKUP(C194,КФСР!A210:B1722,2),IF(D194&gt;0,VLOOKUP(D194,Программа!A$1:B$5063,2),IF(F194&gt;0,VLOOKUP(F194,КВР!A$1:B$5001,2),IF(E194&gt;0,VLOOKUP(E194,Направление!A$1:B$4746,2))))))</f>
        <v>Расходы на социальную поддержку отдельных категорий граждан в части ежемесячного пособия на ребенка</v>
      </c>
      <c r="B194" s="91"/>
      <c r="C194" s="84"/>
      <c r="D194" s="444"/>
      <c r="E194" s="84">
        <v>73040</v>
      </c>
      <c r="F194" s="85"/>
      <c r="G194" s="387">
        <v>34900000</v>
      </c>
      <c r="H194" s="50">
        <f t="shared" ref="H194" si="169">H195+H196</f>
        <v>0</v>
      </c>
      <c r="I194" s="50">
        <f t="shared" si="151"/>
        <v>34900000</v>
      </c>
      <c r="J194" s="387">
        <v>34900000</v>
      </c>
      <c r="K194" s="50">
        <f t="shared" ref="K194" si="170">K195+K196</f>
        <v>0</v>
      </c>
      <c r="L194" s="50">
        <f t="shared" si="152"/>
        <v>34900000</v>
      </c>
    </row>
    <row r="195" spans="1:12" ht="31.2">
      <c r="A195" s="49" t="str">
        <f>IF(B195&gt;0,VLOOKUP(B195,КВСР!A211:B1376,2),IF(C195&gt;0,VLOOKUP(C195,КФСР!A211:B1723,2),IF(D195&gt;0,VLOOKUP(D195,Программа!A$1:B$5063,2),IF(F195&gt;0,VLOOKUP(F195,КВР!A$1:B$5001,2),IF(E195&gt;0,VLOOKUP(E195,Направление!A$1:B$4746,2))))))</f>
        <v>Закупка товаров, работ и услуг для государственных нужд</v>
      </c>
      <c r="B195" s="91"/>
      <c r="C195" s="84"/>
      <c r="D195" s="444"/>
      <c r="E195" s="84"/>
      <c r="F195" s="85">
        <v>200</v>
      </c>
      <c r="G195" s="387">
        <v>9000</v>
      </c>
      <c r="H195" s="385"/>
      <c r="I195" s="50">
        <f t="shared" si="151"/>
        <v>9000</v>
      </c>
      <c r="J195" s="387">
        <v>9000</v>
      </c>
      <c r="K195" s="385"/>
      <c r="L195" s="50">
        <f t="shared" si="152"/>
        <v>9000</v>
      </c>
    </row>
    <row r="196" spans="1:12" ht="31.2">
      <c r="A196" s="49" t="str">
        <f>IF(B196&gt;0,VLOOKUP(B196,КВСР!A204:B1369,2),IF(C196&gt;0,VLOOKUP(C196,КФСР!A204:B1716,2),IF(D196&gt;0,VLOOKUP(D196,Программа!A$1:B$5063,2),IF(F196&gt;0,VLOOKUP(F196,КВР!A$1:B$5001,2),IF(E196&gt;0,VLOOKUP(E196,Направление!A$1:B$4746,2))))))</f>
        <v>Социальное обеспечение и иные выплаты населению</v>
      </c>
      <c r="B196" s="91"/>
      <c r="C196" s="84"/>
      <c r="D196" s="444"/>
      <c r="E196" s="84"/>
      <c r="F196" s="85">
        <v>300</v>
      </c>
      <c r="G196" s="387">
        <v>34891000</v>
      </c>
      <c r="H196" s="385"/>
      <c r="I196" s="50">
        <f t="shared" si="151"/>
        <v>34891000</v>
      </c>
      <c r="J196" s="387">
        <v>34891000</v>
      </c>
      <c r="K196" s="385"/>
      <c r="L196" s="50">
        <f t="shared" si="152"/>
        <v>34891000</v>
      </c>
    </row>
    <row r="197" spans="1:12" ht="62.4">
      <c r="A197" s="49" t="str">
        <f>IF(B197&gt;0,VLOOKUP(B197,КВСР!A205:B1370,2),IF(C197&gt;0,VLOOKUP(C197,КФСР!A205:B1717,2),IF(D197&gt;0,VLOOKUP(D197,Программа!A$1:B$5063,2),IF(F197&gt;0,VLOOKUP(F197,КВР!A$1:B$5001,2),IF(E197&gt;0,VLOOKUP(E197,Направление!A$1:B$4746,2))))))</f>
        <v>Социальная защита семей с детьми, инвалидов, ветеранов, граждан и детей, оказавшихся в трудной жизненной ситуации</v>
      </c>
      <c r="B197" s="91"/>
      <c r="C197" s="84"/>
      <c r="D197" s="444" t="s">
        <v>2865</v>
      </c>
      <c r="E197" s="84"/>
      <c r="F197" s="85"/>
      <c r="G197" s="387">
        <v>200000</v>
      </c>
      <c r="H197" s="50">
        <f t="shared" ref="H197" si="171">H198</f>
        <v>0</v>
      </c>
      <c r="I197" s="50">
        <f t="shared" si="151"/>
        <v>200000</v>
      </c>
      <c r="J197" s="387">
        <v>200000</v>
      </c>
      <c r="K197" s="50">
        <f t="shared" ref="K197" si="172">K198</f>
        <v>0</v>
      </c>
      <c r="L197" s="50">
        <f t="shared" si="152"/>
        <v>200000</v>
      </c>
    </row>
    <row r="198" spans="1:12" ht="31.2">
      <c r="A198" s="49" t="str">
        <f>IF(B198&gt;0,VLOOKUP(B198,КВСР!A206:B1371,2),IF(C198&gt;0,VLOOKUP(C198,КФСР!A206:B1718,2),IF(D198&gt;0,VLOOKUP(D198,Программа!A$1:B$5063,2),IF(F198&gt;0,VLOOKUP(F198,КВР!A$1:B$5001,2),IF(E198&gt;0,VLOOKUP(E198,Направление!A$1:B$4746,2))))))</f>
        <v>Оказание адресной материальной помощи</v>
      </c>
      <c r="B198" s="91"/>
      <c r="C198" s="84"/>
      <c r="D198" s="444"/>
      <c r="E198" s="84">
        <v>16220</v>
      </c>
      <c r="F198" s="85"/>
      <c r="G198" s="387">
        <v>200000</v>
      </c>
      <c r="H198" s="50">
        <f t="shared" ref="H198" si="173">H199+H200</f>
        <v>0</v>
      </c>
      <c r="I198" s="50">
        <f t="shared" si="151"/>
        <v>200000</v>
      </c>
      <c r="J198" s="387">
        <v>200000</v>
      </c>
      <c r="K198" s="50">
        <f t="shared" ref="K198" si="174">K199+K200</f>
        <v>0</v>
      </c>
      <c r="L198" s="50">
        <f t="shared" si="152"/>
        <v>200000</v>
      </c>
    </row>
    <row r="199" spans="1:12" ht="31.2">
      <c r="A199" s="49" t="str">
        <f>IF(B199&gt;0,VLOOKUP(B199,КВСР!A207:B1372,2),IF(C199&gt;0,VLOOKUP(C199,КФСР!A207:B1719,2),IF(D199&gt;0,VLOOKUP(D199,Программа!A$1:B$5063,2),IF(F199&gt;0,VLOOKUP(F199,КВР!A$1:B$5001,2),IF(E199&gt;0,VLOOKUP(E199,Направление!A$1:B$4746,2))))))</f>
        <v>Закупка товаров, работ и услуг для государственных нужд</v>
      </c>
      <c r="B199" s="91"/>
      <c r="C199" s="84"/>
      <c r="D199" s="444"/>
      <c r="E199" s="84"/>
      <c r="F199" s="85">
        <v>200</v>
      </c>
      <c r="G199" s="387">
        <v>2955</v>
      </c>
      <c r="H199" s="385"/>
      <c r="I199" s="50">
        <f t="shared" si="151"/>
        <v>2955</v>
      </c>
      <c r="J199" s="387">
        <v>2955</v>
      </c>
      <c r="K199" s="385"/>
      <c r="L199" s="50">
        <f t="shared" si="152"/>
        <v>2955</v>
      </c>
    </row>
    <row r="200" spans="1:12" ht="31.2">
      <c r="A200" s="49" t="str">
        <f>IF(B200&gt;0,VLOOKUP(B200,КВСР!A208:B1373,2),IF(C200&gt;0,VLOOKUP(C200,КФСР!A208:B1720,2),IF(D200&gt;0,VLOOKUP(D200,Программа!A$1:B$5063,2),IF(F200&gt;0,VLOOKUP(F200,КВР!A$1:B$5001,2),IF(E200&gt;0,VLOOKUP(E200,Направление!A$1:B$4746,2))))))</f>
        <v>Социальное обеспечение и иные выплаты населению</v>
      </c>
      <c r="B200" s="91"/>
      <c r="C200" s="84"/>
      <c r="D200" s="444"/>
      <c r="E200" s="84"/>
      <c r="F200" s="85">
        <v>300</v>
      </c>
      <c r="G200" s="387">
        <v>197045</v>
      </c>
      <c r="H200" s="385"/>
      <c r="I200" s="50">
        <f t="shared" si="151"/>
        <v>197045</v>
      </c>
      <c r="J200" s="387">
        <v>197045</v>
      </c>
      <c r="K200" s="385"/>
      <c r="L200" s="50">
        <f t="shared" si="152"/>
        <v>197045</v>
      </c>
    </row>
    <row r="201" spans="1:12" ht="15.6">
      <c r="A201" s="49" t="str">
        <f>IF(B201&gt;0,VLOOKUP(B201,КВСР!A209:B1374,2),IF(C201&gt;0,VLOOKUP(C201,КФСР!A209:B1721,2),IF(D201&gt;0,VLOOKUP(D201,Программа!A$1:B$5063,2),IF(F201&gt;0,VLOOKUP(F201,КВР!A$1:B$5001,2),IF(E201&gt;0,VLOOKUP(E201,Направление!A$1:B$4746,2))))))</f>
        <v>Охрана семьи и детства</v>
      </c>
      <c r="B201" s="91"/>
      <c r="C201" s="84">
        <v>1004</v>
      </c>
      <c r="D201" s="444"/>
      <c r="E201" s="84"/>
      <c r="F201" s="85"/>
      <c r="G201" s="387">
        <v>17486570</v>
      </c>
      <c r="H201" s="50">
        <f t="shared" ref="H201:H202" si="175">H202</f>
        <v>0</v>
      </c>
      <c r="I201" s="50">
        <f t="shared" si="151"/>
        <v>17486570</v>
      </c>
      <c r="J201" s="387">
        <v>17486570</v>
      </c>
      <c r="K201" s="50">
        <f t="shared" ref="K201:K202" si="176">K202</f>
        <v>0</v>
      </c>
      <c r="L201" s="50">
        <f t="shared" si="152"/>
        <v>17486570</v>
      </c>
    </row>
    <row r="202" spans="1:12" ht="46.8">
      <c r="A202" s="49" t="str">
        <f>IF(B202&gt;0,VLOOKUP(B202,КВСР!A234:B1399,2),IF(C202&gt;0,VLOOKUP(C202,КФСР!A234:B1746,2),IF(D202&gt;0,VLOOKUP(D202,Программа!A$1:B$5063,2),IF(F202&gt;0,VLOOKUP(F202,КВР!A$1:B$5001,2),IF(E202&gt;0,VLOOKUP(E202,Направление!A$1:B$4746,2))))))</f>
        <v>Муниципальная программа "Социальная поддержка населения Тутаевского муниципального района"</v>
      </c>
      <c r="B202" s="91"/>
      <c r="C202" s="84"/>
      <c r="D202" s="444" t="s">
        <v>2809</v>
      </c>
      <c r="E202" s="84"/>
      <c r="F202" s="85"/>
      <c r="G202" s="387">
        <v>17486570</v>
      </c>
      <c r="H202" s="50">
        <f t="shared" si="175"/>
        <v>0</v>
      </c>
      <c r="I202" s="50">
        <f t="shared" si="151"/>
        <v>17486570</v>
      </c>
      <c r="J202" s="387">
        <v>17486570</v>
      </c>
      <c r="K202" s="50">
        <f t="shared" si="176"/>
        <v>0</v>
      </c>
      <c r="L202" s="50">
        <f t="shared" si="152"/>
        <v>17486570</v>
      </c>
    </row>
    <row r="203" spans="1:12" ht="46.8">
      <c r="A203" s="49" t="str">
        <f>IF(B203&gt;0,VLOOKUP(B203,КВСР!A235:B1400,2),IF(C203&gt;0,VLOOKUP(C203,КФСР!A235:B1747,2),IF(D203&gt;0,VLOOKUP(D203,Программа!A$1:B$5063,2),IF(F203&gt;0,VLOOKUP(F203,КВР!A$1:B$5001,2),IF(E203&gt;0,VLOOKUP(E203,Направление!A$1:B$4746,2))))))</f>
        <v xml:space="preserve">Ведомственная целевая программа «Социальная поддержка населения Тутаевского муниципального района» </v>
      </c>
      <c r="B203" s="91"/>
      <c r="C203" s="84"/>
      <c r="D203" s="444" t="s">
        <v>2811</v>
      </c>
      <c r="E203" s="84"/>
      <c r="F203" s="85"/>
      <c r="G203" s="387">
        <v>17486570</v>
      </c>
      <c r="H203" s="50">
        <f t="shared" ref="H203" si="177">H204+H210</f>
        <v>0</v>
      </c>
      <c r="I203" s="50">
        <f t="shared" si="151"/>
        <v>17486570</v>
      </c>
      <c r="J203" s="387">
        <v>17486570</v>
      </c>
      <c r="K203" s="50">
        <f t="shared" ref="K203" si="178">K204+K210</f>
        <v>0</v>
      </c>
      <c r="L203" s="50">
        <f t="shared" si="152"/>
        <v>17486570</v>
      </c>
    </row>
    <row r="204" spans="1:12" ht="46.8">
      <c r="A204" s="49" t="str">
        <f>IF(B204&gt;0,VLOOKUP(B204,КВСР!A236:B1401,2),IF(C204&gt;0,VLOOKUP(C204,КФСР!A236:B1748,2),IF(D204&gt;0,VLOOKUP(D204,Программа!A$1:B$5063,2),IF(F204&gt;0,VLOOKUP(F204,КВР!A$1:B$5001,2),IF(E204&gt;0,VLOOKUP(E204,Направление!A$1:B$4746,2))))))</f>
        <v>Исполнение публичных обязательств по предоставлению выплат, пособий и компенсаций</v>
      </c>
      <c r="B204" s="91"/>
      <c r="C204" s="84"/>
      <c r="D204" s="447" t="s">
        <v>2862</v>
      </c>
      <c r="E204" s="272"/>
      <c r="F204" s="85"/>
      <c r="G204" s="387">
        <v>17459000</v>
      </c>
      <c r="H204" s="50">
        <f t="shared" ref="H204" si="179">H205+H207</f>
        <v>0</v>
      </c>
      <c r="I204" s="50">
        <f t="shared" si="151"/>
        <v>17459000</v>
      </c>
      <c r="J204" s="387">
        <v>17459000</v>
      </c>
      <c r="K204" s="50">
        <f t="shared" ref="K204" si="180">K205+K207</f>
        <v>0</v>
      </c>
      <c r="L204" s="50">
        <f t="shared" si="152"/>
        <v>17459000</v>
      </c>
    </row>
    <row r="205" spans="1:12" ht="15.6" hidden="1">
      <c r="A205" s="49" t="e">
        <f>IF(B205&gt;0,VLOOKUP(B205,КВСР!A236:B1401,2),IF(C205&gt;0,VLOOKUP(C205,КФСР!A236:B1748,2),IF(D205&gt;0,VLOOKUP(D205,Программа!A$1:B$5063,2),IF(F205&gt;0,VLOOKUP(F205,КВР!A$1:B$5001,2),IF(E205&gt;0,VLOOKUP(E205,Направление!A$1:B$4746,2))))))</f>
        <v>#N/A</v>
      </c>
      <c r="B205" s="91"/>
      <c r="C205" s="84"/>
      <c r="D205" s="444"/>
      <c r="E205" s="84">
        <v>5270</v>
      </c>
      <c r="F205" s="85"/>
      <c r="G205" s="387">
        <v>0</v>
      </c>
      <c r="H205" s="50">
        <f t="shared" ref="H205" si="181">H206</f>
        <v>0</v>
      </c>
      <c r="I205" s="50">
        <f t="shared" si="151"/>
        <v>0</v>
      </c>
      <c r="J205" s="387">
        <v>0</v>
      </c>
      <c r="K205" s="50">
        <f t="shared" ref="K205" si="182">K206</f>
        <v>0</v>
      </c>
      <c r="L205" s="50">
        <f t="shared" si="152"/>
        <v>0</v>
      </c>
    </row>
    <row r="206" spans="1:12" ht="31.2" hidden="1">
      <c r="A206" s="49" t="str">
        <f>IF(B206&gt;0,VLOOKUP(B206,КВСР!A237:B1402,2),IF(C206&gt;0,VLOOKUP(C206,КФСР!A237:B1749,2),IF(D206&gt;0,VLOOKUP(D206,Программа!A$1:B$5063,2),IF(F206&gt;0,VLOOKUP(F206,КВР!A$1:B$5001,2),IF(E206&gt;0,VLOOKUP(E206,Направление!A$1:B$4746,2))))))</f>
        <v>Социальное обеспечение и иные выплаты населению</v>
      </c>
      <c r="B206" s="91"/>
      <c r="C206" s="84"/>
      <c r="D206" s="444"/>
      <c r="E206" s="84"/>
      <c r="F206" s="85">
        <v>300</v>
      </c>
      <c r="G206" s="387">
        <v>0</v>
      </c>
      <c r="H206" s="385"/>
      <c r="I206" s="50">
        <f t="shared" si="151"/>
        <v>0</v>
      </c>
      <c r="J206" s="387">
        <v>0</v>
      </c>
      <c r="K206" s="385"/>
      <c r="L206" s="50">
        <f t="shared" si="152"/>
        <v>0</v>
      </c>
    </row>
    <row r="207" spans="1:12" ht="78">
      <c r="A207" s="49" t="str">
        <f>IF(B207&gt;0,VLOOKUP(B207,КВСР!A238:B1403,2),IF(C207&gt;0,VLOOKUP(C207,КФСР!A238:B1750,2),IF(D207&gt;0,VLOOKUP(D207,Программа!A$1:B$5063,2),IF(F207&gt;0,VLOOKUP(F207,КВР!A$1:B$5001,2),IF(E207&gt;0,VLOOKUP(E207,Направление!A$1:B$4746,2))))))</f>
        <v>Ежемесячная денежная выплата, назначаемая в случае рождения третьего ребенка или последующих детей до достижения ребенком возраста трех лет, за счет средств областного бюджета</v>
      </c>
      <c r="B207" s="91"/>
      <c r="C207" s="84"/>
      <c r="D207" s="444"/>
      <c r="E207" s="84">
        <v>70830</v>
      </c>
      <c r="F207" s="85"/>
      <c r="G207" s="387">
        <v>17459000</v>
      </c>
      <c r="H207" s="50">
        <f t="shared" ref="H207" si="183">H209+H208</f>
        <v>0</v>
      </c>
      <c r="I207" s="50">
        <f t="shared" si="151"/>
        <v>17459000</v>
      </c>
      <c r="J207" s="387">
        <v>17459000</v>
      </c>
      <c r="K207" s="50">
        <f t="shared" ref="K207" si="184">K209+K208</f>
        <v>0</v>
      </c>
      <c r="L207" s="50">
        <f t="shared" si="152"/>
        <v>17459000</v>
      </c>
    </row>
    <row r="208" spans="1:12" ht="31.2">
      <c r="A208" s="49" t="str">
        <f>IF(B208&gt;0,VLOOKUP(B208,КВСР!A239:B1404,2),IF(C208&gt;0,VLOOKUP(C208,КФСР!A239:B1751,2),IF(D208&gt;0,VLOOKUP(D208,Программа!A$1:B$5063,2),IF(F208&gt;0,VLOOKUP(F208,КВР!A$1:B$5001,2),IF(E208&gt;0,VLOOKUP(E208,Направление!A$1:B$4746,2))))))</f>
        <v>Закупка товаров, работ и услуг для государственных нужд</v>
      </c>
      <c r="B208" s="91"/>
      <c r="C208" s="84"/>
      <c r="D208" s="444"/>
      <c r="E208" s="84"/>
      <c r="F208" s="85">
        <v>200</v>
      </c>
      <c r="G208" s="387">
        <v>259000</v>
      </c>
      <c r="H208" s="392"/>
      <c r="I208" s="50">
        <f t="shared" si="151"/>
        <v>259000</v>
      </c>
      <c r="J208" s="387">
        <v>259000</v>
      </c>
      <c r="K208" s="392"/>
      <c r="L208" s="50">
        <f t="shared" si="152"/>
        <v>259000</v>
      </c>
    </row>
    <row r="209" spans="1:12" ht="31.2">
      <c r="A209" s="49" t="str">
        <f>IF(B209&gt;0,VLOOKUP(B209,КВСР!A239:B1404,2),IF(C209&gt;0,VLOOKUP(C209,КФСР!A239:B1751,2),IF(D209&gt;0,VLOOKUP(D209,Программа!A$1:B$5063,2),IF(F209&gt;0,VLOOKUP(F209,КВР!A$1:B$5001,2),IF(E209&gt;0,VLOOKUP(E209,Направление!A$1:B$4746,2))))))</f>
        <v>Социальное обеспечение и иные выплаты населению</v>
      </c>
      <c r="B209" s="91"/>
      <c r="C209" s="84"/>
      <c r="D209" s="444"/>
      <c r="E209" s="84"/>
      <c r="F209" s="85">
        <v>300</v>
      </c>
      <c r="G209" s="387">
        <v>17200000</v>
      </c>
      <c r="H209" s="385"/>
      <c r="I209" s="50">
        <f t="shared" si="151"/>
        <v>17200000</v>
      </c>
      <c r="J209" s="387">
        <v>17200000</v>
      </c>
      <c r="K209" s="385"/>
      <c r="L209" s="50">
        <f t="shared" si="152"/>
        <v>17200000</v>
      </c>
    </row>
    <row r="210" spans="1:12" ht="62.4">
      <c r="A210" s="49" t="str">
        <f>IF(B210&gt;0,VLOOKUP(B210,КВСР!A240:B1405,2),IF(C210&gt;0,VLOOKUP(C210,КФСР!A240:B1752,2),IF(D210&gt;0,VLOOKUP(D210,Программа!A$1:B$5063,2),IF(F210&gt;0,VLOOKUP(F210,КВР!A$1:B$5001,2),IF(E210&gt;0,VLOOKUP(E210,Направление!A$1:B$4746,2))))))</f>
        <v>Социальная защита семей с детьми, инвалидов, ветеранов, граждан и детей, оказавшихся в трудной жизненной ситуации</v>
      </c>
      <c r="B210" s="91"/>
      <c r="C210" s="84"/>
      <c r="D210" s="444" t="s">
        <v>2865</v>
      </c>
      <c r="E210" s="84"/>
      <c r="F210" s="85"/>
      <c r="G210" s="387">
        <v>27570</v>
      </c>
      <c r="H210" s="50">
        <f t="shared" ref="H210:H211" si="185">H211</f>
        <v>0</v>
      </c>
      <c r="I210" s="50">
        <f t="shared" si="151"/>
        <v>27570</v>
      </c>
      <c r="J210" s="387">
        <v>27570</v>
      </c>
      <c r="K210" s="50">
        <f t="shared" ref="K210:K211" si="186">K211</f>
        <v>0</v>
      </c>
      <c r="L210" s="50">
        <f t="shared" si="152"/>
        <v>27570</v>
      </c>
    </row>
    <row r="211" spans="1:12" ht="62.4">
      <c r="A211" s="49" t="str">
        <f>IF(B211&gt;0,VLOOKUP(B211,КВСР!A241:B1406,2),IF(C211&gt;0,VLOOKUP(C211,КФСР!A241:B1753,2),IF(D211&gt;0,VLOOKUP(D211,Программа!A$1:B$5063,2),IF(F211&gt;0,VLOOKUP(F211,КВР!A$1:B$5001,2),IF(E211&gt;0,VLOOKUP(E211,Направление!A$1:B$4746,2))))))</f>
        <v>Расходы на укрепление института семьи, повышение качества жизни семей с несовершеннолетними детьми за счет средств областного бюджета</v>
      </c>
      <c r="B211" s="91"/>
      <c r="C211" s="84"/>
      <c r="D211" s="444"/>
      <c r="E211" s="84">
        <v>70970</v>
      </c>
      <c r="F211" s="85"/>
      <c r="G211" s="387">
        <v>27570</v>
      </c>
      <c r="H211" s="50">
        <f t="shared" si="185"/>
        <v>0</v>
      </c>
      <c r="I211" s="50">
        <f t="shared" si="151"/>
        <v>27570</v>
      </c>
      <c r="J211" s="387">
        <v>27570</v>
      </c>
      <c r="K211" s="50">
        <f t="shared" si="186"/>
        <v>0</v>
      </c>
      <c r="L211" s="50">
        <f t="shared" si="152"/>
        <v>27570</v>
      </c>
    </row>
    <row r="212" spans="1:12" ht="31.2">
      <c r="A212" s="49" t="str">
        <f>IF(B212&gt;0,VLOOKUP(B212,КВСР!A239:B1404,2),IF(C212&gt;0,VLOOKUP(C212,КФСР!A239:B1751,2),IF(D212&gt;0,VLOOKUP(D212,Программа!A$1:B$5063,2),IF(F212&gt;0,VLOOKUP(F212,КВР!A$1:B$5001,2),IF(E212&gt;0,VLOOKUP(E212,Направление!A$1:B$4746,2))))))</f>
        <v>Закупка товаров, работ и услуг для государственных нужд</v>
      </c>
      <c r="B212" s="91"/>
      <c r="C212" s="84"/>
      <c r="D212" s="444"/>
      <c r="E212" s="84"/>
      <c r="F212" s="85">
        <v>200</v>
      </c>
      <c r="G212" s="387">
        <v>27570</v>
      </c>
      <c r="H212" s="385"/>
      <c r="I212" s="50">
        <f t="shared" si="151"/>
        <v>27570</v>
      </c>
      <c r="J212" s="387">
        <v>27570</v>
      </c>
      <c r="K212" s="385"/>
      <c r="L212" s="50">
        <f t="shared" si="152"/>
        <v>27570</v>
      </c>
    </row>
    <row r="213" spans="1:12" ht="31.2">
      <c r="A213" s="49" t="str">
        <f>IF(B213&gt;0,VLOOKUP(B213,КВСР!A238:B1403,2),IF(C213&gt;0,VLOOKUP(C213,КФСР!A238:B1750,2),IF(D213&gt;0,VLOOKUP(D213,Программа!A$1:B$5063,2),IF(F213&gt;0,VLOOKUP(F213,КВР!A$1:B$5001,2),IF(E213&gt;0,VLOOKUP(E213,Направление!A$1:B$4746,2))))))</f>
        <v>Другие вопросы в области социальной политики</v>
      </c>
      <c r="B213" s="91"/>
      <c r="C213" s="84">
        <v>1006</v>
      </c>
      <c r="D213" s="77"/>
      <c r="E213" s="88"/>
      <c r="F213" s="85"/>
      <c r="G213" s="387">
        <v>12628800</v>
      </c>
      <c r="H213" s="50">
        <f t="shared" ref="H213" si="187">H214</f>
        <v>0</v>
      </c>
      <c r="I213" s="50">
        <f t="shared" si="151"/>
        <v>12628800</v>
      </c>
      <c r="J213" s="387">
        <v>12628800</v>
      </c>
      <c r="K213" s="50">
        <f t="shared" ref="K213" si="188">K214</f>
        <v>0</v>
      </c>
      <c r="L213" s="50">
        <f t="shared" si="152"/>
        <v>12628800</v>
      </c>
    </row>
    <row r="214" spans="1:12" ht="46.8">
      <c r="A214" s="49" t="str">
        <f>IF(B214&gt;0,VLOOKUP(B214,КВСР!A239:B1404,2),IF(C214&gt;0,VLOOKUP(C214,КФСР!A239:B1751,2),IF(D214&gt;0,VLOOKUP(D214,Программа!A$1:B$5063,2),IF(F214&gt;0,VLOOKUP(F214,КВР!A$1:B$5001,2),IF(E214&gt;0,VLOOKUP(E214,Направление!A$1:B$4746,2))))))</f>
        <v>Муниципальная программа "Социальная поддержка населения Тутаевского муниципального района"</v>
      </c>
      <c r="B214" s="91"/>
      <c r="C214" s="84"/>
      <c r="D214" s="77" t="s">
        <v>2809</v>
      </c>
      <c r="E214" s="88"/>
      <c r="F214" s="85"/>
      <c r="G214" s="387">
        <v>12628800</v>
      </c>
      <c r="H214" s="50">
        <f t="shared" ref="H214" si="189">H216</f>
        <v>0</v>
      </c>
      <c r="I214" s="50">
        <f t="shared" si="151"/>
        <v>12628800</v>
      </c>
      <c r="J214" s="387">
        <v>12628800</v>
      </c>
      <c r="K214" s="50">
        <f t="shared" ref="K214" si="190">K216</f>
        <v>0</v>
      </c>
      <c r="L214" s="50">
        <f t="shared" si="152"/>
        <v>12628800</v>
      </c>
    </row>
    <row r="215" spans="1:12" ht="46.8">
      <c r="A215" s="49" t="str">
        <f>IF(B215&gt;0,VLOOKUP(B215,КВСР!A240:B1405,2),IF(C215&gt;0,VLOOKUP(C215,КФСР!A240:B1752,2),IF(D215&gt;0,VLOOKUP(D215,Программа!A$1:B$5063,2),IF(F215&gt;0,VLOOKUP(F215,КВР!A$1:B$5001,2),IF(E215&gt;0,VLOOKUP(E215,Направление!A$1:B$4746,2))))))</f>
        <v xml:space="preserve">Ведомственная целевая программа «Социальная поддержка населения Тутаевского муниципального района» </v>
      </c>
      <c r="B215" s="91"/>
      <c r="C215" s="84"/>
      <c r="D215" s="77" t="s">
        <v>2811</v>
      </c>
      <c r="E215" s="88"/>
      <c r="F215" s="85"/>
      <c r="G215" s="387">
        <v>12628800</v>
      </c>
      <c r="H215" s="50">
        <f t="shared" ref="H215" si="191">H216</f>
        <v>0</v>
      </c>
      <c r="I215" s="50">
        <f t="shared" si="151"/>
        <v>12628800</v>
      </c>
      <c r="J215" s="387">
        <v>12628800</v>
      </c>
      <c r="K215" s="50">
        <f t="shared" ref="K215" si="192">K216</f>
        <v>0</v>
      </c>
      <c r="L215" s="50">
        <f t="shared" si="152"/>
        <v>12628800</v>
      </c>
    </row>
    <row r="216" spans="1:12" ht="46.8">
      <c r="A216" s="49" t="str">
        <f>IF(B216&gt;0,VLOOKUP(B216,КВСР!A241:B1406,2),IF(C216&gt;0,VLOOKUP(C216,КФСР!A241:B1753,2),IF(D216&gt;0,VLOOKUP(D216,Программа!A$1:B$5063,2),IF(F216&gt;0,VLOOKUP(F216,КВР!A$1:B$5001,2),IF(E216&gt;0,VLOOKUP(E216,Направление!A$1:B$4746,2))))))</f>
        <v>Исполнение публичных обязательств по предоставлению выплат, пособий и компенсаций</v>
      </c>
      <c r="B216" s="91"/>
      <c r="C216" s="84"/>
      <c r="D216" s="77" t="s">
        <v>2862</v>
      </c>
      <c r="E216" s="88"/>
      <c r="F216" s="85"/>
      <c r="G216" s="387">
        <v>12628800</v>
      </c>
      <c r="H216" s="50">
        <f t="shared" ref="H216" si="193">H217+H219</f>
        <v>0</v>
      </c>
      <c r="I216" s="50">
        <f t="shared" si="151"/>
        <v>12628800</v>
      </c>
      <c r="J216" s="387">
        <v>12628800</v>
      </c>
      <c r="K216" s="50">
        <f t="shared" ref="K216" si="194">K217+K219</f>
        <v>0</v>
      </c>
      <c r="L216" s="50">
        <f t="shared" si="152"/>
        <v>12628800</v>
      </c>
    </row>
    <row r="217" spans="1:12" ht="15.6">
      <c r="A217" s="49" t="str">
        <f>IF(B217&gt;0,VLOOKUP(B217,КВСР!A242:B1407,2),IF(C217&gt;0,VLOOKUP(C217,КФСР!A242:B1754,2),IF(D217&gt;0,VLOOKUP(D217,Программа!A$1:B$5063,2),IF(F217&gt;0,VLOOKUP(F217,КВР!A$1:B$5001,2),IF(E217&gt;0,VLOOKUP(E217,Направление!A$1:B$4746,2))))))</f>
        <v>Содержание центрального аппарата</v>
      </c>
      <c r="B217" s="91"/>
      <c r="C217" s="84"/>
      <c r="D217" s="77"/>
      <c r="E217" s="88">
        <v>12010</v>
      </c>
      <c r="F217" s="85"/>
      <c r="G217" s="387">
        <v>347700</v>
      </c>
      <c r="H217" s="50">
        <f t="shared" ref="H217" si="195">H218</f>
        <v>0</v>
      </c>
      <c r="I217" s="50">
        <f t="shared" si="151"/>
        <v>347700</v>
      </c>
      <c r="J217" s="387">
        <v>347700</v>
      </c>
      <c r="K217" s="50">
        <f t="shared" ref="K217" si="196">K218</f>
        <v>0</v>
      </c>
      <c r="L217" s="50">
        <f t="shared" si="152"/>
        <v>347700</v>
      </c>
    </row>
    <row r="218" spans="1:12" ht="93.6">
      <c r="A218" s="49" t="str">
        <f>IF(B218&gt;0,VLOOKUP(B218,КВСР!A242:B1407,2),IF(C218&gt;0,VLOOKUP(C218,КФСР!A242:B1754,2),IF(D218&gt;0,VLOOKUP(D218,Программа!A$1:B$5063,2),IF(F218&gt;0,VLOOKUP(F218,КВР!A$1:B$5001,2),IF(E218&gt;0,VLOOKUP(E218,Направление!A$1:B$4746,2))))))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218" s="91"/>
      <c r="C218" s="84"/>
      <c r="D218" s="77"/>
      <c r="E218" s="88"/>
      <c r="F218" s="85">
        <v>100</v>
      </c>
      <c r="G218" s="387">
        <v>347700</v>
      </c>
      <c r="H218" s="385"/>
      <c r="I218" s="50">
        <f t="shared" si="151"/>
        <v>347700</v>
      </c>
      <c r="J218" s="387">
        <v>347700</v>
      </c>
      <c r="K218" s="385"/>
      <c r="L218" s="50">
        <f t="shared" si="152"/>
        <v>347700</v>
      </c>
    </row>
    <row r="219" spans="1:12" ht="62.4">
      <c r="A219" s="49" t="str">
        <f>IF(B219&gt;0,VLOOKUP(B219,КВСР!A244:B1409,2),IF(C219&gt;0,VLOOKUP(C219,КФСР!A244:B1756,2),IF(D219&gt;0,VLOOKUP(D219,Программа!A$1:B$5063,2),IF(F219&gt;0,VLOOKUP(F219,КВР!A$1:B$5001,2),IF(E219&gt;0,VLOOKUP(E219,Направление!A$1:B$4746,2))))))</f>
        <v>Расходы на обеспечение деятельности органов местного самоуправления в сфере социальной защиты населения за счет средств областного бюджета</v>
      </c>
      <c r="B219" s="91"/>
      <c r="C219" s="84"/>
      <c r="D219" s="444"/>
      <c r="E219" s="84">
        <v>70870</v>
      </c>
      <c r="F219" s="85"/>
      <c r="G219" s="387">
        <v>12281100</v>
      </c>
      <c r="H219" s="50">
        <f t="shared" ref="H219" si="197">H220+H221+H222</f>
        <v>0</v>
      </c>
      <c r="I219" s="50">
        <f t="shared" si="151"/>
        <v>12281100</v>
      </c>
      <c r="J219" s="387">
        <v>12281100</v>
      </c>
      <c r="K219" s="50">
        <f t="shared" ref="K219" si="198">K220+K221+K222</f>
        <v>0</v>
      </c>
      <c r="L219" s="50">
        <f t="shared" si="152"/>
        <v>12281100</v>
      </c>
    </row>
    <row r="220" spans="1:12" ht="93.6">
      <c r="A220" s="49" t="str">
        <f>IF(B220&gt;0,VLOOKUP(B220,КВСР!A245:B1410,2),IF(C220&gt;0,VLOOKUP(C220,КФСР!A245:B1757,2),IF(D220&gt;0,VLOOKUP(D220,Программа!A$1:B$5063,2),IF(F220&gt;0,VLOOKUP(F220,КВР!A$1:B$5001,2),IF(E220&gt;0,VLOOKUP(E220,Направление!A$1:B$4746,2))))))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220" s="91"/>
      <c r="C220" s="84"/>
      <c r="D220" s="444"/>
      <c r="E220" s="84"/>
      <c r="F220" s="85">
        <v>100</v>
      </c>
      <c r="G220" s="387">
        <v>10545000</v>
      </c>
      <c r="H220" s="385"/>
      <c r="I220" s="50">
        <f t="shared" si="151"/>
        <v>10545000</v>
      </c>
      <c r="J220" s="387">
        <v>10545000</v>
      </c>
      <c r="K220" s="385"/>
      <c r="L220" s="50">
        <f t="shared" si="152"/>
        <v>10545000</v>
      </c>
    </row>
    <row r="221" spans="1:12" ht="31.2">
      <c r="A221" s="49" t="str">
        <f>IF(B221&gt;0,VLOOKUP(B221,КВСР!A246:B1411,2),IF(C221&gt;0,VLOOKUP(C221,КФСР!A246:B1758,2),IF(D221&gt;0,VLOOKUP(D221,Программа!A$1:B$5063,2),IF(F221&gt;0,VLOOKUP(F221,КВР!A$1:B$5001,2),IF(E221&gt;0,VLOOKUP(E221,Направление!A$1:B$4746,2))))))</f>
        <v>Закупка товаров, работ и услуг для государственных нужд</v>
      </c>
      <c r="B221" s="91"/>
      <c r="C221" s="84"/>
      <c r="D221" s="444"/>
      <c r="E221" s="84"/>
      <c r="F221" s="85">
        <v>200</v>
      </c>
      <c r="G221" s="387">
        <v>1722700</v>
      </c>
      <c r="H221" s="385"/>
      <c r="I221" s="50">
        <f t="shared" si="151"/>
        <v>1722700</v>
      </c>
      <c r="J221" s="387">
        <v>1722700</v>
      </c>
      <c r="K221" s="385"/>
      <c r="L221" s="50">
        <f t="shared" si="152"/>
        <v>1722700</v>
      </c>
    </row>
    <row r="222" spans="1:12" ht="15.6">
      <c r="A222" s="49" t="str">
        <f>IF(B222&gt;0,VLOOKUP(B222,КВСР!A247:B1412,2),IF(C222&gt;0,VLOOKUP(C222,КФСР!A247:B1759,2),IF(D222&gt;0,VLOOKUP(D222,Программа!A$1:B$5063,2),IF(F222&gt;0,VLOOKUP(F222,КВР!A$1:B$5001,2),IF(E222&gt;0,VLOOKUP(E222,Направление!A$1:B$4746,2))))))</f>
        <v>Иные бюджетные ассигнования</v>
      </c>
      <c r="B222" s="91"/>
      <c r="C222" s="84"/>
      <c r="D222" s="444"/>
      <c r="E222" s="84"/>
      <c r="F222" s="85">
        <v>800</v>
      </c>
      <c r="G222" s="387">
        <v>13400</v>
      </c>
      <c r="H222" s="385"/>
      <c r="I222" s="50">
        <f t="shared" si="151"/>
        <v>13400</v>
      </c>
      <c r="J222" s="387">
        <v>13400</v>
      </c>
      <c r="K222" s="385"/>
      <c r="L222" s="50">
        <f t="shared" si="152"/>
        <v>13400</v>
      </c>
    </row>
    <row r="223" spans="1:12" s="227" customFormat="1" ht="31.2">
      <c r="A223" s="300" t="str">
        <f>IF(B223&gt;0,VLOOKUP(B223,КВСР!A247:B1412,2),IF(C223&gt;0,VLOOKUP(C223,КФСР!A247:B1759,2),IF(D223&gt;0,VLOOKUP(D223,Программа!A$1:B$5063,2),IF(F223&gt;0,VLOOKUP(F223,КВР!A$1:B$5001,2),IF(E223&gt;0,VLOOKUP(E223,Направление!A$1:B$4746,2))))))</f>
        <v>Департамент финансов администрации ТМР</v>
      </c>
      <c r="B223" s="87">
        <v>955</v>
      </c>
      <c r="C223" s="301"/>
      <c r="D223" s="567"/>
      <c r="E223" s="301"/>
      <c r="F223" s="302"/>
      <c r="G223" s="595">
        <v>27688740</v>
      </c>
      <c r="H223" s="86">
        <f t="shared" ref="H223" si="199">H224+H233+H238</f>
        <v>0</v>
      </c>
      <c r="I223" s="86">
        <f t="shared" si="151"/>
        <v>27688740</v>
      </c>
      <c r="J223" s="595">
        <v>24486784</v>
      </c>
      <c r="K223" s="86">
        <f t="shared" ref="K223" si="200">K224+K233+K238</f>
        <v>0</v>
      </c>
      <c r="L223" s="86">
        <f t="shared" si="152"/>
        <v>24486784</v>
      </c>
    </row>
    <row r="224" spans="1:12" ht="62.4">
      <c r="A224" s="49" t="str">
        <f>IF(B224&gt;0,VLOOKUP(B224,КВСР!A248:B1413,2),IF(C224&gt;0,VLOOKUP(C224,КФСР!A248:B1760,2),IF(D224&gt;0,VLOOKUP(D224,Программа!A$1:B$5063,2),IF(F224&gt;0,VLOOKUP(F224,КВР!A$1:B$5001,2),IF(E224&gt;0,VLOOKUP(E224,Направление!A$1:B$4746,2))))))</f>
        <v>Обеспечение деятельности финансовых, налоговых и таможенных органов и органов финансового (финансово-бюджетного) надзора</v>
      </c>
      <c r="B224" s="91"/>
      <c r="C224" s="84">
        <v>106</v>
      </c>
      <c r="D224" s="444"/>
      <c r="E224" s="84"/>
      <c r="F224" s="85"/>
      <c r="G224" s="387">
        <v>14822740</v>
      </c>
      <c r="H224" s="50">
        <f t="shared" ref="H224" si="201">H227</f>
        <v>0</v>
      </c>
      <c r="I224" s="50">
        <f t="shared" si="151"/>
        <v>14822740</v>
      </c>
      <c r="J224" s="387">
        <v>12406784</v>
      </c>
      <c r="K224" s="50">
        <f t="shared" ref="K224" si="202">K227</f>
        <v>0</v>
      </c>
      <c r="L224" s="50">
        <f t="shared" si="152"/>
        <v>12406784</v>
      </c>
    </row>
    <row r="225" spans="1:12" ht="46.8">
      <c r="A225" s="49" t="str">
        <f>IF(B225&gt;0,VLOOKUP(B225,КВСР!A249:B1414,2),IF(C225&gt;0,VLOOKUP(C225,КФСР!A249:B1761,2),IF(D225&gt;0,VLOOKUP(D225,Программа!A$1:B$5063,2),IF(F225&gt;0,VLOOKUP(F225,КВР!A$1:B$5001,2),IF(E225&gt;0,VLOOKUP(E225,Направление!A$1:B$4746,2))))))</f>
        <v>Муниципальная программа "Повышение эффективности управления муниципальными финансами"</v>
      </c>
      <c r="B225" s="91"/>
      <c r="C225" s="84"/>
      <c r="D225" s="444" t="s">
        <v>2839</v>
      </c>
      <c r="E225" s="84"/>
      <c r="F225" s="85"/>
      <c r="G225" s="387">
        <v>14822740</v>
      </c>
      <c r="H225" s="50">
        <f t="shared" ref="H225" si="203">H227</f>
        <v>0</v>
      </c>
      <c r="I225" s="50">
        <f t="shared" si="151"/>
        <v>14822740</v>
      </c>
      <c r="J225" s="387">
        <v>12406784</v>
      </c>
      <c r="K225" s="50">
        <f t="shared" ref="K225" si="204">K227</f>
        <v>0</v>
      </c>
      <c r="L225" s="50">
        <f t="shared" si="152"/>
        <v>12406784</v>
      </c>
    </row>
    <row r="226" spans="1:12" ht="46.8">
      <c r="A226" s="49" t="str">
        <f>IF(B226&gt;0,VLOOKUP(B226,КВСР!A250:B1415,2),IF(C226&gt;0,VLOOKUP(C226,КФСР!A250:B1762,2),IF(D226&gt;0,VLOOKUP(D226,Программа!A$1:B$5063,2),IF(F226&gt;0,VLOOKUP(F226,КВР!A$1:B$5001,2),IF(E226&gt;0,VLOOKUP(E226,Направление!A$1:B$4746,2))))))</f>
        <v>Ведомственная целевая программа департамента финансов администрации Тутаевского муниципального района</v>
      </c>
      <c r="B226" s="91"/>
      <c r="C226" s="84"/>
      <c r="D226" s="444" t="s">
        <v>2844</v>
      </c>
      <c r="E226" s="84"/>
      <c r="F226" s="85"/>
      <c r="G226" s="387">
        <v>14822740</v>
      </c>
      <c r="H226" s="50">
        <f t="shared" ref="H226" si="205">H227</f>
        <v>0</v>
      </c>
      <c r="I226" s="50">
        <f t="shared" si="151"/>
        <v>14822740</v>
      </c>
      <c r="J226" s="387">
        <v>12406784</v>
      </c>
      <c r="K226" s="50">
        <f t="shared" ref="K226" si="206">K227</f>
        <v>0</v>
      </c>
      <c r="L226" s="50">
        <f t="shared" si="152"/>
        <v>12406784</v>
      </c>
    </row>
    <row r="227" spans="1:12" ht="31.2">
      <c r="A227" s="49" t="str">
        <f>IF(B227&gt;0,VLOOKUP(B227,КВСР!A251:B1416,2),IF(C227&gt;0,VLOOKUP(C227,КФСР!A251:B1763,2),IF(D227&gt;0,VLOOKUP(D227,Программа!A$1:B$5063,2),IF(F227&gt;0,VLOOKUP(F227,КВР!A$1:B$5001,2),IF(E227&gt;0,VLOOKUP(E227,Направление!A$1:B$4746,2))))))</f>
        <v>Обеспечение деятельности финансового органа</v>
      </c>
      <c r="B227" s="91"/>
      <c r="C227" s="84"/>
      <c r="D227" s="444" t="s">
        <v>2873</v>
      </c>
      <c r="E227" s="84"/>
      <c r="F227" s="85"/>
      <c r="G227" s="387">
        <v>14822740</v>
      </c>
      <c r="H227" s="50">
        <f t="shared" ref="H227" si="207">H228+H230</f>
        <v>0</v>
      </c>
      <c r="I227" s="50">
        <f t="shared" si="151"/>
        <v>14822740</v>
      </c>
      <c r="J227" s="387">
        <v>12406784</v>
      </c>
      <c r="K227" s="50">
        <f t="shared" ref="K227" si="208">K228+K230</f>
        <v>0</v>
      </c>
      <c r="L227" s="50">
        <f t="shared" si="152"/>
        <v>12406784</v>
      </c>
    </row>
    <row r="228" spans="1:12" ht="15.6">
      <c r="A228" s="49" t="str">
        <f>IF(B228&gt;0,VLOOKUP(B228,КВСР!A252:B1417,2),IF(C228&gt;0,VLOOKUP(C228,КФСР!A252:B1764,2),IF(D228&gt;0,VLOOKUP(D228,Программа!A$1:B$5063,2),IF(F228&gt;0,VLOOKUP(F228,КВР!A$1:B$5001,2),IF(E228&gt;0,VLOOKUP(E228,Направление!A$1:B$4746,2))))))</f>
        <v>Содержание центрального аппарата</v>
      </c>
      <c r="B228" s="91"/>
      <c r="C228" s="84"/>
      <c r="D228" s="77"/>
      <c r="E228" s="88">
        <v>12010</v>
      </c>
      <c r="F228" s="85"/>
      <c r="G228" s="387">
        <v>12406784</v>
      </c>
      <c r="H228" s="50">
        <f t="shared" ref="H228" si="209">H229</f>
        <v>0</v>
      </c>
      <c r="I228" s="50">
        <f t="shared" si="151"/>
        <v>12406784</v>
      </c>
      <c r="J228" s="387">
        <v>12406784</v>
      </c>
      <c r="K228" s="50">
        <f t="shared" ref="K228" si="210">K229</f>
        <v>0</v>
      </c>
      <c r="L228" s="50">
        <f t="shared" si="152"/>
        <v>12406784</v>
      </c>
    </row>
    <row r="229" spans="1:12" ht="93.6">
      <c r="A229" s="49" t="str">
        <f>IF(B229&gt;0,VLOOKUP(B229,КВСР!A251:B1416,2),IF(C229&gt;0,VLOOKUP(C229,КФСР!A251:B1763,2),IF(D229&gt;0,VLOOKUP(D229,Программа!A$1:B$5063,2),IF(F229&gt;0,VLOOKUP(F229,КВР!A$1:B$5001,2),IF(E229&gt;0,VLOOKUP(E229,Направление!A$1:B$4746,2))))))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229" s="91"/>
      <c r="C229" s="84"/>
      <c r="D229" s="444"/>
      <c r="E229" s="84"/>
      <c r="F229" s="85">
        <v>100</v>
      </c>
      <c r="G229" s="387">
        <v>12406784</v>
      </c>
      <c r="H229" s="385"/>
      <c r="I229" s="50">
        <f t="shared" si="151"/>
        <v>12406784</v>
      </c>
      <c r="J229" s="387">
        <v>12406784</v>
      </c>
      <c r="K229" s="385"/>
      <c r="L229" s="50">
        <f t="shared" si="152"/>
        <v>12406784</v>
      </c>
    </row>
    <row r="230" spans="1:12" ht="46.8">
      <c r="A230" s="49" t="str">
        <f>IF(B230&gt;0,VLOOKUP(B230,КВСР!A252:B1417,2),IF(C230&gt;0,VLOOKUP(C230,КФСР!A252:B1764,2),IF(D230&gt;0,VLOOKUP(D230,Программа!A$1:B$5063,2),IF(F230&gt;0,VLOOKUP(F230,КВР!A$1:B$5001,2),IF(E230&gt;0,VLOOKUP(E230,Направление!A$1:B$4746,2))))))</f>
        <v>Содержание органов местного самоуправления за счет средств поселений</v>
      </c>
      <c r="B230" s="91"/>
      <c r="C230" s="84"/>
      <c r="D230" s="444"/>
      <c r="E230" s="84">
        <v>29016</v>
      </c>
      <c r="F230" s="85"/>
      <c r="G230" s="387">
        <v>2415956</v>
      </c>
      <c r="H230" s="50">
        <f t="shared" ref="H230" si="211">H231+H232</f>
        <v>0</v>
      </c>
      <c r="I230" s="50">
        <f t="shared" si="151"/>
        <v>2415956</v>
      </c>
      <c r="J230" s="387">
        <v>0</v>
      </c>
      <c r="K230" s="50">
        <f t="shared" ref="K230" si="212">K231+K232</f>
        <v>0</v>
      </c>
      <c r="L230" s="50">
        <f t="shared" si="152"/>
        <v>0</v>
      </c>
    </row>
    <row r="231" spans="1:12" ht="93.6">
      <c r="A231" s="49" t="str">
        <f>IF(B231&gt;0,VLOOKUP(B231,КВСР!A253:B1418,2),IF(C231&gt;0,VLOOKUP(C231,КФСР!A253:B1765,2),IF(D231&gt;0,VLOOKUP(D231,Программа!A$1:B$5063,2),IF(F231&gt;0,VLOOKUP(F231,КВР!A$1:B$5001,2),IF(E231&gt;0,VLOOKUP(E231,Направление!A$1:B$4746,2))))))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231" s="91"/>
      <c r="C231" s="84"/>
      <c r="D231" s="444"/>
      <c r="E231" s="84"/>
      <c r="F231" s="85">
        <v>100</v>
      </c>
      <c r="G231" s="387">
        <v>2196323</v>
      </c>
      <c r="H231" s="385"/>
      <c r="I231" s="50">
        <f t="shared" si="151"/>
        <v>2196323</v>
      </c>
      <c r="J231" s="387">
        <v>0</v>
      </c>
      <c r="K231" s="385"/>
      <c r="L231" s="50">
        <f t="shared" si="152"/>
        <v>0</v>
      </c>
    </row>
    <row r="232" spans="1:12" ht="31.2">
      <c r="A232" s="49" t="str">
        <f>IF(B232&gt;0,VLOOKUP(B232,КВСР!A254:B1419,2),IF(C232&gt;0,VLOOKUP(C232,КФСР!A254:B1766,2),IF(D232&gt;0,VLOOKUP(D232,Программа!A$1:B$5063,2),IF(F232&gt;0,VLOOKUP(F232,КВР!A$1:B$5001,2),IF(E232&gt;0,VLOOKUP(E232,Направление!A$1:B$4746,2))))))</f>
        <v>Закупка товаров, работ и услуг для государственных нужд</v>
      </c>
      <c r="B232" s="91"/>
      <c r="C232" s="84"/>
      <c r="D232" s="444"/>
      <c r="E232" s="84"/>
      <c r="F232" s="85">
        <v>200</v>
      </c>
      <c r="G232" s="387">
        <v>219633</v>
      </c>
      <c r="H232" s="385"/>
      <c r="I232" s="50">
        <f t="shared" si="151"/>
        <v>219633</v>
      </c>
      <c r="J232" s="387">
        <v>0</v>
      </c>
      <c r="K232" s="385"/>
      <c r="L232" s="50">
        <f t="shared" si="152"/>
        <v>0</v>
      </c>
    </row>
    <row r="233" spans="1:12" ht="46.8">
      <c r="A233" s="49" t="str">
        <f>IF(B233&gt;0,VLOOKUP(B233,КВСР!A262:B1427,2),IF(C233&gt;0,VLOOKUP(C233,КФСР!A262:B1774,2),IF(D233&gt;0,VLOOKUP(D233,Программа!A$1:B$5063,2),IF(F233&gt;0,VLOOKUP(F233,КВР!A$1:B$5001,2),IF(E233&gt;0,VLOOKUP(E233,Направление!A$1:B$4746,2))))))</f>
        <v>Обслуживание внутреннего государственного и муниципального долга</v>
      </c>
      <c r="B233" s="91"/>
      <c r="C233" s="84">
        <v>1301</v>
      </c>
      <c r="D233" s="444"/>
      <c r="E233" s="84"/>
      <c r="F233" s="85"/>
      <c r="G233" s="387">
        <v>2000000</v>
      </c>
      <c r="H233" s="50">
        <f t="shared" ref="H233" si="213">H235</f>
        <v>0</v>
      </c>
      <c r="I233" s="50">
        <f t="shared" si="151"/>
        <v>2000000</v>
      </c>
      <c r="J233" s="387">
        <v>2000000</v>
      </c>
      <c r="K233" s="50">
        <f t="shared" ref="K233" si="214">K235</f>
        <v>0</v>
      </c>
      <c r="L233" s="50">
        <f t="shared" si="152"/>
        <v>2000000</v>
      </c>
    </row>
    <row r="234" spans="1:12" ht="46.8">
      <c r="A234" s="49" t="str">
        <f>IF(B234&gt;0,VLOOKUP(B234,КВСР!A263:B1428,2),IF(C234&gt;0,VLOOKUP(C234,КФСР!A263:B1775,2),IF(D234&gt;0,VLOOKUP(D234,Программа!A$1:B$5063,2),IF(F234&gt;0,VLOOKUP(F234,КВР!A$1:B$5001,2),IF(E234&gt;0,VLOOKUP(E234,Направление!A$1:B$4746,2))))))</f>
        <v>Муниципальная программа "Повышение эффективности управления муниципальными финансами"</v>
      </c>
      <c r="B234" s="91"/>
      <c r="C234" s="84"/>
      <c r="D234" s="444" t="s">
        <v>2839</v>
      </c>
      <c r="E234" s="84"/>
      <c r="F234" s="85"/>
      <c r="G234" s="387">
        <v>2000000</v>
      </c>
      <c r="H234" s="50">
        <f t="shared" ref="H234" si="215">H235</f>
        <v>0</v>
      </c>
      <c r="I234" s="50">
        <f t="shared" si="151"/>
        <v>2000000</v>
      </c>
      <c r="J234" s="387">
        <v>2000000</v>
      </c>
      <c r="K234" s="50">
        <f t="shared" ref="K234" si="216">K235</f>
        <v>0</v>
      </c>
      <c r="L234" s="50">
        <f t="shared" si="152"/>
        <v>2000000</v>
      </c>
    </row>
    <row r="235" spans="1:12" ht="31.2">
      <c r="A235" s="49" t="str">
        <f>IF(B235&gt;0,VLOOKUP(B235,КВСР!A263:B1428,2),IF(C235&gt;0,VLOOKUP(C235,КФСР!A263:B1775,2),IF(D235&gt;0,VLOOKUP(D235,Программа!A$1:B$5063,2),IF(F235&gt;0,VLOOKUP(F235,КВР!A$1:B$5001,2),IF(E235&gt;0,VLOOKUP(E235,Направление!A$1:B$4746,2))))))</f>
        <v xml:space="preserve">Повышение эффективности управления муниципальным долгом </v>
      </c>
      <c r="B235" s="91"/>
      <c r="C235" s="84"/>
      <c r="D235" s="444" t="s">
        <v>2842</v>
      </c>
      <c r="E235" s="84"/>
      <c r="F235" s="85"/>
      <c r="G235" s="387">
        <v>2000000</v>
      </c>
      <c r="H235" s="50">
        <f t="shared" ref="H235:H236" si="217">H236</f>
        <v>0</v>
      </c>
      <c r="I235" s="50">
        <f t="shared" si="151"/>
        <v>2000000</v>
      </c>
      <c r="J235" s="387">
        <v>2000000</v>
      </c>
      <c r="K235" s="50">
        <f t="shared" ref="K235:K236" si="218">K236</f>
        <v>0</v>
      </c>
      <c r="L235" s="50">
        <f t="shared" si="152"/>
        <v>2000000</v>
      </c>
    </row>
    <row r="236" spans="1:12" ht="31.2">
      <c r="A236" s="49" t="str">
        <f>IF(B236&gt;0,VLOOKUP(B236,КВСР!A264:B1429,2),IF(C236&gt;0,VLOOKUP(C236,КФСР!A264:B1776,2),IF(D236&gt;0,VLOOKUP(D236,Программа!A$1:B$5063,2),IF(F236&gt;0,VLOOKUP(F236,КВР!A$1:B$5001,2),IF(E236&gt;0,VLOOKUP(E236,Направление!A$1:B$4746,2))))))</f>
        <v>Процентные платежи по обслуживанию муниципального долга</v>
      </c>
      <c r="B236" s="91"/>
      <c r="C236" s="84"/>
      <c r="D236" s="444"/>
      <c r="E236" s="84">
        <v>12800</v>
      </c>
      <c r="F236" s="85"/>
      <c r="G236" s="387">
        <v>2000000</v>
      </c>
      <c r="H236" s="50">
        <f t="shared" si="217"/>
        <v>0</v>
      </c>
      <c r="I236" s="50">
        <f t="shared" ref="I236:I319" si="219">SUM(G236:H236)</f>
        <v>2000000</v>
      </c>
      <c r="J236" s="387">
        <v>2000000</v>
      </c>
      <c r="K236" s="50">
        <f t="shared" si="218"/>
        <v>0</v>
      </c>
      <c r="L236" s="50">
        <f t="shared" ref="L236:L319" si="220">SUM(J236:K236)</f>
        <v>2000000</v>
      </c>
    </row>
    <row r="237" spans="1:12" ht="31.2">
      <c r="A237" s="49" t="str">
        <f>IF(B237&gt;0,VLOOKUP(B237,КВСР!A265:B1430,2),IF(C237&gt;0,VLOOKUP(C237,КФСР!A265:B1777,2),IF(D237&gt;0,VLOOKUP(D237,Программа!A$1:B$5063,2),IF(F237&gt;0,VLOOKUP(F237,КВР!A$1:B$5001,2),IF(E237&gt;0,VLOOKUP(E237,Направление!A$1:B$4746,2))))))</f>
        <v>Обслуживание государственного долга Российской Федерации</v>
      </c>
      <c r="B237" s="91"/>
      <c r="C237" s="84"/>
      <c r="D237" s="444"/>
      <c r="E237" s="84"/>
      <c r="F237" s="85">
        <v>700</v>
      </c>
      <c r="G237" s="387">
        <v>2000000</v>
      </c>
      <c r="H237" s="385"/>
      <c r="I237" s="50">
        <f t="shared" si="219"/>
        <v>2000000</v>
      </c>
      <c r="J237" s="387">
        <v>2000000</v>
      </c>
      <c r="K237" s="385"/>
      <c r="L237" s="50">
        <f t="shared" si="220"/>
        <v>2000000</v>
      </c>
    </row>
    <row r="238" spans="1:12" ht="62.4">
      <c r="A238" s="49" t="str">
        <f>IF(B238&gt;0,VLOOKUP(B238,КВСР!A265:B1430,2),IF(C238&gt;0,VLOOKUP(C238,КФСР!A265:B1777,2),IF(D238&gt;0,VLOOKUP(D238,Программа!A$1:B$5063,2),IF(F238&gt;0,VLOOKUP(F238,КВР!A$1:B$5001,2),IF(E238&gt;0,VLOOKUP(E238,Направление!A$1:B$4746,2))))))</f>
        <v>Дотации на выравнивание бюджетной обеспеченности субъектов Российской Федерации и муниципальных образований</v>
      </c>
      <c r="B238" s="91"/>
      <c r="C238" s="84">
        <v>1401</v>
      </c>
      <c r="D238" s="444"/>
      <c r="E238" s="84"/>
      <c r="F238" s="85"/>
      <c r="G238" s="387">
        <v>10866000</v>
      </c>
      <c r="H238" s="50">
        <f t="shared" ref="H238:H239" si="221">H239</f>
        <v>0</v>
      </c>
      <c r="I238" s="50">
        <f t="shared" si="219"/>
        <v>10866000</v>
      </c>
      <c r="J238" s="387">
        <v>10080000</v>
      </c>
      <c r="K238" s="50">
        <f t="shared" ref="K238:K239" si="222">K239</f>
        <v>0</v>
      </c>
      <c r="L238" s="50">
        <f t="shared" si="220"/>
        <v>10080000</v>
      </c>
    </row>
    <row r="239" spans="1:12" ht="46.8">
      <c r="A239" s="49" t="str">
        <f>IF(B239&gt;0,VLOOKUP(B239,КВСР!A270:B1435,2),IF(C239&gt;0,VLOOKUP(C239,КФСР!A270:B1782,2),IF(D239&gt;0,VLOOKUP(D239,Программа!A$1:B$5063,2),IF(F239&gt;0,VLOOKUP(F239,КВР!A$1:B$5001,2),IF(E239&gt;0,VLOOKUP(E239,Направление!A$1:B$4746,2))))))</f>
        <v>Муниципальная программа "Повышение эффективности управления муниципальными финансами"</v>
      </c>
      <c r="B239" s="91"/>
      <c r="C239" s="84"/>
      <c r="D239" s="444" t="s">
        <v>2839</v>
      </c>
      <c r="E239" s="84"/>
      <c r="F239" s="85"/>
      <c r="G239" s="387">
        <v>10866000</v>
      </c>
      <c r="H239" s="50">
        <f t="shared" si="221"/>
        <v>0</v>
      </c>
      <c r="I239" s="50">
        <f t="shared" si="219"/>
        <v>10866000</v>
      </c>
      <c r="J239" s="387">
        <v>10080000</v>
      </c>
      <c r="K239" s="50">
        <f t="shared" si="222"/>
        <v>0</v>
      </c>
      <c r="L239" s="50">
        <f t="shared" si="220"/>
        <v>10080000</v>
      </c>
    </row>
    <row r="240" spans="1:12" ht="31.2">
      <c r="A240" s="49" t="str">
        <f>IF(B240&gt;0,VLOOKUP(B240,КВСР!A271:B1436,2),IF(C240&gt;0,VLOOKUP(C240,КФСР!A271:B1783,2),IF(D240&gt;0,VLOOKUP(D240,Программа!A$1:B$5063,2),IF(F240&gt;0,VLOOKUP(F240,КВР!A$1:B$5001,2),IF(E240&gt;0,VLOOKUP(E240,Направление!A$1:B$4746,2))))))</f>
        <v>Совершенствование межбюджетных отношений</v>
      </c>
      <c r="B240" s="91"/>
      <c r="C240" s="84"/>
      <c r="D240" s="444" t="s">
        <v>2840</v>
      </c>
      <c r="E240" s="84"/>
      <c r="F240" s="85"/>
      <c r="G240" s="387">
        <v>10866000</v>
      </c>
      <c r="H240" s="50">
        <f t="shared" ref="H240" si="223">H241+H243</f>
        <v>0</v>
      </c>
      <c r="I240" s="50">
        <f t="shared" si="219"/>
        <v>10866000</v>
      </c>
      <c r="J240" s="387">
        <v>10080000</v>
      </c>
      <c r="K240" s="50">
        <f t="shared" ref="K240" si="224">K241+K243</f>
        <v>0</v>
      </c>
      <c r="L240" s="50">
        <f t="shared" si="220"/>
        <v>10080000</v>
      </c>
    </row>
    <row r="241" spans="1:12" ht="46.8">
      <c r="A241" s="49" t="str">
        <f>IF(B241&gt;0,VLOOKUP(B241,КВСР!A271:B1436,2),IF(C241&gt;0,VLOOKUP(C241,КФСР!A271:B1783,2),IF(D241&gt;0,VLOOKUP(D241,Программа!A$1:B$5063,2),IF(F241&gt;0,VLOOKUP(F241,КВР!A$1:B$5001,2),IF(E241&gt;0,VLOOKUP(E241,Направление!A$1:B$4746,2))))))</f>
        <v>Дотации поселениям района  на выравнивание бюджетной обеспеченности</v>
      </c>
      <c r="B241" s="91"/>
      <c r="C241" s="84"/>
      <c r="D241" s="444"/>
      <c r="E241" s="84">
        <v>10800</v>
      </c>
      <c r="F241" s="85"/>
      <c r="G241" s="387">
        <v>70000</v>
      </c>
      <c r="H241" s="50">
        <f t="shared" ref="H241" si="225">H242</f>
        <v>0</v>
      </c>
      <c r="I241" s="50">
        <f t="shared" si="219"/>
        <v>70000</v>
      </c>
      <c r="J241" s="387">
        <v>50000</v>
      </c>
      <c r="K241" s="50">
        <f t="shared" ref="K241" si="226">K242</f>
        <v>0</v>
      </c>
      <c r="L241" s="50">
        <f t="shared" si="220"/>
        <v>50000</v>
      </c>
    </row>
    <row r="242" spans="1:12" ht="15.6">
      <c r="A242" s="49" t="str">
        <f>IF(B242&gt;0,VLOOKUP(B242,КВСР!A272:B1437,2),IF(C242&gt;0,VLOOKUP(C242,КФСР!A272:B1784,2),IF(D242&gt;0,VLOOKUP(D242,Программа!A$1:B$5063,2),IF(F242&gt;0,VLOOKUP(F242,КВР!A$1:B$5001,2),IF(E242&gt;0,VLOOKUP(E242,Направление!A$1:B$4746,2))))))</f>
        <v xml:space="preserve"> Межбюджетные трансферты</v>
      </c>
      <c r="B242" s="91"/>
      <c r="C242" s="84"/>
      <c r="D242" s="444"/>
      <c r="E242" s="84"/>
      <c r="F242" s="85">
        <v>500</v>
      </c>
      <c r="G242" s="387">
        <v>70000</v>
      </c>
      <c r="H242" s="385"/>
      <c r="I242" s="50">
        <f t="shared" si="219"/>
        <v>70000</v>
      </c>
      <c r="J242" s="387">
        <v>50000</v>
      </c>
      <c r="K242" s="385"/>
      <c r="L242" s="50">
        <f t="shared" si="220"/>
        <v>50000</v>
      </c>
    </row>
    <row r="243" spans="1:12" ht="46.8">
      <c r="A243" s="49" t="str">
        <f>IF(B243&gt;0,VLOOKUP(B243,КВСР!A274:B1439,2),IF(C243&gt;0,VLOOKUP(C243,КФСР!A274:B1786,2),IF(D243&gt;0,VLOOKUP(D243,Программа!A$1:B$5063,2),IF(F243&gt;0,VLOOKUP(F243,КВР!A$1:B$5001,2),IF(E243&gt;0,VLOOKUP(E243,Направление!A$1:B$4746,2))))))</f>
        <v>Дотации поселениям Ярославской области на выравнивание бюджетной обеспеченности</v>
      </c>
      <c r="B243" s="91"/>
      <c r="C243" s="84"/>
      <c r="D243" s="444"/>
      <c r="E243" s="84">
        <v>72970</v>
      </c>
      <c r="F243" s="85"/>
      <c r="G243" s="387">
        <v>10796000</v>
      </c>
      <c r="H243" s="50">
        <f t="shared" ref="H243" si="227">H244</f>
        <v>0</v>
      </c>
      <c r="I243" s="50">
        <f t="shared" si="219"/>
        <v>10796000</v>
      </c>
      <c r="J243" s="387">
        <v>10030000</v>
      </c>
      <c r="K243" s="50">
        <f t="shared" ref="K243" si="228">K244</f>
        <v>0</v>
      </c>
      <c r="L243" s="50">
        <f t="shared" si="220"/>
        <v>10030000</v>
      </c>
    </row>
    <row r="244" spans="1:12" ht="15.6">
      <c r="A244" s="49" t="str">
        <f>IF(B244&gt;0,VLOOKUP(B244,КВСР!A275:B1440,2),IF(C244&gt;0,VLOOKUP(C244,КФСР!A275:B1787,2),IF(D244&gt;0,VLOOKUP(D244,Программа!A$1:B$5063,2),IF(F244&gt;0,VLOOKUP(F244,КВР!A$1:B$5001,2),IF(E244&gt;0,VLOOKUP(E244,Направление!A$1:B$4746,2))))))</f>
        <v xml:space="preserve"> Межбюджетные трансферты</v>
      </c>
      <c r="B244" s="91"/>
      <c r="C244" s="84"/>
      <c r="D244" s="444"/>
      <c r="E244" s="84"/>
      <c r="F244" s="85">
        <v>500</v>
      </c>
      <c r="G244" s="387">
        <v>10796000</v>
      </c>
      <c r="H244" s="385"/>
      <c r="I244" s="50">
        <f t="shared" si="219"/>
        <v>10796000</v>
      </c>
      <c r="J244" s="387">
        <v>10030000</v>
      </c>
      <c r="K244" s="385"/>
      <c r="L244" s="50">
        <f t="shared" si="220"/>
        <v>10030000</v>
      </c>
    </row>
    <row r="245" spans="1:12" ht="46.8">
      <c r="A245" s="300" t="str">
        <f>IF(B245&gt;0,VLOOKUP(B245,КВСР!A276:B1441,2),IF(C245&gt;0,VLOOKUP(C245,КФСР!A276:B1788,2),IF(D245&gt;0,VLOOKUP(D245,Программа!A$1:B$5063,2),IF(F245&gt;0,VLOOKUP(F245,КВР!A$1:B$5001,2),IF(E245&gt;0,VLOOKUP(E245,Направление!A$1:B$4746,2))))))</f>
        <v>Департамент культуры, туризма и молодежной политики Администрации ТМР</v>
      </c>
      <c r="B245" s="87">
        <v>956</v>
      </c>
      <c r="C245" s="88"/>
      <c r="D245" s="77"/>
      <c r="E245" s="88"/>
      <c r="F245" s="89"/>
      <c r="G245" s="595">
        <v>129367081</v>
      </c>
      <c r="H245" s="86">
        <f>H257+H263+H273+H282+H293+H246+H251</f>
        <v>0</v>
      </c>
      <c r="I245" s="86">
        <f t="shared" si="219"/>
        <v>129367081</v>
      </c>
      <c r="J245" s="595">
        <v>124091931</v>
      </c>
      <c r="K245" s="86">
        <f>K257+K263+K273+K282+K293+K246</f>
        <v>0</v>
      </c>
      <c r="L245" s="86">
        <f t="shared" si="220"/>
        <v>124091931</v>
      </c>
    </row>
    <row r="246" spans="1:12" ht="46.8">
      <c r="A246" s="49" t="str">
        <f>IF(B246&gt;0,VLOOKUP(B246,КВСР!A273:B1438,2),IF(C246&gt;0,VLOOKUP(C246,КФСР!A273:B1785,2),IF(D246&gt;0,VLOOKUP(D246,Программа!A$1:B$5063,2),IF(F246&gt;0,VLOOKUP(F246,КВР!A$1:B$5001,2),IF(E246&gt;0,VLOOKUP(E246,Направление!A$1:B$4746,2))))))</f>
        <v>Другие вопросы в области национальной безопасности и правоохранительной деятельности</v>
      </c>
      <c r="B246" s="87"/>
      <c r="C246" s="88">
        <v>314</v>
      </c>
      <c r="D246" s="77"/>
      <c r="E246" s="88"/>
      <c r="F246" s="89"/>
      <c r="G246" s="595">
        <v>150000</v>
      </c>
      <c r="H246" s="50">
        <f>H248</f>
        <v>0</v>
      </c>
      <c r="I246" s="50">
        <f>SUM(G246:H246)</f>
        <v>150000</v>
      </c>
      <c r="J246" s="595">
        <v>0</v>
      </c>
      <c r="K246" s="50">
        <f>K248</f>
        <v>0</v>
      </c>
      <c r="L246" s="50">
        <f>SUM(J246:K246)</f>
        <v>0</v>
      </c>
    </row>
    <row r="247" spans="1:12" ht="62.4">
      <c r="A247" s="49" t="str">
        <f>IF(B247&gt;0,VLOOKUP(B247,КВСР!A274:B1439,2),IF(C247&gt;0,VLOOKUP(C247,КФСР!A274:B1786,2),IF(D247&gt;0,VLOOKUP(D247,Программа!A$1:B$5063,2),IF(F247&gt;0,VLOOKUP(F247,КВР!A$1:B$5001,2),IF(E247&gt;0,VLOOKUP(E247,Направление!A$1:B$4746,2))))))</f>
        <v>Муниципальная программа "Профилактика правонарушений и усиление борьбы с преступностью в Тутаевском муниципальном районе"</v>
      </c>
      <c r="B247" s="87"/>
      <c r="C247" s="88"/>
      <c r="D247" s="77" t="s">
        <v>2877</v>
      </c>
      <c r="E247" s="88"/>
      <c r="F247" s="89"/>
      <c r="G247" s="595">
        <v>150000</v>
      </c>
      <c r="H247" s="50">
        <f>H248</f>
        <v>0</v>
      </c>
      <c r="I247" s="50">
        <f>I248</f>
        <v>150000</v>
      </c>
      <c r="J247" s="595">
        <v>0</v>
      </c>
      <c r="K247" s="50">
        <f>K248</f>
        <v>0</v>
      </c>
      <c r="L247" s="50">
        <f>L248</f>
        <v>0</v>
      </c>
    </row>
    <row r="248" spans="1:12" ht="31.2">
      <c r="A248" s="49" t="str">
        <f>IF(B248&gt;0,VLOOKUP(B248,КВСР!A274:B1439,2),IF(C248&gt;0,VLOOKUP(C248,КФСР!A274:B1786,2),IF(D248&gt;0,VLOOKUP(D248,Программа!A$1:B$5063,2),IF(F248&gt;0,VLOOKUP(F248,КВР!A$1:B$5001,2),IF(E248&gt;0,VLOOKUP(E248,Направление!A$1:B$4746,2))))))</f>
        <v>Реализация мероприятий по деятельности народных дружин</v>
      </c>
      <c r="B248" s="87"/>
      <c r="C248" s="88"/>
      <c r="D248" s="77" t="s">
        <v>3064</v>
      </c>
      <c r="E248" s="88"/>
      <c r="F248" s="89"/>
      <c r="G248" s="595">
        <v>150000</v>
      </c>
      <c r="H248" s="50">
        <f t="shared" ref="H248" si="229">H249</f>
        <v>0</v>
      </c>
      <c r="I248" s="50">
        <f t="shared" ref="I248:I250" si="230">SUM(G248:H248)</f>
        <v>150000</v>
      </c>
      <c r="J248" s="595">
        <v>0</v>
      </c>
      <c r="K248" s="50">
        <f t="shared" ref="K248" si="231">K249</f>
        <v>0</v>
      </c>
      <c r="L248" s="50">
        <f t="shared" ref="L248:L250" si="232">SUM(J248:K248)</f>
        <v>0</v>
      </c>
    </row>
    <row r="249" spans="1:12" ht="31.2">
      <c r="A249" s="49" t="str">
        <f>IF(B249&gt;0,VLOOKUP(B249,КВСР!A275:B1440,2),IF(C249&gt;0,VLOOKUP(C249,КФСР!A275:B1787,2),IF(D249&gt;0,VLOOKUP(D249,Программа!A$1:B$5063,2),IF(F249&gt;0,VLOOKUP(F249,КВР!A$1:B$5001,2),IF(E249&gt;0,VLOOKUP(E249,Направление!A$1:B$4746,2))))))</f>
        <v>Расходы на обеспечение деятельности народных дружин</v>
      </c>
      <c r="B249" s="87"/>
      <c r="C249" s="88"/>
      <c r="D249" s="77"/>
      <c r="E249" s="88">
        <v>29486</v>
      </c>
      <c r="F249" s="89"/>
      <c r="G249" s="595">
        <v>150000</v>
      </c>
      <c r="H249" s="50">
        <f>H250</f>
        <v>0</v>
      </c>
      <c r="I249" s="50">
        <f t="shared" si="230"/>
        <v>150000</v>
      </c>
      <c r="J249" s="595">
        <v>0</v>
      </c>
      <c r="K249" s="50">
        <f>K250</f>
        <v>0</v>
      </c>
      <c r="L249" s="50">
        <f t="shared" si="232"/>
        <v>0</v>
      </c>
    </row>
    <row r="250" spans="1:12" ht="46.8">
      <c r="A250" s="49" t="str">
        <f>IF(B250&gt;0,VLOOKUP(B250,КВСР!A276:B1441,2),IF(C250&gt;0,VLOOKUP(C250,КФСР!A276:B1788,2),IF(D250&gt;0,VLOOKUP(D250,Программа!A$1:B$5063,2),IF(F250&gt;0,VLOOKUP(F250,КВР!A$1:B$5001,2),IF(E250&gt;0,VLOOKUP(E250,Направление!A$1:B$4746,2))))))</f>
        <v>Предоставление субсидий бюджетным, автономным учреждениям и иным некоммерческим организациям</v>
      </c>
      <c r="B250" s="87"/>
      <c r="C250" s="88"/>
      <c r="D250" s="77"/>
      <c r="E250" s="88"/>
      <c r="F250" s="89">
        <v>600</v>
      </c>
      <c r="G250" s="595">
        <v>150000</v>
      </c>
      <c r="H250" s="385"/>
      <c r="I250" s="50">
        <f t="shared" si="230"/>
        <v>150000</v>
      </c>
      <c r="J250" s="595">
        <v>0</v>
      </c>
      <c r="K250" s="624"/>
      <c r="L250" s="50">
        <f t="shared" si="232"/>
        <v>0</v>
      </c>
    </row>
    <row r="251" spans="1:12" ht="15.6">
      <c r="A251" s="49" t="str">
        <f>IF(B251&gt;0,VLOOKUP(B251,КВСР!A277:B1442,2),IF(C251&gt;0,VLOOKUP(C251,КФСР!A277:B1789,2),IF(D251&gt;0,VLOOKUP(D251,Программа!A$1:B$5063,2),IF(F251&gt;0,VLOOKUP(F251,КВР!A$1:B$5001,2),IF(E251&gt;0,VLOOKUP(E251,Направление!A$1:B$4746,2))))))</f>
        <v>Благоустройство</v>
      </c>
      <c r="B251" s="87"/>
      <c r="C251" s="88">
        <v>503</v>
      </c>
      <c r="D251" s="77"/>
      <c r="E251" s="88"/>
      <c r="F251" s="89"/>
      <c r="G251" s="595">
        <v>1000000</v>
      </c>
      <c r="H251" s="50">
        <f t="shared" ref="H251:I255" si="233">H252</f>
        <v>0</v>
      </c>
      <c r="I251" s="50">
        <f t="shared" si="233"/>
        <v>1000000</v>
      </c>
      <c r="J251" s="595">
        <v>0</v>
      </c>
      <c r="K251" s="50">
        <f t="shared" ref="K251:L255" si="234">K252</f>
        <v>0</v>
      </c>
      <c r="L251" s="50">
        <f t="shared" si="234"/>
        <v>0</v>
      </c>
    </row>
    <row r="252" spans="1:12" ht="62.4">
      <c r="A252" s="49" t="str">
        <f>IF(B252&gt;0,VLOOKUP(B252,КВСР!A278:B1443,2),IF(C252&gt;0,VLOOKUP(C252,КФСР!A278:B1790,2),IF(D252&gt;0,VLOOKUP(D252,Программа!A$1:B$5063,2),IF(F252&gt;0,VLOOKUP(F252,КВР!A$1:B$5001,2),IF(E252&gt;0,VLOOKUP(E252,Направление!A$1:B$4746,2))))))</f>
        <v>Муниципальная программа  "Развитие культуры, туризма и молодежной политики в Тутаевском муниципальном районе"</v>
      </c>
      <c r="B252" s="87"/>
      <c r="C252" s="88"/>
      <c r="D252" s="77" t="s">
        <v>2721</v>
      </c>
      <c r="E252" s="88"/>
      <c r="F252" s="89"/>
      <c r="G252" s="595">
        <v>1000000</v>
      </c>
      <c r="H252" s="50">
        <f t="shared" si="233"/>
        <v>0</v>
      </c>
      <c r="I252" s="50">
        <f t="shared" si="233"/>
        <v>1000000</v>
      </c>
      <c r="J252" s="595">
        <v>0</v>
      </c>
      <c r="K252" s="50">
        <f t="shared" si="234"/>
        <v>0</v>
      </c>
      <c r="L252" s="50">
        <f t="shared" si="234"/>
        <v>0</v>
      </c>
    </row>
    <row r="253" spans="1:12" ht="93.6">
      <c r="A253" s="49" t="str">
        <f>IF(B253&gt;0,VLOOKUP(B253,КВСР!A279:B1444,2),IF(C253&gt;0,VLOOKUP(C253,КФСР!A279:B1791,2),IF(D253&gt;0,VLOOKUP(D253,Программа!A$1:B$5063,2),IF(F253&gt;0,VLOOKUP(F253,КВР!A$1:B$5001,2),IF(E253&gt;0,VLOOKUP(E253,Направление!A$1:B$4746,2))))))</f>
        <v>Муниципальная целевая программа «Патриотическое воспитание граждан Российской Федерации, проживающих на территории Тутаевского муниципального района Ярославской области»</v>
      </c>
      <c r="B253" s="87"/>
      <c r="C253" s="88"/>
      <c r="D253" s="77" t="s">
        <v>2724</v>
      </c>
      <c r="E253" s="88"/>
      <c r="F253" s="89"/>
      <c r="G253" s="595">
        <v>1000000</v>
      </c>
      <c r="H253" s="50">
        <f t="shared" si="233"/>
        <v>0</v>
      </c>
      <c r="I253" s="50">
        <f t="shared" si="233"/>
        <v>1000000</v>
      </c>
      <c r="J253" s="595">
        <v>0</v>
      </c>
      <c r="K253" s="50">
        <f t="shared" si="234"/>
        <v>0</v>
      </c>
      <c r="L253" s="50">
        <f t="shared" si="234"/>
        <v>0</v>
      </c>
    </row>
    <row r="254" spans="1:12" ht="78">
      <c r="A254" s="49" t="str">
        <f>IF(B254&gt;0,VLOOKUP(B254,КВСР!A280:B1445,2),IF(C254&gt;0,VLOOKUP(C254,КФСР!A280:B1792,2),IF(D254&gt;0,VLOOKUP(D254,Программа!A$1:B$5063,2),IF(F254&gt;0,VLOOKUP(F254,КВР!A$1:B$5001,2),IF(E254&gt;0,VLOOKUP(E254,Направление!A$1:B$4746,2))))))</f>
        <v>Координирование деятельности, совершенствование организационного, методического и информационного функционирования системы патриотического воспитания</v>
      </c>
      <c r="B254" s="87"/>
      <c r="C254" s="88"/>
      <c r="D254" s="77" t="s">
        <v>2725</v>
      </c>
      <c r="E254" s="88"/>
      <c r="F254" s="89"/>
      <c r="G254" s="595">
        <v>1000000</v>
      </c>
      <c r="H254" s="50">
        <f t="shared" si="233"/>
        <v>0</v>
      </c>
      <c r="I254" s="50">
        <f t="shared" si="233"/>
        <v>1000000</v>
      </c>
      <c r="J254" s="595">
        <v>0</v>
      </c>
      <c r="K254" s="50">
        <f t="shared" si="234"/>
        <v>0</v>
      </c>
      <c r="L254" s="50">
        <f t="shared" si="234"/>
        <v>0</v>
      </c>
    </row>
    <row r="255" spans="1:12" ht="46.8">
      <c r="A255" s="49" t="str">
        <f>IF(B255&gt;0,VLOOKUP(B255,КВСР!A281:B1446,2),IF(C255&gt;0,VLOOKUP(C255,КФСР!A281:B1793,2),IF(D255&gt;0,VLOOKUP(D255,Программа!A$1:B$5063,2),IF(F255&gt;0,VLOOKUP(F255,КВР!A$1:B$5001,2),IF(E255&gt;0,VLOOKUP(E255,Направление!A$1:B$4746,2))))))</f>
        <v>Обеспечение мероприятий по строительству, реконструкции и ремонту памятников</v>
      </c>
      <c r="B255" s="87"/>
      <c r="C255" s="88"/>
      <c r="D255" s="77"/>
      <c r="E255" s="88">
        <v>29476</v>
      </c>
      <c r="F255" s="89"/>
      <c r="G255" s="595">
        <v>1000000</v>
      </c>
      <c r="H255" s="50">
        <f t="shared" si="233"/>
        <v>0</v>
      </c>
      <c r="I255" s="50">
        <f t="shared" si="233"/>
        <v>1000000</v>
      </c>
      <c r="J255" s="595">
        <v>0</v>
      </c>
      <c r="K255" s="50">
        <f t="shared" si="234"/>
        <v>0</v>
      </c>
      <c r="L255" s="50">
        <f t="shared" si="234"/>
        <v>0</v>
      </c>
    </row>
    <row r="256" spans="1:12" ht="46.8">
      <c r="A256" s="49" t="str">
        <f>IF(B256&gt;0,VLOOKUP(B256,КВСР!A282:B1447,2),IF(C256&gt;0,VLOOKUP(C256,КФСР!A282:B1794,2),IF(D256&gt;0,VLOOKUP(D256,Программа!A$1:B$5063,2),IF(F256&gt;0,VLOOKUP(F256,КВР!A$1:B$5001,2),IF(E256&gt;0,VLOOKUP(E256,Направление!A$1:B$4746,2))))))</f>
        <v>Предоставление субсидий бюджетным, автономным учреждениям и иным некоммерческим организациям</v>
      </c>
      <c r="B256" s="87"/>
      <c r="C256" s="88"/>
      <c r="D256" s="77"/>
      <c r="E256" s="88"/>
      <c r="F256" s="89">
        <v>600</v>
      </c>
      <c r="G256" s="595">
        <v>1000000</v>
      </c>
      <c r="H256" s="385"/>
      <c r="I256" s="86">
        <f>G256+H256</f>
        <v>1000000</v>
      </c>
      <c r="J256" s="595">
        <v>0</v>
      </c>
      <c r="K256" s="385"/>
      <c r="L256" s="50">
        <v>0</v>
      </c>
    </row>
    <row r="257" spans="1:12" ht="15.6">
      <c r="A257" s="49" t="str">
        <f>IF(B257&gt;0,VLOOKUP(B257,КВСР!A282:B1447,2),IF(C257&gt;0,VLOOKUP(C257,КФСР!A282:B1794,2),IF(D257&gt;0,VLOOKUP(D257,Программа!A$1:B$5063,2),IF(F257&gt;0,VLOOKUP(F257,КВР!A$1:B$5001,2),IF(E257&gt;0,VLOOKUP(E257,Направление!A$1:B$4746,2))))))</f>
        <v>Общее образование</v>
      </c>
      <c r="B257" s="91"/>
      <c r="C257" s="84">
        <v>702</v>
      </c>
      <c r="D257" s="444"/>
      <c r="E257" s="84"/>
      <c r="F257" s="85"/>
      <c r="G257" s="387">
        <v>27973114</v>
      </c>
      <c r="H257" s="50">
        <f t="shared" ref="H257:H261" si="235">H258</f>
        <v>0</v>
      </c>
      <c r="I257" s="50">
        <f t="shared" si="219"/>
        <v>27973114</v>
      </c>
      <c r="J257" s="387">
        <v>27336763</v>
      </c>
      <c r="K257" s="50">
        <f t="shared" ref="K257:K261" si="236">K258</f>
        <v>0</v>
      </c>
      <c r="L257" s="50">
        <f t="shared" si="220"/>
        <v>27336763</v>
      </c>
    </row>
    <row r="258" spans="1:12" ht="62.4">
      <c r="A258" s="49" t="str">
        <f>IF(B258&gt;0,VLOOKUP(B258,КВСР!A283:B1448,2),IF(C258&gt;0,VLOOKUP(C258,КФСР!A283:B1795,2),IF(D258&gt;0,VLOOKUP(D258,Программа!A$1:B$5063,2),IF(F258&gt;0,VLOOKUP(F258,КВР!A$1:B$5001,2),IF(E258&gt;0,VLOOKUP(E258,Направление!A$1:B$4746,2))))))</f>
        <v>Муниципальная программа  "Развитие культуры, туризма и молодежной политики в Тутаевском муниципальном районе"</v>
      </c>
      <c r="B258" s="91"/>
      <c r="C258" s="84"/>
      <c r="D258" s="445" t="s">
        <v>2721</v>
      </c>
      <c r="E258" s="93"/>
      <c r="F258" s="85"/>
      <c r="G258" s="387">
        <v>27973114</v>
      </c>
      <c r="H258" s="50">
        <f t="shared" ref="H258" si="237">H260</f>
        <v>0</v>
      </c>
      <c r="I258" s="50">
        <f t="shared" si="219"/>
        <v>27973114</v>
      </c>
      <c r="J258" s="387">
        <v>27336763</v>
      </c>
      <c r="K258" s="50">
        <f t="shared" ref="K258" si="238">K260</f>
        <v>0</v>
      </c>
      <c r="L258" s="50">
        <f t="shared" si="220"/>
        <v>27336763</v>
      </c>
    </row>
    <row r="259" spans="1:12" ht="46.8">
      <c r="A259" s="49" t="str">
        <f>IF(B259&gt;0,VLOOKUP(B259,КВСР!A284:B1449,2),IF(C259&gt;0,VLOOKUP(C259,КФСР!A284:B1796,2),IF(D259&gt;0,VLOOKUP(D259,Программа!A$1:B$5063,2),IF(F259&gt;0,VLOOKUP(F259,КВР!A$1:B$5001,2),IF(E259&gt;0,VLOOKUP(E259,Направление!A$1:B$4746,2))))))</f>
        <v>Ведомственная целевая программа «Сохранение и развитие культуры Тутаевского муниципального района»</v>
      </c>
      <c r="B259" s="91"/>
      <c r="C259" s="84"/>
      <c r="D259" s="445" t="s">
        <v>2728</v>
      </c>
      <c r="E259" s="93"/>
      <c r="F259" s="85"/>
      <c r="G259" s="387">
        <v>27973114</v>
      </c>
      <c r="H259" s="50">
        <f t="shared" ref="H259" si="239">H260</f>
        <v>0</v>
      </c>
      <c r="I259" s="50">
        <f t="shared" si="219"/>
        <v>27973114</v>
      </c>
      <c r="J259" s="387">
        <v>27336763</v>
      </c>
      <c r="K259" s="50">
        <f t="shared" ref="K259" si="240">K260</f>
        <v>0</v>
      </c>
      <c r="L259" s="50">
        <f t="shared" si="220"/>
        <v>27336763</v>
      </c>
    </row>
    <row r="260" spans="1:12" ht="46.8">
      <c r="A260" s="49" t="str">
        <f>IF(B260&gt;0,VLOOKUP(B260,КВСР!A285:B1450,2),IF(C260&gt;0,VLOOKUP(C260,КФСР!A285:B1797,2),IF(D260&gt;0,VLOOKUP(D260,Программа!A$1:B$5063,2),IF(F260&gt;0,VLOOKUP(F260,КВР!A$1:B$5001,2),IF(E260&gt;0,VLOOKUP(E260,Направление!A$1:B$4746,2))))))</f>
        <v>Реализация дополнительных образовательных программ в сфере культуры</v>
      </c>
      <c r="B260" s="91"/>
      <c r="C260" s="84"/>
      <c r="D260" s="444" t="s">
        <v>2729</v>
      </c>
      <c r="E260" s="84"/>
      <c r="F260" s="85"/>
      <c r="G260" s="387">
        <v>27973114</v>
      </c>
      <c r="H260" s="50">
        <f t="shared" si="235"/>
        <v>0</v>
      </c>
      <c r="I260" s="50">
        <f t="shared" si="219"/>
        <v>27973114</v>
      </c>
      <c r="J260" s="387">
        <v>27336763</v>
      </c>
      <c r="K260" s="50">
        <f t="shared" si="236"/>
        <v>0</v>
      </c>
      <c r="L260" s="50">
        <f t="shared" si="220"/>
        <v>27336763</v>
      </c>
    </row>
    <row r="261" spans="1:12" ht="31.2">
      <c r="A261" s="49" t="str">
        <f>IF(B261&gt;0,VLOOKUP(B261,КВСР!A285:B1450,2),IF(C261&gt;0,VLOOKUP(C261,КФСР!A285:B1797,2),IF(D261&gt;0,VLOOKUP(D261,Программа!A$1:B$5063,2),IF(F261&gt;0,VLOOKUP(F261,КВР!A$1:B$5001,2),IF(E261&gt;0,VLOOKUP(E261,Направление!A$1:B$4746,2))))))</f>
        <v>Обеспечение деятельности учреждений дополнительного образования</v>
      </c>
      <c r="B261" s="91"/>
      <c r="C261" s="84"/>
      <c r="D261" s="444"/>
      <c r="E261" s="84">
        <v>13210</v>
      </c>
      <c r="F261" s="85"/>
      <c r="G261" s="387">
        <v>27973114</v>
      </c>
      <c r="H261" s="50">
        <f t="shared" si="235"/>
        <v>0</v>
      </c>
      <c r="I261" s="50">
        <f t="shared" si="219"/>
        <v>27973114</v>
      </c>
      <c r="J261" s="387">
        <v>27336763</v>
      </c>
      <c r="K261" s="50">
        <f t="shared" si="236"/>
        <v>0</v>
      </c>
      <c r="L261" s="50">
        <f t="shared" si="220"/>
        <v>27336763</v>
      </c>
    </row>
    <row r="262" spans="1:12" ht="46.8">
      <c r="A262" s="49" t="str">
        <f>IF(B262&gt;0,VLOOKUP(B262,КВСР!A286:B1451,2),IF(C262&gt;0,VLOOKUP(C262,КФСР!A286:B1798,2),IF(D262&gt;0,VLOOKUP(D262,Программа!A$1:B$5063,2),IF(F262&gt;0,VLOOKUP(F262,КВР!A$1:B$5001,2),IF(E262&gt;0,VLOOKUP(E262,Направление!A$1:B$4746,2))))))</f>
        <v>Предоставление субсидий бюджетным, автономным учреждениям и иным некоммерческим организациям</v>
      </c>
      <c r="B262" s="91"/>
      <c r="C262" s="84"/>
      <c r="D262" s="444"/>
      <c r="E262" s="84"/>
      <c r="F262" s="85">
        <v>600</v>
      </c>
      <c r="G262" s="387">
        <v>27973114</v>
      </c>
      <c r="H262" s="385"/>
      <c r="I262" s="50">
        <f t="shared" si="219"/>
        <v>27973114</v>
      </c>
      <c r="J262" s="387">
        <v>27336763</v>
      </c>
      <c r="K262" s="385"/>
      <c r="L262" s="50">
        <f t="shared" si="220"/>
        <v>27336763</v>
      </c>
    </row>
    <row r="263" spans="1:12" ht="31.2">
      <c r="A263" s="49" t="str">
        <f>IF(B263&gt;0,VLOOKUP(B263,КВСР!A286:B1451,2),IF(C263&gt;0,VLOOKUP(C263,КФСР!A286:B1798,2),IF(D263&gt;0,VLOOKUP(D263,Программа!A$1:B$5063,2),IF(F263&gt;0,VLOOKUP(F263,КВР!A$1:B$5001,2),IF(E263&gt;0,VLOOKUP(E263,Направление!A$1:B$4746,2))))))</f>
        <v>Молодежная политика и оздоровление детей</v>
      </c>
      <c r="B263" s="91"/>
      <c r="C263" s="84">
        <v>707</v>
      </c>
      <c r="D263" s="444"/>
      <c r="E263" s="84"/>
      <c r="F263" s="85"/>
      <c r="G263" s="387">
        <v>9663023</v>
      </c>
      <c r="H263" s="50">
        <f t="shared" ref="H263" si="241">H264</f>
        <v>0</v>
      </c>
      <c r="I263" s="50">
        <f t="shared" si="219"/>
        <v>9663023</v>
      </c>
      <c r="J263" s="387">
        <v>9467666</v>
      </c>
      <c r="K263" s="50">
        <f t="shared" ref="K263" si="242">K264</f>
        <v>0</v>
      </c>
      <c r="L263" s="50">
        <f t="shared" si="220"/>
        <v>9467666</v>
      </c>
    </row>
    <row r="264" spans="1:12" ht="62.4">
      <c r="A264" s="49" t="str">
        <f>IF(B264&gt;0,VLOOKUP(B264,КВСР!A287:B1452,2),IF(C264&gt;0,VLOOKUP(C264,КФСР!A287:B1799,2),IF(D264&gt;0,VLOOKUP(D264,Программа!A$1:B$5063,2),IF(F264&gt;0,VLOOKUP(F264,КВР!A$1:B$5001,2),IF(E264&gt;0,VLOOKUP(E264,Направление!A$1:B$4746,2))))))</f>
        <v>Муниципальная программа  "Развитие культуры, туризма и молодежной политики в Тутаевском муниципальном районе"</v>
      </c>
      <c r="B264" s="91"/>
      <c r="C264" s="84"/>
      <c r="D264" s="444" t="s">
        <v>2721</v>
      </c>
      <c r="E264" s="84"/>
      <c r="F264" s="85"/>
      <c r="G264" s="387">
        <v>9663023</v>
      </c>
      <c r="H264" s="50">
        <f t="shared" ref="H264" si="243">H266</f>
        <v>0</v>
      </c>
      <c r="I264" s="50">
        <f t="shared" si="219"/>
        <v>9663023</v>
      </c>
      <c r="J264" s="387">
        <v>9467666</v>
      </c>
      <c r="K264" s="50">
        <f t="shared" ref="K264" si="244">K266</f>
        <v>0</v>
      </c>
      <c r="L264" s="50">
        <f t="shared" si="220"/>
        <v>9467666</v>
      </c>
    </row>
    <row r="265" spans="1:12" ht="31.2">
      <c r="A265" s="49" t="str">
        <f>IF(B265&gt;0,VLOOKUP(B265,КВСР!A288:B1453,2),IF(C265&gt;0,VLOOKUP(C265,КФСР!A288:B1800,2),IF(D265&gt;0,VLOOKUP(D265,Программа!A$1:B$5063,2),IF(F265&gt;0,VLOOKUP(F265,КВР!A$1:B$5001,2),IF(E265&gt;0,VLOOKUP(E265,Направление!A$1:B$4746,2))))))</f>
        <v>Ведомственная целевая программа «Молодежь»</v>
      </c>
      <c r="B265" s="91"/>
      <c r="C265" s="84"/>
      <c r="D265" s="444" t="s">
        <v>2722</v>
      </c>
      <c r="E265" s="84"/>
      <c r="F265" s="85"/>
      <c r="G265" s="387">
        <v>9663023</v>
      </c>
      <c r="H265" s="50">
        <f t="shared" ref="H265" si="245">H266</f>
        <v>0</v>
      </c>
      <c r="I265" s="50">
        <f t="shared" si="219"/>
        <v>9663023</v>
      </c>
      <c r="J265" s="387">
        <v>9467666</v>
      </c>
      <c r="K265" s="50">
        <f t="shared" ref="K265" si="246">K266</f>
        <v>0</v>
      </c>
      <c r="L265" s="50">
        <f t="shared" si="220"/>
        <v>9467666</v>
      </c>
    </row>
    <row r="266" spans="1:12" ht="62.4">
      <c r="A266" s="49" t="str">
        <f>IF(B266&gt;0,VLOOKUP(B266,КВСР!A289:B1454,2),IF(C266&gt;0,VLOOKUP(C266,КФСР!A289:B1801,2),IF(D266&gt;0,VLOOKUP(D266,Программа!A$1:B$5063,2),IF(F266&gt;0,VLOOKUP(F266,КВР!A$1:B$5001,2),IF(E266&gt;0,VLOOKUP(E266,Направление!A$1:B$4746,2))))))</f>
        <v>Обеспечение условий для выполнения муниципального задания на оказание услуг, выполнение работ в сфере молодежной политики</v>
      </c>
      <c r="B266" s="91"/>
      <c r="C266" s="84"/>
      <c r="D266" s="444" t="s">
        <v>2723</v>
      </c>
      <c r="E266" s="84"/>
      <c r="F266" s="85"/>
      <c r="G266" s="387">
        <v>9663023</v>
      </c>
      <c r="H266" s="50">
        <f t="shared" ref="H266" si="247">H267+H269+H271</f>
        <v>0</v>
      </c>
      <c r="I266" s="50">
        <f t="shared" si="219"/>
        <v>9663023</v>
      </c>
      <c r="J266" s="387">
        <v>9467666</v>
      </c>
      <c r="K266" s="50">
        <f t="shared" ref="K266" si="248">K267+K269+K271</f>
        <v>0</v>
      </c>
      <c r="L266" s="50">
        <f t="shared" si="220"/>
        <v>9467666</v>
      </c>
    </row>
    <row r="267" spans="1:12" ht="31.2">
      <c r="A267" s="49" t="str">
        <f>IF(B267&gt;0,VLOOKUP(B267,КВСР!A289:B1454,2),IF(C267&gt;0,VLOOKUP(C267,КФСР!A289:B1801,2),IF(D267&gt;0,VLOOKUP(D267,Программа!A$1:B$5063,2),IF(F267&gt;0,VLOOKUP(F267,КВР!A$1:B$5001,2),IF(E267&gt;0,VLOOKUP(E267,Направление!A$1:B$4746,2))))))</f>
        <v xml:space="preserve">Обеспечение деятельности учреждений в сфере молодежной политики </v>
      </c>
      <c r="B267" s="91"/>
      <c r="C267" s="84"/>
      <c r="D267" s="444"/>
      <c r="E267" s="84">
        <v>14510</v>
      </c>
      <c r="F267" s="85"/>
      <c r="G267" s="387">
        <v>5724457</v>
      </c>
      <c r="H267" s="50">
        <f t="shared" ref="H267" si="249">H268</f>
        <v>0</v>
      </c>
      <c r="I267" s="50">
        <f t="shared" si="219"/>
        <v>5724457</v>
      </c>
      <c r="J267" s="387">
        <v>5529100</v>
      </c>
      <c r="K267" s="50">
        <f t="shared" ref="K267" si="250">K268</f>
        <v>0</v>
      </c>
      <c r="L267" s="50">
        <f t="shared" si="220"/>
        <v>5529100</v>
      </c>
    </row>
    <row r="268" spans="1:12" ht="46.8">
      <c r="A268" s="49" t="str">
        <f>IF(B268&gt;0,VLOOKUP(B268,КВСР!A290:B1455,2),IF(C268&gt;0,VLOOKUP(C268,КФСР!A290:B1802,2),IF(D268&gt;0,VLOOKUP(D268,Программа!A$1:B$5063,2),IF(F268&gt;0,VLOOKUP(F268,КВР!A$1:B$5001,2),IF(E268&gt;0,VLOOKUP(E268,Направление!A$1:B$4746,2))))))</f>
        <v>Предоставление субсидий бюджетным, автономным учреждениям и иным некоммерческим организациям</v>
      </c>
      <c r="B268" s="91"/>
      <c r="C268" s="84"/>
      <c r="D268" s="444"/>
      <c r="E268" s="84"/>
      <c r="F268" s="85">
        <v>600</v>
      </c>
      <c r="G268" s="387">
        <v>5724457</v>
      </c>
      <c r="H268" s="385"/>
      <c r="I268" s="50">
        <f t="shared" si="219"/>
        <v>5724457</v>
      </c>
      <c r="J268" s="387">
        <v>5529100</v>
      </c>
      <c r="K268" s="385"/>
      <c r="L268" s="50">
        <f t="shared" si="220"/>
        <v>5529100</v>
      </c>
    </row>
    <row r="269" spans="1:12" ht="62.4">
      <c r="A269" s="49" t="str">
        <f>IF(B269&gt;0,VLOOKUP(B269,КВСР!A291:B1456,2),IF(C269&gt;0,VLOOKUP(C269,КФСР!A291:B1803,2),IF(D269&gt;0,VLOOKUP(D269,Программа!A$1:B$5063,2),IF(F269&gt;0,VLOOKUP(F269,КВР!A$1:B$5001,2),IF(E269&gt;0,VLOOKUP(E269,Направление!A$1:B$4746,2))))))</f>
        <v>Расходы на оказание (выполнение) муниципальными учреждениями услуг (работ) в сфере молодежной политики за счет средств областного бюджета</v>
      </c>
      <c r="B269" s="91"/>
      <c r="C269" s="84"/>
      <c r="D269" s="444"/>
      <c r="E269" s="84" t="s">
        <v>3008</v>
      </c>
      <c r="F269" s="85"/>
      <c r="G269" s="387">
        <v>1771606</v>
      </c>
      <c r="H269" s="50">
        <f t="shared" ref="H269" si="251">H270</f>
        <v>0</v>
      </c>
      <c r="I269" s="50">
        <f t="shared" si="219"/>
        <v>1771606</v>
      </c>
      <c r="J269" s="387">
        <v>1771606</v>
      </c>
      <c r="K269" s="50">
        <f t="shared" ref="K269" si="252">K270</f>
        <v>0</v>
      </c>
      <c r="L269" s="50">
        <f t="shared" si="220"/>
        <v>1771606</v>
      </c>
    </row>
    <row r="270" spans="1:12" ht="46.8">
      <c r="A270" s="49" t="str">
        <f>IF(B270&gt;0,VLOOKUP(B270,КВСР!A292:B1457,2),IF(C270&gt;0,VLOOKUP(C270,КФСР!A292:B1804,2),IF(D270&gt;0,VLOOKUP(D270,Программа!A$1:B$5063,2),IF(F270&gt;0,VLOOKUP(F270,КВР!A$1:B$5001,2),IF(E270&gt;0,VLOOKUP(E270,Направление!A$1:B$4746,2))))))</f>
        <v>Предоставление субсидий бюджетным, автономным учреждениям и иным некоммерческим организациям</v>
      </c>
      <c r="B270" s="91"/>
      <c r="C270" s="84"/>
      <c r="D270" s="444"/>
      <c r="E270" s="84"/>
      <c r="F270" s="85">
        <v>600</v>
      </c>
      <c r="G270" s="387">
        <v>1771606</v>
      </c>
      <c r="H270" s="385"/>
      <c r="I270" s="50">
        <f t="shared" si="219"/>
        <v>1771606</v>
      </c>
      <c r="J270" s="387">
        <v>1771606</v>
      </c>
      <c r="K270" s="385"/>
      <c r="L270" s="50">
        <f t="shared" si="220"/>
        <v>1771606</v>
      </c>
    </row>
    <row r="271" spans="1:12" ht="62.4">
      <c r="A271" s="49" t="str">
        <f>IF(B271&gt;0,VLOOKUP(B271,КВСР!A293:B1458,2),IF(C271&gt;0,VLOOKUP(C271,КФСР!A293:B1805,2),IF(D271&gt;0,VLOOKUP(D271,Программа!A$1:B$5063,2),IF(F271&gt;0,VLOOKUP(F271,КВР!A$1:B$5001,2),IF(E271&gt;0,VLOOKUP(E271,Направление!A$1:B$4746,2))))))</f>
        <v>Расходы на оказание (выполнение) муниципальными учреждениями услуг (работ) в сфере молодежной политики за счет средств областного бюджета</v>
      </c>
      <c r="B271" s="91"/>
      <c r="C271" s="84"/>
      <c r="D271" s="444"/>
      <c r="E271" s="84">
        <v>70650</v>
      </c>
      <c r="F271" s="85"/>
      <c r="G271" s="387">
        <v>2166960</v>
      </c>
      <c r="H271" s="50">
        <f t="shared" ref="H271" si="253">H272</f>
        <v>0</v>
      </c>
      <c r="I271" s="50">
        <f t="shared" si="219"/>
        <v>2166960</v>
      </c>
      <c r="J271" s="387">
        <v>2166960</v>
      </c>
      <c r="K271" s="50">
        <f t="shared" ref="K271" si="254">K272</f>
        <v>0</v>
      </c>
      <c r="L271" s="50">
        <f t="shared" si="220"/>
        <v>2166960</v>
      </c>
    </row>
    <row r="272" spans="1:12" ht="46.8">
      <c r="A272" s="49" t="str">
        <f>IF(B272&gt;0,VLOOKUP(B272,КВСР!A294:B1459,2),IF(C272&gt;0,VLOOKUP(C272,КФСР!A294:B1806,2),IF(D272&gt;0,VLOOKUP(D272,Программа!A$1:B$5063,2),IF(F272&gt;0,VLOOKUP(F272,КВР!A$1:B$5001,2),IF(E272&gt;0,VLOOKUP(E272,Направление!A$1:B$4746,2))))))</f>
        <v>Предоставление субсидий бюджетным, автономным учреждениям и иным некоммерческим организациям</v>
      </c>
      <c r="B272" s="91"/>
      <c r="C272" s="84"/>
      <c r="D272" s="444"/>
      <c r="E272" s="84"/>
      <c r="F272" s="85">
        <v>600</v>
      </c>
      <c r="G272" s="387">
        <v>2166960</v>
      </c>
      <c r="H272" s="385"/>
      <c r="I272" s="50">
        <f t="shared" si="219"/>
        <v>2166960</v>
      </c>
      <c r="J272" s="387">
        <v>2166960</v>
      </c>
      <c r="K272" s="385"/>
      <c r="L272" s="50">
        <f t="shared" si="220"/>
        <v>2166960</v>
      </c>
    </row>
    <row r="273" spans="1:12" ht="15.6">
      <c r="A273" s="49" t="str">
        <f>IF(B273&gt;0,VLOOKUP(B273,КВСР!A309:B1474,2),IF(C273&gt;0,VLOOKUP(C273,КФСР!A309:B1821,2),IF(D273&gt;0,VLOOKUP(D273,Программа!A$1:B$5063,2),IF(F273&gt;0,VLOOKUP(F273,КВР!A$1:B$5001,2),IF(E273&gt;0,VLOOKUP(E273,Направление!A$1:B$4746,2))))))</f>
        <v>Культура</v>
      </c>
      <c r="B273" s="91"/>
      <c r="C273" s="84">
        <v>801</v>
      </c>
      <c r="D273" s="445"/>
      <c r="E273" s="93"/>
      <c r="F273" s="94"/>
      <c r="G273" s="387">
        <v>77468209</v>
      </c>
      <c r="H273" s="50">
        <f t="shared" ref="H273:H274" si="255">H274</f>
        <v>0</v>
      </c>
      <c r="I273" s="50">
        <f t="shared" si="219"/>
        <v>77468209</v>
      </c>
      <c r="J273" s="387">
        <v>75437161</v>
      </c>
      <c r="K273" s="50">
        <f t="shared" ref="K273:K274" si="256">K274</f>
        <v>0</v>
      </c>
      <c r="L273" s="50">
        <f t="shared" si="220"/>
        <v>75437161</v>
      </c>
    </row>
    <row r="274" spans="1:12" ht="62.4">
      <c r="A274" s="49" t="str">
        <f>IF(B274&gt;0,VLOOKUP(B274,КВСР!A310:B1475,2),IF(C274&gt;0,VLOOKUP(C274,КФСР!A310:B1822,2),IF(D274&gt;0,VLOOKUP(D274,Программа!A$1:B$5063,2),IF(F274&gt;0,VLOOKUP(F274,КВР!A$1:B$5001,2),IF(E274&gt;0,VLOOKUP(E274,Направление!A$1:B$4746,2))))))</f>
        <v>Муниципальная программа  "Развитие культуры, туризма и молодежной политики в Тутаевском муниципальном районе"</v>
      </c>
      <c r="B274" s="91"/>
      <c r="C274" s="84"/>
      <c r="D274" s="445" t="s">
        <v>2721</v>
      </c>
      <c r="E274" s="93"/>
      <c r="F274" s="94"/>
      <c r="G274" s="387">
        <v>77468209</v>
      </c>
      <c r="H274" s="50">
        <f t="shared" si="255"/>
        <v>0</v>
      </c>
      <c r="I274" s="50">
        <f t="shared" si="219"/>
        <v>77468209</v>
      </c>
      <c r="J274" s="387">
        <v>75437161</v>
      </c>
      <c r="K274" s="50">
        <f t="shared" si="256"/>
        <v>0</v>
      </c>
      <c r="L274" s="50">
        <f t="shared" si="220"/>
        <v>75437161</v>
      </c>
    </row>
    <row r="275" spans="1:12" ht="46.8">
      <c r="A275" s="49" t="str">
        <f>IF(B275&gt;0,VLOOKUP(B275,КВСР!A311:B1476,2),IF(C275&gt;0,VLOOKUP(C275,КФСР!A311:B1823,2),IF(D275&gt;0,VLOOKUP(D275,Программа!A$1:B$5063,2),IF(F275&gt;0,VLOOKUP(F275,КВР!A$1:B$5001,2),IF(E275&gt;0,VLOOKUP(E275,Направление!A$1:B$4746,2))))))</f>
        <v>Ведомственная целевая программа «Сохранение и развитие культуры Тутаевского муниципального района»</v>
      </c>
      <c r="B275" s="91"/>
      <c r="C275" s="84"/>
      <c r="D275" s="445" t="s">
        <v>2728</v>
      </c>
      <c r="E275" s="93"/>
      <c r="F275" s="94"/>
      <c r="G275" s="387">
        <v>77468209</v>
      </c>
      <c r="H275" s="50">
        <f t="shared" ref="H275" si="257">H276+H279</f>
        <v>0</v>
      </c>
      <c r="I275" s="50">
        <f t="shared" si="219"/>
        <v>77468209</v>
      </c>
      <c r="J275" s="387">
        <v>75437161</v>
      </c>
      <c r="K275" s="50">
        <f t="shared" ref="K275" si="258">K276+K279</f>
        <v>0</v>
      </c>
      <c r="L275" s="50">
        <f t="shared" si="220"/>
        <v>75437161</v>
      </c>
    </row>
    <row r="276" spans="1:12" ht="31.2">
      <c r="A276" s="49" t="str">
        <f>IF(B276&gt;0,VLOOKUP(B276,КВСР!A312:B1477,2),IF(C276&gt;0,VLOOKUP(C276,КФСР!A312:B1824,2),IF(D276&gt;0,VLOOKUP(D276,Программа!A$1:B$5063,2),IF(F276&gt;0,VLOOKUP(F276,КВР!A$1:B$5001,2),IF(E276&gt;0,VLOOKUP(E276,Направление!A$1:B$4746,2))))))</f>
        <v>Содействие доступу граждан к культурным ценностям</v>
      </c>
      <c r="B276" s="91"/>
      <c r="C276" s="84"/>
      <c r="D276" s="445" t="s">
        <v>2731</v>
      </c>
      <c r="E276" s="93"/>
      <c r="F276" s="94"/>
      <c r="G276" s="387">
        <v>61057103</v>
      </c>
      <c r="H276" s="50">
        <f t="shared" ref="H276:H277" si="259">H277</f>
        <v>0</v>
      </c>
      <c r="I276" s="50">
        <f t="shared" si="219"/>
        <v>61057103</v>
      </c>
      <c r="J276" s="387">
        <v>59415790</v>
      </c>
      <c r="K276" s="50">
        <f t="shared" ref="K276:K277" si="260">K277</f>
        <v>0</v>
      </c>
      <c r="L276" s="50">
        <f t="shared" si="220"/>
        <v>59415790</v>
      </c>
    </row>
    <row r="277" spans="1:12" ht="31.2">
      <c r="A277" s="49" t="str">
        <f>IF(B277&gt;0,VLOOKUP(B277,КВСР!A312:B1477,2),IF(C277&gt;0,VLOOKUP(C277,КФСР!A312:B1824,2),IF(D277&gt;0,VLOOKUP(D277,Программа!A$1:B$5063,2),IF(F277&gt;0,VLOOKUP(F277,КВР!A$1:B$5001,2),IF(E277&gt;0,VLOOKUP(E277,Направление!A$1:B$4746,2))))))</f>
        <v>Обеспечение деятельности учреждений по организации досуга в сфере культуры</v>
      </c>
      <c r="B277" s="91"/>
      <c r="C277" s="84"/>
      <c r="D277" s="445"/>
      <c r="E277" s="93">
        <v>15010</v>
      </c>
      <c r="F277" s="94"/>
      <c r="G277" s="387">
        <v>61057103</v>
      </c>
      <c r="H277" s="50">
        <f t="shared" si="259"/>
        <v>0</v>
      </c>
      <c r="I277" s="50">
        <f t="shared" si="219"/>
        <v>61057103</v>
      </c>
      <c r="J277" s="387">
        <v>59415790</v>
      </c>
      <c r="K277" s="50">
        <f t="shared" si="260"/>
        <v>0</v>
      </c>
      <c r="L277" s="50">
        <f t="shared" si="220"/>
        <v>59415790</v>
      </c>
    </row>
    <row r="278" spans="1:12" ht="46.8">
      <c r="A278" s="49" t="str">
        <f>IF(B278&gt;0,VLOOKUP(B278,КВСР!A313:B1478,2),IF(C278&gt;0,VLOOKUP(C278,КФСР!A313:B1825,2),IF(D278&gt;0,VLOOKUP(D278,Программа!A$1:B$5063,2),IF(F278&gt;0,VLOOKUP(F278,КВР!A$1:B$5001,2),IF(E278&gt;0,VLOOKUP(E278,Направление!A$1:B$4746,2))))))</f>
        <v>Предоставление субсидий бюджетным, автономным учреждениям и иным некоммерческим организациям</v>
      </c>
      <c r="B278" s="91"/>
      <c r="C278" s="84"/>
      <c r="D278" s="445"/>
      <c r="E278" s="93"/>
      <c r="F278" s="94">
        <v>600</v>
      </c>
      <c r="G278" s="387">
        <v>61057103</v>
      </c>
      <c r="H278" s="385"/>
      <c r="I278" s="50">
        <f t="shared" si="219"/>
        <v>61057103</v>
      </c>
      <c r="J278" s="387">
        <v>59415790</v>
      </c>
      <c r="K278" s="385"/>
      <c r="L278" s="50">
        <f t="shared" si="220"/>
        <v>59415790</v>
      </c>
    </row>
    <row r="279" spans="1:12" ht="46.8">
      <c r="A279" s="49" t="str">
        <f>IF(B279&gt;0,VLOOKUP(B279,КВСР!A314:B1479,2),IF(C279&gt;0,VLOOKUP(C279,КФСР!A314:B1826,2),IF(D279&gt;0,VLOOKUP(D279,Программа!A$1:B$5063,2),IF(F279&gt;0,VLOOKUP(F279,КВР!A$1:B$5001,2),IF(E279&gt;0,VLOOKUP(E279,Направление!A$1:B$4746,2))))))</f>
        <v>Поддержка доступа граждан к информационно-библиотечным ресурсам</v>
      </c>
      <c r="B279" s="91"/>
      <c r="C279" s="84"/>
      <c r="D279" s="445" t="s">
        <v>2734</v>
      </c>
      <c r="E279" s="93"/>
      <c r="F279" s="94"/>
      <c r="G279" s="387">
        <v>16411106</v>
      </c>
      <c r="H279" s="50">
        <f t="shared" ref="H279:H280" si="261">H280</f>
        <v>0</v>
      </c>
      <c r="I279" s="50">
        <f t="shared" si="219"/>
        <v>16411106</v>
      </c>
      <c r="J279" s="387">
        <v>16021371</v>
      </c>
      <c r="K279" s="50">
        <f t="shared" ref="K279:K280" si="262">K280</f>
        <v>0</v>
      </c>
      <c r="L279" s="50">
        <f t="shared" si="220"/>
        <v>16021371</v>
      </c>
    </row>
    <row r="280" spans="1:12" ht="15.6">
      <c r="A280" s="49" t="str">
        <f>IF(B280&gt;0,VLOOKUP(B280,КВСР!A315:B1480,2),IF(C280&gt;0,VLOOKUP(C280,КФСР!A315:B1827,2),IF(D280&gt;0,VLOOKUP(D280,Программа!A$1:B$5063,2),IF(F280&gt;0,VLOOKUP(F280,КВР!A$1:B$5001,2),IF(E280&gt;0,VLOOKUP(E280,Направление!A$1:B$4746,2))))))</f>
        <v>Обеспечение деятельности библиотек</v>
      </c>
      <c r="B280" s="91"/>
      <c r="C280" s="84"/>
      <c r="D280" s="445"/>
      <c r="E280" s="93">
        <v>15110</v>
      </c>
      <c r="F280" s="94"/>
      <c r="G280" s="387">
        <v>16411106</v>
      </c>
      <c r="H280" s="50">
        <f t="shared" si="261"/>
        <v>0</v>
      </c>
      <c r="I280" s="50">
        <f t="shared" si="219"/>
        <v>16411106</v>
      </c>
      <c r="J280" s="387">
        <v>16021371</v>
      </c>
      <c r="K280" s="50">
        <f t="shared" si="262"/>
        <v>0</v>
      </c>
      <c r="L280" s="50">
        <f t="shared" si="220"/>
        <v>16021371</v>
      </c>
    </row>
    <row r="281" spans="1:12" ht="46.8">
      <c r="A281" s="49" t="str">
        <f>IF(B281&gt;0,VLOOKUP(B281,КВСР!A316:B1481,2),IF(C281&gt;0,VLOOKUP(C281,КФСР!A316:B1828,2),IF(D281&gt;0,VLOOKUP(D281,Программа!A$1:B$5063,2),IF(F281&gt;0,VLOOKUP(F281,КВР!A$1:B$5001,2),IF(E281&gt;0,VLOOKUP(E281,Направление!A$1:B$4746,2))))))</f>
        <v>Предоставление субсидий бюджетным, автономным учреждениям и иным некоммерческим организациям</v>
      </c>
      <c r="B281" s="91"/>
      <c r="C281" s="84"/>
      <c r="D281" s="445"/>
      <c r="E281" s="93"/>
      <c r="F281" s="94">
        <v>600</v>
      </c>
      <c r="G281" s="387">
        <v>16411106</v>
      </c>
      <c r="H281" s="385"/>
      <c r="I281" s="50">
        <f t="shared" si="219"/>
        <v>16411106</v>
      </c>
      <c r="J281" s="387">
        <v>16021371</v>
      </c>
      <c r="K281" s="385"/>
      <c r="L281" s="50">
        <f t="shared" si="220"/>
        <v>16021371</v>
      </c>
    </row>
    <row r="282" spans="1:12" ht="31.2">
      <c r="A282" s="49" t="str">
        <f>IF(B282&gt;0,VLOOKUP(B282,КВСР!A317:B1482,2),IF(C282&gt;0,VLOOKUP(C282,КФСР!A317:B1829,2),IF(D282&gt;0,VLOOKUP(D282,Программа!A$1:B$5063,2),IF(F282&gt;0,VLOOKUP(F282,КВР!A$1:B$5001,2),IF(E282&gt;0,VLOOKUP(E282,Направление!A$1:B$4746,2))))))</f>
        <v>Другие вопросы в области культуры, кинематографии</v>
      </c>
      <c r="B282" s="91"/>
      <c r="C282" s="84">
        <v>804</v>
      </c>
      <c r="D282" s="444"/>
      <c r="E282" s="84"/>
      <c r="F282" s="85"/>
      <c r="G282" s="387">
        <v>8902735</v>
      </c>
      <c r="H282" s="50">
        <f t="shared" ref="H282" si="263">H283</f>
        <v>0</v>
      </c>
      <c r="I282" s="50">
        <f t="shared" si="219"/>
        <v>8902735</v>
      </c>
      <c r="J282" s="387">
        <v>8540341</v>
      </c>
      <c r="K282" s="50">
        <f t="shared" ref="K282" si="264">K283</f>
        <v>0</v>
      </c>
      <c r="L282" s="50">
        <f t="shared" si="220"/>
        <v>8540341</v>
      </c>
    </row>
    <row r="283" spans="1:12" ht="62.4">
      <c r="A283" s="49" t="str">
        <f>IF(B283&gt;0,VLOOKUP(B283,КВСР!A329:B1494,2),IF(C283&gt;0,VLOOKUP(C283,КФСР!A329:B1841,2),IF(D283&gt;0,VLOOKUP(D283,Программа!A$1:B$5063,2),IF(F283&gt;0,VLOOKUP(F283,КВР!A$1:B$5001,2),IF(E283&gt;0,VLOOKUP(E283,Направление!A$1:B$4746,2))))))</f>
        <v>Муниципальная программа  "Развитие культуры, туризма и молодежной политики в Тутаевском муниципальном районе"</v>
      </c>
      <c r="B283" s="91"/>
      <c r="C283" s="84"/>
      <c r="D283" s="444" t="s">
        <v>2721</v>
      </c>
      <c r="E283" s="84"/>
      <c r="F283" s="85"/>
      <c r="G283" s="387">
        <v>8902735</v>
      </c>
      <c r="H283" s="50">
        <f t="shared" ref="H283" si="265">H285</f>
        <v>0</v>
      </c>
      <c r="I283" s="50">
        <f t="shared" si="219"/>
        <v>8902735</v>
      </c>
      <c r="J283" s="387">
        <v>8540341</v>
      </c>
      <c r="K283" s="50">
        <f t="shared" ref="K283" si="266">K285</f>
        <v>0</v>
      </c>
      <c r="L283" s="50">
        <f t="shared" si="220"/>
        <v>8540341</v>
      </c>
    </row>
    <row r="284" spans="1:12" ht="46.8">
      <c r="A284" s="49" t="str">
        <f>IF(B284&gt;0,VLOOKUP(B284,КВСР!A330:B1495,2),IF(C284&gt;0,VLOOKUP(C284,КФСР!A330:B1842,2),IF(D284&gt;0,VLOOKUP(D284,Программа!A$1:B$5063,2),IF(F284&gt;0,VLOOKUP(F284,КВР!A$1:B$5001,2),IF(E284&gt;0,VLOOKUP(E284,Направление!A$1:B$4746,2))))))</f>
        <v>Ведомственная целевая программа «Сохранение и развитие культуры Тутаевского муниципального района»</v>
      </c>
      <c r="B284" s="91"/>
      <c r="C284" s="84"/>
      <c r="D284" s="444" t="s">
        <v>2728</v>
      </c>
      <c r="E284" s="84"/>
      <c r="F284" s="85"/>
      <c r="G284" s="387">
        <v>8902735</v>
      </c>
      <c r="H284" s="50">
        <f t="shared" ref="H284" si="267">H285</f>
        <v>0</v>
      </c>
      <c r="I284" s="50">
        <f t="shared" si="219"/>
        <v>8902735</v>
      </c>
      <c r="J284" s="387">
        <v>8540341</v>
      </c>
      <c r="K284" s="50">
        <f t="shared" ref="K284" si="268">K285</f>
        <v>0</v>
      </c>
      <c r="L284" s="50">
        <f t="shared" si="220"/>
        <v>8540341</v>
      </c>
    </row>
    <row r="285" spans="1:12" ht="31.2">
      <c r="A285" s="49" t="str">
        <f>IF(B285&gt;0,VLOOKUP(B285,КВСР!A331:B1496,2),IF(C285&gt;0,VLOOKUP(C285,КФСР!A331:B1843,2),IF(D285&gt;0,VLOOKUP(D285,Программа!A$1:B$5063,2),IF(F285&gt;0,VLOOKUP(F285,КВР!A$1:B$5001,2),IF(E285&gt;0,VLOOKUP(E285,Направление!A$1:B$4746,2))))))</f>
        <v>Обеспечение эффективности управления системой культуры</v>
      </c>
      <c r="B285" s="91"/>
      <c r="C285" s="84"/>
      <c r="D285" s="77" t="s">
        <v>2735</v>
      </c>
      <c r="E285" s="88"/>
      <c r="F285" s="85"/>
      <c r="G285" s="387">
        <v>8902735</v>
      </c>
      <c r="H285" s="50">
        <f t="shared" ref="H285" si="269">H286+H288+H290</f>
        <v>0</v>
      </c>
      <c r="I285" s="50">
        <f t="shared" si="219"/>
        <v>8902735</v>
      </c>
      <c r="J285" s="387">
        <v>8540341</v>
      </c>
      <c r="K285" s="50">
        <f t="shared" ref="K285" si="270">K286+K288+K290</f>
        <v>0</v>
      </c>
      <c r="L285" s="50">
        <f t="shared" si="220"/>
        <v>8540341</v>
      </c>
    </row>
    <row r="286" spans="1:12" ht="15.6">
      <c r="A286" s="49" t="str">
        <f>IF(B286&gt;0,VLOOKUP(B286,КВСР!A332:B1497,2),IF(C286&gt;0,VLOOKUP(C286,КФСР!A332:B1844,2),IF(D286&gt;0,VLOOKUP(D286,Программа!A$1:B$5063,2),IF(F286&gt;0,VLOOKUP(F286,КВР!A$1:B$5001,2),IF(E286&gt;0,VLOOKUP(E286,Направление!A$1:B$4746,2))))))</f>
        <v>Содержание центрального аппарата</v>
      </c>
      <c r="B286" s="91"/>
      <c r="C286" s="84"/>
      <c r="D286" s="444"/>
      <c r="E286" s="84">
        <v>12010</v>
      </c>
      <c r="F286" s="85"/>
      <c r="G286" s="387">
        <v>4211200</v>
      </c>
      <c r="H286" s="50">
        <f t="shared" ref="H286" si="271">H287</f>
        <v>0</v>
      </c>
      <c r="I286" s="50">
        <f t="shared" si="219"/>
        <v>4211200</v>
      </c>
      <c r="J286" s="387">
        <v>4211200</v>
      </c>
      <c r="K286" s="50">
        <f t="shared" ref="K286" si="272">K287</f>
        <v>0</v>
      </c>
      <c r="L286" s="50">
        <f t="shared" si="220"/>
        <v>4211200</v>
      </c>
    </row>
    <row r="287" spans="1:12" ht="93.6">
      <c r="A287" s="49" t="str">
        <f>IF(B287&gt;0,VLOOKUP(B287,КВСР!A332:B1497,2),IF(C287&gt;0,VLOOKUP(C287,КФСР!A332:B1844,2),IF(D287&gt;0,VLOOKUP(D287,Программа!A$1:B$5063,2),IF(F287&gt;0,VLOOKUP(F287,КВР!A$1:B$5001,2),IF(E287&gt;0,VLOOKUP(E287,Направление!A$1:B$4746,2))))))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287" s="91"/>
      <c r="C287" s="84"/>
      <c r="D287" s="444"/>
      <c r="E287" s="84"/>
      <c r="F287" s="85">
        <v>100</v>
      </c>
      <c r="G287" s="387">
        <v>4211200</v>
      </c>
      <c r="H287" s="385"/>
      <c r="I287" s="50">
        <f t="shared" si="219"/>
        <v>4211200</v>
      </c>
      <c r="J287" s="387">
        <v>4211200</v>
      </c>
      <c r="K287" s="385"/>
      <c r="L287" s="50">
        <f t="shared" si="220"/>
        <v>4211200</v>
      </c>
    </row>
    <row r="288" spans="1:12" ht="31.2">
      <c r="A288" s="49" t="str">
        <f>IF(B288&gt;0,VLOOKUP(B288,КВСР!A333:B1498,2),IF(C288&gt;0,VLOOKUP(C288,КФСР!A333:B1845,2),IF(D288&gt;0,VLOOKUP(D288,Программа!A$1:B$5063,2),IF(F288&gt;0,VLOOKUP(F288,КВР!A$1:B$5001,2),IF(E288&gt;0,VLOOKUP(E288,Направление!A$1:B$4746,2))))))</f>
        <v>Обеспечение деятельности прочих учреждений в сфере культуры</v>
      </c>
      <c r="B288" s="91"/>
      <c r="C288" s="84"/>
      <c r="D288" s="444"/>
      <c r="E288" s="84">
        <v>15210</v>
      </c>
      <c r="F288" s="85"/>
      <c r="G288" s="387">
        <v>4329141</v>
      </c>
      <c r="H288" s="50">
        <f t="shared" ref="H288" si="273">H289</f>
        <v>0</v>
      </c>
      <c r="I288" s="50">
        <f t="shared" si="219"/>
        <v>4329141</v>
      </c>
      <c r="J288" s="387">
        <v>4329141</v>
      </c>
      <c r="K288" s="50">
        <f t="shared" ref="K288" si="274">K289</f>
        <v>0</v>
      </c>
      <c r="L288" s="50">
        <f t="shared" si="220"/>
        <v>4329141</v>
      </c>
    </row>
    <row r="289" spans="1:12" ht="93.6">
      <c r="A289" s="49" t="str">
        <f>IF(B289&gt;0,VLOOKUP(B289,КВСР!A334:B1499,2),IF(C289&gt;0,VLOOKUP(C289,КФСР!A334:B1846,2),IF(D289&gt;0,VLOOKUP(D289,Программа!A$1:B$5063,2),IF(F289&gt;0,VLOOKUP(F289,КВР!A$1:B$5001,2),IF(E289&gt;0,VLOOKUP(E289,Направление!A$1:B$4746,2))))))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289" s="91"/>
      <c r="C289" s="84"/>
      <c r="D289" s="444"/>
      <c r="E289" s="84"/>
      <c r="F289" s="85">
        <v>100</v>
      </c>
      <c r="G289" s="387">
        <v>4329141</v>
      </c>
      <c r="H289" s="385"/>
      <c r="I289" s="50">
        <f t="shared" si="219"/>
        <v>4329141</v>
      </c>
      <c r="J289" s="387">
        <v>4329141</v>
      </c>
      <c r="K289" s="385"/>
      <c r="L289" s="50">
        <f t="shared" si="220"/>
        <v>4329141</v>
      </c>
    </row>
    <row r="290" spans="1:12" ht="46.8">
      <c r="A290" s="49" t="str">
        <f>IF(B290&gt;0,VLOOKUP(B290,КВСР!A335:B1500,2),IF(C290&gt;0,VLOOKUP(C290,КФСР!A335:B1847,2),IF(D290&gt;0,VLOOKUP(D290,Программа!A$1:B$5063,2),IF(F290&gt;0,VLOOKUP(F290,КВР!A$1:B$5001,2),IF(E290&gt;0,VLOOKUP(E290,Направление!A$1:B$4746,2))))))</f>
        <v>Содержание органов местного самоуправления за счет средств поселений</v>
      </c>
      <c r="B290" s="91"/>
      <c r="C290" s="84"/>
      <c r="D290" s="444"/>
      <c r="E290" s="84">
        <v>29016</v>
      </c>
      <c r="F290" s="85"/>
      <c r="G290" s="387">
        <v>362394</v>
      </c>
      <c r="H290" s="50">
        <f t="shared" ref="H290" si="275">H291+H292</f>
        <v>0</v>
      </c>
      <c r="I290" s="50">
        <f t="shared" si="219"/>
        <v>362394</v>
      </c>
      <c r="J290" s="387">
        <v>0</v>
      </c>
      <c r="K290" s="50">
        <f t="shared" ref="K290" si="276">K291+K292</f>
        <v>0</v>
      </c>
      <c r="L290" s="50">
        <f t="shared" si="220"/>
        <v>0</v>
      </c>
    </row>
    <row r="291" spans="1:12" ht="93.6">
      <c r="A291" s="49" t="str">
        <f>IF(B291&gt;0,VLOOKUP(B291,КВСР!A336:B1501,2),IF(C291&gt;0,VLOOKUP(C291,КФСР!A336:B1848,2),IF(D291&gt;0,VLOOKUP(D291,Программа!A$1:B$5063,2),IF(F291&gt;0,VLOOKUP(F291,КВР!A$1:B$5001,2),IF(E291&gt;0,VLOOKUP(E291,Направление!A$1:B$4746,2))))))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291" s="91"/>
      <c r="C291" s="84"/>
      <c r="D291" s="444"/>
      <c r="E291" s="84"/>
      <c r="F291" s="85">
        <v>100</v>
      </c>
      <c r="G291" s="387">
        <v>329449</v>
      </c>
      <c r="H291" s="385"/>
      <c r="I291" s="50">
        <f t="shared" si="219"/>
        <v>329449</v>
      </c>
      <c r="J291" s="387">
        <v>0</v>
      </c>
      <c r="K291" s="385"/>
      <c r="L291" s="50">
        <f t="shared" si="220"/>
        <v>0</v>
      </c>
    </row>
    <row r="292" spans="1:12" ht="31.2">
      <c r="A292" s="49" t="str">
        <f>IF(B292&gt;0,VLOOKUP(B292,КВСР!A337:B1502,2),IF(C292&gt;0,VLOOKUP(C292,КФСР!A337:B1849,2),IF(D292&gt;0,VLOOKUP(D292,Программа!A$1:B$5063,2),IF(F292&gt;0,VLOOKUP(F292,КВР!A$1:B$5001,2),IF(E292&gt;0,VLOOKUP(E292,Направление!A$1:B$4746,2))))))</f>
        <v>Закупка товаров, работ и услуг для государственных нужд</v>
      </c>
      <c r="B292" s="91"/>
      <c r="C292" s="84"/>
      <c r="D292" s="444"/>
      <c r="E292" s="84"/>
      <c r="F292" s="85">
        <v>200</v>
      </c>
      <c r="G292" s="387">
        <v>32945</v>
      </c>
      <c r="H292" s="385"/>
      <c r="I292" s="50">
        <f t="shared" si="219"/>
        <v>32945</v>
      </c>
      <c r="J292" s="387">
        <v>0</v>
      </c>
      <c r="K292" s="385"/>
      <c r="L292" s="50">
        <f t="shared" si="220"/>
        <v>0</v>
      </c>
    </row>
    <row r="293" spans="1:12" ht="15.6">
      <c r="A293" s="49" t="str">
        <f>IF(B293&gt;0,VLOOKUP(B293,КВСР!A347:B1512,2),IF(C293&gt;0,VLOOKUP(C293,КФСР!A347:B1859,2),IF(D293&gt;0,VLOOKUP(D293,Программа!A$1:B$5063,2),IF(F293&gt;0,VLOOKUP(F293,КВР!A$1:B$5001,2),IF(E293&gt;0,VLOOKUP(E293,Направление!A$1:B$4746,2))))))</f>
        <v>Периодическая печать и издательства</v>
      </c>
      <c r="B293" s="91"/>
      <c r="C293" s="84">
        <v>1202</v>
      </c>
      <c r="D293" s="444"/>
      <c r="E293" s="84"/>
      <c r="F293" s="85"/>
      <c r="G293" s="387">
        <v>4210000</v>
      </c>
      <c r="H293" s="50">
        <f t="shared" ref="H293:H295" si="277">H294</f>
        <v>0</v>
      </c>
      <c r="I293" s="50">
        <f t="shared" si="219"/>
        <v>4210000</v>
      </c>
      <c r="J293" s="387">
        <v>3310000</v>
      </c>
      <c r="K293" s="50">
        <f t="shared" ref="K293:K295" si="278">K294</f>
        <v>0</v>
      </c>
      <c r="L293" s="50">
        <f t="shared" si="220"/>
        <v>3310000</v>
      </c>
    </row>
    <row r="294" spans="1:12" ht="15.6">
      <c r="A294" s="49" t="str">
        <f>IF(B294&gt;0,VLOOKUP(B294,КВСР!A348:B1513,2),IF(C294&gt;0,VLOOKUP(C294,КФСР!A348:B1860,2),IF(D294&gt;0,VLOOKUP(D294,Программа!A$1:B$5063,2),IF(F294&gt;0,VLOOKUP(F294,КВР!A$1:B$5001,2),IF(E294&gt;0,VLOOKUP(E294,Направление!A$1:B$4746,2))))))</f>
        <v>Непрограммные расходы бюджета</v>
      </c>
      <c r="B294" s="91"/>
      <c r="C294" s="84"/>
      <c r="D294" s="444" t="s">
        <v>2852</v>
      </c>
      <c r="E294" s="84"/>
      <c r="F294" s="85"/>
      <c r="G294" s="387">
        <v>4210000</v>
      </c>
      <c r="H294" s="50">
        <f>H295+H297</f>
        <v>0</v>
      </c>
      <c r="I294" s="50">
        <f t="shared" ref="I294:L294" si="279">I295+I297</f>
        <v>4210000</v>
      </c>
      <c r="J294" s="50">
        <v>3310000</v>
      </c>
      <c r="K294" s="50">
        <f t="shared" si="279"/>
        <v>0</v>
      </c>
      <c r="L294" s="50">
        <f t="shared" si="279"/>
        <v>3310000</v>
      </c>
    </row>
    <row r="295" spans="1:12" ht="15.6">
      <c r="A295" s="49" t="str">
        <f>IF(B295&gt;0,VLOOKUP(B295,КВСР!A349:B1514,2),IF(C295&gt;0,VLOOKUP(C295,КФСР!A349:B1861,2),IF(D295&gt;0,VLOOKUP(D295,Программа!A$1:B$5063,2),IF(F295&gt;0,VLOOKUP(F295,КВР!A$1:B$5001,2),IF(E295&gt;0,VLOOKUP(E295,Направление!A$1:B$4746,2))))))</f>
        <v xml:space="preserve">Поддержка периодических изданий </v>
      </c>
      <c r="B295" s="91"/>
      <c r="C295" s="84"/>
      <c r="D295" s="444"/>
      <c r="E295" s="84">
        <v>12750</v>
      </c>
      <c r="F295" s="85"/>
      <c r="G295" s="387">
        <v>3310000</v>
      </c>
      <c r="H295" s="50">
        <f t="shared" si="277"/>
        <v>0</v>
      </c>
      <c r="I295" s="50">
        <f t="shared" si="219"/>
        <v>3310000</v>
      </c>
      <c r="J295" s="387">
        <v>3310000</v>
      </c>
      <c r="K295" s="50">
        <f t="shared" si="278"/>
        <v>0</v>
      </c>
      <c r="L295" s="50">
        <f t="shared" si="220"/>
        <v>3310000</v>
      </c>
    </row>
    <row r="296" spans="1:12" ht="46.8">
      <c r="A296" s="49" t="str">
        <f>IF(B296&gt;0,VLOOKUP(B296,КВСР!A350:B1515,2),IF(C296&gt;0,VLOOKUP(C296,КФСР!A350:B1862,2),IF(D296&gt;0,VLOOKUP(D296,Программа!A$1:B$5063,2),IF(F296&gt;0,VLOOKUP(F296,КВР!A$1:B$5001,2),IF(E296&gt;0,VLOOKUP(E296,Направление!A$1:B$4746,2))))))</f>
        <v>Предоставление субсидий бюджетным, автономным учреждениям и иным некоммерческим организациям</v>
      </c>
      <c r="B296" s="91"/>
      <c r="C296" s="84"/>
      <c r="D296" s="444"/>
      <c r="E296" s="84"/>
      <c r="F296" s="85">
        <v>600</v>
      </c>
      <c r="G296" s="387">
        <v>3310000</v>
      </c>
      <c r="H296" s="385"/>
      <c r="I296" s="50">
        <f t="shared" si="219"/>
        <v>3310000</v>
      </c>
      <c r="J296" s="387">
        <v>3310000</v>
      </c>
      <c r="K296" s="385"/>
      <c r="L296" s="50">
        <f t="shared" si="220"/>
        <v>3310000</v>
      </c>
    </row>
    <row r="297" spans="1:12" ht="31.2">
      <c r="A297" s="49" t="str">
        <f>IF(B297&gt;0,VLOOKUP(B297,КВСР!A351:B1516,2),IF(C297&gt;0,VLOOKUP(C297,КФСР!A351:B1863,2),IF(D297&gt;0,VLOOKUP(D297,Программа!A$1:B$5063,2),IF(F297&gt;0,VLOOKUP(F297,КВР!A$1:B$5001,2),IF(E297&gt;0,VLOOKUP(E297,Направление!A$1:B$4746,2))))))</f>
        <v>Обеспечение мероприятий по поддержке СМИ</v>
      </c>
      <c r="B297" s="91"/>
      <c r="C297" s="84"/>
      <c r="D297" s="444"/>
      <c r="E297" s="84">
        <v>29366</v>
      </c>
      <c r="F297" s="85"/>
      <c r="G297" s="387">
        <v>900000</v>
      </c>
      <c r="H297" s="387">
        <f t="shared" ref="H297:L297" si="280">H298</f>
        <v>0</v>
      </c>
      <c r="I297" s="387">
        <f t="shared" si="280"/>
        <v>900000</v>
      </c>
      <c r="J297" s="387">
        <v>0</v>
      </c>
      <c r="K297" s="387">
        <f t="shared" si="280"/>
        <v>0</v>
      </c>
      <c r="L297" s="387">
        <f t="shared" si="280"/>
        <v>0</v>
      </c>
    </row>
    <row r="298" spans="1:12" ht="46.8">
      <c r="A298" s="49" t="str">
        <f>IF(B298&gt;0,VLOOKUP(B298,КВСР!A352:B1517,2),IF(C298&gt;0,VLOOKUP(C298,КФСР!A352:B1864,2),IF(D298&gt;0,VLOOKUP(D298,Программа!A$1:B$5063,2),IF(F298&gt;0,VLOOKUP(F298,КВР!A$1:B$5001,2),IF(E298&gt;0,VLOOKUP(E298,Направление!A$1:B$4746,2))))))</f>
        <v>Предоставление субсидий бюджетным, автономным учреждениям и иным некоммерческим организациям</v>
      </c>
      <c r="B298" s="91"/>
      <c r="C298" s="84"/>
      <c r="D298" s="444"/>
      <c r="E298" s="84"/>
      <c r="F298" s="85">
        <v>600</v>
      </c>
      <c r="G298" s="387">
        <v>900000</v>
      </c>
      <c r="H298" s="385"/>
      <c r="I298" s="50">
        <f>G298+H298</f>
        <v>900000</v>
      </c>
      <c r="J298" s="387">
        <v>0</v>
      </c>
      <c r="K298" s="385"/>
      <c r="L298" s="50">
        <f>J298+K298</f>
        <v>0</v>
      </c>
    </row>
    <row r="299" spans="1:12" ht="31.2">
      <c r="A299" s="300" t="str">
        <f>IF(B299&gt;0,VLOOKUP(B299,КВСР!A366:B1531,2),IF(C299&gt;0,VLOOKUP(C299,КФСР!A366:B1878,2),IF(D299&gt;0,VLOOKUP(D299,Программа!A$1:B$5063,2),IF(F299&gt;0,VLOOKUP(F299,КВР!A$1:B$5001,2),IF(E299&gt;0,VLOOKUP(E299,Направление!A$1:B$4746,2))))))</f>
        <v>Департамент ЖКХ и строительства Администрации ТМР</v>
      </c>
      <c r="B299" s="87">
        <v>958</v>
      </c>
      <c r="C299" s="88"/>
      <c r="D299" s="77"/>
      <c r="E299" s="88"/>
      <c r="F299" s="89"/>
      <c r="G299" s="595">
        <v>148486631</v>
      </c>
      <c r="H299" s="86">
        <f>H300+H311+H315+H329+H354+H370+H397+H414+H422+H304</f>
        <v>5631697</v>
      </c>
      <c r="I299" s="86">
        <f>I300+I311+I315+I329+I354+I370+I397+I414+I422+I304</f>
        <v>154118328</v>
      </c>
      <c r="J299" s="595">
        <v>55246034</v>
      </c>
      <c r="K299" s="86">
        <f>K300+K311+K329+K370+K414+K315+K422+K304</f>
        <v>0</v>
      </c>
      <c r="L299" s="86">
        <f t="shared" si="220"/>
        <v>55246034</v>
      </c>
    </row>
    <row r="300" spans="1:12" ht="15.6">
      <c r="A300" s="49" t="str">
        <f>IF(B300&gt;0,VLOOKUP(B300,КВСР!A357:B1522,2),IF(C300&gt;0,VLOOKUP(C300,КФСР!A357:B1869,2),IF(D300&gt;0,VLOOKUP(D300,Программа!A$1:B$5063,2),IF(F300&gt;0,VLOOKUP(F300,КВР!A$1:B$5001,2),IF(E300&gt;0,VLOOKUP(E300,Направление!A$1:B$4746,2))))))</f>
        <v>Другие общегосударственные вопросы</v>
      </c>
      <c r="B300" s="87"/>
      <c r="C300" s="88">
        <v>113</v>
      </c>
      <c r="D300" s="77"/>
      <c r="E300" s="88"/>
      <c r="F300" s="89"/>
      <c r="G300" s="387">
        <v>8095392</v>
      </c>
      <c r="H300" s="50">
        <f t="shared" ref="H300:H302" si="281">H301</f>
        <v>0</v>
      </c>
      <c r="I300" s="50">
        <f t="shared" si="219"/>
        <v>8095392</v>
      </c>
      <c r="J300" s="387">
        <v>8095392</v>
      </c>
      <c r="K300" s="50">
        <f t="shared" ref="K300:K302" si="282">K301</f>
        <v>0</v>
      </c>
      <c r="L300" s="50">
        <f t="shared" si="220"/>
        <v>8095392</v>
      </c>
    </row>
    <row r="301" spans="1:12" ht="15.6">
      <c r="A301" s="49" t="str">
        <f>IF(B301&gt;0,VLOOKUP(B301,КВСР!A358:B1523,2),IF(C301&gt;0,VLOOKUP(C301,КФСР!A358:B1870,2),IF(D301&gt;0,VLOOKUP(D301,Программа!A$1:B$5063,2),IF(F301&gt;0,VLOOKUP(F301,КВР!A$1:B$5001,2),IF(E301&gt;0,VLOOKUP(E301,Направление!A$1:B$4746,2))))))</f>
        <v>Непрограммные расходы бюджета</v>
      </c>
      <c r="B301" s="87"/>
      <c r="C301" s="88"/>
      <c r="D301" s="77" t="s">
        <v>2852</v>
      </c>
      <c r="E301" s="88"/>
      <c r="F301" s="89"/>
      <c r="G301" s="387">
        <v>8095392</v>
      </c>
      <c r="H301" s="50">
        <f t="shared" si="281"/>
        <v>0</v>
      </c>
      <c r="I301" s="50">
        <f t="shared" si="219"/>
        <v>8095392</v>
      </c>
      <c r="J301" s="387">
        <v>8095392</v>
      </c>
      <c r="K301" s="50">
        <f t="shared" si="282"/>
        <v>0</v>
      </c>
      <c r="L301" s="50">
        <f t="shared" si="220"/>
        <v>8095392</v>
      </c>
    </row>
    <row r="302" spans="1:12" ht="46.8">
      <c r="A302" s="49" t="str">
        <f>IF(B302&gt;0,VLOOKUP(B302,КВСР!A359:B1524,2),IF(C302&gt;0,VLOOKUP(C302,КФСР!A359:B1871,2),IF(D302&gt;0,VLOOKUP(D302,Программа!A$1:B$5063,2),IF(F302&gt;0,VLOOKUP(F302,КВР!A$1:B$5001,2),IF(E302&gt;0,VLOOKUP(E302,Направление!A$1:B$4746,2))))))</f>
        <v>Обеспечение деятельности подведомственных учреждений органов местного самоуправления</v>
      </c>
      <c r="B302" s="87"/>
      <c r="C302" s="88"/>
      <c r="D302" s="77"/>
      <c r="E302" s="88">
        <v>12100</v>
      </c>
      <c r="F302" s="89"/>
      <c r="G302" s="387">
        <v>8095392</v>
      </c>
      <c r="H302" s="50">
        <f t="shared" si="281"/>
        <v>0</v>
      </c>
      <c r="I302" s="50">
        <f t="shared" si="219"/>
        <v>8095392</v>
      </c>
      <c r="J302" s="387">
        <v>8095392</v>
      </c>
      <c r="K302" s="50">
        <f t="shared" si="282"/>
        <v>0</v>
      </c>
      <c r="L302" s="50">
        <f t="shared" si="220"/>
        <v>8095392</v>
      </c>
    </row>
    <row r="303" spans="1:12" ht="46.8">
      <c r="A303" s="49" t="str">
        <f>IF(B303&gt;0,VLOOKUP(B303,КВСР!A360:B1525,2),IF(C303&gt;0,VLOOKUP(C303,КФСР!A360:B1872,2),IF(D303&gt;0,VLOOKUP(D303,Программа!A$1:B$5063,2),IF(F303&gt;0,VLOOKUP(F303,КВР!A$1:B$5001,2),IF(E303&gt;0,VLOOKUP(E303,Направление!A$1:B$4746,2))))))</f>
        <v>Предоставление субсидий бюджетным, автономным учреждениям и иным некоммерческим организациям</v>
      </c>
      <c r="B303" s="87"/>
      <c r="C303" s="88"/>
      <c r="D303" s="77"/>
      <c r="E303" s="88"/>
      <c r="F303" s="89">
        <v>600</v>
      </c>
      <c r="G303" s="387">
        <v>8095392</v>
      </c>
      <c r="H303" s="385"/>
      <c r="I303" s="50">
        <f t="shared" si="219"/>
        <v>8095392</v>
      </c>
      <c r="J303" s="387">
        <v>8095392</v>
      </c>
      <c r="K303" s="385"/>
      <c r="L303" s="50">
        <f t="shared" si="220"/>
        <v>8095392</v>
      </c>
    </row>
    <row r="304" spans="1:12" ht="15.6">
      <c r="A304" s="49" t="str">
        <f>IF(B304&gt;0,VLOOKUP(B304,КВСР!A361:B1526,2),IF(C304&gt;0,VLOOKUP(C304,КФСР!A361:B1873,2),IF(D304&gt;0,VLOOKUP(D304,Программа!A$1:B$5063,2),IF(F304&gt;0,VLOOKUP(F304,КВР!A$1:B$5001,2),IF(E304&gt;0,VLOOKUP(E304,Направление!A$1:B$4746,2))))))</f>
        <v>Топливно-энергетический комплекс</v>
      </c>
      <c r="B304" s="87"/>
      <c r="C304" s="88">
        <v>402</v>
      </c>
      <c r="D304" s="77"/>
      <c r="E304" s="88"/>
      <c r="F304" s="89"/>
      <c r="G304" s="387">
        <v>900000</v>
      </c>
      <c r="H304" s="387">
        <f>H305</f>
        <v>0</v>
      </c>
      <c r="I304" s="387">
        <f>SUM(G304:H304)</f>
        <v>900000</v>
      </c>
      <c r="J304" s="387">
        <v>0</v>
      </c>
      <c r="K304" s="387">
        <f t="shared" ref="K304:L307" si="283">K305</f>
        <v>0</v>
      </c>
      <c r="L304" s="387">
        <f>SUM(J304:K304)</f>
        <v>0</v>
      </c>
    </row>
    <row r="305" spans="1:12" ht="62.4">
      <c r="A305" s="49" t="str">
        <f>IF(B305&gt;0,VLOOKUP(B305,КВСР!A362:B1527,2),IF(C305&gt;0,VLOOKUP(C305,КФСР!A362:B1874,2),IF(D305&gt;0,VLOOKUP(D305,Программа!A$1:B$5063,2),IF(F305&gt;0,VLOOKUP(F305,КВР!A$1:B$5001,2),IF(E305&gt;0,VLOOKUP(E305,Направление!A$1:B$4746,2))))))</f>
        <v>Муниципальная  программа "Об энергосбережении и повышении энергетической эффективности Тутаевского муниципального района"</v>
      </c>
      <c r="B305" s="87"/>
      <c r="C305" s="88"/>
      <c r="D305" s="77" t="s">
        <v>2778</v>
      </c>
      <c r="E305" s="88"/>
      <c r="F305" s="89"/>
      <c r="G305" s="387">
        <v>900000</v>
      </c>
      <c r="H305" s="387">
        <f>H306</f>
        <v>0</v>
      </c>
      <c r="I305" s="387">
        <f t="shared" ref="I305:I307" si="284">SUM(G305:H305)</f>
        <v>900000</v>
      </c>
      <c r="J305" s="387">
        <v>0</v>
      </c>
      <c r="K305" s="387">
        <f t="shared" si="283"/>
        <v>0</v>
      </c>
      <c r="L305" s="387">
        <f t="shared" si="283"/>
        <v>0</v>
      </c>
    </row>
    <row r="306" spans="1:12" ht="93.6">
      <c r="A306" s="49" t="str">
        <f>IF(B306&gt;0,VLOOKUP(B306,КВСР!A363:B1528,2),IF(C306&gt;0,VLOOKUP(C306,КФСР!A363:B1875,2),IF(D306&gt;0,VLOOKUP(D306,Программа!A$1:B$5063,2),IF(F306&gt;0,VLOOKUP(F306,КВР!A$1:B$5001,2),IF(E306&gt;0,VLOOKUP(E306,Направление!A$1:B$4746,2))))))</f>
        <v>Обеспечение рационального использования топливно- энергетических ресурсов при их производстве, передаче и потреблении и создание условий повышения энергетической эффективности</v>
      </c>
      <c r="B306" s="87"/>
      <c r="C306" s="88"/>
      <c r="D306" s="77" t="s">
        <v>2836</v>
      </c>
      <c r="E306" s="88"/>
      <c r="F306" s="89"/>
      <c r="G306" s="387">
        <v>900000</v>
      </c>
      <c r="H306" s="387">
        <f>H307+H309</f>
        <v>0</v>
      </c>
      <c r="I306" s="387">
        <f t="shared" si="284"/>
        <v>900000</v>
      </c>
      <c r="J306" s="387">
        <v>0</v>
      </c>
      <c r="K306" s="387">
        <f t="shared" si="283"/>
        <v>0</v>
      </c>
      <c r="L306" s="387">
        <f t="shared" si="283"/>
        <v>0</v>
      </c>
    </row>
    <row r="307" spans="1:12" ht="46.8">
      <c r="A307" s="49" t="str">
        <f>IF(B307&gt;0,VLOOKUP(B307,КВСР!A364:B1529,2),IF(C307&gt;0,VLOOKUP(C307,КФСР!A364:B1876,2),IF(D307&gt;0,VLOOKUP(D307,Программа!A$1:B$5063,2),IF(F307&gt;0,VLOOKUP(F307,КВР!A$1:B$5001,2),IF(E307&gt;0,VLOOKUP(E307,Направление!A$1:B$4746,2))))))</f>
        <v>Мероприятия по повышению энергоэффективности и энергосбережению</v>
      </c>
      <c r="B307" s="87"/>
      <c r="C307" s="88"/>
      <c r="D307" s="77"/>
      <c r="E307" s="88">
        <v>10400</v>
      </c>
      <c r="F307" s="89"/>
      <c r="G307" s="387">
        <v>300000</v>
      </c>
      <c r="H307" s="387">
        <f>H308</f>
        <v>0</v>
      </c>
      <c r="I307" s="387">
        <f t="shared" si="284"/>
        <v>300000</v>
      </c>
      <c r="J307" s="387">
        <v>0</v>
      </c>
      <c r="K307" s="387">
        <f t="shared" si="283"/>
        <v>0</v>
      </c>
      <c r="L307" s="387">
        <f t="shared" si="283"/>
        <v>0</v>
      </c>
    </row>
    <row r="308" spans="1:12" ht="46.8">
      <c r="A308" s="49" t="str">
        <f>IF(B308&gt;0,VLOOKUP(B308,КВСР!A365:B1530,2),IF(C308&gt;0,VLOOKUP(C308,КФСР!A365:B1877,2),IF(D308&gt;0,VLOOKUP(D308,Программа!A$1:B$5063,2),IF(F308&gt;0,VLOOKUP(F308,КВР!A$1:B$5001,2),IF(E308&gt;0,VLOOKUP(E308,Направление!A$1:B$4746,2))))))</f>
        <v>Предоставление субсидий бюджетным, автономным учреждениям и иным некоммерческим организациям</v>
      </c>
      <c r="B308" s="87"/>
      <c r="C308" s="88"/>
      <c r="D308" s="77"/>
      <c r="E308" s="88"/>
      <c r="F308" s="89">
        <v>600</v>
      </c>
      <c r="G308" s="387">
        <v>300000</v>
      </c>
      <c r="H308" s="385"/>
      <c r="I308" s="50">
        <f>SUM(G308:H308)</f>
        <v>300000</v>
      </c>
      <c r="J308" s="387">
        <v>0</v>
      </c>
      <c r="K308" s="385"/>
      <c r="L308" s="50">
        <f>SUM(J308:K308)</f>
        <v>0</v>
      </c>
    </row>
    <row r="309" spans="1:12" ht="31.2">
      <c r="A309" s="49" t="str">
        <f>IF(B309&gt;0,VLOOKUP(B309,КВСР!A365:B1530,2),IF(C309&gt;0,VLOOKUP(C309,КФСР!A365:B1877,2),IF(D309&gt;0,VLOOKUP(D309,Программа!A$1:B$5063,2),IF(F309&gt;0,VLOOKUP(F309,КВР!A$1:B$5001,2),IF(E309&gt;0,VLOOKUP(E309,Направление!A$1:B$4746,2))))))</f>
        <v>Обеспечение мероприятий по актуализации схем теплоснабжения</v>
      </c>
      <c r="B309" s="87"/>
      <c r="C309" s="88"/>
      <c r="D309" s="77"/>
      <c r="E309" s="88">
        <v>29536</v>
      </c>
      <c r="F309" s="89"/>
      <c r="G309" s="387">
        <v>600000</v>
      </c>
      <c r="H309" s="387">
        <f>H310</f>
        <v>0</v>
      </c>
      <c r="I309" s="50">
        <f t="shared" ref="I309:I310" si="285">SUM(G309:H309)</f>
        <v>600000</v>
      </c>
      <c r="J309" s="387"/>
      <c r="K309" s="385"/>
      <c r="L309" s="50"/>
    </row>
    <row r="310" spans="1:12" ht="46.8">
      <c r="A310" s="49" t="str">
        <f>IF(B310&gt;0,VLOOKUP(B310,КВСР!A366:B1531,2),IF(C310&gt;0,VLOOKUP(C310,КФСР!A366:B1878,2),IF(D310&gt;0,VLOOKUP(D310,Программа!A$1:B$5063,2),IF(F310&gt;0,VLOOKUP(F310,КВР!A$1:B$5001,2),IF(E310&gt;0,VLOOKUP(E310,Направление!A$1:B$4746,2))))))</f>
        <v>Предоставление субсидий бюджетным, автономным учреждениям и иным некоммерческим организациям</v>
      </c>
      <c r="B310" s="87"/>
      <c r="C310" s="88"/>
      <c r="D310" s="77"/>
      <c r="E310" s="88"/>
      <c r="F310" s="89">
        <v>600</v>
      </c>
      <c r="G310" s="387">
        <v>600000</v>
      </c>
      <c r="H310" s="385"/>
      <c r="I310" s="50">
        <f t="shared" si="285"/>
        <v>600000</v>
      </c>
      <c r="J310" s="387"/>
      <c r="K310" s="385"/>
      <c r="L310" s="50"/>
    </row>
    <row r="311" spans="1:12" ht="15.6">
      <c r="A311" s="49" t="str">
        <f>IF(B311&gt;0,VLOOKUP(B311,КВСР!A367:B1532,2),IF(C311&gt;0,VLOOKUP(C311,КФСР!A367:B1879,2),IF(D311&gt;0,VLOOKUP(D311,Программа!A$1:B$5063,2),IF(F311&gt;0,VLOOKUP(F311,КВР!A$1:B$5001,2),IF(E311&gt;0,VLOOKUP(E311,Направление!A$1:B$4746,2))))))</f>
        <v>Сельское хозяйство и рыболовство</v>
      </c>
      <c r="B311" s="87"/>
      <c r="C311" s="88">
        <v>405</v>
      </c>
      <c r="D311" s="77"/>
      <c r="E311" s="88"/>
      <c r="F311" s="89"/>
      <c r="G311" s="387">
        <v>630170</v>
      </c>
      <c r="H311" s="50">
        <f t="shared" ref="H311:H313" si="286">H312</f>
        <v>0</v>
      </c>
      <c r="I311" s="50">
        <f t="shared" si="219"/>
        <v>630170</v>
      </c>
      <c r="J311" s="387">
        <v>630170</v>
      </c>
      <c r="K311" s="50">
        <f t="shared" ref="K311:K313" si="287">K312</f>
        <v>0</v>
      </c>
      <c r="L311" s="50">
        <f t="shared" si="220"/>
        <v>630170</v>
      </c>
    </row>
    <row r="312" spans="1:12" ht="15.6">
      <c r="A312" s="49" t="str">
        <f>IF(B312&gt;0,VLOOKUP(B312,КВСР!A368:B1533,2),IF(C312&gt;0,VLOOKUP(C312,КФСР!A368:B1880,2),IF(D312&gt;0,VLOOKUP(D312,Программа!A$1:B$5063,2),IF(F312&gt;0,VLOOKUP(F312,КВР!A$1:B$5001,2),IF(E312&gt;0,VLOOKUP(E312,Направление!A$1:B$4746,2))))))</f>
        <v>Непрограммные расходы бюджета</v>
      </c>
      <c r="B312" s="87"/>
      <c r="C312" s="88"/>
      <c r="D312" s="77" t="s">
        <v>2852</v>
      </c>
      <c r="E312" s="88"/>
      <c r="F312" s="89"/>
      <c r="G312" s="387">
        <v>630170</v>
      </c>
      <c r="H312" s="50">
        <f t="shared" si="286"/>
        <v>0</v>
      </c>
      <c r="I312" s="50">
        <f t="shared" si="219"/>
        <v>630170</v>
      </c>
      <c r="J312" s="387">
        <v>630170</v>
      </c>
      <c r="K312" s="50">
        <f t="shared" si="287"/>
        <v>0</v>
      </c>
      <c r="L312" s="50">
        <f t="shared" si="220"/>
        <v>630170</v>
      </c>
    </row>
    <row r="313" spans="1:12" ht="31.2">
      <c r="A313" s="49" t="str">
        <f>IF(B313&gt;0,VLOOKUP(B313,КВСР!A369:B1534,2),IF(C313&gt;0,VLOOKUP(C313,КФСР!A369:B1881,2),IF(D313&gt;0,VLOOKUP(D313,Программа!A$1:B$5063,2),IF(F313&gt;0,VLOOKUP(F313,КВР!A$1:B$5001,2),IF(E313&gt;0,VLOOKUP(E313,Направление!A$1:B$4746,2))))))</f>
        <v>Субвенция на отлов и содержание безнадзорных животных</v>
      </c>
      <c r="B313" s="87"/>
      <c r="C313" s="88"/>
      <c r="D313" s="77"/>
      <c r="E313" s="88">
        <v>74420</v>
      </c>
      <c r="F313" s="89"/>
      <c r="G313" s="387">
        <v>630170</v>
      </c>
      <c r="H313" s="50">
        <f t="shared" si="286"/>
        <v>0</v>
      </c>
      <c r="I313" s="50">
        <f t="shared" si="219"/>
        <v>630170</v>
      </c>
      <c r="J313" s="387">
        <v>630170</v>
      </c>
      <c r="K313" s="50">
        <f t="shared" si="287"/>
        <v>0</v>
      </c>
      <c r="L313" s="50">
        <f t="shared" si="220"/>
        <v>630170</v>
      </c>
    </row>
    <row r="314" spans="1:12" ht="31.2">
      <c r="A314" s="49" t="str">
        <f>IF(B314&gt;0,VLOOKUP(B314,КВСР!A370:B1535,2),IF(C314&gt;0,VLOOKUP(C314,КФСР!A370:B1882,2),IF(D314&gt;0,VLOOKUP(D314,Программа!A$1:B$5063,2),IF(F314&gt;0,VLOOKUP(F314,КВР!A$1:B$5001,2),IF(E314&gt;0,VLOOKUP(E314,Направление!A$1:B$4746,2))))))</f>
        <v>Закупка товаров, работ и услуг для государственных нужд</v>
      </c>
      <c r="B314" s="87"/>
      <c r="C314" s="88"/>
      <c r="D314" s="77"/>
      <c r="E314" s="88"/>
      <c r="F314" s="89">
        <v>200</v>
      </c>
      <c r="G314" s="387">
        <v>630170</v>
      </c>
      <c r="H314" s="385"/>
      <c r="I314" s="50">
        <f t="shared" si="219"/>
        <v>630170</v>
      </c>
      <c r="J314" s="387">
        <v>630170</v>
      </c>
      <c r="K314" s="385"/>
      <c r="L314" s="50">
        <f t="shared" si="220"/>
        <v>630170</v>
      </c>
    </row>
    <row r="315" spans="1:12" ht="15.6">
      <c r="A315" s="49" t="str">
        <f>IF(B315&gt;0,VLOOKUP(B315,КВСР!A371:B1536,2),IF(C315&gt;0,VLOOKUP(C315,КФСР!A371:B1883,2),IF(D315&gt;0,VLOOKUP(D315,Программа!A$1:B$5063,2),IF(F315&gt;0,VLOOKUP(F315,КВР!A$1:B$5001,2),IF(E315&gt;0,VLOOKUP(E315,Направление!A$1:B$4746,2))))))</f>
        <v>Транспорт</v>
      </c>
      <c r="B315" s="87"/>
      <c r="C315" s="88">
        <v>408</v>
      </c>
      <c r="D315" s="77"/>
      <c r="E315" s="88"/>
      <c r="F315" s="89"/>
      <c r="G315" s="387">
        <v>8256000</v>
      </c>
      <c r="H315" s="387">
        <f>H316</f>
        <v>0</v>
      </c>
      <c r="I315" s="50">
        <f t="shared" si="219"/>
        <v>8256000</v>
      </c>
      <c r="J315" s="387">
        <v>0</v>
      </c>
      <c r="K315" s="387">
        <f>K316</f>
        <v>0</v>
      </c>
      <c r="L315" s="50">
        <f t="shared" si="220"/>
        <v>0</v>
      </c>
    </row>
    <row r="316" spans="1:12" ht="62.4">
      <c r="A316" s="49" t="str">
        <f>IF(B316&gt;0,VLOOKUP(B316,КВСР!A372:B1537,2),IF(C316&gt;0,VLOOKUP(C316,КФСР!A372:B1884,2),IF(D316&gt;0,VLOOKUP(D316,Программа!A$1:B$5063,2),IF(F316&gt;0,VLOOKUP(F316,КВР!A$1:B$5001,2),IF(E316&gt;0,VLOOKUP(E316,Направление!A$1:B$4746,2))))))</f>
        <v>Муниципальная программа  "Организация перевозок автомобильным и речным транспортом на территории Тутаевского муниципального района"</v>
      </c>
      <c r="B316" s="87"/>
      <c r="C316" s="88"/>
      <c r="D316" s="77" t="s">
        <v>2910</v>
      </c>
      <c r="E316" s="88"/>
      <c r="F316" s="89"/>
      <c r="G316" s="387">
        <v>8256000</v>
      </c>
      <c r="H316" s="387">
        <f>H317+H320+H323+H326</f>
        <v>0</v>
      </c>
      <c r="I316" s="50">
        <f t="shared" si="219"/>
        <v>8256000</v>
      </c>
      <c r="J316" s="387">
        <v>0</v>
      </c>
      <c r="K316" s="387">
        <f>K317+K320+K323+K326</f>
        <v>0</v>
      </c>
      <c r="L316" s="50">
        <f t="shared" si="220"/>
        <v>0</v>
      </c>
    </row>
    <row r="317" spans="1:12" ht="78" hidden="1">
      <c r="A317" s="49" t="str">
        <f>IF(B317&gt;0,VLOOKUP(B317,КВСР!A374:B1539,2),IF(C317&gt;0,VLOOKUP(C317,КФСР!A374:B1886,2),IF(D317&gt;0,VLOOKUP(D317,Программа!A$1:B$5063,2),IF(F317&gt;0,VLOOKUP(F317,КВР!A$1:B$5001,2),IF(E317&gt;0,VLOOKUP(E317,Направление!A$1:B$4746,2))))))</f>
        <v>Предоставление социальных услуг лицам, находящимся под диспансерным наблюдением в связи с туберкулезом, и больных туберкулезом  при проезде в транспорте общего пользования</v>
      </c>
      <c r="B317" s="87"/>
      <c r="C317" s="88"/>
      <c r="D317" s="77" t="s">
        <v>2911</v>
      </c>
      <c r="E317" s="88"/>
      <c r="F317" s="89"/>
      <c r="G317" s="387">
        <v>0</v>
      </c>
      <c r="H317" s="387">
        <f t="shared" ref="H317:H318" si="288">H318</f>
        <v>0</v>
      </c>
      <c r="I317" s="50">
        <f t="shared" si="219"/>
        <v>0</v>
      </c>
      <c r="J317" s="387">
        <v>0</v>
      </c>
      <c r="K317" s="387">
        <f t="shared" ref="K317:K318" si="289">K318</f>
        <v>0</v>
      </c>
      <c r="L317" s="50">
        <f t="shared" si="220"/>
        <v>0</v>
      </c>
    </row>
    <row r="318" spans="1:12" ht="78" hidden="1">
      <c r="A318" s="49" t="str">
        <f>IF(B318&gt;0,VLOOKUP(B318,КВСР!A375:B1540,2),IF(C318&gt;0,VLOOKUP(C318,КФСР!A375:B1887,2),IF(D318&gt;0,VLOOKUP(D318,Программа!A$1:B$5063,2),IF(F318&gt;0,VLOOKUP(F318,КВР!A$1:B$5001,2),IF(E318&gt;0,VLOOKUP(E318,Направление!A$1:B$4746,2))))))</f>
        <v>Предоставление бесплатного проезда лицам, находящимся под диспансерным наблюдением в связи с туберкулезом, и больным туберкулезом за счет средств областного бюджета</v>
      </c>
      <c r="B318" s="87"/>
      <c r="C318" s="88"/>
      <c r="D318" s="77"/>
      <c r="E318" s="88">
        <v>72550</v>
      </c>
      <c r="F318" s="89"/>
      <c r="G318" s="387">
        <v>0</v>
      </c>
      <c r="H318" s="387">
        <f t="shared" si="288"/>
        <v>0</v>
      </c>
      <c r="I318" s="50">
        <f t="shared" si="219"/>
        <v>0</v>
      </c>
      <c r="J318" s="387">
        <v>0</v>
      </c>
      <c r="K318" s="387">
        <f t="shared" si="289"/>
        <v>0</v>
      </c>
      <c r="L318" s="50">
        <f t="shared" si="220"/>
        <v>0</v>
      </c>
    </row>
    <row r="319" spans="1:12" ht="15.6" hidden="1">
      <c r="A319" s="49" t="str">
        <f>IF(B319&gt;0,VLOOKUP(B319,КВСР!A376:B1541,2),IF(C319&gt;0,VLOOKUP(C319,КФСР!A376:B1888,2),IF(D319&gt;0,VLOOKUP(D319,Программа!A$1:B$5063,2),IF(F319&gt;0,VLOOKUP(F319,КВР!A$1:B$5001,2),IF(E319&gt;0,VLOOKUP(E319,Направление!A$1:B$4746,2))))))</f>
        <v>Иные бюджетные ассигнования</v>
      </c>
      <c r="B319" s="87"/>
      <c r="C319" s="88"/>
      <c r="D319" s="77"/>
      <c r="E319" s="88"/>
      <c r="F319" s="89">
        <v>800</v>
      </c>
      <c r="G319" s="387">
        <v>0</v>
      </c>
      <c r="H319" s="385"/>
      <c r="I319" s="50">
        <f t="shared" si="219"/>
        <v>0</v>
      </c>
      <c r="J319" s="387">
        <v>0</v>
      </c>
      <c r="K319" s="385"/>
      <c r="L319" s="50">
        <f t="shared" si="220"/>
        <v>0</v>
      </c>
    </row>
    <row r="320" spans="1:12" ht="78" hidden="1">
      <c r="A320" s="49" t="str">
        <f>IF(B320&gt;0,VLOOKUP(B320,КВСР!A377:B1542,2),IF(C320&gt;0,VLOOKUP(C320,КФСР!A377:B1889,2),IF(D320&gt;0,VLOOKUP(D320,Программа!A$1:B$5063,2),IF(F320&gt;0,VLOOKUP(F320,КВР!A$1:B$5001,2),IF(E320&gt;0,VLOOKUP(E320,Направление!A$1:B$4746,2))))))</f>
        <v>Предоставление социальных услуг детям из многодетных семей, обучающихся в общеобразовательных организациях  при проезде в транспорте общего пользования</v>
      </c>
      <c r="B320" s="87"/>
      <c r="C320" s="88"/>
      <c r="D320" s="77" t="s">
        <v>2912</v>
      </c>
      <c r="E320" s="88"/>
      <c r="F320" s="89"/>
      <c r="G320" s="387">
        <v>0</v>
      </c>
      <c r="H320" s="387">
        <f t="shared" ref="H320:H321" si="290">H321</f>
        <v>0</v>
      </c>
      <c r="I320" s="50">
        <f t="shared" ref="I320:I442" si="291">SUM(G320:H320)</f>
        <v>0</v>
      </c>
      <c r="J320" s="387">
        <v>0</v>
      </c>
      <c r="K320" s="387">
        <f t="shared" ref="K320:K321" si="292">K321</f>
        <v>0</v>
      </c>
      <c r="L320" s="50">
        <f t="shared" ref="L320:L442" si="293">SUM(J320:K320)</f>
        <v>0</v>
      </c>
    </row>
    <row r="321" spans="1:12" ht="78" hidden="1">
      <c r="A321" s="49" t="str">
        <f>IF(B321&gt;0,VLOOKUP(B321,КВСР!A378:B1543,2),IF(C321&gt;0,VLOOKUP(C321,КФСР!A378:B1890,2),IF(D321&gt;0,VLOOKUP(D321,Программа!A$1:B$5063,2),IF(F321&gt;0,VLOOKUP(F321,КВР!A$1:B$5001,2),IF(E321&gt;0,VLOOKUP(E321,Направление!A$1:B$4746,2))))))</f>
        <v>Предоставление бесплатного проезда детям из многодетных семей, обучающимся в общеобразовательных учреждениях, за счет средств областного бюджета</v>
      </c>
      <c r="B321" s="87"/>
      <c r="C321" s="88"/>
      <c r="D321" s="77"/>
      <c r="E321" s="88">
        <v>72560</v>
      </c>
      <c r="F321" s="89"/>
      <c r="G321" s="387">
        <v>0</v>
      </c>
      <c r="H321" s="387">
        <f t="shared" si="290"/>
        <v>0</v>
      </c>
      <c r="I321" s="50">
        <f t="shared" si="291"/>
        <v>0</v>
      </c>
      <c r="J321" s="387">
        <v>0</v>
      </c>
      <c r="K321" s="387">
        <f t="shared" si="292"/>
        <v>0</v>
      </c>
      <c r="L321" s="50">
        <f t="shared" si="293"/>
        <v>0</v>
      </c>
    </row>
    <row r="322" spans="1:12" ht="15.6" hidden="1">
      <c r="A322" s="49" t="str">
        <f>IF(B322&gt;0,VLOOKUP(B322,КВСР!A379:B1544,2),IF(C322&gt;0,VLOOKUP(C322,КФСР!A379:B1891,2),IF(D322&gt;0,VLOOKUP(D322,Программа!A$1:B$5063,2),IF(F322&gt;0,VLOOKUP(F322,КВР!A$1:B$5001,2),IF(E322&gt;0,VLOOKUP(E322,Направление!A$1:B$4746,2))))))</f>
        <v>Иные бюджетные ассигнования</v>
      </c>
      <c r="B322" s="87"/>
      <c r="C322" s="88"/>
      <c r="D322" s="77"/>
      <c r="E322" s="88"/>
      <c r="F322" s="89">
        <v>800</v>
      </c>
      <c r="G322" s="387">
        <v>0</v>
      </c>
      <c r="H322" s="385"/>
      <c r="I322" s="50">
        <f t="shared" si="291"/>
        <v>0</v>
      </c>
      <c r="J322" s="387">
        <v>0</v>
      </c>
      <c r="K322" s="385"/>
      <c r="L322" s="50">
        <f t="shared" si="293"/>
        <v>0</v>
      </c>
    </row>
    <row r="323" spans="1:12" ht="78">
      <c r="A323" s="49" t="str">
        <f>IF(B323&gt;0,VLOOKUP(B323,КВСР!A368:B1533,2),IF(C323&gt;0,VLOOKUP(C323,КФСР!A368:B1880,2),IF(D323&gt;0,VLOOKUP(D323,Программа!A$1:B$5063,2),IF(F323&gt;0,VLOOKUP(F323,КВР!A$1:B$5001,2),IF(E323&gt;0,VLOOKUP(E323,Направление!A$1:B$4746,2))))))</f>
        <v>Организация предоставления транспортных услуг по перевозке пассажиров автомобильным транспортом, транспортом общего пользования</v>
      </c>
      <c r="B323" s="87"/>
      <c r="C323" s="88"/>
      <c r="D323" s="77" t="s">
        <v>2913</v>
      </c>
      <c r="E323" s="88"/>
      <c r="F323" s="89"/>
      <c r="G323" s="387">
        <v>781000</v>
      </c>
      <c r="H323" s="387">
        <f>H324</f>
        <v>0</v>
      </c>
      <c r="I323" s="50">
        <f t="shared" si="291"/>
        <v>781000</v>
      </c>
      <c r="J323" s="387">
        <v>0</v>
      </c>
      <c r="K323" s="387">
        <f>K324</f>
        <v>0</v>
      </c>
      <c r="L323" s="50">
        <f t="shared" si="293"/>
        <v>0</v>
      </c>
    </row>
    <row r="324" spans="1:12" ht="46.8">
      <c r="A324" s="49" t="str">
        <f>IF(B324&gt;0,VLOOKUP(B324,КВСР!A369:B1534,2),IF(C324&gt;0,VLOOKUP(C324,КФСР!A369:B1881,2),IF(D324&gt;0,VLOOKUP(D324,Программа!A$1:B$5063,2),IF(F324&gt;0,VLOOKUP(F324,КВР!A$1:B$5001,2),IF(E324&gt;0,VLOOKUP(E324,Направление!A$1:B$4746,2))))))</f>
        <v>Обеспечение мероприятий по осуществлению пасажирских  перевозок на автомобильном  транспорте</v>
      </c>
      <c r="B324" s="87"/>
      <c r="C324" s="88"/>
      <c r="D324" s="77"/>
      <c r="E324" s="88">
        <v>29176</v>
      </c>
      <c r="F324" s="89"/>
      <c r="G324" s="387">
        <v>781000</v>
      </c>
      <c r="H324" s="387">
        <f>H325</f>
        <v>0</v>
      </c>
      <c r="I324" s="50">
        <f t="shared" si="291"/>
        <v>781000</v>
      </c>
      <c r="J324" s="387">
        <v>0</v>
      </c>
      <c r="K324" s="387">
        <f>K325</f>
        <v>0</v>
      </c>
      <c r="L324" s="50">
        <f t="shared" si="293"/>
        <v>0</v>
      </c>
    </row>
    <row r="325" spans="1:12" ht="15.6">
      <c r="A325" s="49" t="str">
        <f>IF(B325&gt;0,VLOOKUP(B325,КВСР!A370:B1535,2),IF(C325&gt;0,VLOOKUP(C325,КФСР!A370:B1882,2),IF(D325&gt;0,VLOOKUP(D325,Программа!A$1:B$5063,2),IF(F325&gt;0,VLOOKUP(F325,КВР!A$1:B$5001,2),IF(E325&gt;0,VLOOKUP(E325,Направление!A$1:B$4746,2))))))</f>
        <v>Иные бюджетные ассигнования</v>
      </c>
      <c r="B325" s="87"/>
      <c r="C325" s="88"/>
      <c r="D325" s="77"/>
      <c r="E325" s="88"/>
      <c r="F325" s="89">
        <v>800</v>
      </c>
      <c r="G325" s="387">
        <v>781000</v>
      </c>
      <c r="H325" s="385"/>
      <c r="I325" s="50">
        <f t="shared" si="291"/>
        <v>781000</v>
      </c>
      <c r="J325" s="387">
        <v>0</v>
      </c>
      <c r="K325" s="385"/>
      <c r="L325" s="50">
        <f t="shared" si="293"/>
        <v>0</v>
      </c>
    </row>
    <row r="326" spans="1:12" ht="46.8">
      <c r="A326" s="49" t="str">
        <f>IF(B326&gt;0,VLOOKUP(B326,КВСР!A368:B1533,2),IF(C326&gt;0,VLOOKUP(C326,КФСР!A368:B1880,2),IF(D326&gt;0,VLOOKUP(D326,Программа!A$1:B$5063,2),IF(F326&gt;0,VLOOKUP(F326,КВР!A$1:B$5001,2),IF(E326&gt;0,VLOOKUP(E326,Направление!A$1:B$4746,2))))))</f>
        <v>Обеспечение мероприятий по осуществлению грузопассажирских перевозок на речном транспорте</v>
      </c>
      <c r="B326" s="87"/>
      <c r="C326" s="88"/>
      <c r="D326" s="77" t="s">
        <v>3070</v>
      </c>
      <c r="E326" s="88"/>
      <c r="F326" s="89"/>
      <c r="G326" s="387">
        <v>7475000</v>
      </c>
      <c r="H326" s="387">
        <f>H327</f>
        <v>0</v>
      </c>
      <c r="I326" s="50">
        <f t="shared" si="291"/>
        <v>7475000</v>
      </c>
      <c r="J326" s="387">
        <v>0</v>
      </c>
      <c r="K326" s="387">
        <f>K327</f>
        <v>0</v>
      </c>
      <c r="L326" s="50">
        <f t="shared" si="293"/>
        <v>0</v>
      </c>
    </row>
    <row r="327" spans="1:12" ht="46.8">
      <c r="A327" s="49" t="str">
        <f>IF(B327&gt;0,VLOOKUP(B327,КВСР!A369:B1534,2),IF(C327&gt;0,VLOOKUP(C327,КФСР!A369:B1881,2),IF(D327&gt;0,VLOOKUP(D327,Программа!A$1:B$5063,2),IF(F327&gt;0,VLOOKUP(F327,КВР!A$1:B$5001,2),IF(E327&gt;0,VLOOKUP(E327,Направление!A$1:B$4746,2))))))</f>
        <v>Обеспечение мероприятий по осуществлению грузопассажирских  перевозок на речном транспорте</v>
      </c>
      <c r="B327" s="87"/>
      <c r="C327" s="88"/>
      <c r="D327" s="77"/>
      <c r="E327" s="88">
        <v>29166</v>
      </c>
      <c r="F327" s="89"/>
      <c r="G327" s="387">
        <v>7475000</v>
      </c>
      <c r="H327" s="387">
        <f>H328</f>
        <v>0</v>
      </c>
      <c r="I327" s="50">
        <f t="shared" si="291"/>
        <v>7475000</v>
      </c>
      <c r="J327" s="387">
        <v>0</v>
      </c>
      <c r="K327" s="387">
        <f>K328</f>
        <v>0</v>
      </c>
      <c r="L327" s="50">
        <f t="shared" si="293"/>
        <v>0</v>
      </c>
    </row>
    <row r="328" spans="1:12" ht="15.6">
      <c r="A328" s="49" t="str">
        <f>IF(B328&gt;0,VLOOKUP(B328,КВСР!A370:B1535,2),IF(C328&gt;0,VLOOKUP(C328,КФСР!A370:B1882,2),IF(D328&gt;0,VLOOKUP(D328,Программа!A$1:B$5063,2),IF(F328&gt;0,VLOOKUP(F328,КВР!A$1:B$5001,2),IF(E328&gt;0,VLOOKUP(E328,Направление!A$1:B$4746,2))))))</f>
        <v>Иные бюджетные ассигнования</v>
      </c>
      <c r="B328" s="87"/>
      <c r="C328" s="88"/>
      <c r="D328" s="77"/>
      <c r="E328" s="88"/>
      <c r="F328" s="89">
        <v>800</v>
      </c>
      <c r="G328" s="387">
        <v>7475000</v>
      </c>
      <c r="H328" s="385"/>
      <c r="I328" s="50">
        <f t="shared" si="291"/>
        <v>7475000</v>
      </c>
      <c r="J328" s="387">
        <v>0</v>
      </c>
      <c r="K328" s="385"/>
      <c r="L328" s="50">
        <f t="shared" si="293"/>
        <v>0</v>
      </c>
    </row>
    <row r="329" spans="1:12" ht="15.6">
      <c r="A329" s="49" t="str">
        <f>IF(B329&gt;0,VLOOKUP(B329,КВСР!A371:B1536,2),IF(C329&gt;0,VLOOKUP(C329,КФСР!A371:B1883,2),IF(D329&gt;0,VLOOKUP(D329,Программа!A$1:B$5063,2),IF(F329&gt;0,VLOOKUP(F329,КВР!A$1:B$5001,2),IF(E329&gt;0,VLOOKUP(E329,Направление!A$1:B$4746,2))))))</f>
        <v>Дорожное хозяйство</v>
      </c>
      <c r="B329" s="87"/>
      <c r="C329" s="88">
        <v>409</v>
      </c>
      <c r="D329" s="77"/>
      <c r="E329" s="88"/>
      <c r="F329" s="89"/>
      <c r="G329" s="387">
        <v>76238000</v>
      </c>
      <c r="H329" s="50">
        <f t="shared" ref="H329" si="294">H330+H351</f>
        <v>5631697</v>
      </c>
      <c r="I329" s="50">
        <f t="shared" si="291"/>
        <v>81869697</v>
      </c>
      <c r="J329" s="387">
        <v>41996000</v>
      </c>
      <c r="K329" s="50">
        <f t="shared" ref="K329" si="295">K330+K351</f>
        <v>0</v>
      </c>
      <c r="L329" s="50">
        <f t="shared" si="293"/>
        <v>41996000</v>
      </c>
    </row>
    <row r="330" spans="1:12" ht="46.8">
      <c r="A330" s="49" t="str">
        <f>IF(B330&gt;0,VLOOKUP(B330,КВСР!A372:B1537,2),IF(C330&gt;0,VLOOKUP(C330,КФСР!A372:B1884,2),IF(D330&gt;0,VLOOKUP(D330,Программа!A$1:B$5063,2),IF(F330&gt;0,VLOOKUP(F330,КВР!A$1:B$5001,2),IF(E330&gt;0,VLOOKUP(E330,Направление!A$1:B$4746,2))))))</f>
        <v>Муниципальная программа "Развитие дорожного хозяйства и транспорта в Тутаевском муниципальном районе"</v>
      </c>
      <c r="B330" s="87"/>
      <c r="C330" s="88"/>
      <c r="D330" s="77" t="s">
        <v>2821</v>
      </c>
      <c r="E330" s="88"/>
      <c r="F330" s="89"/>
      <c r="G330" s="387">
        <v>62606303</v>
      </c>
      <c r="H330" s="50">
        <f t="shared" ref="H330" si="296">H331+H339</f>
        <v>5631697</v>
      </c>
      <c r="I330" s="50">
        <f t="shared" si="291"/>
        <v>68238000</v>
      </c>
      <c r="J330" s="387">
        <v>31713000</v>
      </c>
      <c r="K330" s="50">
        <f t="shared" ref="K330" si="297">K331+K339</f>
        <v>0</v>
      </c>
      <c r="L330" s="50">
        <f t="shared" si="293"/>
        <v>31713000</v>
      </c>
    </row>
    <row r="331" spans="1:12" ht="62.4">
      <c r="A331" s="49" t="str">
        <f>IF(B331&gt;0,VLOOKUP(B331,КВСР!A373:B1538,2),IF(C331&gt;0,VLOOKUP(C331,КФСР!A373:B1885,2),IF(D331&gt;0,VLOOKUP(D331,Программа!A$1:B$5063,2),IF(F331&gt;0,VLOOKUP(F331,КВР!A$1:B$5001,2),IF(E331&gt;0,VLOOKUP(E331,Направление!A$1:B$4746,2))))))</f>
        <v>Муниципальная целевая программа «Повышение безопасности дорожного движения на территории Тутаевского муниципального района»</v>
      </c>
      <c r="B331" s="87"/>
      <c r="C331" s="88"/>
      <c r="D331" s="77" t="s">
        <v>2823</v>
      </c>
      <c r="E331" s="88"/>
      <c r="F331" s="89"/>
      <c r="G331" s="387">
        <v>5900000</v>
      </c>
      <c r="H331" s="50">
        <f t="shared" ref="H331" si="298">H332</f>
        <v>0</v>
      </c>
      <c r="I331" s="50">
        <f t="shared" si="291"/>
        <v>5900000</v>
      </c>
      <c r="J331" s="387">
        <v>800000</v>
      </c>
      <c r="K331" s="50">
        <f t="shared" ref="K331" si="299">K332</f>
        <v>0</v>
      </c>
      <c r="L331" s="50">
        <f t="shared" si="293"/>
        <v>800000</v>
      </c>
    </row>
    <row r="332" spans="1:12" ht="31.2">
      <c r="A332" s="49" t="str">
        <f>IF(B332&gt;0,VLOOKUP(B332,КВСР!A374:B1539,2),IF(C332&gt;0,VLOOKUP(C332,КФСР!A374:B1886,2),IF(D332&gt;0,VLOOKUP(D332,Программа!A$1:B$5063,2),IF(F332&gt;0,VLOOKUP(F332,КВР!A$1:B$5001,2),IF(E332&gt;0,VLOOKUP(E332,Направление!A$1:B$4746,2))))))</f>
        <v>Повышение безопасности дорожного движения на автомобильных дорогах</v>
      </c>
      <c r="B332" s="87"/>
      <c r="C332" s="88"/>
      <c r="D332" s="77" t="s">
        <v>2824</v>
      </c>
      <c r="E332" s="88"/>
      <c r="F332" s="89"/>
      <c r="G332" s="387">
        <v>5900000</v>
      </c>
      <c r="H332" s="50">
        <f>H334+H335+H337</f>
        <v>0</v>
      </c>
      <c r="I332" s="50">
        <f t="shared" si="291"/>
        <v>5900000</v>
      </c>
      <c r="J332" s="387">
        <v>800000</v>
      </c>
      <c r="K332" s="50">
        <f>K334+K335+K337</f>
        <v>0</v>
      </c>
      <c r="L332" s="50">
        <f t="shared" si="293"/>
        <v>800000</v>
      </c>
    </row>
    <row r="333" spans="1:12" ht="31.2">
      <c r="A333" s="49" t="str">
        <f>IF(B333&gt;0,VLOOKUP(B333,КВСР!A374:B1539,2),IF(C333&gt;0,VLOOKUP(C333,КФСР!A374:B1886,2),IF(D333&gt;0,VLOOKUP(D333,Программа!A$1:B$5063,2),IF(F333&gt;0,VLOOKUP(F333,КВР!A$1:B$5001,2),IF(E333&gt;0,VLOOKUP(E333,Направление!A$1:B$4746,2))))))</f>
        <v>Содержание и ремонт  автомобильных дорог общего пользования</v>
      </c>
      <c r="B333" s="87"/>
      <c r="C333" s="88"/>
      <c r="D333" s="77"/>
      <c r="E333" s="88">
        <v>10200</v>
      </c>
      <c r="F333" s="89"/>
      <c r="G333" s="387">
        <v>600000</v>
      </c>
      <c r="H333" s="50">
        <f t="shared" ref="H333" si="300">H334</f>
        <v>0</v>
      </c>
      <c r="I333" s="50">
        <f t="shared" si="291"/>
        <v>600000</v>
      </c>
      <c r="J333" s="387">
        <v>800000</v>
      </c>
      <c r="K333" s="50">
        <f t="shared" ref="K333" si="301">K334</f>
        <v>0</v>
      </c>
      <c r="L333" s="50">
        <f t="shared" si="293"/>
        <v>800000</v>
      </c>
    </row>
    <row r="334" spans="1:12" ht="31.2">
      <c r="A334" s="49" t="str">
        <f>IF(B334&gt;0,VLOOKUP(B334,КВСР!A375:B1540,2),IF(C334&gt;0,VLOOKUP(C334,КФСР!A375:B1887,2),IF(D334&gt;0,VLOOKUP(D334,Программа!A$1:B$5063,2),IF(F334&gt;0,VLOOKUP(F334,КВР!A$1:B$5001,2),IF(E334&gt;0,VLOOKUP(E334,Направление!A$1:B$4746,2))))))</f>
        <v>Закупка товаров, работ и услуг для государственных нужд</v>
      </c>
      <c r="B334" s="87"/>
      <c r="C334" s="88"/>
      <c r="D334" s="77"/>
      <c r="E334" s="88"/>
      <c r="F334" s="89">
        <v>200</v>
      </c>
      <c r="G334" s="387">
        <v>600000</v>
      </c>
      <c r="H334" s="385"/>
      <c r="I334" s="50">
        <f t="shared" si="291"/>
        <v>600000</v>
      </c>
      <c r="J334" s="387">
        <v>800000</v>
      </c>
      <c r="K334" s="385"/>
      <c r="L334" s="50">
        <f t="shared" si="293"/>
        <v>800000</v>
      </c>
    </row>
    <row r="335" spans="1:12" ht="46.8">
      <c r="A335" s="49" t="str">
        <f>IF(B335&gt;0,VLOOKUP(B335,КВСР!A374:B1539,2),IF(C335&gt;0,VLOOKUP(C335,КФСР!A374:B1886,2),IF(D335&gt;0,VLOOKUP(D335,Программа!A$1:B$5063,2),IF(F335&gt;0,VLOOKUP(F335,КВР!A$1:B$5001,2),IF(E335&gt;0,VLOOKUP(E335,Направление!A$1:B$4746,2))))))</f>
        <v>Обеспечение   мероприятий в области  дорожного хозяйства  по повышению безопасности дорожного движения</v>
      </c>
      <c r="B335" s="87"/>
      <c r="C335" s="88"/>
      <c r="D335" s="77"/>
      <c r="E335" s="88">
        <v>29096</v>
      </c>
      <c r="F335" s="89"/>
      <c r="G335" s="387">
        <v>2700000</v>
      </c>
      <c r="H335" s="387">
        <f>H336</f>
        <v>0</v>
      </c>
      <c r="I335" s="50">
        <f t="shared" si="291"/>
        <v>2700000</v>
      </c>
      <c r="J335" s="387">
        <v>0</v>
      </c>
      <c r="K335" s="387">
        <f>K336</f>
        <v>0</v>
      </c>
      <c r="L335" s="50">
        <f t="shared" si="293"/>
        <v>0</v>
      </c>
    </row>
    <row r="336" spans="1:12" ht="31.2">
      <c r="A336" s="49" t="str">
        <f>IF(B336&gt;0,VLOOKUP(B336,КВСР!A375:B1540,2),IF(C336&gt;0,VLOOKUP(C336,КФСР!A375:B1887,2),IF(D336&gt;0,VLOOKUP(D336,Программа!A$1:B$5063,2),IF(F336&gt;0,VLOOKUP(F336,КВР!A$1:B$5001,2),IF(E336&gt;0,VLOOKUP(E336,Направление!A$1:B$4746,2))))))</f>
        <v>Закупка товаров, работ и услуг для государственных нужд</v>
      </c>
      <c r="B336" s="87"/>
      <c r="C336" s="88"/>
      <c r="D336" s="77"/>
      <c r="E336" s="88"/>
      <c r="F336" s="89">
        <v>200</v>
      </c>
      <c r="G336" s="387">
        <v>2700000</v>
      </c>
      <c r="H336" s="385"/>
      <c r="I336" s="50">
        <f t="shared" si="291"/>
        <v>2700000</v>
      </c>
      <c r="J336" s="387">
        <v>0</v>
      </c>
      <c r="K336" s="385"/>
      <c r="L336" s="50">
        <f t="shared" si="293"/>
        <v>0</v>
      </c>
    </row>
    <row r="337" spans="1:12" ht="46.8">
      <c r="A337" s="49" t="str">
        <f>IF(B337&gt;0,VLOOKUP(B337,КВСР!A376:B1541,2),IF(C337&gt;0,VLOOKUP(C337,КФСР!A376:B1888,2),IF(D337&gt;0,VLOOKUP(D337,Программа!A$1:B$5063,2),IF(F337&gt;0,VLOOKUP(F337,КВР!A$1:B$5001,2),IF(E337&gt;0,VLOOKUP(E337,Направление!A$1:B$4746,2))))))</f>
        <v xml:space="preserve">Обеспечение мероприятий в области дорожного хозяйства по строительству светофорных объектов </v>
      </c>
      <c r="B337" s="87"/>
      <c r="C337" s="88"/>
      <c r="D337" s="77"/>
      <c r="E337" s="88">
        <v>29106</v>
      </c>
      <c r="F337" s="89"/>
      <c r="G337" s="387">
        <v>2600000</v>
      </c>
      <c r="H337" s="387">
        <f>H338</f>
        <v>0</v>
      </c>
      <c r="I337" s="50">
        <f t="shared" si="291"/>
        <v>2600000</v>
      </c>
      <c r="J337" s="387">
        <v>0</v>
      </c>
      <c r="K337" s="387">
        <f>K338</f>
        <v>0</v>
      </c>
      <c r="L337" s="50">
        <f t="shared" si="293"/>
        <v>0</v>
      </c>
    </row>
    <row r="338" spans="1:12" ht="15.6">
      <c r="A338" s="49" t="str">
        <f>IF(B338&gt;0,VLOOKUP(B338,КВСР!A377:B1542,2),IF(C338&gt;0,VLOOKUP(C338,КФСР!A377:B1889,2),IF(D338&gt;0,VLOOKUP(D338,Программа!A$1:B$5063,2),IF(F338&gt;0,VLOOKUP(F338,КВР!A$1:B$5001,2),IF(E338&gt;0,VLOOKUP(E338,Направление!A$1:B$4746,2))))))</f>
        <v>Бюджетные инвестиции</v>
      </c>
      <c r="B338" s="87"/>
      <c r="C338" s="88"/>
      <c r="D338" s="77"/>
      <c r="E338" s="88"/>
      <c r="F338" s="89">
        <v>400</v>
      </c>
      <c r="G338" s="387">
        <v>2600000</v>
      </c>
      <c r="H338" s="385"/>
      <c r="I338" s="50">
        <f t="shared" si="291"/>
        <v>2600000</v>
      </c>
      <c r="J338" s="387">
        <v>0</v>
      </c>
      <c r="K338" s="385"/>
      <c r="L338" s="50">
        <f t="shared" si="293"/>
        <v>0</v>
      </c>
    </row>
    <row r="339" spans="1:12" ht="62.4">
      <c r="A339" s="49" t="str">
        <f>IF(B339&gt;0,VLOOKUP(B339,КВСР!A376:B1541,2),IF(C339&gt;0,VLOOKUP(C339,КФСР!A376:B1888,2),IF(D339&gt;0,VLOOKUP(D339,Программа!A$1:B$5063,2),IF(F339&gt;0,VLOOKUP(F339,КВР!A$1:B$5001,2),IF(E339&gt;0,VLOOKUP(E339,Направление!A$1:B$4746,2))))))</f>
        <v>Муниципальная целевая программа «Сохранность автомобильных дорог общего пользования Тутаевского муниципального района»</v>
      </c>
      <c r="B339" s="87"/>
      <c r="C339" s="88"/>
      <c r="D339" s="77" t="s">
        <v>2825</v>
      </c>
      <c r="E339" s="88"/>
      <c r="F339" s="89"/>
      <c r="G339" s="387">
        <v>56706303</v>
      </c>
      <c r="H339" s="50">
        <f t="shared" ref="H339" si="302">H340</f>
        <v>5631697</v>
      </c>
      <c r="I339" s="50">
        <f t="shared" si="291"/>
        <v>62338000</v>
      </c>
      <c r="J339" s="387">
        <v>30913000</v>
      </c>
      <c r="K339" s="50">
        <f t="shared" ref="K339" si="303">K340</f>
        <v>0</v>
      </c>
      <c r="L339" s="50">
        <f t="shared" si="293"/>
        <v>30913000</v>
      </c>
    </row>
    <row r="340" spans="1:12" ht="46.8">
      <c r="A340" s="49" t="str">
        <f>IF(B340&gt;0,VLOOKUP(B340,КВСР!A377:B1542,2),IF(C340&gt;0,VLOOKUP(C340,КФСР!A377:B1889,2),IF(D340&gt;0,VLOOKUP(D340,Программа!A$1:B$5063,2),IF(F340&gt;0,VLOOKUP(F340,КВР!A$1:B$5001,2),IF(E340&gt;0,VLOOKUP(E340,Направление!A$1:B$4746,2))))))</f>
        <v>Приведение  в нормативное состояние автомобильных дорог общего пользования</v>
      </c>
      <c r="B340" s="87"/>
      <c r="C340" s="88"/>
      <c r="D340" s="77" t="s">
        <v>2826</v>
      </c>
      <c r="E340" s="88"/>
      <c r="F340" s="89"/>
      <c r="G340" s="387">
        <v>56706303</v>
      </c>
      <c r="H340" s="50">
        <f>H341+H345+H343+H347+H349</f>
        <v>5631697</v>
      </c>
      <c r="I340" s="50">
        <f t="shared" si="291"/>
        <v>62338000</v>
      </c>
      <c r="J340" s="387">
        <v>30913000</v>
      </c>
      <c r="K340" s="50">
        <f>K341+K345+K343+K347</f>
        <v>0</v>
      </c>
      <c r="L340" s="50">
        <f t="shared" si="293"/>
        <v>30913000</v>
      </c>
    </row>
    <row r="341" spans="1:12" ht="31.2">
      <c r="A341" s="49" t="str">
        <f>IF(B341&gt;0,VLOOKUP(B341,КВСР!A377:B1542,2),IF(C341&gt;0,VLOOKUP(C341,КФСР!A377:B1889,2),IF(D341&gt;0,VLOOKUP(D341,Программа!A$1:B$5063,2),IF(F341&gt;0,VLOOKUP(F341,КВР!A$1:B$5001,2),IF(E341&gt;0,VLOOKUP(E341,Направление!A$1:B$4746,2))))))</f>
        <v>Содержание и ремонт  автомобильных дорог общего пользования</v>
      </c>
      <c r="B341" s="87"/>
      <c r="C341" s="88"/>
      <c r="D341" s="77"/>
      <c r="E341" s="88">
        <v>10200</v>
      </c>
      <c r="F341" s="89"/>
      <c r="G341" s="387">
        <v>14445000</v>
      </c>
      <c r="H341" s="50">
        <f t="shared" ref="H341" si="304">H342</f>
        <v>0</v>
      </c>
      <c r="I341" s="50">
        <f t="shared" si="291"/>
        <v>14445000</v>
      </c>
      <c r="J341" s="387">
        <v>14130000</v>
      </c>
      <c r="K341" s="50">
        <f t="shared" ref="K341" si="305">K342</f>
        <v>0</v>
      </c>
      <c r="L341" s="50">
        <f t="shared" si="293"/>
        <v>14130000</v>
      </c>
    </row>
    <row r="342" spans="1:12" ht="31.2">
      <c r="A342" s="49" t="str">
        <f>IF(B342&gt;0,VLOOKUP(B342,КВСР!A376:B1541,2),IF(C342&gt;0,VLOOKUP(C342,КФСР!A376:B1888,2),IF(D342&gt;0,VLOOKUP(D342,Программа!A$1:B$5063,2),IF(F342&gt;0,VLOOKUP(F342,КВР!A$1:B$5001,2),IF(E342&gt;0,VLOOKUP(E342,Направление!A$1:B$4746,2))))))</f>
        <v>Закупка товаров, работ и услуг для государственных нужд</v>
      </c>
      <c r="B342" s="87"/>
      <c r="C342" s="88"/>
      <c r="D342" s="77"/>
      <c r="E342" s="88"/>
      <c r="F342" s="89">
        <v>200</v>
      </c>
      <c r="G342" s="387">
        <v>14445000</v>
      </c>
      <c r="H342" s="385"/>
      <c r="I342" s="50">
        <f t="shared" si="291"/>
        <v>14445000</v>
      </c>
      <c r="J342" s="387">
        <v>14130000</v>
      </c>
      <c r="K342" s="385"/>
      <c r="L342" s="50">
        <f t="shared" si="293"/>
        <v>14130000</v>
      </c>
    </row>
    <row r="343" spans="1:12" ht="46.8">
      <c r="A343" s="49" t="str">
        <f>IF(B343&gt;0,VLOOKUP(B343,КВСР!A375:B1540,2),IF(C343&gt;0,VLOOKUP(C343,КФСР!A375:B1887,2),IF(D343&gt;0,VLOOKUP(D343,Программа!A$1:B$5063,2),IF(F343&gt;0,VLOOKUP(F343,КВР!A$1:B$5001,2),IF(E343&gt;0,VLOOKUP(E343,Направление!A$1:B$4746,2))))))</f>
        <v>Обеспечение   мероприятий в области  дорожного хозяйства  на  ремонт и содержание автомобильных дорог</v>
      </c>
      <c r="B343" s="87"/>
      <c r="C343" s="88"/>
      <c r="D343" s="77"/>
      <c r="E343" s="88">
        <v>29086</v>
      </c>
      <c r="F343" s="89"/>
      <c r="G343" s="387">
        <v>29984255</v>
      </c>
      <c r="H343" s="387">
        <f>H344</f>
        <v>0</v>
      </c>
      <c r="I343" s="50">
        <f t="shared" si="291"/>
        <v>29984255</v>
      </c>
      <c r="J343" s="387">
        <v>0</v>
      </c>
      <c r="K343" s="387">
        <f>K344</f>
        <v>0</v>
      </c>
      <c r="L343" s="50">
        <f t="shared" si="293"/>
        <v>0</v>
      </c>
    </row>
    <row r="344" spans="1:12" ht="31.2">
      <c r="A344" s="49" t="str">
        <f>IF(B344&gt;0,VLOOKUP(B344,КВСР!A376:B1541,2),IF(C344&gt;0,VLOOKUP(C344,КФСР!A376:B1888,2),IF(D344&gt;0,VLOOKUP(D344,Программа!A$1:B$5063,2),IF(F344&gt;0,VLOOKUP(F344,КВР!A$1:B$5001,2),IF(E344&gt;0,VLOOKUP(E344,Направление!A$1:B$4746,2))))))</f>
        <v>Закупка товаров, работ и услуг для государственных нужд</v>
      </c>
      <c r="B344" s="87"/>
      <c r="C344" s="88"/>
      <c r="D344" s="77"/>
      <c r="E344" s="88"/>
      <c r="F344" s="89">
        <v>200</v>
      </c>
      <c r="G344" s="387">
        <v>29984255</v>
      </c>
      <c r="H344" s="385"/>
      <c r="I344" s="50">
        <f t="shared" si="291"/>
        <v>29984255</v>
      </c>
      <c r="J344" s="387">
        <v>0</v>
      </c>
      <c r="K344" s="385"/>
      <c r="L344" s="50">
        <f t="shared" si="293"/>
        <v>0</v>
      </c>
    </row>
    <row r="345" spans="1:12" ht="46.8">
      <c r="A345" s="49" t="str">
        <f>IF(B345&gt;0,VLOOKUP(B345,КВСР!A377:B1542,2),IF(C345&gt;0,VLOOKUP(C345,КФСР!A377:B1889,2),IF(D345&gt;0,VLOOKUP(D345,Программа!A$1:B$5063,2),IF(F345&gt;0,VLOOKUP(F345,КВР!A$1:B$5001,2),IF(E345&gt;0,VLOOKUP(E345,Направление!A$1:B$4746,2))))))</f>
        <v>Расходы на финансирование дорожного хозяйства за счет средств областного бюджета</v>
      </c>
      <c r="B345" s="87"/>
      <c r="C345" s="88"/>
      <c r="D345" s="77"/>
      <c r="E345" s="88">
        <v>72440</v>
      </c>
      <c r="F345" s="89"/>
      <c r="G345" s="387">
        <v>6651303</v>
      </c>
      <c r="H345" s="50">
        <f t="shared" ref="H345" si="306">H346</f>
        <v>0</v>
      </c>
      <c r="I345" s="50">
        <f t="shared" si="291"/>
        <v>6651303</v>
      </c>
      <c r="J345" s="387">
        <v>10000000</v>
      </c>
      <c r="K345" s="50">
        <f t="shared" ref="K345" si="307">K346</f>
        <v>0</v>
      </c>
      <c r="L345" s="50">
        <f t="shared" si="293"/>
        <v>10000000</v>
      </c>
    </row>
    <row r="346" spans="1:12" ht="31.2">
      <c r="A346" s="49" t="str">
        <f>IF(B346&gt;0,VLOOKUP(B346,КВСР!A378:B1543,2),IF(C346&gt;0,VLOOKUP(C346,КФСР!A378:B1890,2),IF(D346&gt;0,VLOOKUP(D346,Программа!A$1:B$5063,2),IF(F346&gt;0,VLOOKUP(F346,КВР!A$1:B$5001,2),IF(E346&gt;0,VLOOKUP(E346,Направление!A$1:B$4746,2))))))</f>
        <v>Закупка товаров, работ и услуг для государственных нужд</v>
      </c>
      <c r="B346" s="87"/>
      <c r="C346" s="88"/>
      <c r="D346" s="77"/>
      <c r="E346" s="88"/>
      <c r="F346" s="89">
        <v>200</v>
      </c>
      <c r="G346" s="387">
        <v>6651303</v>
      </c>
      <c r="H346" s="385"/>
      <c r="I346" s="50">
        <f t="shared" si="291"/>
        <v>6651303</v>
      </c>
      <c r="J346" s="387">
        <v>10000000</v>
      </c>
      <c r="K346" s="385"/>
      <c r="L346" s="50">
        <f t="shared" si="293"/>
        <v>10000000</v>
      </c>
    </row>
    <row r="347" spans="1:12" ht="62.4">
      <c r="A347" s="49" t="str">
        <f>IF(B347&gt;0,VLOOKUP(B347,КВСР!A377:B1542,2),IF(C347&gt;0,VLOOKUP(C347,КФСР!A377:B1889,2),IF(D347&gt;0,VLOOKUP(D347,Программа!A$1:B$5063,2),IF(F347&gt;0,VLOOKUP(F347,КВР!A$1:B$5001,2),IF(E347&gt;0,VLOOKUP(E347,Направление!A$1:B$4746,2))))))</f>
        <v>Обеспечение мероприятий в области дорожного хозяйства на ремонт и содержание дорог за счет средств областного бюджета</v>
      </c>
      <c r="B347" s="87"/>
      <c r="C347" s="88"/>
      <c r="D347" s="77"/>
      <c r="E347" s="88">
        <v>72446</v>
      </c>
      <c r="F347" s="89"/>
      <c r="G347" s="387">
        <v>4500000</v>
      </c>
      <c r="H347" s="387">
        <f>H348</f>
        <v>5631697</v>
      </c>
      <c r="I347" s="50">
        <f t="shared" si="291"/>
        <v>10131697</v>
      </c>
      <c r="J347" s="387">
        <v>6783000</v>
      </c>
      <c r="K347" s="387">
        <f>K348</f>
        <v>0</v>
      </c>
      <c r="L347" s="50">
        <f t="shared" si="293"/>
        <v>6783000</v>
      </c>
    </row>
    <row r="348" spans="1:12" ht="31.2">
      <c r="A348" s="49" t="str">
        <f>IF(B348&gt;0,VLOOKUP(B348,КВСР!A378:B1543,2),IF(C348&gt;0,VLOOKUP(C348,КФСР!A378:B1890,2),IF(D348&gt;0,VLOOKUP(D348,Программа!A$1:B$5063,2),IF(F348&gt;0,VLOOKUP(F348,КВР!A$1:B$5001,2),IF(E348&gt;0,VLOOKUP(E348,Направление!A$1:B$4746,2))))))</f>
        <v>Закупка товаров, работ и услуг для государственных нужд</v>
      </c>
      <c r="B348" s="87"/>
      <c r="C348" s="88"/>
      <c r="D348" s="77"/>
      <c r="E348" s="88"/>
      <c r="F348" s="89">
        <v>200</v>
      </c>
      <c r="G348" s="387">
        <v>4500000</v>
      </c>
      <c r="H348" s="385">
        <v>5631697</v>
      </c>
      <c r="I348" s="50">
        <f t="shared" si="291"/>
        <v>10131697</v>
      </c>
      <c r="J348" s="387">
        <v>6783000</v>
      </c>
      <c r="K348" s="385"/>
      <c r="L348" s="50">
        <f t="shared" si="293"/>
        <v>6783000</v>
      </c>
    </row>
    <row r="349" spans="1:12" ht="52.2" customHeight="1">
      <c r="A349" s="49" t="str">
        <f>IF(B349&gt;0,VLOOKUP(B349,КВСР!A379:B1544,2),IF(C349&gt;0,VLOOKUP(C349,КФСР!A379:B1891,2),IF(D349&gt;0,VLOOKUP(D349,Программа!A$1:B$5063,2),IF(F349&gt;0,VLOOKUP(F349,КВР!A$1:B$5001,2),IF(E349&gt;0,VLOOKUP(E349,Направление!A$1:B$4746,2))))))</f>
        <v>Обеспечение мероприятий в области дорожного хозяйства на ремонт и содержание автомобильных дорог</v>
      </c>
      <c r="B349" s="87"/>
      <c r="C349" s="88"/>
      <c r="D349" s="77"/>
      <c r="E349" s="88" t="s">
        <v>3071</v>
      </c>
      <c r="F349" s="89"/>
      <c r="G349" s="387">
        <v>1125745</v>
      </c>
      <c r="H349" s="387">
        <f>H350</f>
        <v>0</v>
      </c>
      <c r="I349" s="50">
        <f>I350</f>
        <v>1125745</v>
      </c>
      <c r="J349" s="387"/>
      <c r="K349" s="387"/>
      <c r="L349" s="50">
        <v>0</v>
      </c>
    </row>
    <row r="350" spans="1:12" ht="31.2">
      <c r="A350" s="49" t="str">
        <f>IF(B350&gt;0,VLOOKUP(B350,КВСР!A380:B1545,2),IF(C350&gt;0,VLOOKUP(C350,КФСР!A380:B1892,2),IF(D350&gt;0,VLOOKUP(D350,Программа!A$1:B$5063,2),IF(F350&gt;0,VLOOKUP(F350,КВР!A$1:B$5001,2),IF(E350&gt;0,VLOOKUP(E350,Направление!A$1:B$4746,2))))))</f>
        <v>Закупка товаров, работ и услуг для государственных нужд</v>
      </c>
      <c r="B350" s="87"/>
      <c r="C350" s="88"/>
      <c r="D350" s="77"/>
      <c r="E350" s="88"/>
      <c r="F350" s="89">
        <v>200</v>
      </c>
      <c r="G350" s="387">
        <v>1125745</v>
      </c>
      <c r="H350" s="385"/>
      <c r="I350" s="50">
        <f>SUM(G350:H350)</f>
        <v>1125745</v>
      </c>
      <c r="J350" s="387"/>
      <c r="K350" s="385"/>
      <c r="L350" s="50">
        <v>0</v>
      </c>
    </row>
    <row r="351" spans="1:12" ht="31.2">
      <c r="A351" s="49" t="str">
        <f>IF(B351&gt;0,VLOOKUP(B351,КВСР!A379:B1544,2),IF(C351&gt;0,VLOOKUP(C351,КФСР!A379:B1891,2),IF(D351&gt;0,VLOOKUP(D351,Программа!A$1:B$5063,2),IF(F351&gt;0,VLOOKUP(F351,КВР!A$1:B$5001,2),IF(E351&gt;0,VLOOKUP(E351,Направление!A$1:B$4746,2))))))</f>
        <v>Межбюджетные трансферты  поселениям района</v>
      </c>
      <c r="B351" s="87"/>
      <c r="C351" s="88"/>
      <c r="D351" s="77" t="s">
        <v>2853</v>
      </c>
      <c r="E351" s="88"/>
      <c r="F351" s="89"/>
      <c r="G351" s="387">
        <v>13631697</v>
      </c>
      <c r="H351" s="50">
        <f t="shared" ref="H351:H352" si="308">H352</f>
        <v>0</v>
      </c>
      <c r="I351" s="50">
        <f t="shared" si="291"/>
        <v>13631697</v>
      </c>
      <c r="J351" s="387">
        <v>10283000</v>
      </c>
      <c r="K351" s="50">
        <f t="shared" ref="K351:K352" si="309">K352</f>
        <v>0</v>
      </c>
      <c r="L351" s="50">
        <f t="shared" si="293"/>
        <v>10283000</v>
      </c>
    </row>
    <row r="352" spans="1:12" ht="46.8">
      <c r="A352" s="49" t="str">
        <f>IF(B352&gt;0,VLOOKUP(B352,КВСР!A380:B1545,2),IF(C352&gt;0,VLOOKUP(C352,КФСР!A380:B1892,2),IF(D352&gt;0,VLOOKUP(D352,Программа!A$1:B$5063,2),IF(F352&gt;0,VLOOKUP(F352,КВР!A$1:B$5001,2),IF(E352&gt;0,VLOOKUP(E352,Направление!A$1:B$4746,2))))))</f>
        <v>Расходы на финансирование дорожного хозяйства за счет средств областного бюджета</v>
      </c>
      <c r="B352" s="87"/>
      <c r="C352" s="88"/>
      <c r="D352" s="77"/>
      <c r="E352" s="88">
        <v>72440</v>
      </c>
      <c r="F352" s="89"/>
      <c r="G352" s="387">
        <v>13631697</v>
      </c>
      <c r="H352" s="50">
        <f t="shared" si="308"/>
        <v>0</v>
      </c>
      <c r="I352" s="50">
        <f t="shared" si="291"/>
        <v>13631697</v>
      </c>
      <c r="J352" s="387">
        <v>10283000</v>
      </c>
      <c r="K352" s="50">
        <f t="shared" si="309"/>
        <v>0</v>
      </c>
      <c r="L352" s="50">
        <f t="shared" si="293"/>
        <v>10283000</v>
      </c>
    </row>
    <row r="353" spans="1:12" ht="15.6">
      <c r="A353" s="49" t="str">
        <f>IF(B353&gt;0,VLOOKUP(B353,КВСР!A381:B1546,2),IF(C353&gt;0,VLOOKUP(C353,КФСР!A381:B1893,2),IF(D353&gt;0,VLOOKUP(D353,Программа!A$1:B$5063,2),IF(F353&gt;0,VLOOKUP(F353,КВР!A$1:B$5001,2),IF(E353&gt;0,VLOOKUP(E353,Направление!A$1:B$4746,2))))))</f>
        <v xml:space="preserve"> Межбюджетные трансферты</v>
      </c>
      <c r="B353" s="87"/>
      <c r="C353" s="88"/>
      <c r="D353" s="77"/>
      <c r="E353" s="88"/>
      <c r="F353" s="89">
        <v>500</v>
      </c>
      <c r="G353" s="387">
        <v>13631697</v>
      </c>
      <c r="H353" s="385"/>
      <c r="I353" s="50">
        <f t="shared" si="291"/>
        <v>13631697</v>
      </c>
      <c r="J353" s="387">
        <v>10283000</v>
      </c>
      <c r="K353" s="385"/>
      <c r="L353" s="50">
        <f t="shared" si="293"/>
        <v>10283000</v>
      </c>
    </row>
    <row r="354" spans="1:12" ht="15.6">
      <c r="A354" s="49" t="str">
        <f>IF(B354&gt;0,VLOOKUP(B354,КВСР!A382:B1547,2),IF(C354&gt;0,VLOOKUP(C354,КФСР!A382:B1894,2),IF(D354&gt;0,VLOOKUP(D354,Программа!A$1:B$5063,2),IF(F354&gt;0,VLOOKUP(F354,КВР!A$1:B$5001,2),IF(E354&gt;0,VLOOKUP(E354,Направление!A$1:B$4746,2))))))</f>
        <v>Жилищное хозяйство</v>
      </c>
      <c r="B354" s="87"/>
      <c r="C354" s="88">
        <v>501</v>
      </c>
      <c r="D354" s="77"/>
      <c r="E354" s="88"/>
      <c r="F354" s="89"/>
      <c r="G354" s="387">
        <v>7100000</v>
      </c>
      <c r="H354" s="387">
        <f>H355</f>
        <v>0</v>
      </c>
      <c r="I354" s="387">
        <f>I355</f>
        <v>7100000</v>
      </c>
      <c r="J354" s="387">
        <v>0</v>
      </c>
      <c r="K354" s="387">
        <f t="shared" ref="K354:L354" si="310">K355</f>
        <v>0</v>
      </c>
      <c r="L354" s="387">
        <f t="shared" si="310"/>
        <v>0</v>
      </c>
    </row>
    <row r="355" spans="1:12" ht="46.8">
      <c r="A355" s="49" t="str">
        <f>IF(B355&gt;0,VLOOKUP(B355,КВСР!A383:B1548,2),IF(C355&gt;0,VLOOKUP(C355,КФСР!A383:B1895,2),IF(D355&gt;0,VLOOKUP(D355,Программа!A$1:B$5063,2),IF(F355&gt;0,VLOOKUP(F355,КВР!A$1:B$5001,2),IF(E355&gt;0,VLOOKUP(E355,Направление!A$1:B$4746,2))))))</f>
        <v>Муниципальная программа  "Развитие жилищного хозяйства Тутаевского муниципального района"</v>
      </c>
      <c r="B355" s="87"/>
      <c r="C355" s="88"/>
      <c r="D355" s="77" t="s">
        <v>2790</v>
      </c>
      <c r="E355" s="88"/>
      <c r="F355" s="89"/>
      <c r="G355" s="387">
        <v>7100000</v>
      </c>
      <c r="H355" s="387">
        <f>H356+H360</f>
        <v>0</v>
      </c>
      <c r="I355" s="387">
        <f t="shared" ref="I355:L355" si="311">I356+I360</f>
        <v>7100000</v>
      </c>
      <c r="J355" s="387">
        <v>0</v>
      </c>
      <c r="K355" s="387">
        <f t="shared" si="311"/>
        <v>0</v>
      </c>
      <c r="L355" s="387">
        <f t="shared" si="311"/>
        <v>0</v>
      </c>
    </row>
    <row r="356" spans="1:12" ht="78">
      <c r="A356" s="49" t="str">
        <f>IF(B356&gt;0,VLOOKUP(B356,КВСР!A384:B1549,2),IF(C356&gt;0,VLOOKUP(C356,КФСР!A384:B1896,2),IF(D356&gt;0,VLOOKUP(D356,Программа!A$1:B$5063,2),IF(F356&gt;0,VLOOKUP(F356,КВР!A$1:B$5001,2),IF(E356&gt;0,VLOOKUP(E356,Направление!A$1:B$4746,2))))))</f>
        <v>Муниципальная целевая программа "Развитие  лифтового хозяйства на территории городского поселения Тутаев Тутаевского муниципального района"</v>
      </c>
      <c r="B356" s="87"/>
      <c r="C356" s="88"/>
      <c r="D356" s="77" t="s">
        <v>2792</v>
      </c>
      <c r="E356" s="88"/>
      <c r="F356" s="89"/>
      <c r="G356" s="387">
        <v>4800000</v>
      </c>
      <c r="H356" s="387">
        <f>H357</f>
        <v>0</v>
      </c>
      <c r="I356" s="387">
        <f t="shared" ref="I356:L358" si="312">I357</f>
        <v>4800000</v>
      </c>
      <c r="J356" s="387">
        <v>0</v>
      </c>
      <c r="K356" s="387">
        <f t="shared" si="312"/>
        <v>0</v>
      </c>
      <c r="L356" s="387">
        <f t="shared" si="312"/>
        <v>0</v>
      </c>
    </row>
    <row r="357" spans="1:12" ht="46.8">
      <c r="A357" s="49" t="str">
        <f>IF(B357&gt;0,VLOOKUP(B357,КВСР!A385:B1550,2),IF(C357&gt;0,VLOOKUP(C357,КФСР!A385:B1897,2),IF(D357&gt;0,VLOOKUP(D357,Программа!A$1:B$5063,2),IF(F357&gt;0,VLOOKUP(F357,КВР!A$1:B$5001,2),IF(E357&gt;0,VLOOKUP(E357,Направление!A$1:B$4746,2))))))</f>
        <v>Обеспечение мероприятий по восстановлению лифтового хозяйства многоквартирных домов</v>
      </c>
      <c r="B357" s="87"/>
      <c r="C357" s="88"/>
      <c r="D357" s="77" t="s">
        <v>2804</v>
      </c>
      <c r="E357" s="88"/>
      <c r="F357" s="89"/>
      <c r="G357" s="387">
        <v>4800000</v>
      </c>
      <c r="H357" s="387">
        <f>H358</f>
        <v>0</v>
      </c>
      <c r="I357" s="387">
        <f t="shared" si="312"/>
        <v>4800000</v>
      </c>
      <c r="J357" s="387">
        <v>0</v>
      </c>
      <c r="K357" s="387">
        <f t="shared" si="312"/>
        <v>0</v>
      </c>
      <c r="L357" s="387">
        <f t="shared" si="312"/>
        <v>0</v>
      </c>
    </row>
    <row r="358" spans="1:12" ht="62.4">
      <c r="A358" s="49" t="str">
        <f>IF(B358&gt;0,VLOOKUP(B358,КВСР!A386:B1551,2),IF(C358&gt;0,VLOOKUP(C358,КФСР!A386:B1898,2),IF(D358&gt;0,VLOOKUP(D358,Программа!A$1:B$5063,2),IF(F358&gt;0,VLOOKUP(F358,КВР!A$1:B$5001,2),IF(E358&gt;0,VLOOKUP(E358,Направление!A$1:B$4746,2))))))</f>
        <v>Обеспечение мероприятий по содержанию,  реконструкции и капитальному ремонту муниципального жилищного фонда</v>
      </c>
      <c r="B358" s="87"/>
      <c r="C358" s="88"/>
      <c r="D358" s="77"/>
      <c r="E358" s="88">
        <v>29376</v>
      </c>
      <c r="F358" s="89"/>
      <c r="G358" s="387">
        <v>4800000</v>
      </c>
      <c r="H358" s="387">
        <f>H359</f>
        <v>0</v>
      </c>
      <c r="I358" s="387">
        <f t="shared" si="312"/>
        <v>4800000</v>
      </c>
      <c r="J358" s="387">
        <v>0</v>
      </c>
      <c r="K358" s="387">
        <f t="shared" si="312"/>
        <v>0</v>
      </c>
      <c r="L358" s="387">
        <f t="shared" si="312"/>
        <v>0</v>
      </c>
    </row>
    <row r="359" spans="1:12" ht="15.6">
      <c r="A359" s="49" t="str">
        <f>IF(B359&gt;0,VLOOKUP(B359,КВСР!A387:B1552,2),IF(C359&gt;0,VLOOKUP(C359,КФСР!A387:B1899,2),IF(D359&gt;0,VLOOKUP(D359,Программа!A$1:B$5063,2),IF(F359&gt;0,VLOOKUP(F359,КВР!A$1:B$5001,2),IF(E359&gt;0,VLOOKUP(E359,Направление!A$1:B$4746,2))))))</f>
        <v>Бюджетные инвестиции</v>
      </c>
      <c r="B359" s="87"/>
      <c r="C359" s="88"/>
      <c r="D359" s="77"/>
      <c r="E359" s="88"/>
      <c r="F359" s="89">
        <v>400</v>
      </c>
      <c r="G359" s="387">
        <v>4800000</v>
      </c>
      <c r="H359" s="385"/>
      <c r="I359" s="50">
        <f>SUM(G359:H359)</f>
        <v>4800000</v>
      </c>
      <c r="J359" s="387">
        <v>0</v>
      </c>
      <c r="K359" s="385"/>
      <c r="L359" s="50">
        <f>SUM(J359:K359)</f>
        <v>0</v>
      </c>
    </row>
    <row r="360" spans="1:12" ht="62.4">
      <c r="A360" s="49" t="str">
        <f>IF(B360&gt;0,VLOOKUP(B360,КВСР!A388:B1553,2),IF(C360&gt;0,VLOOKUP(C360,КФСР!A388:B1900,2),IF(D360&gt;0,VLOOKUP(D360,Программа!A$1:B$5063,2),IF(F360&gt;0,VLOOKUP(F360,КВР!A$1:B$5001,2),IF(E360&gt;0,VLOOKUP(E360,Направление!A$1:B$4746,2))))))</f>
        <v>Муниципальная целевая программа "Ремонт и содержание муниципального жилищного фонда   Тутаевского муниципального района"</v>
      </c>
      <c r="B360" s="87"/>
      <c r="C360" s="88"/>
      <c r="D360" s="77" t="s">
        <v>2914</v>
      </c>
      <c r="E360" s="88"/>
      <c r="F360" s="89"/>
      <c r="G360" s="387">
        <v>2300000</v>
      </c>
      <c r="H360" s="387">
        <f>H361+H364+H367</f>
        <v>0</v>
      </c>
      <c r="I360" s="387">
        <f>I361+I364+I367</f>
        <v>2300000</v>
      </c>
      <c r="J360" s="387">
        <v>0</v>
      </c>
      <c r="K360" s="387">
        <f t="shared" ref="K360:L360" si="313">K361+K364+K367</f>
        <v>0</v>
      </c>
      <c r="L360" s="387">
        <f t="shared" si="313"/>
        <v>0</v>
      </c>
    </row>
    <row r="361" spans="1:12" ht="46.8">
      <c r="A361" s="49" t="str">
        <f>IF(B361&gt;0,VLOOKUP(B361,КВСР!A389:B1554,2),IF(C361&gt;0,VLOOKUP(C361,КФСР!A389:B1901,2),IF(D361&gt;0,VLOOKUP(D361,Программа!A$1:B$5063,2),IF(F361&gt;0,VLOOKUP(F361,КВР!A$1:B$5001,2),IF(E361&gt;0,VLOOKUP(E361,Направление!A$1:B$4746,2))))))</f>
        <v>Обеспечение мероприятий по замене приборов учета в муниципальном жилищном фонде</v>
      </c>
      <c r="B361" s="87"/>
      <c r="C361" s="88"/>
      <c r="D361" s="77" t="s">
        <v>2915</v>
      </c>
      <c r="E361" s="88"/>
      <c r="F361" s="89"/>
      <c r="G361" s="387">
        <v>300000</v>
      </c>
      <c r="H361" s="387">
        <f>H362</f>
        <v>0</v>
      </c>
      <c r="I361" s="387">
        <f>I362</f>
        <v>300000</v>
      </c>
      <c r="J361" s="387">
        <v>0</v>
      </c>
      <c r="K361" s="387">
        <f t="shared" ref="K361:L362" si="314">K362</f>
        <v>0</v>
      </c>
      <c r="L361" s="387">
        <f t="shared" si="314"/>
        <v>0</v>
      </c>
    </row>
    <row r="362" spans="1:12" ht="31.2">
      <c r="A362" s="49" t="str">
        <f>IF(B362&gt;0,VLOOKUP(B362,КВСР!A390:B1555,2),IF(C362&gt;0,VLOOKUP(C362,КФСР!A390:B1902,2),IF(D362&gt;0,VLOOKUP(D362,Программа!A$1:B$5063,2),IF(F362&gt;0,VLOOKUP(F362,КВР!A$1:B$5001,2),IF(E362&gt;0,VLOOKUP(E362,Направление!A$1:B$4746,2))))))</f>
        <v>Обеспечение мероприятий по установке приборов учета потребляемых ресурсов</v>
      </c>
      <c r="B362" s="87"/>
      <c r="C362" s="88"/>
      <c r="D362" s="77"/>
      <c r="E362" s="88">
        <v>29306</v>
      </c>
      <c r="F362" s="89"/>
      <c r="G362" s="387">
        <v>300000</v>
      </c>
      <c r="H362" s="387">
        <f>H363</f>
        <v>0</v>
      </c>
      <c r="I362" s="387">
        <f>I363</f>
        <v>300000</v>
      </c>
      <c r="J362" s="387">
        <v>0</v>
      </c>
      <c r="K362" s="387">
        <f t="shared" si="314"/>
        <v>0</v>
      </c>
      <c r="L362" s="387">
        <f t="shared" si="314"/>
        <v>0</v>
      </c>
    </row>
    <row r="363" spans="1:12" ht="46.8">
      <c r="A363" s="49" t="str">
        <f>IF(B363&gt;0,VLOOKUP(B363,КВСР!A391:B1556,2),IF(C363&gt;0,VLOOKUP(C363,КФСР!A391:B1903,2),IF(D363&gt;0,VLOOKUP(D363,Программа!A$1:B$5063,2),IF(F363&gt;0,VLOOKUP(F363,КВР!A$1:B$5001,2),IF(E363&gt;0,VLOOKUP(E363,Направление!A$1:B$4746,2))))))</f>
        <v>Предоставление субсидий бюджетным, автономным учреждениям и иным некоммерческим организациям</v>
      </c>
      <c r="B363" s="87"/>
      <c r="C363" s="88"/>
      <c r="D363" s="77"/>
      <c r="E363" s="88"/>
      <c r="F363" s="89">
        <v>600</v>
      </c>
      <c r="G363" s="387">
        <v>300000</v>
      </c>
      <c r="H363" s="385"/>
      <c r="I363" s="50">
        <f>SUM(G363:H363)</f>
        <v>300000</v>
      </c>
      <c r="J363" s="387">
        <v>0</v>
      </c>
      <c r="K363" s="385"/>
      <c r="L363" s="50">
        <f>SUM(J363:K363)</f>
        <v>0</v>
      </c>
    </row>
    <row r="364" spans="1:12" ht="31.2">
      <c r="A364" s="49" t="str">
        <f>IF(B364&gt;0,VLOOKUP(B364,КВСР!A392:B1557,2),IF(C364&gt;0,VLOOKUP(C364,КФСР!A392:B1904,2),IF(D364&gt;0,VLOOKUP(D364,Программа!A$1:B$5063,2),IF(F364&gt;0,VLOOKUP(F364,КВР!A$1:B$5001,2),IF(E364&gt;0,VLOOKUP(E364,Направление!A$1:B$4746,2))))))</f>
        <v>Обеспечение мероприятий по ремонту общедомового имущества</v>
      </c>
      <c r="B364" s="87"/>
      <c r="C364" s="88"/>
      <c r="D364" s="77" t="s">
        <v>2916</v>
      </c>
      <c r="E364" s="88"/>
      <c r="F364" s="89"/>
      <c r="G364" s="387">
        <v>1900000</v>
      </c>
      <c r="H364" s="387">
        <f>H365</f>
        <v>0</v>
      </c>
      <c r="I364" s="387">
        <f>I365</f>
        <v>1900000</v>
      </c>
      <c r="J364" s="387">
        <v>0</v>
      </c>
      <c r="K364" s="387">
        <f t="shared" ref="K364:L365" si="315">K365</f>
        <v>0</v>
      </c>
      <c r="L364" s="387">
        <f t="shared" si="315"/>
        <v>0</v>
      </c>
    </row>
    <row r="365" spans="1:12" ht="62.4">
      <c r="A365" s="49" t="str">
        <f>IF(B365&gt;0,VLOOKUP(B365,КВСР!A393:B1558,2),IF(C365&gt;0,VLOOKUP(C365,КФСР!A393:B1905,2),IF(D365&gt;0,VLOOKUP(D365,Программа!A$1:B$5063,2),IF(F365&gt;0,VLOOKUP(F365,КВР!A$1:B$5001,2),IF(E365&gt;0,VLOOKUP(E365,Направление!A$1:B$4746,2))))))</f>
        <v>Обеспечение мероприятий по содержанию,  реконструкции и капитальному ремонту муниципального жилищного фонда</v>
      </c>
      <c r="B365" s="87"/>
      <c r="C365" s="88"/>
      <c r="D365" s="77"/>
      <c r="E365" s="88">
        <v>29376</v>
      </c>
      <c r="F365" s="89"/>
      <c r="G365" s="387">
        <v>1900000</v>
      </c>
      <c r="H365" s="387">
        <f>H366</f>
        <v>0</v>
      </c>
      <c r="I365" s="387">
        <f>I366</f>
        <v>1900000</v>
      </c>
      <c r="J365" s="387">
        <v>0</v>
      </c>
      <c r="K365" s="387">
        <f t="shared" si="315"/>
        <v>0</v>
      </c>
      <c r="L365" s="387">
        <f t="shared" si="315"/>
        <v>0</v>
      </c>
    </row>
    <row r="366" spans="1:12" ht="46.8">
      <c r="A366" s="49" t="str">
        <f>IF(B366&gt;0,VLOOKUP(B366,КВСР!A394:B1559,2),IF(C366&gt;0,VLOOKUP(C366,КФСР!A394:B1906,2),IF(D366&gt;0,VLOOKUP(D366,Программа!A$1:B$5063,2),IF(F366&gt;0,VLOOKUP(F366,КВР!A$1:B$5001,2),IF(E366&gt;0,VLOOKUP(E366,Направление!A$1:B$4746,2))))))</f>
        <v>Предоставление субсидий бюджетным, автономным учреждениям и иным некоммерческим организациям</v>
      </c>
      <c r="B366" s="87"/>
      <c r="C366" s="88"/>
      <c r="D366" s="77"/>
      <c r="E366" s="88"/>
      <c r="F366" s="89">
        <v>600</v>
      </c>
      <c r="G366" s="387">
        <v>1900000</v>
      </c>
      <c r="H366" s="385"/>
      <c r="I366" s="50">
        <f>SUM(G366:H366)</f>
        <v>1900000</v>
      </c>
      <c r="J366" s="387">
        <v>0</v>
      </c>
      <c r="K366" s="385"/>
      <c r="L366" s="50">
        <f>SUM(J366:K366)</f>
        <v>0</v>
      </c>
    </row>
    <row r="367" spans="1:12" ht="31.2">
      <c r="A367" s="49" t="str">
        <f>IF(B367&gt;0,VLOOKUP(B367,КВСР!A395:B1560,2),IF(C367&gt;0,VLOOKUP(C367,КФСР!A395:B1907,2),IF(D367&gt;0,VLOOKUP(D367,Программа!A$1:B$5063,2),IF(F367&gt;0,VLOOKUP(F367,КВР!A$1:B$5001,2),IF(E367&gt;0,VLOOKUP(E367,Направление!A$1:B$4746,2))))))</f>
        <v>Обеспечение мероприятий по ремонту муниципавльных квартир</v>
      </c>
      <c r="B367" s="87"/>
      <c r="C367" s="88"/>
      <c r="D367" s="77" t="s">
        <v>2917</v>
      </c>
      <c r="E367" s="88"/>
      <c r="F367" s="89"/>
      <c r="G367" s="387">
        <v>100000</v>
      </c>
      <c r="H367" s="387">
        <f>H368</f>
        <v>0</v>
      </c>
      <c r="I367" s="387">
        <f>I368</f>
        <v>100000</v>
      </c>
      <c r="J367" s="387">
        <v>0</v>
      </c>
      <c r="K367" s="387">
        <f t="shared" ref="K367:L368" si="316">K368</f>
        <v>0</v>
      </c>
      <c r="L367" s="387">
        <f t="shared" si="316"/>
        <v>0</v>
      </c>
    </row>
    <row r="368" spans="1:12" ht="62.4">
      <c r="A368" s="49" t="str">
        <f>IF(B368&gt;0,VLOOKUP(B368,КВСР!A396:B1561,2),IF(C368&gt;0,VLOOKUP(C368,КФСР!A396:B1908,2),IF(D368&gt;0,VLOOKUP(D368,Программа!A$1:B$5063,2),IF(F368&gt;0,VLOOKUP(F368,КВР!A$1:B$5001,2),IF(E368&gt;0,VLOOKUP(E368,Направление!A$1:B$4746,2))))))</f>
        <v>Обеспечение мероприятий по содержанию,  реконструкции и капитальному ремонту муниципального жилищного фонда</v>
      </c>
      <c r="B368" s="87"/>
      <c r="C368" s="88"/>
      <c r="D368" s="77"/>
      <c r="E368" s="88">
        <v>29376</v>
      </c>
      <c r="F368" s="89"/>
      <c r="G368" s="387">
        <v>100000</v>
      </c>
      <c r="H368" s="387">
        <f>H369</f>
        <v>0</v>
      </c>
      <c r="I368" s="387">
        <f>I369</f>
        <v>100000</v>
      </c>
      <c r="J368" s="387">
        <v>0</v>
      </c>
      <c r="K368" s="387">
        <f t="shared" si="316"/>
        <v>0</v>
      </c>
      <c r="L368" s="387">
        <f t="shared" si="316"/>
        <v>0</v>
      </c>
    </row>
    <row r="369" spans="1:12" ht="46.8">
      <c r="A369" s="49" t="str">
        <f>IF(B369&gt;0,VLOOKUP(B369,КВСР!A397:B1562,2),IF(C369&gt;0,VLOOKUP(C369,КФСР!A397:B1909,2),IF(D369&gt;0,VLOOKUP(D369,Программа!A$1:B$5063,2),IF(F369&gt;0,VLOOKUP(F369,КВР!A$1:B$5001,2),IF(E369&gt;0,VLOOKUP(E369,Направление!A$1:B$4746,2))))))</f>
        <v>Предоставление субсидий бюджетным, автономным учреждениям и иным некоммерческим организациям</v>
      </c>
      <c r="B369" s="87"/>
      <c r="C369" s="88"/>
      <c r="D369" s="77"/>
      <c r="E369" s="88"/>
      <c r="F369" s="89">
        <v>600</v>
      </c>
      <c r="G369" s="387">
        <v>100000</v>
      </c>
      <c r="H369" s="385"/>
      <c r="I369" s="50">
        <f>SUM(G368:H368)</f>
        <v>100000</v>
      </c>
      <c r="J369" s="387">
        <v>0</v>
      </c>
      <c r="K369" s="385"/>
      <c r="L369" s="50">
        <f>SUM(J369:K369)</f>
        <v>0</v>
      </c>
    </row>
    <row r="370" spans="1:12" ht="15.6">
      <c r="A370" s="49" t="str">
        <f>IF(B370&gt;0,VLOOKUP(B370,КВСР!A377:B1542,2),IF(C370&gt;0,VLOOKUP(C370,КФСР!A377:B1889,2),IF(D370&gt;0,VLOOKUP(D370,Программа!A$1:B$5063,2),IF(F370&gt;0,VLOOKUP(F370,КВР!A$1:B$5001,2),IF(E370&gt;0,VLOOKUP(E370,Направление!A$1:B$4746,2))))))</f>
        <v>Коммунальное хозяйство</v>
      </c>
      <c r="B370" s="87"/>
      <c r="C370" s="88">
        <v>502</v>
      </c>
      <c r="D370" s="77"/>
      <c r="E370" s="88"/>
      <c r="F370" s="89"/>
      <c r="G370" s="387">
        <v>18257370</v>
      </c>
      <c r="H370" s="50">
        <f>H371+H390+H394</f>
        <v>0</v>
      </c>
      <c r="I370" s="50">
        <f t="shared" si="291"/>
        <v>18257370</v>
      </c>
      <c r="J370" s="387">
        <v>0</v>
      </c>
      <c r="K370" s="50">
        <f t="shared" ref="K370:K387" si="317">K371</f>
        <v>0</v>
      </c>
      <c r="L370" s="50">
        <f t="shared" si="293"/>
        <v>0</v>
      </c>
    </row>
    <row r="371" spans="1:12" ht="62.4">
      <c r="A371" s="49" t="str">
        <f>IF(B371&gt;0,VLOOKUP(B371,КВСР!A378:B1543,2),IF(C371&gt;0,VLOOKUP(C371,КФСР!A378:B1890,2),IF(D371&gt;0,VLOOKUP(D371,Программа!A$1:B$5063,2),IF(F371&gt;0,VLOOKUP(F371,КВР!A$1:B$5001,2),IF(E371&gt;0,VLOOKUP(E371,Направление!A$1:B$4746,2))))))</f>
        <v>Муниципальная программа "Обеспечение качественными коммунальными услугами населения Тутаевского муниципального района"</v>
      </c>
      <c r="B371" s="87"/>
      <c r="C371" s="88"/>
      <c r="D371" s="77" t="s">
        <v>2753</v>
      </c>
      <c r="E371" s="88"/>
      <c r="F371" s="89"/>
      <c r="G371" s="387">
        <v>9333685</v>
      </c>
      <c r="H371" s="50">
        <f>H372+H376+H385</f>
        <v>0</v>
      </c>
      <c r="I371" s="50">
        <f t="shared" si="291"/>
        <v>9333685</v>
      </c>
      <c r="J371" s="387">
        <v>0</v>
      </c>
      <c r="K371" s="50">
        <f>K385</f>
        <v>0</v>
      </c>
      <c r="L371" s="50">
        <f t="shared" si="293"/>
        <v>0</v>
      </c>
    </row>
    <row r="372" spans="1:12" ht="93.6">
      <c r="A372" s="49" t="str">
        <f>IF(B372&gt;0,VLOOKUP(B372,КВСР!A379:B1544,2),IF(C372&gt;0,VLOOKUP(C372,КФСР!A379:B1891,2),IF(D372&gt;0,VLOOKUP(D372,Программа!A$1:B$5063,2),IF(F372&gt;0,VLOOKUP(F372,КВР!A$1:B$5001,2),IF(E372&gt;0,VLOOKUP(E372,Направление!A$1:B$4746,2))))))</f>
        <v>Муниципальная целевая программа "Обеспечение надежного теплоснабжения жилищного фонда и учреждений  бюджетной сферы" на территории Тутаевского муниципального района</v>
      </c>
      <c r="B372" s="87"/>
      <c r="C372" s="88"/>
      <c r="D372" s="77" t="s">
        <v>2755</v>
      </c>
      <c r="E372" s="88"/>
      <c r="F372" s="89"/>
      <c r="G372" s="387">
        <v>1000000</v>
      </c>
      <c r="H372" s="50">
        <f>H373</f>
        <v>0</v>
      </c>
      <c r="I372" s="50">
        <f t="shared" ref="I372:L374" si="318">I373</f>
        <v>1000000</v>
      </c>
      <c r="J372" s="50">
        <v>0</v>
      </c>
      <c r="K372" s="50">
        <f t="shared" si="318"/>
        <v>0</v>
      </c>
      <c r="L372" s="50">
        <f t="shared" si="318"/>
        <v>0</v>
      </c>
    </row>
    <row r="373" spans="1:12" ht="62.4">
      <c r="A373" s="49" t="str">
        <f>IF(B373&gt;0,VLOOKUP(B373,КВСР!A380:B1545,2),IF(C373&gt;0,VLOOKUP(C373,КФСР!A380:B1892,2),IF(D373&gt;0,VLOOKUP(D373,Программа!A$1:B$5063,2),IF(F373&gt;0,VLOOKUP(F373,КВР!A$1:B$5001,2),IF(E373&gt;0,VLOOKUP(E373,Направление!A$1:B$4746,2))))))</f>
        <v>Обеспечение надежного теплоснабжения жилищного фонда и функционирования учреждений бюджетной сферы</v>
      </c>
      <c r="B373" s="87"/>
      <c r="C373" s="88"/>
      <c r="D373" s="77" t="s">
        <v>2757</v>
      </c>
      <c r="E373" s="88"/>
      <c r="F373" s="89"/>
      <c r="G373" s="387">
        <v>1000000</v>
      </c>
      <c r="H373" s="50">
        <f t="shared" ref="H373:H374" si="319">H374</f>
        <v>0</v>
      </c>
      <c r="I373" s="50">
        <f t="shared" si="318"/>
        <v>1000000</v>
      </c>
      <c r="J373" s="50">
        <v>0</v>
      </c>
      <c r="K373" s="50">
        <f t="shared" si="318"/>
        <v>0</v>
      </c>
      <c r="L373" s="50">
        <f t="shared" si="318"/>
        <v>0</v>
      </c>
    </row>
    <row r="374" spans="1:12" ht="62.4">
      <c r="A374" s="49" t="str">
        <f>IF(B374&gt;0,VLOOKUP(B374,КВСР!A381:B1546,2),IF(C374&gt;0,VLOOKUP(C374,КФСР!A381:B1893,2),IF(D374&gt;0,VLOOKUP(D374,Программа!A$1:B$5063,2),IF(F374&gt;0,VLOOKUP(F374,КВР!A$1:B$5001,2),IF(E374&gt;0,VLOOKUP(E374,Направление!A$1:B$4746,2))))))</f>
        <v>Обеспечение мероприятий,  связанные с выполнением полномочий ОМС МО  по тепло-, водоснабжению и водоотведению</v>
      </c>
      <c r="B374" s="87"/>
      <c r="C374" s="88"/>
      <c r="D374" s="77"/>
      <c r="E374" s="88">
        <v>29036</v>
      </c>
      <c r="F374" s="89"/>
      <c r="G374" s="387">
        <v>1000000</v>
      </c>
      <c r="H374" s="50">
        <f t="shared" si="319"/>
        <v>0</v>
      </c>
      <c r="I374" s="50">
        <f t="shared" si="318"/>
        <v>1000000</v>
      </c>
      <c r="J374" s="50">
        <v>0</v>
      </c>
      <c r="K374" s="50">
        <f t="shared" si="318"/>
        <v>0</v>
      </c>
      <c r="L374" s="50">
        <f t="shared" si="318"/>
        <v>0</v>
      </c>
    </row>
    <row r="375" spans="1:12" ht="15.6">
      <c r="A375" s="49" t="str">
        <f>IF(B375&gt;0,VLOOKUP(B375,КВСР!A382:B1547,2),IF(C375&gt;0,VLOOKUP(C375,КФСР!A382:B1894,2),IF(D375&gt;0,VLOOKUP(D375,Программа!A$1:B$5063,2),IF(F375&gt;0,VLOOKUP(F375,КВР!A$1:B$5001,2),IF(E375&gt;0,VLOOKUP(E375,Направление!A$1:B$4746,2))))))</f>
        <v>Иные бюджетные ассигнования</v>
      </c>
      <c r="B375" s="87"/>
      <c r="C375" s="88"/>
      <c r="D375" s="77"/>
      <c r="E375" s="88"/>
      <c r="F375" s="89">
        <v>800</v>
      </c>
      <c r="G375" s="387">
        <v>1000000</v>
      </c>
      <c r="H375" s="385"/>
      <c r="I375" s="50">
        <f>SUM(G375:H375)</f>
        <v>1000000</v>
      </c>
      <c r="J375" s="387">
        <v>0</v>
      </c>
      <c r="K375" s="385"/>
      <c r="L375" s="50">
        <f>SUM(J375:K375)</f>
        <v>0</v>
      </c>
    </row>
    <row r="376" spans="1:12" ht="78">
      <c r="A376" s="49" t="str">
        <f>IF(B376&gt;0,VLOOKUP(B376,КВСР!A383:B1548,2),IF(C376&gt;0,VLOOKUP(C376,КФСР!A383:B1895,2),IF(D376&gt;0,VLOOKUP(D376,Программа!A$1:B$5063,2),IF(F376&gt;0,VLOOKUP(F376,КВР!A$1:B$5001,2),IF(E376&gt;0,VLOOKUP(E376,Направление!A$1:B$4746,2))))))</f>
        <v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v>
      </c>
      <c r="B376" s="87"/>
      <c r="C376" s="88"/>
      <c r="D376" s="77" t="s">
        <v>2759</v>
      </c>
      <c r="E376" s="88"/>
      <c r="F376" s="89"/>
      <c r="G376" s="387">
        <v>6833685</v>
      </c>
      <c r="H376" s="50">
        <f>H377+H380</f>
        <v>0</v>
      </c>
      <c r="I376" s="50">
        <f t="shared" ref="I376:L376" si="320">I377+I380</f>
        <v>6833685</v>
      </c>
      <c r="J376" s="50">
        <v>0</v>
      </c>
      <c r="K376" s="50">
        <f t="shared" si="320"/>
        <v>0</v>
      </c>
      <c r="L376" s="50">
        <f t="shared" si="320"/>
        <v>0</v>
      </c>
    </row>
    <row r="377" spans="1:12" ht="62.4">
      <c r="A377" s="49" t="str">
        <f>IF(B377&gt;0,VLOOKUP(B377,КВСР!A384:B1549,2),IF(C377&gt;0,VLOOKUP(C377,КФСР!A384:B1896,2),IF(D377&gt;0,VLOOKUP(D377,Программа!A$1:B$5063,2),IF(F377&gt;0,VLOOKUP(F377,КВР!A$1:B$5001,2),IF(E377&gt;0,VLOOKUP(E377,Направление!A$1:B$4746,2))))))</f>
        <v>Модернизация объектов теплоснабжения с вводом их в эксплуатацию (строительство и реконструкция котельных)</v>
      </c>
      <c r="B377" s="87"/>
      <c r="C377" s="88"/>
      <c r="D377" s="77" t="s">
        <v>2761</v>
      </c>
      <c r="E377" s="88"/>
      <c r="F377" s="89"/>
      <c r="G377" s="387">
        <v>1500000</v>
      </c>
      <c r="H377" s="50">
        <f>H378</f>
        <v>0</v>
      </c>
      <c r="I377" s="50">
        <f t="shared" ref="I377:L378" si="321">I378</f>
        <v>1500000</v>
      </c>
      <c r="J377" s="50">
        <v>0</v>
      </c>
      <c r="K377" s="50">
        <f t="shared" si="321"/>
        <v>0</v>
      </c>
      <c r="L377" s="50">
        <f t="shared" si="321"/>
        <v>0</v>
      </c>
    </row>
    <row r="378" spans="1:12" ht="46.8">
      <c r="A378" s="49" t="str">
        <f>IF(B378&gt;0,VLOOKUP(B378,КВСР!A385:B1550,2),IF(C378&gt;0,VLOOKUP(C378,КФСР!A385:B1897,2),IF(D378&gt;0,VLOOKUP(D378,Программа!A$1:B$5063,2),IF(F378&gt;0,VLOOKUP(F378,КВР!A$1:B$5001,2),IF(E378&gt;0,VLOOKUP(E378,Направление!A$1:B$4746,2))))))</f>
        <v xml:space="preserve">Обеспечение мероприятий по строительству и реконструкции объектов теплоснабжения </v>
      </c>
      <c r="B378" s="87"/>
      <c r="C378" s="88"/>
      <c r="D378" s="77"/>
      <c r="E378" s="88">
        <v>29056</v>
      </c>
      <c r="F378" s="89"/>
      <c r="G378" s="387">
        <v>1500000</v>
      </c>
      <c r="H378" s="50">
        <f>H379</f>
        <v>0</v>
      </c>
      <c r="I378" s="50">
        <f t="shared" si="321"/>
        <v>1500000</v>
      </c>
      <c r="J378" s="50">
        <v>0</v>
      </c>
      <c r="K378" s="50">
        <f t="shared" si="321"/>
        <v>0</v>
      </c>
      <c r="L378" s="50">
        <f t="shared" si="321"/>
        <v>0</v>
      </c>
    </row>
    <row r="379" spans="1:12" ht="15.6">
      <c r="A379" s="49" t="str">
        <f>IF(B379&gt;0,VLOOKUP(B379,КВСР!A386:B1551,2),IF(C379&gt;0,VLOOKUP(C379,КФСР!A386:B1898,2),IF(D379&gt;0,VLOOKUP(D379,Программа!A$1:B$5063,2),IF(F379&gt;0,VLOOKUP(F379,КВР!A$1:B$5001,2),IF(E379&gt;0,VLOOKUP(E379,Направление!A$1:B$4746,2))))))</f>
        <v>Бюджетные инвестиции</v>
      </c>
      <c r="B379" s="87"/>
      <c r="C379" s="88"/>
      <c r="D379" s="77"/>
      <c r="E379" s="88"/>
      <c r="F379" s="89">
        <v>400</v>
      </c>
      <c r="G379" s="387">
        <v>1500000</v>
      </c>
      <c r="H379" s="385"/>
      <c r="I379" s="50">
        <f>SUM(G379:H379)</f>
        <v>1500000</v>
      </c>
      <c r="J379" s="387">
        <v>0</v>
      </c>
      <c r="K379" s="385"/>
      <c r="L379" s="50">
        <f>SUM(J379:K379)</f>
        <v>0</v>
      </c>
    </row>
    <row r="380" spans="1:12" ht="78">
      <c r="A380" s="49" t="str">
        <f>IF(B380&gt;0,VLOOKUP(B380,КВСР!A387:B1552,2),IF(C380&gt;0,VLOOKUP(C380,КФСР!A387:B1899,2),IF(D380&gt;0,VLOOKUP(D380,Программа!A$1:B$5063,2),IF(F380&gt;0,VLOOKUP(F380,КВР!A$1:B$5001,2),IF(E380&gt;0,VLOOKUP(E380,Направление!A$1:B$4746,2))))))</f>
        <v>Газификация населенных пунктов Тутаевского муниципального района (строительство газопроводов и распределительных газовых сетей с вводом их в эксплуатацию)</v>
      </c>
      <c r="B380" s="87"/>
      <c r="C380" s="88"/>
      <c r="D380" s="77" t="s">
        <v>2763</v>
      </c>
      <c r="E380" s="88"/>
      <c r="F380" s="89"/>
      <c r="G380" s="387">
        <v>5333685</v>
      </c>
      <c r="H380" s="50">
        <f>H381+H383</f>
        <v>0</v>
      </c>
      <c r="I380" s="50">
        <f>I381+I383</f>
        <v>5333685</v>
      </c>
      <c r="J380" s="50">
        <v>0</v>
      </c>
      <c r="K380" s="50">
        <f t="shared" ref="I380:L381" si="322">K381</f>
        <v>0</v>
      </c>
      <c r="L380" s="50">
        <f t="shared" si="322"/>
        <v>0</v>
      </c>
    </row>
    <row r="381" spans="1:12" ht="46.8">
      <c r="A381" s="49" t="str">
        <f>IF(B381&gt;0,VLOOKUP(B381,КВСР!A388:B1553,2),IF(C381&gt;0,VLOOKUP(C381,КФСР!A388:B1900,2),IF(D381&gt;0,VLOOKUP(D381,Программа!A$1:B$5063,2),IF(F381&gt;0,VLOOKUP(F381,КВР!A$1:B$5001,2),IF(E381&gt;0,VLOOKUP(E381,Направление!A$1:B$4746,2))))))</f>
        <v xml:space="preserve">Обеспечение мероприятий по строительству и реконструкции  объектов  газификации </v>
      </c>
      <c r="B381" s="87"/>
      <c r="C381" s="88"/>
      <c r="D381" s="77"/>
      <c r="E381" s="88">
        <v>29066</v>
      </c>
      <c r="F381" s="89"/>
      <c r="G381" s="387">
        <v>4000000</v>
      </c>
      <c r="H381" s="50">
        <f>H382</f>
        <v>0</v>
      </c>
      <c r="I381" s="50">
        <f t="shared" si="322"/>
        <v>4000000</v>
      </c>
      <c r="J381" s="50">
        <v>0</v>
      </c>
      <c r="K381" s="50">
        <f t="shared" si="322"/>
        <v>0</v>
      </c>
      <c r="L381" s="50">
        <f t="shared" si="322"/>
        <v>0</v>
      </c>
    </row>
    <row r="382" spans="1:12" ht="15.6">
      <c r="A382" s="49" t="str">
        <f>IF(B382&gt;0,VLOOKUP(B382,КВСР!A389:B1554,2),IF(C382&gt;0,VLOOKUP(C382,КФСР!A389:B1901,2),IF(D382&gt;0,VLOOKUP(D382,Программа!A$1:B$5063,2),IF(F382&gt;0,VLOOKUP(F382,КВР!A$1:B$5001,2),IF(E382&gt;0,VLOOKUP(E382,Направление!A$1:B$4746,2))))))</f>
        <v>Бюджетные инвестиции</v>
      </c>
      <c r="B382" s="87"/>
      <c r="C382" s="88"/>
      <c r="D382" s="77"/>
      <c r="E382" s="88"/>
      <c r="F382" s="89">
        <v>400</v>
      </c>
      <c r="G382" s="387">
        <v>4000000</v>
      </c>
      <c r="H382" s="385"/>
      <c r="I382" s="50">
        <f>SUM(G382:H382)</f>
        <v>4000000</v>
      </c>
      <c r="J382" s="387">
        <v>0</v>
      </c>
      <c r="K382" s="385"/>
      <c r="L382" s="50">
        <f>SUM(J382:K382)</f>
        <v>0</v>
      </c>
    </row>
    <row r="383" spans="1:12" ht="63.75" customHeight="1">
      <c r="A383" s="49" t="str">
        <f>IF(B383&gt;0,VLOOKUP(B383,КВСР!A390:B1555,2),IF(C383&gt;0,VLOOKUP(C383,КФСР!A390:B1902,2),IF(D383&gt;0,VLOOKUP(D383,Программа!A$1:B$5063,2),IF(F383&gt;0,VLOOKUP(F383,КВР!A$1:B$5001,2),IF(E383&gt;0,VLOOKUP(E383,Направление!A$1:B$4746,2))))))</f>
        <v>Субсидия на реализацию мероприятий по строительству и реконструкции объектов теплоснабжения и газификации</v>
      </c>
      <c r="B383" s="87"/>
      <c r="C383" s="88"/>
      <c r="D383" s="77"/>
      <c r="E383" s="88">
        <v>72016</v>
      </c>
      <c r="F383" s="89"/>
      <c r="G383" s="387">
        <v>1333685</v>
      </c>
      <c r="H383" s="387">
        <f>H384</f>
        <v>0</v>
      </c>
      <c r="I383" s="387">
        <f>I384</f>
        <v>1333685</v>
      </c>
      <c r="J383" s="387">
        <v>0</v>
      </c>
      <c r="K383" s="387">
        <f>K384</f>
        <v>0</v>
      </c>
      <c r="L383" s="387">
        <f>L384</f>
        <v>0</v>
      </c>
    </row>
    <row r="384" spans="1:12" ht="15.6">
      <c r="A384" s="49" t="str">
        <f>IF(B384&gt;0,VLOOKUP(B384,КВСР!A391:B1556,2),IF(C384&gt;0,VLOOKUP(C384,КФСР!A391:B1903,2),IF(D384&gt;0,VLOOKUP(D384,Программа!A$1:B$5063,2),IF(F384&gt;0,VLOOKUP(F384,КВР!A$1:B$5001,2),IF(E384&gt;0,VLOOKUP(E384,Направление!A$1:B$4746,2))))))</f>
        <v>Бюджетные инвестиции</v>
      </c>
      <c r="B384" s="87"/>
      <c r="C384" s="88"/>
      <c r="D384" s="77"/>
      <c r="E384" s="88"/>
      <c r="F384" s="89">
        <v>400</v>
      </c>
      <c r="G384" s="387">
        <v>1333685</v>
      </c>
      <c r="H384" s="385"/>
      <c r="I384" s="50">
        <f>SUM(G384:H384)</f>
        <v>1333685</v>
      </c>
      <c r="J384" s="387">
        <v>0</v>
      </c>
      <c r="K384" s="385"/>
      <c r="L384" s="50">
        <f>SUM(J384:K384)</f>
        <v>0</v>
      </c>
    </row>
    <row r="385" spans="1:12" ht="78">
      <c r="A385" s="49" t="str">
        <f>IF(B385&gt;0,VLOOKUP(B385,КВСР!A379:B1544,2),IF(C385&gt;0,VLOOKUP(C385,КФСР!A379:B1891,2),IF(D385&gt;0,VLOOKUP(D385,Программа!A$1:B$5063,2),IF(F385&gt;0,VLOOKUP(F385,КВР!A$1:B$5001,2),IF(E385&gt;0,VLOOKUP(E385,Направление!A$1:B$4746,2))))))</f>
        <v xml:space="preserve">Муниципальная целевая   программа «Развитие водоснабжения, водоотведения и очистки сточных вод» на территории Тутаевского муниципального района </v>
      </c>
      <c r="B385" s="87"/>
      <c r="C385" s="88"/>
      <c r="D385" s="77" t="s">
        <v>2765</v>
      </c>
      <c r="E385" s="88"/>
      <c r="F385" s="89"/>
      <c r="G385" s="387">
        <v>1500000</v>
      </c>
      <c r="H385" s="50">
        <f t="shared" ref="H385:H386" si="323">H386</f>
        <v>0</v>
      </c>
      <c r="I385" s="50">
        <f t="shared" si="291"/>
        <v>1500000</v>
      </c>
      <c r="J385" s="387">
        <v>0</v>
      </c>
      <c r="K385" s="50">
        <f t="shared" si="317"/>
        <v>0</v>
      </c>
      <c r="L385" s="50">
        <f t="shared" si="293"/>
        <v>0</v>
      </c>
    </row>
    <row r="386" spans="1:12" ht="62.4">
      <c r="A386" s="49" t="str">
        <f>IF(B386&gt;0,VLOOKUP(B386,КВСР!A380:B1545,2),IF(C386&gt;0,VLOOKUP(C386,КФСР!A380:B1892,2),IF(D386&gt;0,VLOOKUP(D386,Программа!A$1:B$5063,2),IF(F386&gt;0,VLOOKUP(F386,КВР!A$1:B$5001,2),IF(E386&gt;0,VLOOKUP(E386,Направление!A$1:B$4746,2))))))</f>
        <v>Повышение качества водоснабжения в результате модернизации существующих источников водоснабжения и строительство  новых</v>
      </c>
      <c r="B386" s="87"/>
      <c r="C386" s="88"/>
      <c r="D386" s="77" t="s">
        <v>2767</v>
      </c>
      <c r="E386" s="88"/>
      <c r="F386" s="89"/>
      <c r="G386" s="387">
        <v>1500000</v>
      </c>
      <c r="H386" s="50">
        <f t="shared" si="323"/>
        <v>0</v>
      </c>
      <c r="I386" s="50">
        <f t="shared" si="291"/>
        <v>1500000</v>
      </c>
      <c r="J386" s="387">
        <v>0</v>
      </c>
      <c r="K386" s="50">
        <f t="shared" si="317"/>
        <v>0</v>
      </c>
      <c r="L386" s="50">
        <f t="shared" si="293"/>
        <v>0</v>
      </c>
    </row>
    <row r="387" spans="1:12" ht="46.8">
      <c r="A387" s="49" t="str">
        <f>IF(B387&gt;0,VLOOKUP(B387,КВСР!A380:B1545,2),IF(C387&gt;0,VLOOKUP(C387,КФСР!A380:B1892,2),IF(D387&gt;0,VLOOKUP(D387,Программа!A$1:B$5063,2),IF(F387&gt;0,VLOOKUP(F387,КВР!A$1:B$5001,2),IF(E387&gt;0,VLOOKUP(E387,Направление!A$1:B$4746,2))))))</f>
        <v>Бюджетные инвестиции в объекты капитального строительства муниципальной собственности</v>
      </c>
      <c r="B387" s="87"/>
      <c r="C387" s="88"/>
      <c r="D387" s="77"/>
      <c r="E387" s="88">
        <v>10010</v>
      </c>
      <c r="F387" s="89"/>
      <c r="G387" s="387">
        <v>1500000</v>
      </c>
      <c r="H387" s="50">
        <f>H388+H389</f>
        <v>0</v>
      </c>
      <c r="I387" s="50">
        <f t="shared" si="291"/>
        <v>1500000</v>
      </c>
      <c r="J387" s="387">
        <v>0</v>
      </c>
      <c r="K387" s="50">
        <f t="shared" si="317"/>
        <v>0</v>
      </c>
      <c r="L387" s="50">
        <f t="shared" si="293"/>
        <v>0</v>
      </c>
    </row>
    <row r="388" spans="1:12" ht="15.6">
      <c r="A388" s="49" t="str">
        <f>IF(B388&gt;0,VLOOKUP(B388,КВСР!A381:B1546,2),IF(C388&gt;0,VLOOKUP(C388,КФСР!A381:B1893,2),IF(D388&gt;0,VLOOKUP(D388,Программа!A$1:B$5063,2),IF(F388&gt;0,VLOOKUP(F388,КВР!A$1:B$5001,2),IF(E388&gt;0,VLOOKUP(E388,Направление!A$1:B$4746,2))))))</f>
        <v>Бюджетные инвестиции</v>
      </c>
      <c r="B388" s="87"/>
      <c r="C388" s="88"/>
      <c r="D388" s="77"/>
      <c r="E388" s="88"/>
      <c r="F388" s="89">
        <v>400</v>
      </c>
      <c r="G388" s="387">
        <v>120000</v>
      </c>
      <c r="H388" s="385"/>
      <c r="I388" s="50">
        <f t="shared" si="291"/>
        <v>120000</v>
      </c>
      <c r="J388" s="387">
        <v>0</v>
      </c>
      <c r="K388" s="385"/>
      <c r="L388" s="50">
        <f t="shared" si="293"/>
        <v>0</v>
      </c>
    </row>
    <row r="389" spans="1:12" ht="15.6">
      <c r="A389" s="49" t="str">
        <f>IF(B389&gt;0,VLOOKUP(B389,КВСР!A382:B1547,2),IF(C389&gt;0,VLOOKUP(C389,КФСР!A382:B1894,2),IF(D389&gt;0,VLOOKUP(D389,Программа!A$1:B$5063,2),IF(F389&gt;0,VLOOKUP(F389,КВР!A$1:B$5001,2),IF(E389&gt;0,VLOOKUP(E389,Направление!A$1:B$4746,2))))))</f>
        <v xml:space="preserve"> Межбюджетные трансферты</v>
      </c>
      <c r="B389" s="87"/>
      <c r="C389" s="88"/>
      <c r="D389" s="77"/>
      <c r="E389" s="88"/>
      <c r="F389" s="89">
        <v>500</v>
      </c>
      <c r="G389" s="387">
        <v>1380000</v>
      </c>
      <c r="H389" s="385"/>
      <c r="I389" s="50">
        <f>SUM(G389:H389)</f>
        <v>1380000</v>
      </c>
      <c r="J389" s="387"/>
      <c r="K389" s="385"/>
      <c r="L389" s="50"/>
    </row>
    <row r="390" spans="1:12" ht="62.4">
      <c r="A390" s="49" t="str">
        <f>IF(B390&gt;0,VLOOKUP(B390,КВСР!A383:B1548,2),IF(C390&gt;0,VLOOKUP(C390,КФСР!A383:B1895,2),IF(D390&gt;0,VLOOKUP(D390,Программа!A$1:B$5063,2),IF(F390&gt;0,VLOOKUP(F390,КВР!A$1:B$5001,2),IF(E390&gt;0,VLOOKUP(E390,Направление!A$1:B$4746,2))))))</f>
        <v>Муниципальная программа "Обеспечение населения Тутаевского муниципального района банными услугами"</v>
      </c>
      <c r="B390" s="87"/>
      <c r="C390" s="88"/>
      <c r="D390" s="77" t="s">
        <v>2921</v>
      </c>
      <c r="E390" s="88"/>
      <c r="F390" s="89"/>
      <c r="G390" s="387">
        <v>7590000</v>
      </c>
      <c r="H390" s="387">
        <f>H391</f>
        <v>0</v>
      </c>
      <c r="I390" s="387">
        <f t="shared" ref="I390:L392" si="324">I391</f>
        <v>7590000</v>
      </c>
      <c r="J390" s="387">
        <v>0</v>
      </c>
      <c r="K390" s="387">
        <f t="shared" si="324"/>
        <v>0</v>
      </c>
      <c r="L390" s="387">
        <f t="shared" si="324"/>
        <v>0</v>
      </c>
    </row>
    <row r="391" spans="1:12" ht="46.8">
      <c r="A391" s="49" t="str">
        <f>IF(B391&gt;0,VLOOKUP(B391,КВСР!A384:B1549,2),IF(C391&gt;0,VLOOKUP(C391,КФСР!A384:B1896,2),IF(D391&gt;0,VLOOKUP(D391,Программа!A$1:B$5063,2),IF(F391&gt;0,VLOOKUP(F391,КВР!A$1:B$5001,2),IF(E391&gt;0,VLOOKUP(E391,Направление!A$1:B$4746,2))))))</f>
        <v>Обеспечение населения Тутаевского муниципального района банными услугами</v>
      </c>
      <c r="B391" s="87"/>
      <c r="C391" s="88"/>
      <c r="D391" s="77" t="s">
        <v>2922</v>
      </c>
      <c r="E391" s="88"/>
      <c r="F391" s="89"/>
      <c r="G391" s="387">
        <v>7590000</v>
      </c>
      <c r="H391" s="387">
        <f>H392</f>
        <v>0</v>
      </c>
      <c r="I391" s="387">
        <f t="shared" si="324"/>
        <v>7590000</v>
      </c>
      <c r="J391" s="387">
        <v>0</v>
      </c>
      <c r="K391" s="387">
        <f t="shared" si="324"/>
        <v>0</v>
      </c>
      <c r="L391" s="387">
        <f t="shared" si="324"/>
        <v>0</v>
      </c>
    </row>
    <row r="392" spans="1:12" ht="46.8">
      <c r="A392" s="49" t="str">
        <f>IF(B392&gt;0,VLOOKUP(B392,КВСР!A385:B1550,2),IF(C392&gt;0,VLOOKUP(C392,КФСР!A385:B1897,2),IF(D392&gt;0,VLOOKUP(D392,Программа!A$1:B$5063,2),IF(F392&gt;0,VLOOKUP(F392,КВР!A$1:B$5001,2),IF(E392&gt;0,VLOOKUP(E392,Направление!A$1:B$4746,2))))))</f>
        <v>Обеспечение мероприятий по организации населению услуг бань  в общих отделениях</v>
      </c>
      <c r="B392" s="87"/>
      <c r="C392" s="88"/>
      <c r="D392" s="77"/>
      <c r="E392" s="88">
        <v>29206</v>
      </c>
      <c r="F392" s="89"/>
      <c r="G392" s="387">
        <v>7590000</v>
      </c>
      <c r="H392" s="387">
        <f>H393</f>
        <v>0</v>
      </c>
      <c r="I392" s="387">
        <f t="shared" si="324"/>
        <v>7590000</v>
      </c>
      <c r="J392" s="387">
        <v>0</v>
      </c>
      <c r="K392" s="387">
        <f t="shared" si="324"/>
        <v>0</v>
      </c>
      <c r="L392" s="387">
        <f t="shared" si="324"/>
        <v>0</v>
      </c>
    </row>
    <row r="393" spans="1:12" ht="15.6">
      <c r="A393" s="49" t="str">
        <f>IF(B393&gt;0,VLOOKUP(B393,КВСР!A386:B1551,2),IF(C393&gt;0,VLOOKUP(C393,КФСР!A386:B1898,2),IF(D393&gt;0,VLOOKUP(D393,Программа!A$1:B$5063,2),IF(F393&gt;0,VLOOKUP(F393,КВР!A$1:B$5001,2),IF(E393&gt;0,VLOOKUP(E393,Направление!A$1:B$4746,2))))))</f>
        <v>Иные бюджетные ассигнования</v>
      </c>
      <c r="B393" s="87"/>
      <c r="C393" s="88"/>
      <c r="D393" s="77"/>
      <c r="E393" s="88"/>
      <c r="F393" s="89">
        <v>800</v>
      </c>
      <c r="G393" s="387">
        <v>7590000</v>
      </c>
      <c r="H393" s="385"/>
      <c r="I393" s="50">
        <f>SUM(G393:H393)</f>
        <v>7590000</v>
      </c>
      <c r="J393" s="387">
        <v>0</v>
      </c>
      <c r="K393" s="385"/>
      <c r="L393" s="50">
        <f>SUM(J393:K393)</f>
        <v>0</v>
      </c>
    </row>
    <row r="394" spans="1:12" ht="31.2">
      <c r="A394" s="49" t="str">
        <f>IF(B394&gt;0,VLOOKUP(B394,КВСР!A387:B1552,2),IF(C394&gt;0,VLOOKUP(C394,КФСР!A387:B1899,2),IF(D394&gt;0,VLOOKUP(D394,Программа!A$1:B$5063,2),IF(F394&gt;0,VLOOKUP(F394,КВР!A$1:B$5001,2),IF(E394&gt;0,VLOOKUP(E394,Направление!A$1:B$4746,2))))))</f>
        <v>Межбюджетные трансферты  поселениям района</v>
      </c>
      <c r="B394" s="87"/>
      <c r="C394" s="88"/>
      <c r="D394" s="77" t="s">
        <v>2853</v>
      </c>
      <c r="E394" s="88"/>
      <c r="F394" s="89"/>
      <c r="G394" s="387">
        <v>1333685</v>
      </c>
      <c r="H394" s="387">
        <f>H395</f>
        <v>0</v>
      </c>
      <c r="I394" s="387">
        <f>I395</f>
        <v>1333685</v>
      </c>
      <c r="J394" s="387">
        <v>0</v>
      </c>
      <c r="K394" s="387">
        <f>K395</f>
        <v>0</v>
      </c>
      <c r="L394" s="387">
        <f>L395</f>
        <v>0</v>
      </c>
    </row>
    <row r="395" spans="1:12" ht="66" customHeight="1">
      <c r="A395" s="49" t="str">
        <f>IF(B395&gt;0,VLOOKUP(B395,КВСР!A388:B1553,2),IF(C395&gt;0,VLOOKUP(C395,КФСР!A388:B1900,2),IF(D395&gt;0,VLOOKUP(D395,Программа!A$1:B$5063,2),IF(F395&gt;0,VLOOKUP(F395,КВР!A$1:B$5001,2),IF(E395&gt;0,VLOOKUP(E395,Направление!A$1:B$4746,2))))))</f>
        <v>Субсидия на реализацию мероприятий по строительству и реконструкции объектов теплоснабжения и газификации</v>
      </c>
      <c r="B395" s="87"/>
      <c r="C395" s="88"/>
      <c r="D395" s="77"/>
      <c r="E395" s="88">
        <v>72010</v>
      </c>
      <c r="F395" s="89"/>
      <c r="G395" s="387">
        <v>1333685</v>
      </c>
      <c r="H395" s="387">
        <f>H396</f>
        <v>0</v>
      </c>
      <c r="I395" s="387">
        <f>I396</f>
        <v>1333685</v>
      </c>
      <c r="J395" s="387">
        <v>0</v>
      </c>
      <c r="K395" s="387">
        <f>K396</f>
        <v>0</v>
      </c>
      <c r="L395" s="387">
        <f>L396</f>
        <v>0</v>
      </c>
    </row>
    <row r="396" spans="1:12" ht="15.6">
      <c r="A396" s="49" t="str">
        <f>IF(B396&gt;0,VLOOKUP(B396,КВСР!A389:B1554,2),IF(C396&gt;0,VLOOKUP(C396,КФСР!A389:B1901,2),IF(D396&gt;0,VLOOKUP(D396,Программа!A$1:B$5063,2),IF(F396&gt;0,VLOOKUP(F396,КВР!A$1:B$5001,2),IF(E396&gt;0,VLOOKUP(E396,Направление!A$1:B$4746,2))))))</f>
        <v xml:space="preserve"> Межбюджетные трансферты</v>
      </c>
      <c r="B396" s="87"/>
      <c r="C396" s="88"/>
      <c r="D396" s="77"/>
      <c r="E396" s="88"/>
      <c r="F396" s="89">
        <v>500</v>
      </c>
      <c r="G396" s="387">
        <v>1333685</v>
      </c>
      <c r="H396" s="385"/>
      <c r="I396" s="50">
        <f>SUM(G396:H396)</f>
        <v>1333685</v>
      </c>
      <c r="J396" s="387">
        <v>0</v>
      </c>
      <c r="K396" s="385"/>
      <c r="L396" s="50">
        <f>SUM(J396:K396)</f>
        <v>0</v>
      </c>
    </row>
    <row r="397" spans="1:12" ht="15.6">
      <c r="A397" s="49" t="str">
        <f>IF(B397&gt;0,VLOOKUP(B397,КВСР!A387:B1552,2),IF(C397&gt;0,VLOOKUP(C397,КФСР!A387:B1899,2),IF(D397&gt;0,VLOOKUP(D397,Программа!A$1:B$5063,2),IF(F397&gt;0,VLOOKUP(F397,КВР!A$1:B$5001,2),IF(E397&gt;0,VLOOKUP(E397,Направление!A$1:B$4746,2))))))</f>
        <v>Благоустройство</v>
      </c>
      <c r="B397" s="87"/>
      <c r="C397" s="88">
        <v>503</v>
      </c>
      <c r="D397" s="77"/>
      <c r="E397" s="88"/>
      <c r="F397" s="89"/>
      <c r="G397" s="387">
        <v>16633370</v>
      </c>
      <c r="H397" s="387">
        <f>H398</f>
        <v>0</v>
      </c>
      <c r="I397" s="387">
        <f t="shared" ref="I397:L397" si="325">I398</f>
        <v>16633370</v>
      </c>
      <c r="J397" s="387">
        <v>0</v>
      </c>
      <c r="K397" s="387">
        <f t="shared" si="325"/>
        <v>0</v>
      </c>
      <c r="L397" s="387">
        <f t="shared" si="325"/>
        <v>0</v>
      </c>
    </row>
    <row r="398" spans="1:12" ht="62.4">
      <c r="A398" s="49" t="str">
        <f>IF(B398&gt;0,VLOOKUP(B398,КВСР!A388:B1553,2),IF(C398&gt;0,VLOOKUP(C398,КФСР!A388:B1900,2),IF(D398&gt;0,VLOOKUP(D398,Программа!A$1:B$5063,2),IF(F398&gt;0,VLOOKUP(F398,КВР!A$1:B$5001,2),IF(E398&gt;0,VLOOKUP(E398,Направление!A$1:B$4746,2))))))</f>
        <v>Муниципальная программа "Благоустройство  и санитарно-эпидемиологическая безопасность  Тутаевского муниципального района</v>
      </c>
      <c r="B398" s="87"/>
      <c r="C398" s="88"/>
      <c r="D398" s="77" t="s">
        <v>2794</v>
      </c>
      <c r="E398" s="88"/>
      <c r="F398" s="89"/>
      <c r="G398" s="387">
        <v>16633370</v>
      </c>
      <c r="H398" s="387">
        <f>H399+H403</f>
        <v>0</v>
      </c>
      <c r="I398" s="387">
        <f t="shared" ref="I398:L398" si="326">I399+I403</f>
        <v>16633370</v>
      </c>
      <c r="J398" s="387">
        <v>0</v>
      </c>
      <c r="K398" s="387">
        <f t="shared" si="326"/>
        <v>0</v>
      </c>
      <c r="L398" s="387">
        <f t="shared" si="326"/>
        <v>0</v>
      </c>
    </row>
    <row r="399" spans="1:12" ht="62.4">
      <c r="A399" s="49" t="str">
        <f>IF(B399&gt;0,VLOOKUP(B399,КВСР!A389:B1554,2),IF(C399&gt;0,VLOOKUP(C399,КФСР!A389:B1901,2),IF(D399&gt;0,VLOOKUP(D399,Программа!A$1:B$5063,2),IF(F399&gt;0,VLOOKUP(F399,КВР!A$1:B$5001,2),IF(E399&gt;0,VLOOKUP(E399,Направление!A$1:B$4746,2))))))</f>
        <v>Муниципальная целевая программа "Организация и развитие ритуальных услуг и мест захоронения в Тутаевском муниципальном районе"</v>
      </c>
      <c r="B399" s="87"/>
      <c r="C399" s="88"/>
      <c r="D399" s="77" t="s">
        <v>2795</v>
      </c>
      <c r="E399" s="88"/>
      <c r="F399" s="89"/>
      <c r="G399" s="387">
        <v>1100000</v>
      </c>
      <c r="H399" s="387">
        <f>H400</f>
        <v>0</v>
      </c>
      <c r="I399" s="387">
        <f t="shared" ref="I399:L401" si="327">I400</f>
        <v>1100000</v>
      </c>
      <c r="J399" s="387">
        <v>0</v>
      </c>
      <c r="K399" s="387">
        <f t="shared" si="327"/>
        <v>0</v>
      </c>
      <c r="L399" s="387">
        <f t="shared" si="327"/>
        <v>0</v>
      </c>
    </row>
    <row r="400" spans="1:12" ht="46.8">
      <c r="A400" s="49" t="str">
        <f>IF(B400&gt;0,VLOOKUP(B400,КВСР!A390:B1555,2),IF(C400&gt;0,VLOOKUP(C400,КФСР!A390:B1902,2),IF(D400&gt;0,VLOOKUP(D400,Программа!A$1:B$5063,2),IF(F400&gt;0,VLOOKUP(F400,КВР!A$1:B$5001,2),IF(E400&gt;0,VLOOKUP(E400,Направление!A$1:B$4746,2))))))</f>
        <v>Обеспечение комплекса работ по повышению уровня благоустройства мест погребений</v>
      </c>
      <c r="B400" s="87"/>
      <c r="C400" s="88"/>
      <c r="D400" s="77" t="s">
        <v>3139</v>
      </c>
      <c r="E400" s="88"/>
      <c r="F400" s="89"/>
      <c r="G400" s="387">
        <v>1100000</v>
      </c>
      <c r="H400" s="387">
        <f>H401</f>
        <v>0</v>
      </c>
      <c r="I400" s="387">
        <f t="shared" si="327"/>
        <v>1100000</v>
      </c>
      <c r="J400" s="387">
        <v>0</v>
      </c>
      <c r="K400" s="387">
        <f t="shared" si="327"/>
        <v>0</v>
      </c>
      <c r="L400" s="387">
        <f t="shared" si="327"/>
        <v>0</v>
      </c>
    </row>
    <row r="401" spans="1:12" ht="31.2">
      <c r="A401" s="49" t="str">
        <f>IF(B401&gt;0,VLOOKUP(B401,КВСР!A391:B1556,2),IF(C401&gt;0,VLOOKUP(C401,КФСР!A391:B1903,2),IF(D401&gt;0,VLOOKUP(D401,Программа!A$1:B$5063,2),IF(F401&gt;0,VLOOKUP(F401,КВР!A$1:B$5001,2),IF(E401&gt;0,VLOOKUP(E401,Направление!A$1:B$4746,2))))))</f>
        <v>Обеспечение мероприятий по  содержанию мест захоронения</v>
      </c>
      <c r="B401" s="87"/>
      <c r="C401" s="88"/>
      <c r="D401" s="77"/>
      <c r="E401" s="88">
        <v>29316</v>
      </c>
      <c r="F401" s="89"/>
      <c r="G401" s="387">
        <v>1100000</v>
      </c>
      <c r="H401" s="387">
        <f>H402</f>
        <v>0</v>
      </c>
      <c r="I401" s="387">
        <f t="shared" si="327"/>
        <v>1100000</v>
      </c>
      <c r="J401" s="387">
        <v>0</v>
      </c>
      <c r="K401" s="387">
        <f t="shared" si="327"/>
        <v>0</v>
      </c>
      <c r="L401" s="387">
        <f t="shared" si="327"/>
        <v>0</v>
      </c>
    </row>
    <row r="402" spans="1:12" ht="31.2">
      <c r="A402" s="49" t="str">
        <f>IF(B402&gt;0,VLOOKUP(B402,КВСР!A392:B1557,2),IF(C402&gt;0,VLOOKUP(C402,КФСР!A392:B1904,2),IF(D402&gt;0,VLOOKUP(D402,Программа!A$1:B$5063,2),IF(F402&gt;0,VLOOKUP(F402,КВР!A$1:B$5001,2),IF(E402&gt;0,VLOOKUP(E402,Направление!A$1:B$4746,2))))))</f>
        <v>Закупка товаров, работ и услуг для государственных нужд</v>
      </c>
      <c r="B402" s="87"/>
      <c r="C402" s="88"/>
      <c r="D402" s="77"/>
      <c r="E402" s="88"/>
      <c r="F402" s="89">
        <v>200</v>
      </c>
      <c r="G402" s="387">
        <v>1100000</v>
      </c>
      <c r="H402" s="385"/>
      <c r="I402" s="50">
        <f>SUM(G402:H402)</f>
        <v>1100000</v>
      </c>
      <c r="J402" s="387">
        <v>0</v>
      </c>
      <c r="K402" s="385"/>
      <c r="L402" s="50">
        <f>SUM(J402:K402)</f>
        <v>0</v>
      </c>
    </row>
    <row r="403" spans="1:12" ht="62.4">
      <c r="A403" s="49" t="str">
        <f>IF(B403&gt;0,VLOOKUP(B403,КВСР!A393:B1558,2),IF(C403&gt;0,VLOOKUP(C403,КФСР!A393:B1905,2),IF(D403&gt;0,VLOOKUP(D403,Программа!A$1:B$5063,2),IF(F403&gt;0,VLOOKUP(F403,КВР!A$1:B$5001,2),IF(E403&gt;0,VLOOKUP(E403,Направление!A$1:B$4746,2))))))</f>
        <v>Муниципальная целевая программа "Благоустройство и озеленение территории  в Тутаевского муниципального  района"</v>
      </c>
      <c r="B403" s="87"/>
      <c r="C403" s="88"/>
      <c r="D403" s="77" t="s">
        <v>2798</v>
      </c>
      <c r="E403" s="88"/>
      <c r="F403" s="89"/>
      <c r="G403" s="387">
        <v>15533370</v>
      </c>
      <c r="H403" s="387">
        <f>H404+H411</f>
        <v>0</v>
      </c>
      <c r="I403" s="387">
        <f t="shared" ref="I403:L403" si="328">I404+I411</f>
        <v>15533370</v>
      </c>
      <c r="J403" s="387">
        <v>0</v>
      </c>
      <c r="K403" s="387">
        <f t="shared" si="328"/>
        <v>0</v>
      </c>
      <c r="L403" s="387">
        <f t="shared" si="328"/>
        <v>0</v>
      </c>
    </row>
    <row r="404" spans="1:12" ht="62.4">
      <c r="A404" s="49" t="str">
        <f>IF(B404&gt;0,VLOOKUP(B404,КВСР!A394:B1559,2),IF(C404&gt;0,VLOOKUP(C404,КФСР!A394:B1906,2),IF(D404&gt;0,VLOOKUP(D404,Программа!A$1:B$5063,2),IF(F404&gt;0,VLOOKUP(F404,КВР!A$1:B$5001,2),IF(E404&gt;0,VLOOKUP(E404,Направление!A$1:B$4746,2))))))</f>
        <v>Улучшение уровня внешнего благоустройства и санитарного  состояния территорий Тутаевского муниципального района</v>
      </c>
      <c r="B404" s="87"/>
      <c r="C404" s="88"/>
      <c r="D404" s="77" t="s">
        <v>2799</v>
      </c>
      <c r="E404" s="88"/>
      <c r="F404" s="89"/>
      <c r="G404" s="387">
        <v>14033370</v>
      </c>
      <c r="H404" s="387">
        <f>H405+H407+H409</f>
        <v>0</v>
      </c>
      <c r="I404" s="387">
        <f t="shared" ref="I404:L404" si="329">I405+I407+I409</f>
        <v>14033370</v>
      </c>
      <c r="J404" s="387">
        <v>0</v>
      </c>
      <c r="K404" s="387">
        <f t="shared" si="329"/>
        <v>0</v>
      </c>
      <c r="L404" s="387">
        <f t="shared" si="329"/>
        <v>0</v>
      </c>
    </row>
    <row r="405" spans="1:12" ht="31.2">
      <c r="A405" s="49" t="str">
        <f>IF(B405&gt;0,VLOOKUP(B405,КВСР!A395:B1560,2),IF(C405&gt;0,VLOOKUP(C405,КФСР!A395:B1907,2),IF(D405&gt;0,VLOOKUP(D405,Программа!A$1:B$5063,2),IF(F405&gt;0,VLOOKUP(F405,КВР!A$1:B$5001,2),IF(E405&gt;0,VLOOKUP(E405,Направление!A$1:B$4746,2))))))</f>
        <v>Обеспечение мероприятий по уличному освещению</v>
      </c>
      <c r="B405" s="87"/>
      <c r="C405" s="88"/>
      <c r="D405" s="77"/>
      <c r="E405" s="88">
        <v>29236</v>
      </c>
      <c r="F405" s="89"/>
      <c r="G405" s="387">
        <v>8560000</v>
      </c>
      <c r="H405" s="387">
        <f>H406</f>
        <v>0</v>
      </c>
      <c r="I405" s="387">
        <f t="shared" ref="I405:L405" si="330">I406</f>
        <v>8560000</v>
      </c>
      <c r="J405" s="387">
        <v>0</v>
      </c>
      <c r="K405" s="387">
        <f t="shared" si="330"/>
        <v>0</v>
      </c>
      <c r="L405" s="387">
        <f t="shared" si="330"/>
        <v>0</v>
      </c>
    </row>
    <row r="406" spans="1:12" ht="31.2">
      <c r="A406" s="49" t="str">
        <f>IF(B406&gt;0,VLOOKUP(B406,КВСР!A396:B1561,2),IF(C406&gt;0,VLOOKUP(C406,КФСР!A396:B1908,2),IF(D406&gt;0,VLOOKUP(D406,Программа!A$1:B$5063,2),IF(F406&gt;0,VLOOKUP(F406,КВР!A$1:B$5001,2),IF(E406&gt;0,VLOOKUP(E406,Направление!A$1:B$4746,2))))))</f>
        <v>Закупка товаров, работ и услуг для государственных нужд</v>
      </c>
      <c r="B406" s="87"/>
      <c r="C406" s="88"/>
      <c r="D406" s="77"/>
      <c r="E406" s="88"/>
      <c r="F406" s="89">
        <v>200</v>
      </c>
      <c r="G406" s="387">
        <v>8560000</v>
      </c>
      <c r="H406" s="385"/>
      <c r="I406" s="50">
        <f>SUM(G406:H406)</f>
        <v>8560000</v>
      </c>
      <c r="J406" s="387">
        <v>0</v>
      </c>
      <c r="K406" s="385"/>
      <c r="L406" s="50">
        <f>SUM(J406:K406)</f>
        <v>0</v>
      </c>
    </row>
    <row r="407" spans="1:12" ht="62.4">
      <c r="A407" s="49" t="str">
        <f>IF(B407&gt;0,VLOOKUP(B407,КВСР!A397:B1562,2),IF(C407&gt;0,VLOOKUP(C407,КФСР!A397:B1909,2),IF(D407&gt;0,VLOOKUP(D407,Программа!A$1:B$5063,2),IF(F407&gt;0,VLOOKUP(F407,КВР!A$1:B$5001,2),IF(E407&gt;0,VLOOKUP(E407,Направление!A$1:B$4746,2))))))</f>
        <v>Обеспечение мероприятий по техническому содержанию, текущему и капитальному ремонту сетей уличного освещения</v>
      </c>
      <c r="B407" s="87"/>
      <c r="C407" s="88"/>
      <c r="D407" s="77"/>
      <c r="E407" s="88">
        <v>29246</v>
      </c>
      <c r="F407" s="89"/>
      <c r="G407" s="387">
        <v>3273370</v>
      </c>
      <c r="H407" s="387">
        <f>H408</f>
        <v>0</v>
      </c>
      <c r="I407" s="387">
        <f t="shared" ref="I407:L407" si="331">I408</f>
        <v>3273370</v>
      </c>
      <c r="J407" s="387">
        <v>0</v>
      </c>
      <c r="K407" s="387">
        <f t="shared" si="331"/>
        <v>0</v>
      </c>
      <c r="L407" s="387">
        <f t="shared" si="331"/>
        <v>0</v>
      </c>
    </row>
    <row r="408" spans="1:12" ht="31.2">
      <c r="A408" s="49" t="str">
        <f>IF(B408&gt;0,VLOOKUP(B408,КВСР!A398:B1563,2),IF(C408&gt;0,VLOOKUP(C408,КФСР!A398:B1910,2),IF(D408&gt;0,VLOOKUP(D408,Программа!A$1:B$5063,2),IF(F408&gt;0,VLOOKUP(F408,КВР!A$1:B$5001,2),IF(E408&gt;0,VLOOKUP(E408,Направление!A$1:B$4746,2))))))</f>
        <v>Закупка товаров, работ и услуг для государственных нужд</v>
      </c>
      <c r="B408" s="87"/>
      <c r="C408" s="88"/>
      <c r="D408" s="77"/>
      <c r="E408" s="88"/>
      <c r="F408" s="89">
        <v>200</v>
      </c>
      <c r="G408" s="387">
        <v>3273370</v>
      </c>
      <c r="H408" s="385"/>
      <c r="I408" s="50">
        <f>SUM(G408:H408)</f>
        <v>3273370</v>
      </c>
      <c r="J408" s="387"/>
      <c r="K408" s="385"/>
      <c r="L408" s="50"/>
    </row>
    <row r="409" spans="1:12" ht="31.2">
      <c r="A409" s="49" t="str">
        <f>IF(B409&gt;0,VLOOKUP(B409,КВСР!A399:B1564,2),IF(C409&gt;0,VLOOKUP(C409,КФСР!A399:B1911,2),IF(D409&gt;0,VLOOKUP(D409,Программа!A$1:B$5063,2),IF(F409&gt;0,VLOOKUP(F409,КВР!A$1:B$5001,2),IF(E409&gt;0,VLOOKUP(E409,Направление!A$1:B$4746,2))))))</f>
        <v>Обеспечение мероприятий в области благоустройства</v>
      </c>
      <c r="B409" s="87"/>
      <c r="C409" s="88"/>
      <c r="D409" s="77"/>
      <c r="E409" s="88">
        <v>29266</v>
      </c>
      <c r="F409" s="89"/>
      <c r="G409" s="387">
        <v>2200000</v>
      </c>
      <c r="H409" s="387">
        <f>H410</f>
        <v>0</v>
      </c>
      <c r="I409" s="387">
        <f t="shared" ref="I409:L409" si="332">I410</f>
        <v>2200000</v>
      </c>
      <c r="J409" s="387">
        <v>0</v>
      </c>
      <c r="K409" s="387">
        <f t="shared" si="332"/>
        <v>0</v>
      </c>
      <c r="L409" s="387">
        <f t="shared" si="332"/>
        <v>0</v>
      </c>
    </row>
    <row r="410" spans="1:12" ht="31.2">
      <c r="A410" s="49" t="str">
        <f>IF(B410&gt;0,VLOOKUP(B410,КВСР!A400:B1565,2),IF(C410&gt;0,VLOOKUP(C410,КФСР!A400:B1912,2),IF(D410&gt;0,VLOOKUP(D410,Программа!A$1:B$5063,2),IF(F410&gt;0,VLOOKUP(F410,КВР!A$1:B$5001,2),IF(E410&gt;0,VLOOKUP(E410,Направление!A$1:B$4746,2))))))</f>
        <v>Закупка товаров, работ и услуг для государственных нужд</v>
      </c>
      <c r="B410" s="87"/>
      <c r="C410" s="88"/>
      <c r="D410" s="77"/>
      <c r="E410" s="88"/>
      <c r="F410" s="89">
        <v>200</v>
      </c>
      <c r="G410" s="387">
        <v>2200000</v>
      </c>
      <c r="H410" s="385"/>
      <c r="I410" s="50">
        <f>SUM(G410:H410)</f>
        <v>2200000</v>
      </c>
      <c r="J410" s="387">
        <v>0</v>
      </c>
      <c r="K410" s="385"/>
      <c r="L410" s="50">
        <f>SUM(J410:K410)</f>
        <v>0</v>
      </c>
    </row>
    <row r="411" spans="1:12" ht="46.8">
      <c r="A411" s="49" t="str">
        <f>IF(B411&gt;0,VLOOKUP(B411,КВСР!A401:B1566,2),IF(C411&gt;0,VLOOKUP(C411,КФСР!A401:B1913,2),IF(D411&gt;0,VLOOKUP(D411,Программа!A$1:B$5063,2),IF(F411&gt;0,VLOOKUP(F411,КВР!A$1:B$5001,2),IF(E411&gt;0,VLOOKUP(E411,Направление!A$1:B$4746,2))))))</f>
        <v>Обеспечение мероприятий по благоустройству мест массового отдыха населения</v>
      </c>
      <c r="B411" s="87"/>
      <c r="C411" s="88"/>
      <c r="D411" s="77" t="s">
        <v>2802</v>
      </c>
      <c r="E411" s="88"/>
      <c r="F411" s="89"/>
      <c r="G411" s="387">
        <v>1500000</v>
      </c>
      <c r="H411" s="387">
        <f>H412</f>
        <v>0</v>
      </c>
      <c r="I411" s="387">
        <f t="shared" ref="I411:L412" si="333">I412</f>
        <v>1500000</v>
      </c>
      <c r="J411" s="387">
        <v>0</v>
      </c>
      <c r="K411" s="387">
        <f t="shared" si="333"/>
        <v>0</v>
      </c>
      <c r="L411" s="387">
        <f t="shared" si="333"/>
        <v>0</v>
      </c>
    </row>
    <row r="412" spans="1:12" ht="31.2">
      <c r="A412" s="49" t="str">
        <f>IF(B412&gt;0,VLOOKUP(B412,КВСР!A402:B1567,2),IF(C412&gt;0,VLOOKUP(C412,КФСР!A402:B1914,2),IF(D412&gt;0,VLOOKUP(D412,Программа!A$1:B$5063,2),IF(F412&gt;0,VLOOKUP(F412,КВР!A$1:B$5001,2),IF(E412&gt;0,VLOOKUP(E412,Направление!A$1:B$4746,2))))))</f>
        <v>Обеспечение мероприятий в области благоустройства</v>
      </c>
      <c r="B412" s="87"/>
      <c r="C412" s="88"/>
      <c r="D412" s="77"/>
      <c r="E412" s="88">
        <v>29266</v>
      </c>
      <c r="F412" s="89"/>
      <c r="G412" s="387">
        <v>1500000</v>
      </c>
      <c r="H412" s="387">
        <f>H413</f>
        <v>0</v>
      </c>
      <c r="I412" s="387">
        <f t="shared" si="333"/>
        <v>1500000</v>
      </c>
      <c r="J412" s="387">
        <v>0</v>
      </c>
      <c r="K412" s="387">
        <f t="shared" si="333"/>
        <v>0</v>
      </c>
      <c r="L412" s="387">
        <f t="shared" si="333"/>
        <v>0</v>
      </c>
    </row>
    <row r="413" spans="1:12" ht="31.2">
      <c r="A413" s="49" t="str">
        <f>IF(B413&gt;0,VLOOKUP(B413,КВСР!A403:B1568,2),IF(C413&gt;0,VLOOKUP(C413,КФСР!A403:B1915,2),IF(D413&gt;0,VLOOKUP(D413,Программа!A$1:B$5063,2),IF(F413&gt;0,VLOOKUP(F413,КВР!A$1:B$5001,2),IF(E413&gt;0,VLOOKUP(E413,Направление!A$1:B$4746,2))))))</f>
        <v>Закупка товаров, работ и услуг для государственных нужд</v>
      </c>
      <c r="B413" s="87"/>
      <c r="C413" s="88"/>
      <c r="D413" s="77"/>
      <c r="E413" s="88"/>
      <c r="F413" s="89">
        <v>200</v>
      </c>
      <c r="G413" s="387">
        <v>1500000</v>
      </c>
      <c r="H413" s="385"/>
      <c r="I413" s="50">
        <f>SUM(G413:H413)</f>
        <v>1500000</v>
      </c>
      <c r="J413" s="387">
        <v>0</v>
      </c>
      <c r="K413" s="385"/>
      <c r="L413" s="50">
        <f>SUM(J413:K413)</f>
        <v>0</v>
      </c>
    </row>
    <row r="414" spans="1:12" ht="31.2">
      <c r="A414" s="49" t="str">
        <f>IF(B414&gt;0,VLOOKUP(B414,КВСР!A390:B1555,2),IF(C414&gt;0,VLOOKUP(C414,КФСР!A390:B1902,2),IF(D414&gt;0,VLOOKUP(D414,Программа!A$1:B$5063,2),IF(F414&gt;0,VLOOKUP(F414,КВР!A$1:B$5001,2),IF(E414&gt;0,VLOOKUP(E414,Направление!A$1:B$4746,2))))))</f>
        <v>Другие вопросы в области жилищно-коммунального хозяйства</v>
      </c>
      <c r="B414" s="77"/>
      <c r="C414" s="84">
        <v>505</v>
      </c>
      <c r="D414" s="444"/>
      <c r="E414" s="84"/>
      <c r="F414" s="85"/>
      <c r="G414" s="387">
        <v>12210329</v>
      </c>
      <c r="H414" s="50">
        <f t="shared" ref="H414:H416" si="334">H415</f>
        <v>0</v>
      </c>
      <c r="I414" s="50">
        <f t="shared" si="291"/>
        <v>12210329</v>
      </c>
      <c r="J414" s="387">
        <v>4358472</v>
      </c>
      <c r="K414" s="50">
        <f t="shared" ref="K414:K416" si="335">K415</f>
        <v>0</v>
      </c>
      <c r="L414" s="50">
        <f t="shared" si="293"/>
        <v>4358472</v>
      </c>
    </row>
    <row r="415" spans="1:12" ht="15.6">
      <c r="A415" s="49" t="str">
        <f>IF(B415&gt;0,VLOOKUP(B415,КВСР!A391:B1556,2),IF(C415&gt;0,VLOOKUP(C415,КФСР!A391:B1903,2),IF(D415&gt;0,VLOOKUP(D415,Программа!A$1:B$5063,2),IF(F415&gt;0,VLOOKUP(F415,КВР!A$1:B$5001,2),IF(E415&gt;0,VLOOKUP(E415,Направление!A$1:B$4746,2))))))</f>
        <v>Непрограммные расходы бюджета</v>
      </c>
      <c r="B415" s="91"/>
      <c r="C415" s="84"/>
      <c r="D415" s="444" t="s">
        <v>2852</v>
      </c>
      <c r="E415" s="84"/>
      <c r="F415" s="85"/>
      <c r="G415" s="387">
        <v>12210329</v>
      </c>
      <c r="H415" s="50">
        <f t="shared" ref="H415" si="336">H416+H418</f>
        <v>0</v>
      </c>
      <c r="I415" s="50">
        <f t="shared" si="291"/>
        <v>12210329</v>
      </c>
      <c r="J415" s="387">
        <v>4358472</v>
      </c>
      <c r="K415" s="50">
        <f t="shared" ref="K415" si="337">K416+K418</f>
        <v>0</v>
      </c>
      <c r="L415" s="50">
        <f t="shared" si="293"/>
        <v>4358472</v>
      </c>
    </row>
    <row r="416" spans="1:12" ht="15.6">
      <c r="A416" s="49" t="str">
        <f>IF(B416&gt;0,VLOOKUP(B416,КВСР!A392:B1557,2),IF(C416&gt;0,VLOOKUP(C416,КФСР!A392:B1904,2),IF(D416&gt;0,VLOOKUP(D416,Программа!A$1:B$5063,2),IF(F416&gt;0,VLOOKUP(F416,КВР!A$1:B$5001,2),IF(E416&gt;0,VLOOKUP(E416,Направление!A$1:B$4746,2))))))</f>
        <v>Содержание центрального аппарата</v>
      </c>
      <c r="B416" s="91"/>
      <c r="C416" s="84"/>
      <c r="D416" s="444"/>
      <c r="E416" s="84">
        <v>12010</v>
      </c>
      <c r="F416" s="85"/>
      <c r="G416" s="387">
        <v>4358472</v>
      </c>
      <c r="H416" s="50">
        <f t="shared" si="334"/>
        <v>0</v>
      </c>
      <c r="I416" s="50">
        <f t="shared" si="291"/>
        <v>4358472</v>
      </c>
      <c r="J416" s="387">
        <v>4358472</v>
      </c>
      <c r="K416" s="50">
        <f t="shared" si="335"/>
        <v>0</v>
      </c>
      <c r="L416" s="50">
        <f t="shared" si="293"/>
        <v>4358472</v>
      </c>
    </row>
    <row r="417" spans="1:12" ht="93.6">
      <c r="A417" s="49" t="str">
        <f>IF(B417&gt;0,VLOOKUP(B417,КВСР!A393:B1558,2),IF(C417&gt;0,VLOOKUP(C417,КФСР!A393:B1905,2),IF(D417&gt;0,VLOOKUP(D417,Программа!A$1:B$5063,2),IF(F417&gt;0,VLOOKUP(F417,КВР!A$1:B$5001,2),IF(E417&gt;0,VLOOKUP(E417,Направление!A$1:B$4746,2))))))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417" s="91"/>
      <c r="C417" s="84"/>
      <c r="D417" s="444"/>
      <c r="E417" s="84"/>
      <c r="F417" s="85">
        <v>100</v>
      </c>
      <c r="G417" s="387">
        <v>4358472</v>
      </c>
      <c r="H417" s="385"/>
      <c r="I417" s="50">
        <f t="shared" si="291"/>
        <v>4358472</v>
      </c>
      <c r="J417" s="387">
        <v>4358472</v>
      </c>
      <c r="K417" s="385"/>
      <c r="L417" s="50">
        <f t="shared" si="293"/>
        <v>4358472</v>
      </c>
    </row>
    <row r="418" spans="1:12" ht="46.8">
      <c r="A418" s="49" t="str">
        <f>IF(B418&gt;0,VLOOKUP(B418,КВСР!A394:B1559,2),IF(C418&gt;0,VLOOKUP(C418,КФСР!A394:B1906,2),IF(D418&gt;0,VLOOKUP(D418,Программа!A$1:B$5063,2),IF(F418&gt;0,VLOOKUP(F418,КВР!A$1:B$5001,2),IF(E418&gt;0,VLOOKUP(E418,Направление!A$1:B$4746,2))))))</f>
        <v>Содержание органов местного самоуправления за счет средств поселений</v>
      </c>
      <c r="B418" s="91"/>
      <c r="C418" s="84"/>
      <c r="D418" s="444"/>
      <c r="E418" s="84">
        <v>29016</v>
      </c>
      <c r="F418" s="85"/>
      <c r="G418" s="387">
        <v>7851857</v>
      </c>
      <c r="H418" s="50">
        <f t="shared" ref="H418" si="338">H419+H420+H421</f>
        <v>0</v>
      </c>
      <c r="I418" s="50">
        <f t="shared" si="291"/>
        <v>7851857</v>
      </c>
      <c r="J418" s="387">
        <v>0</v>
      </c>
      <c r="K418" s="50">
        <f t="shared" ref="K418" si="339">K419+K420+K421</f>
        <v>0</v>
      </c>
      <c r="L418" s="50">
        <f t="shared" si="293"/>
        <v>0</v>
      </c>
    </row>
    <row r="419" spans="1:12" ht="93.6">
      <c r="A419" s="49" t="str">
        <f>IF(B419&gt;0,VLOOKUP(B419,КВСР!A395:B1560,2),IF(C419&gt;0,VLOOKUP(C419,КФСР!A395:B1907,2),IF(D419&gt;0,VLOOKUP(D419,Программа!A$1:B$5063,2),IF(F419&gt;0,VLOOKUP(F419,КВР!A$1:B$5001,2),IF(E419&gt;0,VLOOKUP(E419,Направление!A$1:B$4746,2))))))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419" s="91"/>
      <c r="C419" s="84"/>
      <c r="D419" s="444"/>
      <c r="E419" s="84"/>
      <c r="F419" s="85">
        <v>100</v>
      </c>
      <c r="G419" s="387">
        <v>7138052</v>
      </c>
      <c r="H419" s="385"/>
      <c r="I419" s="50">
        <f t="shared" si="291"/>
        <v>7138052</v>
      </c>
      <c r="J419" s="387">
        <v>0</v>
      </c>
      <c r="K419" s="385"/>
      <c r="L419" s="50">
        <f t="shared" si="293"/>
        <v>0</v>
      </c>
    </row>
    <row r="420" spans="1:12" ht="31.2">
      <c r="A420" s="49" t="str">
        <f>IF(B420&gt;0,VLOOKUP(B420,КВСР!A396:B1561,2),IF(C420&gt;0,VLOOKUP(C420,КФСР!A396:B1908,2),IF(D420&gt;0,VLOOKUP(D420,Программа!A$1:B$5063,2),IF(F420&gt;0,VLOOKUP(F420,КВР!A$1:B$5001,2),IF(E420&gt;0,VLOOKUP(E420,Направление!A$1:B$4746,2))))))</f>
        <v>Закупка товаров, работ и услуг для государственных нужд</v>
      </c>
      <c r="B420" s="91"/>
      <c r="C420" s="84"/>
      <c r="D420" s="444"/>
      <c r="E420" s="84"/>
      <c r="F420" s="85">
        <v>200</v>
      </c>
      <c r="G420" s="387">
        <v>667805</v>
      </c>
      <c r="H420" s="385"/>
      <c r="I420" s="50">
        <f t="shared" si="291"/>
        <v>667805</v>
      </c>
      <c r="J420" s="387">
        <v>0</v>
      </c>
      <c r="K420" s="385"/>
      <c r="L420" s="50">
        <f t="shared" si="293"/>
        <v>0</v>
      </c>
    </row>
    <row r="421" spans="1:12" ht="15.6">
      <c r="A421" s="49" t="str">
        <f>IF(B421&gt;0,VLOOKUP(B421,КВСР!A397:B1562,2),IF(C421&gt;0,VLOOKUP(C421,КФСР!A397:B1909,2),IF(D421&gt;0,VLOOKUP(D421,Программа!A$1:B$5063,2),IF(F421&gt;0,VLOOKUP(F421,КВР!A$1:B$5001,2),IF(E421&gt;0,VLOOKUP(E421,Направление!A$1:B$4746,2))))))</f>
        <v>Иные бюджетные ассигнования</v>
      </c>
      <c r="B421" s="91"/>
      <c r="C421" s="84"/>
      <c r="D421" s="444"/>
      <c r="E421" s="84"/>
      <c r="F421" s="85">
        <v>800</v>
      </c>
      <c r="G421" s="387">
        <v>46000</v>
      </c>
      <c r="H421" s="385"/>
      <c r="I421" s="50">
        <f t="shared" si="291"/>
        <v>46000</v>
      </c>
      <c r="J421" s="387">
        <v>0</v>
      </c>
      <c r="K421" s="385"/>
      <c r="L421" s="50">
        <f t="shared" si="293"/>
        <v>0</v>
      </c>
    </row>
    <row r="422" spans="1:12" ht="15.6">
      <c r="A422" s="49" t="str">
        <f>IF(B422&gt;0,VLOOKUP(B422,КВСР!A410:B1575,2),IF(C422&gt;0,VLOOKUP(C422,КФСР!A410:B1922,2),IF(D422&gt;0,VLOOKUP(D422,Программа!A$1:B$5063,2),IF(F422&gt;0,VLOOKUP(F422,КВР!A$1:B$5001,2),IF(E422&gt;0,VLOOKUP(E422,Направление!A$1:B$4746,2))))))</f>
        <v>Социальное обеспечение населения</v>
      </c>
      <c r="B422" s="91"/>
      <c r="C422" s="84">
        <v>1003</v>
      </c>
      <c r="D422" s="444"/>
      <c r="E422" s="84"/>
      <c r="F422" s="85"/>
      <c r="G422" s="387">
        <v>166000</v>
      </c>
      <c r="H422" s="387">
        <f>H423</f>
        <v>0</v>
      </c>
      <c r="I422" s="50">
        <f t="shared" si="291"/>
        <v>166000</v>
      </c>
      <c r="J422" s="387">
        <v>166000</v>
      </c>
      <c r="K422" s="387">
        <f>K423</f>
        <v>0</v>
      </c>
      <c r="L422" s="50">
        <f t="shared" si="293"/>
        <v>166000</v>
      </c>
    </row>
    <row r="423" spans="1:12" ht="62.4">
      <c r="A423" s="49" t="str">
        <f>IF(B423&gt;0,VLOOKUP(B423,КВСР!A411:B1576,2),IF(C423&gt;0,VLOOKUP(C423,КФСР!A411:B1923,2),IF(D423&gt;0,VLOOKUP(D423,Программа!A$1:B$5063,2),IF(F423&gt;0,VLOOKUP(F423,КВР!A$1:B$5001,2),IF(E423&gt;0,VLOOKUP(E423,Направление!A$1:B$4746,2))))))</f>
        <v>Муниципальная программа  "Организация перевозок автомобильным и речным транспортом на территории Тутаевского муниципального района"</v>
      </c>
      <c r="B423" s="91"/>
      <c r="C423" s="84"/>
      <c r="D423" s="444" t="s">
        <v>2910</v>
      </c>
      <c r="E423" s="84"/>
      <c r="F423" s="85"/>
      <c r="G423" s="387">
        <v>166000</v>
      </c>
      <c r="H423" s="387">
        <f>H424+H427</f>
        <v>0</v>
      </c>
      <c r="I423" s="50">
        <f t="shared" si="291"/>
        <v>166000</v>
      </c>
      <c r="J423" s="387">
        <v>166000</v>
      </c>
      <c r="K423" s="387">
        <f>K424+K427</f>
        <v>0</v>
      </c>
      <c r="L423" s="50">
        <f t="shared" si="293"/>
        <v>166000</v>
      </c>
    </row>
    <row r="424" spans="1:12" ht="78">
      <c r="A424" s="49" t="str">
        <f>IF(B424&gt;0,VLOOKUP(B424,КВСР!A412:B1577,2),IF(C424&gt;0,VLOOKUP(C424,КФСР!A412:B1924,2),IF(D424&gt;0,VLOOKUP(D424,Программа!A$1:B$5063,2),IF(F424&gt;0,VLOOKUP(F424,КВР!A$1:B$5001,2),IF(E424&gt;0,VLOOKUP(E424,Направление!A$1:B$4746,2))))))</f>
        <v>Предоставление социальных услуг лицам, находящимся под диспансерным наблюдением в связи с туберкулезом, и больных туберкулезом  при проезде в транспорте общего пользования</v>
      </c>
      <c r="B424" s="91"/>
      <c r="C424" s="84"/>
      <c r="D424" s="444" t="s">
        <v>2911</v>
      </c>
      <c r="E424" s="84"/>
      <c r="F424" s="85"/>
      <c r="G424" s="387">
        <v>40000</v>
      </c>
      <c r="H424" s="387">
        <f>H425</f>
        <v>0</v>
      </c>
      <c r="I424" s="50">
        <f t="shared" si="291"/>
        <v>40000</v>
      </c>
      <c r="J424" s="387">
        <v>40000</v>
      </c>
      <c r="K424" s="387">
        <f>K425</f>
        <v>0</v>
      </c>
      <c r="L424" s="50">
        <f t="shared" si="293"/>
        <v>40000</v>
      </c>
    </row>
    <row r="425" spans="1:12" ht="78">
      <c r="A425" s="49" t="str">
        <f>IF(B425&gt;0,VLOOKUP(B425,КВСР!A413:B1578,2),IF(C425&gt;0,VLOOKUP(C425,КФСР!A413:B1925,2),IF(D425&gt;0,VLOOKUP(D425,Программа!A$1:B$5063,2),IF(F425&gt;0,VLOOKUP(F425,КВР!A$1:B$5001,2),IF(E425&gt;0,VLOOKUP(E425,Направление!A$1:B$4746,2))))))</f>
        <v>Предоставление бесплатного проезда лицам, находящимся под диспансерным наблюдением в связи с туберкулезом, и больным туберкулезом за счет средств областного бюджета</v>
      </c>
      <c r="B425" s="91"/>
      <c r="C425" s="84"/>
      <c r="D425" s="444"/>
      <c r="E425" s="84">
        <v>72550</v>
      </c>
      <c r="F425" s="85"/>
      <c r="G425" s="387">
        <v>40000</v>
      </c>
      <c r="H425" s="387">
        <f>H426</f>
        <v>0</v>
      </c>
      <c r="I425" s="50">
        <f t="shared" si="291"/>
        <v>40000</v>
      </c>
      <c r="J425" s="387">
        <v>40000</v>
      </c>
      <c r="K425" s="387">
        <f>K426</f>
        <v>0</v>
      </c>
      <c r="L425" s="50">
        <f t="shared" si="293"/>
        <v>40000</v>
      </c>
    </row>
    <row r="426" spans="1:12" ht="15.6">
      <c r="A426" s="49" t="str">
        <f>IF(B426&gt;0,VLOOKUP(B426,КВСР!A414:B1579,2),IF(C426&gt;0,VLOOKUP(C426,КФСР!A414:B1926,2),IF(D426&gt;0,VLOOKUP(D426,Программа!A$1:B$5063,2),IF(F426&gt;0,VLOOKUP(F426,КВР!A$1:B$5001,2),IF(E426&gt;0,VLOOKUP(E426,Направление!A$1:B$4746,2))))))</f>
        <v>Иные бюджетные ассигнования</v>
      </c>
      <c r="B426" s="91"/>
      <c r="C426" s="84"/>
      <c r="D426" s="444"/>
      <c r="E426" s="84"/>
      <c r="F426" s="85">
        <v>800</v>
      </c>
      <c r="G426" s="387">
        <v>40000</v>
      </c>
      <c r="H426" s="385"/>
      <c r="I426" s="50">
        <f t="shared" si="291"/>
        <v>40000</v>
      </c>
      <c r="J426" s="387">
        <v>40000</v>
      </c>
      <c r="K426" s="385"/>
      <c r="L426" s="50">
        <f t="shared" si="293"/>
        <v>40000</v>
      </c>
    </row>
    <row r="427" spans="1:12" ht="78">
      <c r="A427" s="49" t="str">
        <f>IF(B427&gt;0,VLOOKUP(B427,КВСР!A415:B1580,2),IF(C427&gt;0,VLOOKUP(C427,КФСР!A415:B1927,2),IF(D427&gt;0,VLOOKUP(D427,Программа!A$1:B$5063,2),IF(F427&gt;0,VLOOKUP(F427,КВР!A$1:B$5001,2),IF(E427&gt;0,VLOOKUP(E427,Направление!A$1:B$4746,2))))))</f>
        <v>Предоставление социальных услуг детям из многодетных семей, обучающихся в общеобразовательных организациях  при проезде в транспорте общего пользования</v>
      </c>
      <c r="B427" s="91"/>
      <c r="C427" s="84"/>
      <c r="D427" s="444" t="s">
        <v>2912</v>
      </c>
      <c r="E427" s="84"/>
      <c r="F427" s="85"/>
      <c r="G427" s="387">
        <v>126000</v>
      </c>
      <c r="H427" s="387">
        <f>H428</f>
        <v>0</v>
      </c>
      <c r="I427" s="50">
        <f t="shared" si="291"/>
        <v>126000</v>
      </c>
      <c r="J427" s="387">
        <v>126000</v>
      </c>
      <c r="K427" s="387">
        <f>K428</f>
        <v>0</v>
      </c>
      <c r="L427" s="50">
        <f t="shared" si="293"/>
        <v>126000</v>
      </c>
    </row>
    <row r="428" spans="1:12" ht="78">
      <c r="A428" s="49" t="str">
        <f>IF(B428&gt;0,VLOOKUP(B428,КВСР!A416:B1581,2),IF(C428&gt;0,VLOOKUP(C428,КФСР!A416:B1928,2),IF(D428&gt;0,VLOOKUP(D428,Программа!A$1:B$5063,2),IF(F428&gt;0,VLOOKUP(F428,КВР!A$1:B$5001,2),IF(E428&gt;0,VLOOKUP(E428,Направление!A$1:B$4746,2))))))</f>
        <v>Предоставление бесплатного проезда детям из многодетных семей, обучающимся в общеобразовательных учреждениях, за счет средств областного бюджета</v>
      </c>
      <c r="B428" s="91"/>
      <c r="C428" s="84"/>
      <c r="D428" s="444"/>
      <c r="E428" s="84">
        <v>72560</v>
      </c>
      <c r="F428" s="85"/>
      <c r="G428" s="387">
        <v>126000</v>
      </c>
      <c r="H428" s="387">
        <f>H429</f>
        <v>0</v>
      </c>
      <c r="I428" s="50">
        <f t="shared" si="291"/>
        <v>126000</v>
      </c>
      <c r="J428" s="387">
        <v>126000</v>
      </c>
      <c r="K428" s="387">
        <f>K429</f>
        <v>0</v>
      </c>
      <c r="L428" s="50">
        <f t="shared" si="293"/>
        <v>126000</v>
      </c>
    </row>
    <row r="429" spans="1:12" ht="15.6">
      <c r="A429" s="49" t="str">
        <f>IF(B429&gt;0,VLOOKUP(B429,КВСР!A417:B1582,2),IF(C429&gt;0,VLOOKUP(C429,КФСР!A417:B1929,2),IF(D429&gt;0,VLOOKUP(D429,Программа!A$1:B$5063,2),IF(F429&gt;0,VLOOKUP(F429,КВР!A$1:B$5001,2),IF(E429&gt;0,VLOOKUP(E429,Направление!A$1:B$4746,2))))))</f>
        <v>Иные бюджетные ассигнования</v>
      </c>
      <c r="B429" s="91"/>
      <c r="C429" s="84"/>
      <c r="D429" s="444"/>
      <c r="E429" s="84"/>
      <c r="F429" s="85">
        <v>800</v>
      </c>
      <c r="G429" s="387">
        <v>126000</v>
      </c>
      <c r="H429" s="385"/>
      <c r="I429" s="50">
        <f t="shared" si="291"/>
        <v>126000</v>
      </c>
      <c r="J429" s="387">
        <v>126000</v>
      </c>
      <c r="K429" s="385"/>
      <c r="L429" s="50">
        <f t="shared" si="293"/>
        <v>126000</v>
      </c>
    </row>
    <row r="430" spans="1:12" ht="15.6">
      <c r="A430" s="300" t="str">
        <f>IF(B430&gt;0,VLOOKUP(B430,КВСР!A415:B1580,2),IF(C430&gt;0,VLOOKUP(C430,КФСР!A415:B1927,2),IF(D430&gt;0,VLOOKUP(D430,Программа!A$1:B$5063,2),IF(F430&gt;0,VLOOKUP(F430,КВР!A$1:B$5001,2),IF(E430&gt;0,VLOOKUP(E430,Направление!A$1:B$4746,2))))))</f>
        <v>МУ Контрольно-счетная палата ТМР</v>
      </c>
      <c r="B430" s="87">
        <v>982</v>
      </c>
      <c r="C430" s="95"/>
      <c r="D430" s="448"/>
      <c r="E430" s="95"/>
      <c r="F430" s="99"/>
      <c r="G430" s="595">
        <v>1863955</v>
      </c>
      <c r="H430" s="86">
        <f t="shared" ref="H430:H431" si="340">H431</f>
        <v>0</v>
      </c>
      <c r="I430" s="86">
        <f t="shared" si="291"/>
        <v>1863955</v>
      </c>
      <c r="J430" s="595">
        <v>1810860</v>
      </c>
      <c r="K430" s="86">
        <f t="shared" ref="K430:K431" si="341">K431</f>
        <v>0</v>
      </c>
      <c r="L430" s="86">
        <f t="shared" si="293"/>
        <v>1810860</v>
      </c>
    </row>
    <row r="431" spans="1:12" ht="62.4">
      <c r="A431" s="49" t="str">
        <f>IF(B431&gt;0,VLOOKUP(B431,КВСР!A416:B1581,2),IF(C431&gt;0,VLOOKUP(C431,КФСР!A416:B1928,2),IF(D431&gt;0,VLOOKUP(D431,Программа!A$1:B$5063,2),IF(F431&gt;0,VLOOKUP(F431,КВР!A$1:B$5001,2),IF(E431&gt;0,VLOOKUP(E431,Направление!A$1:B$4746,2))))))</f>
        <v>Обеспечение деятельности финансовых, налоговых и таможенных органов и органов финансового (финансово-бюджетного) надзора</v>
      </c>
      <c r="B431" s="96"/>
      <c r="C431" s="84">
        <v>106</v>
      </c>
      <c r="D431" s="449"/>
      <c r="E431" s="97"/>
      <c r="F431" s="98"/>
      <c r="G431" s="387">
        <v>1863955</v>
      </c>
      <c r="H431" s="50">
        <f t="shared" si="340"/>
        <v>0</v>
      </c>
      <c r="I431" s="50">
        <f t="shared" si="291"/>
        <v>1863955</v>
      </c>
      <c r="J431" s="387">
        <v>1810860</v>
      </c>
      <c r="K431" s="50">
        <f t="shared" si="341"/>
        <v>0</v>
      </c>
      <c r="L431" s="50">
        <f t="shared" si="293"/>
        <v>1810860</v>
      </c>
    </row>
    <row r="432" spans="1:12" ht="15.6">
      <c r="A432" s="49" t="str">
        <f>IF(B432&gt;0,VLOOKUP(B432,КВСР!A417:B1582,2),IF(C432&gt;0,VLOOKUP(C432,КФСР!A417:B1929,2),IF(D432&gt;0,VLOOKUP(D432,Программа!A$1:B$5063,2),IF(F432&gt;0,VLOOKUP(F432,КВР!A$1:B$5001,2),IF(E432&gt;0,VLOOKUP(E432,Направление!A$1:B$4746,2))))))</f>
        <v>Непрограммные расходы бюджета</v>
      </c>
      <c r="B432" s="96"/>
      <c r="C432" s="84"/>
      <c r="D432" s="449" t="s">
        <v>2852</v>
      </c>
      <c r="E432" s="97"/>
      <c r="F432" s="98"/>
      <c r="G432" s="387">
        <v>1863955</v>
      </c>
      <c r="H432" s="50">
        <f t="shared" ref="H432" si="342">H433+H435+H437</f>
        <v>0</v>
      </c>
      <c r="I432" s="50">
        <f t="shared" si="291"/>
        <v>1863955</v>
      </c>
      <c r="J432" s="387">
        <v>1810860</v>
      </c>
      <c r="K432" s="50">
        <f t="shared" ref="K432" si="343">K433+K435+K437</f>
        <v>0</v>
      </c>
      <c r="L432" s="50">
        <f t="shared" si="293"/>
        <v>1810860</v>
      </c>
    </row>
    <row r="433" spans="1:12" ht="15.6">
      <c r="A433" s="49" t="str">
        <f>IF(B433&gt;0,VLOOKUP(B433,КВСР!A418:B1583,2),IF(C433&gt;0,VLOOKUP(C433,КФСР!A418:B1930,2),IF(D433&gt;0,VLOOKUP(D433,Программа!A$1:B$5063,2),IF(F433&gt;0,VLOOKUP(F433,КВР!A$1:B$5001,2),IF(E433&gt;0,VLOOKUP(E433,Направление!A$1:B$4746,2))))))</f>
        <v>Содержание центрального аппарата</v>
      </c>
      <c r="B433" s="96"/>
      <c r="C433" s="97"/>
      <c r="D433" s="77"/>
      <c r="E433" s="88">
        <v>12010</v>
      </c>
      <c r="F433" s="98"/>
      <c r="G433" s="387">
        <v>945940</v>
      </c>
      <c r="H433" s="50">
        <f t="shared" ref="H433" si="344">H434</f>
        <v>0</v>
      </c>
      <c r="I433" s="50">
        <f t="shared" si="291"/>
        <v>945940</v>
      </c>
      <c r="J433" s="387">
        <v>945940</v>
      </c>
      <c r="K433" s="50">
        <f t="shared" ref="K433" si="345">K434</f>
        <v>0</v>
      </c>
      <c r="L433" s="50">
        <f t="shared" si="293"/>
        <v>945940</v>
      </c>
    </row>
    <row r="434" spans="1:12" ht="93.6">
      <c r="A434" s="49" t="str">
        <f>IF(B434&gt;0,VLOOKUP(B434,КВСР!A419:B1584,2),IF(C434&gt;0,VLOOKUP(C434,КФСР!A419:B1931,2),IF(D434&gt;0,VLOOKUP(D434,Программа!A$1:B$5063,2),IF(F434&gt;0,VLOOKUP(F434,КВР!A$1:B$5001,2),IF(E434&gt;0,VLOOKUP(E434,Направление!A$1:B$4746,2))))))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434" s="96"/>
      <c r="C434" s="97"/>
      <c r="D434" s="449"/>
      <c r="E434" s="97"/>
      <c r="F434" s="98">
        <v>100</v>
      </c>
      <c r="G434" s="387">
        <v>945940</v>
      </c>
      <c r="H434" s="385"/>
      <c r="I434" s="50">
        <f t="shared" si="291"/>
        <v>945940</v>
      </c>
      <c r="J434" s="387">
        <v>945940</v>
      </c>
      <c r="K434" s="385"/>
      <c r="L434" s="50">
        <f t="shared" si="293"/>
        <v>945940</v>
      </c>
    </row>
    <row r="435" spans="1:12" ht="46.8">
      <c r="A435" s="49" t="str">
        <f>IF(B435&gt;0,VLOOKUP(B435,КВСР!A420:B1585,2),IF(C435&gt;0,VLOOKUP(C435,КФСР!A420:B1932,2),IF(D435&gt;0,VLOOKUP(D435,Программа!A$1:B$5063,2),IF(F435&gt;0,VLOOKUP(F435,КВР!A$1:B$5001,2),IF(E435&gt;0,VLOOKUP(E435,Направление!A$1:B$4746,2))))))</f>
        <v>Содержание руководителя контрольно-счетной палаты муниципального образования и его заместителей</v>
      </c>
      <c r="B435" s="96"/>
      <c r="C435" s="97"/>
      <c r="D435" s="449"/>
      <c r="E435" s="97">
        <v>12030</v>
      </c>
      <c r="F435" s="98"/>
      <c r="G435" s="387">
        <v>864920</v>
      </c>
      <c r="H435" s="50">
        <f t="shared" ref="H435" si="346">H436</f>
        <v>0</v>
      </c>
      <c r="I435" s="50">
        <f t="shared" si="291"/>
        <v>864920</v>
      </c>
      <c r="J435" s="387">
        <v>864920</v>
      </c>
      <c r="K435" s="50">
        <f t="shared" ref="K435" si="347">K436</f>
        <v>0</v>
      </c>
      <c r="L435" s="50">
        <f t="shared" si="293"/>
        <v>864920</v>
      </c>
    </row>
    <row r="436" spans="1:12" ht="93.6">
      <c r="A436" s="49" t="str">
        <f>IF(B436&gt;0,VLOOKUP(B436,КВСР!A421:B1586,2),IF(C436&gt;0,VLOOKUP(C436,КФСР!A421:B1933,2),IF(D436&gt;0,VLOOKUP(D436,Программа!A$1:B$5063,2),IF(F436&gt;0,VLOOKUP(F436,КВР!A$1:B$5001,2),IF(E436&gt;0,VLOOKUP(E436,Направление!A$1:B$4746,2))))))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436" s="96"/>
      <c r="C436" s="97"/>
      <c r="D436" s="449"/>
      <c r="E436" s="97"/>
      <c r="F436" s="98">
        <v>100</v>
      </c>
      <c r="G436" s="387">
        <v>864920</v>
      </c>
      <c r="H436" s="385"/>
      <c r="I436" s="50">
        <f t="shared" si="291"/>
        <v>864920</v>
      </c>
      <c r="J436" s="387">
        <v>864920</v>
      </c>
      <c r="K436" s="385"/>
      <c r="L436" s="50">
        <f t="shared" si="293"/>
        <v>864920</v>
      </c>
    </row>
    <row r="437" spans="1:12" ht="46.8">
      <c r="A437" s="49" t="str">
        <f>IF(B437&gt;0,VLOOKUP(B437,КВСР!A422:B1587,2),IF(C437&gt;0,VLOOKUP(C437,КФСР!A422:B1934,2),IF(D437&gt;0,VLOOKUP(D437,Программа!A$1:B$5063,2),IF(F437&gt;0,VLOOKUP(F437,КВР!A$1:B$5001,2),IF(E437&gt;0,VLOOKUP(E437,Направление!A$1:B$4746,2))))))</f>
        <v>Содержание органов местного самоуправления за счет средств поселений</v>
      </c>
      <c r="B437" s="96"/>
      <c r="C437" s="97"/>
      <c r="D437" s="449"/>
      <c r="E437" s="97">
        <v>29016</v>
      </c>
      <c r="F437" s="98"/>
      <c r="G437" s="387">
        <v>53095</v>
      </c>
      <c r="H437" s="50">
        <f t="shared" ref="H437" si="348">H438+H439</f>
        <v>0</v>
      </c>
      <c r="I437" s="50">
        <f t="shared" si="291"/>
        <v>53095</v>
      </c>
      <c r="J437" s="387">
        <v>0</v>
      </c>
      <c r="K437" s="50">
        <f t="shared" ref="K437" si="349">K438+K439</f>
        <v>0</v>
      </c>
      <c r="L437" s="50">
        <f t="shared" si="293"/>
        <v>0</v>
      </c>
    </row>
    <row r="438" spans="1:12" ht="93.6">
      <c r="A438" s="49" t="str">
        <f>IF(B438&gt;0,VLOOKUP(B438,КВСР!A423:B1588,2),IF(C438&gt;0,VLOOKUP(C438,КФСР!A423:B1935,2),IF(D438&gt;0,VLOOKUP(D438,Программа!A$1:B$5063,2),IF(F438&gt;0,VLOOKUP(F438,КВР!A$1:B$5001,2),IF(E438&gt;0,VLOOKUP(E438,Направление!A$1:B$4746,2))))))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438" s="96"/>
      <c r="C438" s="97"/>
      <c r="D438" s="449"/>
      <c r="E438" s="97"/>
      <c r="F438" s="98">
        <v>100</v>
      </c>
      <c r="G438" s="387">
        <v>48268</v>
      </c>
      <c r="H438" s="385"/>
      <c r="I438" s="50">
        <f t="shared" si="291"/>
        <v>48268</v>
      </c>
      <c r="J438" s="387">
        <v>0</v>
      </c>
      <c r="K438" s="385"/>
      <c r="L438" s="50">
        <f t="shared" si="293"/>
        <v>0</v>
      </c>
    </row>
    <row r="439" spans="1:12" ht="31.2">
      <c r="A439" s="49" t="str">
        <f>IF(B439&gt;0,VLOOKUP(B439,КВСР!A424:B1589,2),IF(C439&gt;0,VLOOKUP(C439,КФСР!A424:B1936,2),IF(D439&gt;0,VLOOKUP(D439,Программа!A$1:B$5063,2),IF(F439&gt;0,VLOOKUP(F439,КВР!A$1:B$5001,2),IF(E439&gt;0,VLOOKUP(E439,Направление!A$1:B$4746,2))))))</f>
        <v>Закупка товаров, работ и услуг для государственных нужд</v>
      </c>
      <c r="B439" s="96"/>
      <c r="C439" s="97"/>
      <c r="D439" s="449"/>
      <c r="E439" s="97"/>
      <c r="F439" s="98">
        <v>200</v>
      </c>
      <c r="G439" s="387">
        <v>4827</v>
      </c>
      <c r="H439" s="385"/>
      <c r="I439" s="50">
        <f t="shared" si="291"/>
        <v>4827</v>
      </c>
      <c r="J439" s="387">
        <v>0</v>
      </c>
      <c r="K439" s="385"/>
      <c r="L439" s="50">
        <f t="shared" si="293"/>
        <v>0</v>
      </c>
    </row>
    <row r="440" spans="1:12" ht="15.6">
      <c r="A440" s="228" t="s">
        <v>1148</v>
      </c>
      <c r="B440" s="229"/>
      <c r="C440" s="229"/>
      <c r="D440" s="229"/>
      <c r="E440" s="276"/>
      <c r="F440" s="229"/>
      <c r="G440" s="596">
        <v>1365140585</v>
      </c>
      <c r="H440" s="230">
        <f>H10+H70+H84+H161+H223+H245+H299+H430</f>
        <v>17111567</v>
      </c>
      <c r="I440" s="86">
        <f t="shared" si="291"/>
        <v>1382252152</v>
      </c>
      <c r="J440" s="596">
        <v>1243548320</v>
      </c>
      <c r="K440" s="230">
        <f>K10+K70+K84+K161+K223+K245+K299+K430</f>
        <v>0</v>
      </c>
      <c r="L440" s="86">
        <f t="shared" si="293"/>
        <v>1243548320</v>
      </c>
    </row>
    <row r="441" spans="1:12" s="227" customFormat="1" ht="15.6">
      <c r="A441" s="226" t="s">
        <v>1967</v>
      </c>
      <c r="B441" s="226"/>
      <c r="C441" s="226"/>
      <c r="D441" s="569"/>
      <c r="E441" s="277"/>
      <c r="F441" s="226"/>
      <c r="G441" s="597">
        <v>11845500</v>
      </c>
      <c r="H441" s="55"/>
      <c r="I441" s="86">
        <f t="shared" si="291"/>
        <v>11845500</v>
      </c>
      <c r="J441" s="597">
        <v>23785900</v>
      </c>
      <c r="K441" s="55"/>
      <c r="L441" s="86">
        <f t="shared" si="293"/>
        <v>23785900</v>
      </c>
    </row>
    <row r="442" spans="1:12" s="227" customFormat="1" ht="15.6">
      <c r="A442" s="226" t="s">
        <v>2203</v>
      </c>
      <c r="B442" s="226"/>
      <c r="C442" s="226"/>
      <c r="D442" s="569"/>
      <c r="E442" s="277"/>
      <c r="F442" s="226"/>
      <c r="G442" s="597">
        <v>1376986085</v>
      </c>
      <c r="H442" s="55">
        <f t="shared" ref="H442" si="350">H440+H441</f>
        <v>17111567</v>
      </c>
      <c r="I442" s="86">
        <f t="shared" si="291"/>
        <v>1394097652</v>
      </c>
      <c r="J442" s="597">
        <v>1267334220</v>
      </c>
      <c r="K442" s="55">
        <f t="shared" ref="K442" si="351">K440+K441</f>
        <v>0</v>
      </c>
      <c r="L442" s="86">
        <f t="shared" si="293"/>
        <v>1267334220</v>
      </c>
    </row>
    <row r="443" spans="1:12">
      <c r="A443" s="225"/>
      <c r="B443" s="225"/>
      <c r="C443" s="225"/>
      <c r="D443" s="274"/>
      <c r="E443" s="278"/>
      <c r="F443" s="225"/>
    </row>
  </sheetData>
  <protectedRanges>
    <protectedRange sqref="G84:H84 G293:K293 G269:H269 G169:K172 J84:K84 J269:K269 G295:K295 G294:L294" name="Диапазон1_14_2"/>
  </protectedRanges>
  <mergeCells count="18">
    <mergeCell ref="A1:L1"/>
    <mergeCell ref="A2:L2"/>
    <mergeCell ref="A3:L3"/>
    <mergeCell ref="A4:L4"/>
    <mergeCell ref="A6:L6"/>
    <mergeCell ref="G5:L5"/>
    <mergeCell ref="G7:L7"/>
    <mergeCell ref="J8:J9"/>
    <mergeCell ref="A8:A9"/>
    <mergeCell ref="B8:B9"/>
    <mergeCell ref="C8:C9"/>
    <mergeCell ref="D8:E8"/>
    <mergeCell ref="F8:F9"/>
    <mergeCell ref="G8:G9"/>
    <mergeCell ref="H8:H9"/>
    <mergeCell ref="I8:I9"/>
    <mergeCell ref="K8:K9"/>
    <mergeCell ref="L8:L9"/>
  </mergeCells>
  <phoneticPr fontId="36" type="noConversion"/>
  <pageMargins left="0.70866141732283472" right="0.70866141732283472" top="0.74803149606299213" bottom="0.74803149606299213" header="0.31496062992125984" footer="0.31496062992125984"/>
  <pageSetup paperSize="9" scale="69" fitToHeight="0" orientation="portrait" r:id="rId1"/>
  <headerFooter alignWithMargins="0">
    <oddFooter>&amp;C&amp;P</oddFooter>
  </headerFooter>
  <rowBreaks count="1" manualBreakCount="1">
    <brk id="390" max="11" man="1"/>
  </rowBreaks>
</worksheet>
</file>

<file path=xl/worksheets/sheet16.xml><?xml version="1.0" encoding="utf-8"?>
<worksheet xmlns="http://schemas.openxmlformats.org/spreadsheetml/2006/main" xmlns:r="http://schemas.openxmlformats.org/officeDocument/2006/relationships">
  <sheetPr codeName="Лист34">
    <pageSetUpPr fitToPage="1"/>
  </sheetPr>
  <dimension ref="A1:F202"/>
  <sheetViews>
    <sheetView showGridLines="0" view="pageBreakPreview" topLeftCell="B125" zoomScaleSheetLayoutView="100" workbookViewId="0">
      <selection activeCell="K138" sqref="K137:K138"/>
    </sheetView>
  </sheetViews>
  <sheetFormatPr defaultColWidth="9.109375" defaultRowHeight="13.2"/>
  <cols>
    <col min="1" max="1" width="6" style="375" hidden="1" customWidth="1"/>
    <col min="2" max="2" width="51.88671875" style="157" customWidth="1"/>
    <col min="3" max="3" width="13.33203125" style="157" customWidth="1"/>
    <col min="4" max="4" width="17" style="157" hidden="1" customWidth="1"/>
    <col min="5" max="5" width="14.5546875" style="157" hidden="1" customWidth="1"/>
    <col min="6" max="6" width="15.5546875" style="157" customWidth="1"/>
    <col min="7" max="16384" width="9.109375" style="157"/>
  </cols>
  <sheetData>
    <row r="1" spans="1:6" ht="15.6">
      <c r="A1" s="886" t="s">
        <v>1643</v>
      </c>
      <c r="B1" s="886"/>
      <c r="C1" s="886"/>
      <c r="D1" s="886"/>
      <c r="E1" s="886"/>
      <c r="F1" s="886"/>
    </row>
    <row r="2" spans="1:6" ht="15.6">
      <c r="A2" s="886" t="s">
        <v>1069</v>
      </c>
      <c r="B2" s="886"/>
      <c r="C2" s="886"/>
      <c r="D2" s="886"/>
      <c r="E2" s="886"/>
      <c r="F2" s="886"/>
    </row>
    <row r="3" spans="1:6" ht="15.6">
      <c r="A3" s="892" t="s">
        <v>720</v>
      </c>
      <c r="B3" s="892"/>
      <c r="C3" s="892"/>
      <c r="D3" s="892"/>
      <c r="E3" s="892"/>
      <c r="F3" s="892"/>
    </row>
    <row r="4" spans="1:6" ht="15.6">
      <c r="A4" s="892" t="s">
        <v>3148</v>
      </c>
      <c r="B4" s="892"/>
      <c r="C4" s="892"/>
      <c r="D4" s="892"/>
      <c r="E4" s="892"/>
      <c r="F4" s="892"/>
    </row>
    <row r="5" spans="1:6" ht="10.5" customHeight="1">
      <c r="A5" s="699"/>
      <c r="B5" s="262"/>
      <c r="C5" s="262"/>
      <c r="D5" s="416"/>
      <c r="E5" s="416"/>
      <c r="F5" s="416"/>
    </row>
    <row r="6" spans="1:6" ht="48" customHeight="1">
      <c r="A6" s="891" t="s">
        <v>3058</v>
      </c>
      <c r="B6" s="891"/>
      <c r="C6" s="891"/>
      <c r="D6" s="891"/>
      <c r="E6" s="891"/>
      <c r="F6" s="891"/>
    </row>
    <row r="7" spans="1:6" ht="10.5" customHeight="1" thickBot="1">
      <c r="A7" s="696"/>
      <c r="B7" s="697"/>
      <c r="C7" s="697"/>
      <c r="D7" s="698"/>
      <c r="E7" s="698"/>
      <c r="F7" s="698"/>
    </row>
    <row r="8" spans="1:6" ht="15.75" customHeight="1">
      <c r="A8" s="893" t="s">
        <v>2061</v>
      </c>
      <c r="B8" s="895" t="s">
        <v>7</v>
      </c>
      <c r="C8" s="887" t="s">
        <v>2289</v>
      </c>
      <c r="D8" s="887" t="s">
        <v>1103</v>
      </c>
      <c r="E8" s="887" t="s">
        <v>1103</v>
      </c>
      <c r="F8" s="889" t="s">
        <v>1103</v>
      </c>
    </row>
    <row r="9" spans="1:6" ht="15.75" customHeight="1" thickBot="1">
      <c r="A9" s="894"/>
      <c r="B9" s="896"/>
      <c r="C9" s="888"/>
      <c r="D9" s="888"/>
      <c r="E9" s="888"/>
      <c r="F9" s="890"/>
    </row>
    <row r="10" spans="1:6" s="527" customFormat="1" ht="47.4" thickBot="1">
      <c r="A10" s="627">
        <v>1</v>
      </c>
      <c r="B10" s="645" t="str">
        <f>IF(C10&gt;0,VLOOKUP(C10,Программа!A$2:B$5063,2))</f>
        <v>Муниципальная программа  "Развитие культуры, туризма и молодежной политики в Тутаевском муниципальном районе"</v>
      </c>
      <c r="C10" s="646" t="s">
        <v>2721</v>
      </c>
      <c r="D10" s="647">
        <f>SUMIFS('Пр. 9'!G$10:G$1481,'Пр. 9'!$D$10:$D$1481,C10)</f>
        <v>173204252</v>
      </c>
      <c r="E10" s="647">
        <f>SUMIFS('Пр. 9'!H$10:H$1481,'Пр. 9'!$D$10:$D$1481,$C10)</f>
        <v>586844</v>
      </c>
      <c r="F10" s="648">
        <f>SUMIFS('Пр. 9'!I$10:I$1481,'Пр. 9'!$D$10:$D$1481,$C10)</f>
        <v>173791096</v>
      </c>
    </row>
    <row r="11" spans="1:6" s="528" customFormat="1" ht="16.2" thickBot="1">
      <c r="A11" s="589" t="s">
        <v>2421</v>
      </c>
      <c r="B11" s="545" t="str">
        <f>IF(C11&gt;0,VLOOKUP(C11,Программа!A$2:B$5063,2))</f>
        <v>Ведомственная целевая программа «Молодежь»</v>
      </c>
      <c r="C11" s="633" t="s">
        <v>2722</v>
      </c>
      <c r="D11" s="634">
        <f>SUMIFS('Пр. 9'!G$10:G$1481,'Пр. 9'!$D$10:$D$1481,C11)</f>
        <v>12522749</v>
      </c>
      <c r="E11" s="543">
        <f>SUMIFS('Пр. 9'!H$10:H$1481,'Пр. 9'!$D$10:$D$1481,$C11)</f>
        <v>0</v>
      </c>
      <c r="F11" s="649">
        <f>SUMIFS('Пр. 9'!I$10:I$1481,'Пр. 9'!$D$10:$D$1481,$C11)</f>
        <v>12522749</v>
      </c>
    </row>
    <row r="12" spans="1:6" ht="47.4" thickBot="1">
      <c r="A12" s="540" t="s">
        <v>2422</v>
      </c>
      <c r="B12" s="546" t="str">
        <f>IF(C12&gt;0,VLOOKUP(C12,Программа!A$2:B$5063,2))</f>
        <v>Обеспечение условий для выполнения муниципального задания на оказание услуг, выполнение работ в сфере молодежной политики</v>
      </c>
      <c r="C12" s="635" t="s">
        <v>2723</v>
      </c>
      <c r="D12" s="543">
        <f>SUMIFS('Пр. 9'!G$10:G$1481,'Пр. 9'!$D$10:$D$1481,C12)</f>
        <v>12522749</v>
      </c>
      <c r="E12" s="543">
        <f>SUMIFS('Пр. 9'!H$10:H$1481,'Пр. 9'!$D$10:$D$1481,$C12)</f>
        <v>0</v>
      </c>
      <c r="F12" s="649">
        <f>SUMIFS('Пр. 9'!I$10:I$1481,'Пр. 9'!$D$10:$D$1481,$C12)</f>
        <v>12522749</v>
      </c>
    </row>
    <row r="13" spans="1:6" s="528" customFormat="1" ht="78.599999999999994" thickBot="1">
      <c r="A13" s="628" t="s">
        <v>2571</v>
      </c>
      <c r="B13" s="545" t="str">
        <f>IF(C13&gt;0,VLOOKUP(C13,Программа!A$2:B$5063,2))</f>
        <v>Муниципальная целевая программа «Патриотическое воспитание граждан Российской Федерации, проживающих на территории Тутаевского муниципального района Ярославской области»</v>
      </c>
      <c r="C13" s="636" t="s">
        <v>2724</v>
      </c>
      <c r="D13" s="634">
        <f>SUMIFS('Пр. 9'!G$10:G$1481,'Пр. 9'!$D$10:$D$1481,C13)</f>
        <v>1617000</v>
      </c>
      <c r="E13" s="543">
        <f>SUMIFS('Пр. 9'!H$10:H$1481,'Пр. 9'!$D$10:$D$1481,$C13)</f>
        <v>216475</v>
      </c>
      <c r="F13" s="649">
        <f>SUMIFS('Пр. 9'!I$10:I$1481,'Пр. 9'!$D$10:$D$1481,$C13)</f>
        <v>1833475</v>
      </c>
    </row>
    <row r="14" spans="1:6" ht="78.599999999999994" thickBot="1">
      <c r="A14" s="541" t="s">
        <v>2572</v>
      </c>
      <c r="B14" s="546" t="str">
        <f>IF(C14&gt;0,VLOOKUP(C14,Программа!A$2:B$5063,2))</f>
        <v>Координирование деятельности, совершенствование организационного, методического и информационного функционирования системы патриотического воспитания</v>
      </c>
      <c r="C14" s="637" t="s">
        <v>2725</v>
      </c>
      <c r="D14" s="543">
        <f>SUMIFS('Пр. 9'!G$10:G$1481,'Пр. 9'!$D$10:$D$1481,C14)</f>
        <v>1617000</v>
      </c>
      <c r="E14" s="543">
        <f>SUMIFS('Пр. 9'!H$10:H$1481,'Пр. 9'!$D$10:$D$1481,$C14)</f>
        <v>216475</v>
      </c>
      <c r="F14" s="649">
        <f>SUMIFS('Пр. 9'!I$10:I$1481,'Пр. 9'!$D$10:$D$1481,$C14)</f>
        <v>1833475</v>
      </c>
    </row>
    <row r="15" spans="1:6" ht="31.8" hidden="1" thickBot="1">
      <c r="A15" s="541"/>
      <c r="B15" s="546" t="str">
        <f>IF(C15&gt;0,VLOOKUP(C15,Программа!A$2:B$5063,2))</f>
        <v>Реализация мер направленных на пропаганду патриотических ценностей</v>
      </c>
      <c r="C15" s="637" t="s">
        <v>3143</v>
      </c>
      <c r="D15" s="543">
        <f>SUMIFS('Пр. 9'!G$10:G$1481,'Пр. 9'!$D$10:$D$1481,C15)</f>
        <v>0</v>
      </c>
      <c r="E15" s="543">
        <f>SUMIFS('Пр. 9'!H$10:H$1481,'Пр. 9'!$D$10:$D$1481,$C15)</f>
        <v>0</v>
      </c>
      <c r="F15" s="649">
        <f>SUMIFS('Пр. 9'!I$10:I$1481,'Пр. 9'!$D$10:$D$1481,$C15)</f>
        <v>0</v>
      </c>
    </row>
    <row r="16" spans="1:6" s="528" customFormat="1" ht="54" customHeight="1" thickBot="1">
      <c r="A16" s="629" t="s">
        <v>289</v>
      </c>
      <c r="B16" s="545" t="str">
        <f>IF(C16&gt;0,VLOOKUP(C16,Программа!A$2:B$5063,2))</f>
        <v>Муниципальная целевая программа «Комплексные меры противодействия злоупотреблению наркотиками и их незаконному обороту»</v>
      </c>
      <c r="C16" s="636" t="s">
        <v>2726</v>
      </c>
      <c r="D16" s="634">
        <f>SUMIFS('Пр. 9'!G$10:G$1481,'Пр. 9'!$D$10:$D$1481,C16)</f>
        <v>574215</v>
      </c>
      <c r="E16" s="543">
        <f>SUMIFS('Пр. 9'!H$10:H$1481,'Пр. 9'!$D$10:$D$1481,$C16)</f>
        <v>0</v>
      </c>
      <c r="F16" s="649">
        <f>SUMIFS('Пр. 9'!I$10:I$1481,'Пр. 9'!$D$10:$D$1481,$C16)</f>
        <v>574215</v>
      </c>
    </row>
    <row r="17" spans="1:6" ht="31.8" thickBot="1">
      <c r="A17" s="540" t="s">
        <v>2424</v>
      </c>
      <c r="B17" s="546" t="str">
        <f>IF(C17&gt;0,VLOOKUP(C17,Программа!A$2:B$5063,2))</f>
        <v>Развитие системы профилактики немедицинского потребления наркотиков</v>
      </c>
      <c r="C17" s="637" t="s">
        <v>2727</v>
      </c>
      <c r="D17" s="543">
        <f>SUMIFS('Пр. 9'!G$10:G$1481,'Пр. 9'!$D$10:$D$1481,C17)</f>
        <v>574215</v>
      </c>
      <c r="E17" s="543">
        <f>SUMIFS('Пр. 9'!H$10:H$1481,'Пр. 9'!$D$10:$D$1481,$C17)</f>
        <v>0</v>
      </c>
      <c r="F17" s="649">
        <f>SUMIFS('Пр. 9'!I$10:I$1481,'Пр. 9'!$D$10:$D$1481,$C17)</f>
        <v>574215</v>
      </c>
    </row>
    <row r="18" spans="1:6" s="528" customFormat="1" ht="47.4" thickBot="1">
      <c r="A18" s="589" t="s">
        <v>2425</v>
      </c>
      <c r="B18" s="545" t="str">
        <f>IF(C18&gt;0,VLOOKUP(C18,Программа!A$2:B$5063,2))</f>
        <v>Ведомственная целевая программа «Сохранение и развитие культуры Тутаевского муниципального района»</v>
      </c>
      <c r="C18" s="636" t="s">
        <v>2728</v>
      </c>
      <c r="D18" s="634">
        <f>SUMIFS('Пр. 9'!G$10:G$1481,'Пр. 9'!$D$10:$D$1481,C18)</f>
        <v>157240288</v>
      </c>
      <c r="E18" s="543">
        <f>SUMIFS('Пр. 9'!H$10:H$1481,'Пр. 9'!$D$10:$D$1481,$C18)</f>
        <v>370369</v>
      </c>
      <c r="F18" s="649">
        <f>SUMIFS('Пр. 9'!I$10:I$1481,'Пр. 9'!$D$10:$D$1481,$C18)</f>
        <v>157610657</v>
      </c>
    </row>
    <row r="19" spans="1:6" ht="31.8" thickBot="1">
      <c r="A19" s="540" t="s">
        <v>2573</v>
      </c>
      <c r="B19" s="546" t="str">
        <f>IF(C19&gt;0,VLOOKUP(C19,Программа!A$2:B$5063,2))</f>
        <v>Реализация дополнительных образовательных программ в сфере культуры</v>
      </c>
      <c r="C19" s="637" t="s">
        <v>2729</v>
      </c>
      <c r="D19" s="543">
        <f>SUMIFS('Пр. 9'!G$10:G$1481,'Пр. 9'!$D$10:$D$1481,C19)</f>
        <v>29866453</v>
      </c>
      <c r="E19" s="543">
        <f>SUMIFS('Пр. 9'!H$10:H$1481,'Пр. 9'!$D$10:$D$1481,$C19)</f>
        <v>0</v>
      </c>
      <c r="F19" s="649">
        <f>SUMIFS('Пр. 9'!I$10:I$1481,'Пр. 9'!$D$10:$D$1481,$C19)</f>
        <v>29866453</v>
      </c>
    </row>
    <row r="20" spans="1:6" ht="31.8" thickBot="1">
      <c r="A20" s="540" t="s">
        <v>2574</v>
      </c>
      <c r="B20" s="546" t="str">
        <f>IF(C20&gt;0,VLOOKUP(C20,Программа!A$2:B$5063,2))</f>
        <v>Содействие доступу граждан к культурным ценностям</v>
      </c>
      <c r="C20" s="637" t="s">
        <v>2731</v>
      </c>
      <c r="D20" s="543">
        <f>SUMIFS('Пр. 9'!G$10:G$1481,'Пр. 9'!$D$10:$D$1481,C20)</f>
        <v>97965261</v>
      </c>
      <c r="E20" s="543">
        <f>SUMIFS('Пр. 9'!H$10:H$1481,'Пр. 9'!$D$10:$D$1481,$C20)</f>
        <v>-82669</v>
      </c>
      <c r="F20" s="649">
        <f>SUMIFS('Пр. 9'!I$10:I$1481,'Пр. 9'!$D$10:$D$1481,$C20)</f>
        <v>97882592</v>
      </c>
    </row>
    <row r="21" spans="1:6" ht="31.8" thickBot="1">
      <c r="A21" s="542" t="s">
        <v>2426</v>
      </c>
      <c r="B21" s="546" t="str">
        <f>IF(C21&gt;0,VLOOKUP(C21,Программа!A$2:B$5063,2))</f>
        <v>Поддержка доступа граждан к информационно-библиотечным ресурсам</v>
      </c>
      <c r="C21" s="637" t="s">
        <v>2734</v>
      </c>
      <c r="D21" s="543">
        <f>SUMIFS('Пр. 9'!G$10:G$1481,'Пр. 9'!$D$10:$D$1481,C21)</f>
        <v>19332591</v>
      </c>
      <c r="E21" s="543">
        <f>SUMIFS('Пр. 9'!H$10:H$1481,'Пр. 9'!$D$10:$D$1481,$C21)</f>
        <v>453038</v>
      </c>
      <c r="F21" s="649">
        <f>SUMIFS('Пр. 9'!I$10:I$1481,'Пр. 9'!$D$10:$D$1481,$C21)</f>
        <v>19785629</v>
      </c>
    </row>
    <row r="22" spans="1:6" ht="31.8" thickBot="1">
      <c r="A22" s="540" t="s">
        <v>2427</v>
      </c>
      <c r="B22" s="546" t="str">
        <f>IF(C22&gt;0,VLOOKUP(C22,Программа!A$2:B$5063,2))</f>
        <v>Обеспечение эффективности управления системой культуры</v>
      </c>
      <c r="C22" s="637" t="s">
        <v>2735</v>
      </c>
      <c r="D22" s="543">
        <f>SUMIFS('Пр. 9'!G$10:G$1481,'Пр. 9'!$D$10:$D$1481,C22)</f>
        <v>10075983</v>
      </c>
      <c r="E22" s="543">
        <f>SUMIFS('Пр. 9'!H$10:H$1481,'Пр. 9'!$D$10:$D$1481,$C22)</f>
        <v>0</v>
      </c>
      <c r="F22" s="649">
        <f>SUMIFS('Пр. 9'!I$10:I$1481,'Пр. 9'!$D$10:$D$1481,$C22)</f>
        <v>10075983</v>
      </c>
    </row>
    <row r="23" spans="1:6" s="528" customFormat="1" ht="47.4" thickBot="1">
      <c r="A23" s="629" t="s">
        <v>2429</v>
      </c>
      <c r="B23" s="545" t="str">
        <f>IF(C23&gt;0,VLOOKUP(C23,Программа!A$2:B$5063,2))</f>
        <v>Муниципальная целевая программа «Развитие въездного и внутреннего туризма на территории Тутаевского муниципального района»</v>
      </c>
      <c r="C23" s="636" t="s">
        <v>2736</v>
      </c>
      <c r="D23" s="634">
        <f>SUMIFS('Пр. 9'!G$10:G$1481,'Пр. 9'!$D$10:$D$1481,C23)</f>
        <v>1250000</v>
      </c>
      <c r="E23" s="543">
        <f>SUMIFS('Пр. 9'!H$10:H$1481,'Пр. 9'!$D$10:$D$1481,$C23)</f>
        <v>0</v>
      </c>
      <c r="F23" s="649">
        <f>SUMIFS('Пр. 9'!I$10:I$1481,'Пр. 9'!$D$10:$D$1481,$C23)</f>
        <v>1250000</v>
      </c>
    </row>
    <row r="24" spans="1:6" ht="31.8" thickBot="1">
      <c r="A24" s="540" t="s">
        <v>2430</v>
      </c>
      <c r="B24" s="650" t="str">
        <f>IF(C24&gt;0,VLOOKUP(C24,Программа!A$2:B$5063,2))</f>
        <v>Создание благоприятных условий для развития туризма</v>
      </c>
      <c r="C24" s="651" t="s">
        <v>2737</v>
      </c>
      <c r="D24" s="652">
        <f>SUMIFS('Пр. 9'!G$10:G$1481,'Пр. 9'!$D$10:$D$1481,C24)</f>
        <v>1250000</v>
      </c>
      <c r="E24" s="652">
        <f>SUMIFS('Пр. 9'!H$10:H$1481,'Пр. 9'!$D$10:$D$1481,$C24)</f>
        <v>0</v>
      </c>
      <c r="F24" s="653">
        <f>SUMIFS('Пр. 9'!I$10:I$1481,'Пр. 9'!$D$10:$D$1481,$C24)</f>
        <v>1250000</v>
      </c>
    </row>
    <row r="25" spans="1:6" s="527" customFormat="1" ht="47.4" thickBot="1">
      <c r="A25" s="627" t="s">
        <v>2431</v>
      </c>
      <c r="B25" s="645" t="str">
        <f>IF(C25&gt;0,VLOOKUP(C25,Программа!A$2:B$5063,2))</f>
        <v>Муниципальная программа "Развитие образования, физической культуры и спорта в Тутаевском муниципальном районе"</v>
      </c>
      <c r="C25" s="646" t="s">
        <v>2739</v>
      </c>
      <c r="D25" s="647">
        <f>SUMIFS('Пр. 9'!G$10:G$1481,'Пр. 9'!$D$10:$D$1481,C25)</f>
        <v>869154912</v>
      </c>
      <c r="E25" s="647">
        <f>SUMIFS('Пр. 9'!H$10:H$1481,'Пр. 9'!$D$10:$D$1481,$C25)</f>
        <v>9232504</v>
      </c>
      <c r="F25" s="648">
        <f>SUMIFS('Пр. 9'!I$10:I$1481,'Пр. 9'!$D$10:$D$1481,$C25)</f>
        <v>878387416</v>
      </c>
    </row>
    <row r="26" spans="1:6" s="528" customFormat="1" ht="47.4" thickBot="1">
      <c r="A26" s="629" t="s">
        <v>2432</v>
      </c>
      <c r="B26" s="545" t="str">
        <f>IF(C26&gt;0,VLOOKUP(C26,Программа!A$2:B$5063,2))</f>
        <v xml:space="preserve">Ведомственная целевая программа департамента образования Администрации Тутаевского муниципального района </v>
      </c>
      <c r="C26" s="636" t="s">
        <v>2740</v>
      </c>
      <c r="D26" s="634">
        <f>SUMIFS('Пр. 9'!G$10:G$1481,'Пр. 9'!$D$10:$D$1481,C26)</f>
        <v>842950152</v>
      </c>
      <c r="E26" s="543">
        <f>SUMIFS('Пр. 9'!H$10:H$1481,'Пр. 9'!$D$10:$D$1481,$C26)</f>
        <v>9262504</v>
      </c>
      <c r="F26" s="649">
        <f>SUMIFS('Пр. 9'!I$10:I$1481,'Пр. 9'!$D$10:$D$1481,$C26)</f>
        <v>852212656</v>
      </c>
    </row>
    <row r="27" spans="1:6" ht="47.4" thickBot="1">
      <c r="A27" s="542" t="s">
        <v>2575</v>
      </c>
      <c r="B27" s="546" t="str">
        <f>IF(C27&gt;0,VLOOKUP(C27,Программа!A$2:B$5063,2))</f>
        <v>Организация предоставления муниципальных услуг и выполнения работ  муниципальными учреждениями сферы образования</v>
      </c>
      <c r="C27" s="637" t="s">
        <v>2741</v>
      </c>
      <c r="D27" s="543">
        <f>SUMIFS('Пр. 9'!G$10:G$1481,'Пр. 9'!$D$10:$D$1481,C27)</f>
        <v>745778668</v>
      </c>
      <c r="E27" s="543">
        <f>SUMIFS('Пр. 9'!H$10:H$1481,'Пр. 9'!$D$10:$D$1481,$C27)</f>
        <v>6646605</v>
      </c>
      <c r="F27" s="649">
        <f>SUMIFS('Пр. 9'!I$10:I$1481,'Пр. 9'!$D$10:$D$1481,$C27)</f>
        <v>752425273</v>
      </c>
    </row>
    <row r="28" spans="1:6" ht="47.4" thickBot="1">
      <c r="A28" s="542" t="s">
        <v>2576</v>
      </c>
      <c r="B28" s="546" t="str">
        <f>IF(C28&gt;0,VLOOKUP(C28,Программа!A$2:B$5063,2))</f>
        <v>Методическая и консультационная помощь, психолого-педагогическое и медико-социальное сопровождение детей</v>
      </c>
      <c r="C28" s="637" t="s">
        <v>2746</v>
      </c>
      <c r="D28" s="543">
        <f>SUMIFS('Пр. 9'!G$10:G$1481,'Пр. 9'!$D$10:$D$1481,C28)</f>
        <v>11690400</v>
      </c>
      <c r="E28" s="543">
        <f>SUMIFS('Пр. 9'!H$10:H$1481,'Пр. 9'!$D$10:$D$1481,$C28)</f>
        <v>24195</v>
      </c>
      <c r="F28" s="649">
        <f>SUMIFS('Пр. 9'!I$10:I$1481,'Пр. 9'!$D$10:$D$1481,$C28)</f>
        <v>11714595</v>
      </c>
    </row>
    <row r="29" spans="1:6" ht="47.4" thickBot="1">
      <c r="A29" s="542" t="s">
        <v>2433</v>
      </c>
      <c r="B29" s="546" t="str">
        <f>IF(C29&gt;0,VLOOKUP(C29,Программа!A$2:B$5063,2))</f>
        <v>Обеспечение качества реализации мер по социальной поддержке детей-сирот и детей оставшихся без попечения родителей</v>
      </c>
      <c r="C29" s="637" t="s">
        <v>2747</v>
      </c>
      <c r="D29" s="543">
        <f>SUMIFS('Пр. 9'!G$10:G$1481,'Пр. 9'!$D$10:$D$1481,C29)</f>
        <v>36509813</v>
      </c>
      <c r="E29" s="543">
        <f>SUMIFS('Пр. 9'!H$10:H$1481,'Пр. 9'!$D$10:$D$1481,$C29)</f>
        <v>2591704</v>
      </c>
      <c r="F29" s="649">
        <f>SUMIFS('Пр. 9'!I$10:I$1481,'Пр. 9'!$D$10:$D$1481,$C29)</f>
        <v>39101517</v>
      </c>
    </row>
    <row r="30" spans="1:6" ht="31.8" thickBot="1">
      <c r="A30" s="540" t="s">
        <v>2434</v>
      </c>
      <c r="B30" s="546" t="str">
        <f>IF(C30&gt;0,VLOOKUP(C30,Программа!A$2:B$5063,2))</f>
        <v>Мероприятия направленные на поддержку и мотивации участников образовательного процесса</v>
      </c>
      <c r="C30" s="637" t="s">
        <v>2749</v>
      </c>
      <c r="D30" s="543">
        <f>SUMIFS('Пр. 9'!G$10:G$1481,'Пр. 9'!$D$10:$D$1481,C30)</f>
        <v>362200</v>
      </c>
      <c r="E30" s="543">
        <f>SUMIFS('Пр. 9'!H$10:H$1481,'Пр. 9'!$D$10:$D$1481,$C30)</f>
        <v>0</v>
      </c>
      <c r="F30" s="649">
        <f>SUMIFS('Пр. 9'!I$10:I$1481,'Пр. 9'!$D$10:$D$1481,$C30)</f>
        <v>362200</v>
      </c>
    </row>
    <row r="31" spans="1:6" ht="31.8" thickBot="1">
      <c r="A31" s="542" t="s">
        <v>2435</v>
      </c>
      <c r="B31" s="546" t="str">
        <f>IF(C31&gt;0,VLOOKUP(C31,Программа!A$2:B$5063,2))</f>
        <v>Мероприятия направленные на осуществление отдельных полномочий в области образования</v>
      </c>
      <c r="C31" s="637" t="s">
        <v>2750</v>
      </c>
      <c r="D31" s="543">
        <f>SUMIFS('Пр. 9'!G$10:G$1481,'Пр. 9'!$D$10:$D$1481,C31)</f>
        <v>18120586</v>
      </c>
      <c r="E31" s="543">
        <f>SUMIFS('Пр. 9'!H$10:H$1481,'Пр. 9'!$D$10:$D$1481,$C31)</f>
        <v>0</v>
      </c>
      <c r="F31" s="649">
        <f>SUMIFS('Пр. 9'!I$10:I$1481,'Пр. 9'!$D$10:$D$1481,$C31)</f>
        <v>18120586</v>
      </c>
    </row>
    <row r="32" spans="1:6" ht="31.8" thickBot="1">
      <c r="A32" s="540" t="s">
        <v>2436</v>
      </c>
      <c r="B32" s="546" t="str">
        <f>IF(C32&gt;0,VLOOKUP(C32,Программа!A$2:B$5063,2))</f>
        <v>Обеспечение эффективности управления системой образования</v>
      </c>
      <c r="C32" s="637" t="s">
        <v>2751</v>
      </c>
      <c r="D32" s="543">
        <f>SUMIFS('Пр. 9'!G$10:G$1481,'Пр. 9'!$D$10:$D$1481,C32)</f>
        <v>30488485</v>
      </c>
      <c r="E32" s="543">
        <f>SUMIFS('Пр. 9'!H$10:H$1481,'Пр. 9'!$D$10:$D$1481,$C32)</f>
        <v>0</v>
      </c>
      <c r="F32" s="649">
        <f>SUMIFS('Пр. 9'!I$10:I$1481,'Пр. 9'!$D$10:$D$1481,$C32)</f>
        <v>30488485</v>
      </c>
    </row>
    <row r="33" spans="1:6" s="528" customFormat="1" ht="47.4" thickBot="1">
      <c r="A33" s="589" t="s">
        <v>2437</v>
      </c>
      <c r="B33" s="545" t="str">
        <f>IF(C33&gt;0,VLOOKUP(C33,Программа!A$2:B$5063,2))</f>
        <v>Муниципальная целевая программа "Духовно-нравственное воспитание и просвещение населения Тутаевского муниципального района"</v>
      </c>
      <c r="C33" s="636" t="s">
        <v>2855</v>
      </c>
      <c r="D33" s="634">
        <f>SUMIFS('Пр. 9'!G$10:G$1481,'Пр. 9'!$D$10:$D$1481,C33)</f>
        <v>80000</v>
      </c>
      <c r="E33" s="543">
        <f>SUMIFS('Пр. 9'!H$10:H$1481,'Пр. 9'!$D$10:$D$1481,$C33)</f>
        <v>0</v>
      </c>
      <c r="F33" s="649">
        <f>SUMIFS('Пр. 9'!I$10:I$1481,'Пр. 9'!$D$10:$D$1481,$C33)</f>
        <v>80000</v>
      </c>
    </row>
    <row r="34" spans="1:6" ht="47.4" thickBot="1">
      <c r="A34" s="540"/>
      <c r="B34" s="546" t="str">
        <f>IF(C34&gt;0,VLOOKUP(C34,Программа!A$2:B$5063,2))</f>
        <v>Реализация мер по созданию целостной системы духовно-нравственного воспитания и просвещения населения</v>
      </c>
      <c r="C34" s="637" t="s">
        <v>2857</v>
      </c>
      <c r="D34" s="543">
        <f>SUMIFS('Пр. 9'!G$10:G$1481,'Пр. 9'!$D$10:$D$1481,C34)</f>
        <v>80000</v>
      </c>
      <c r="E34" s="543">
        <f>SUMIFS('Пр. 9'!H$10:H$1481,'Пр. 9'!$D$10:$D$1481,$C34)</f>
        <v>0</v>
      </c>
      <c r="F34" s="649">
        <f>SUMIFS('Пр. 9'!I$10:I$1481,'Пр. 9'!$D$10:$D$1481,$C34)</f>
        <v>80000</v>
      </c>
    </row>
    <row r="35" spans="1:6" s="528" customFormat="1" ht="47.4" thickBot="1">
      <c r="A35" s="589"/>
      <c r="B35" s="545" t="str">
        <f>IF(C35&gt;0,VLOOKUP(C35,Программа!A$2:B$5063,2))</f>
        <v>Муниципальная целевая программа "Развитие физической культуры и спорта в Тутаевском муниципальном районе"</v>
      </c>
      <c r="C35" s="636" t="s">
        <v>2856</v>
      </c>
      <c r="D35" s="634">
        <f>SUMIFS('Пр. 9'!G$10:G$1481,'Пр. 9'!$D$10:$D$1481,C35)</f>
        <v>26124760</v>
      </c>
      <c r="E35" s="543">
        <f>SUMIFS('Пр. 9'!H$10:H$1481,'Пр. 9'!$D$10:$D$1481,$C35)</f>
        <v>-30000</v>
      </c>
      <c r="F35" s="649">
        <f>SUMIFS('Пр. 9'!I$10:I$1481,'Пр. 9'!$D$10:$D$1481,$C35)</f>
        <v>26094760</v>
      </c>
    </row>
    <row r="36" spans="1:6" ht="63" thickBot="1">
      <c r="A36" s="540"/>
      <c r="B36" s="546" t="str">
        <f>IF(C36&gt;0,VLOOKUP(C36,Программа!A$2:B$5063,2))</f>
        <v>Организация физкультурно-оздоровительной и спортивно-массовой работы среди детей, обучающейся молодежи, населения и людей с ограниченными возможностями здоровья</v>
      </c>
      <c r="C36" s="637" t="s">
        <v>2858</v>
      </c>
      <c r="D36" s="543">
        <f>SUMIFS('Пр. 9'!G$10:G$1481,'Пр. 9'!$D$10:$D$1481,C36)</f>
        <v>2060000</v>
      </c>
      <c r="E36" s="543">
        <f>SUMIFS('Пр. 9'!H$10:H$1481,'Пр. 9'!$D$10:$D$1481,$C36)</f>
        <v>0</v>
      </c>
      <c r="F36" s="649">
        <f>SUMIFS('Пр. 9'!I$10:I$1481,'Пр. 9'!$D$10:$D$1481,$C36)</f>
        <v>2060000</v>
      </c>
    </row>
    <row r="37" spans="1:6" ht="31.8" thickBot="1">
      <c r="A37" s="540"/>
      <c r="B37" s="552" t="str">
        <f>IF(C37&gt;0,VLOOKUP(C37,Программа!A$2:B$5063,2))</f>
        <v>Строительство, реконструкция и капитальный ремонт спортивных сооружений</v>
      </c>
      <c r="C37" s="655" t="s">
        <v>2860</v>
      </c>
      <c r="D37" s="625">
        <f>SUMIFS('Пр. 9'!G$10:G$1481,'Пр. 9'!$D$10:$D$1481,C37)</f>
        <v>24064760</v>
      </c>
      <c r="E37" s="625">
        <f>SUMIFS('Пр. 9'!H$10:H$1481,'Пр. 9'!$D$10:$D$1481,$C37)</f>
        <v>-30000</v>
      </c>
      <c r="F37" s="700">
        <f>SUMIFS('Пр. 9'!I$10:I$1481,'Пр. 9'!$D$10:$D$1481,$C37)</f>
        <v>24034760</v>
      </c>
    </row>
    <row r="38" spans="1:6" ht="31.8" hidden="1" thickBot="1">
      <c r="A38" s="540"/>
      <c r="B38" s="650" t="str">
        <f>IF(C38&gt;0,VLOOKUP(C38,Программа!A$2:B$5063,2))</f>
        <v>Текущий и капитальный ремонт спортивных залов в общеобразовательных школах</v>
      </c>
      <c r="C38" s="651" t="s">
        <v>2988</v>
      </c>
      <c r="D38" s="625">
        <f>SUMIFS('Пр. 9'!G$10:G$1481,'Пр. 9'!$D$10:$D$1481,C38)</f>
        <v>0</v>
      </c>
      <c r="E38" s="625">
        <f>SUMIFS('Пр. 9'!H$10:H$1481,'Пр. 9'!$D$10:$D$1481,$C38)</f>
        <v>0</v>
      </c>
      <c r="F38" s="700">
        <f>SUMIFS('Пр. 9'!I$10:I$1481,'Пр. 9'!$D$10:$D$1481,$C38)</f>
        <v>0</v>
      </c>
    </row>
    <row r="39" spans="1:6" s="527" customFormat="1" ht="47.4" thickBot="1">
      <c r="A39" s="571"/>
      <c r="B39" s="645" t="str">
        <f>IF(C39&gt;0,VLOOKUP(C39,Программа!A$2:B$5063,2))</f>
        <v>Муниципальная программа "Социальная поддержка населения Тутаевского муниципального района"</v>
      </c>
      <c r="C39" s="646" t="s">
        <v>2809</v>
      </c>
      <c r="D39" s="647">
        <f>SUMIFS('Пр. 9'!G$10:G$1481,'Пр. 9'!$D$10:$D$1481,C39)</f>
        <v>306723551</v>
      </c>
      <c r="E39" s="647">
        <f>SUMIFS('Пр. 9'!H$10:H$1481,'Пр. 9'!$D$10:$D$1481,$C39)</f>
        <v>13435089</v>
      </c>
      <c r="F39" s="648">
        <f>SUMIFS('Пр. 9'!I$10:I$1481,'Пр. 9'!$D$10:$D$1481,$C39)</f>
        <v>320158640</v>
      </c>
    </row>
    <row r="40" spans="1:6" s="528" customFormat="1" ht="47.4" thickBot="1">
      <c r="A40" s="589"/>
      <c r="B40" s="545" t="str">
        <f>IF(C40&gt;0,VLOOKUP(C40,Программа!A$2:B$5063,2))</f>
        <v xml:space="preserve">Ведомственная целевая программа «Социальная поддержка населения Тутаевского муниципального района» </v>
      </c>
      <c r="C40" s="636" t="s">
        <v>2811</v>
      </c>
      <c r="D40" s="634">
        <f>SUMIFS('Пр. 9'!G$10:G$1481,'Пр. 9'!$D$10:$D$1481,C40)</f>
        <v>306312951</v>
      </c>
      <c r="E40" s="543">
        <f>SUMIFS('Пр. 9'!H$10:H$1481,'Пр. 9'!$D$10:$D$1481,$C40)</f>
        <v>13435089</v>
      </c>
      <c r="F40" s="649">
        <f>SUMIFS('Пр. 9'!I$10:I$1481,'Пр. 9'!$D$10:$D$1481,$C40)</f>
        <v>319748040</v>
      </c>
    </row>
    <row r="41" spans="1:6" ht="31.8" thickBot="1">
      <c r="A41" s="540"/>
      <c r="B41" s="546" t="str">
        <f>IF(C41&gt;0,VLOOKUP(C41,Программа!A$2:B$5063,2))</f>
        <v>Исполнение публичных обязательств по предоставлению выплат, пособий и компенсаций</v>
      </c>
      <c r="C41" s="637" t="s">
        <v>2862</v>
      </c>
      <c r="D41" s="543">
        <f>SUMIFS('Пр. 9'!G$10:G$1481,'Пр. 9'!$D$10:$D$1481,C41)</f>
        <v>260602386</v>
      </c>
      <c r="E41" s="543">
        <f>SUMIFS('Пр. 9'!H$10:H$1481,'Пр. 9'!$D$10:$D$1481,$C41)</f>
        <v>13435089</v>
      </c>
      <c r="F41" s="649">
        <f>SUMIFS('Пр. 9'!I$10:I$1481,'Пр. 9'!$D$10:$D$1481,$C41)</f>
        <v>274037475</v>
      </c>
    </row>
    <row r="42" spans="1:6" ht="47.4" thickBot="1">
      <c r="A42" s="540"/>
      <c r="B42" s="546" t="str">
        <f>IF(C42&gt;0,VLOOKUP(C42,Программа!A$2:B$5063,2))</f>
        <v>Предоставление социальных услуг населению Тутаевского муниципального района на основе соблюдения стандартов и нормативов</v>
      </c>
      <c r="C42" s="637" t="s">
        <v>2863</v>
      </c>
      <c r="D42" s="543">
        <f>SUMIFS('Пр. 9'!G$10:G$1481,'Пр. 9'!$D$10:$D$1481,C42)</f>
        <v>44976965</v>
      </c>
      <c r="E42" s="543">
        <f>SUMIFS('Пр. 9'!H$10:H$1481,'Пр. 9'!$D$10:$D$1481,$C42)</f>
        <v>0</v>
      </c>
      <c r="F42" s="649">
        <f>SUMIFS('Пр. 9'!I$10:I$1481,'Пр. 9'!$D$10:$D$1481,$C42)</f>
        <v>44976965</v>
      </c>
    </row>
    <row r="43" spans="1:6" ht="47.4" thickBot="1">
      <c r="A43" s="540"/>
      <c r="B43" s="546" t="str">
        <f>IF(C43&gt;0,VLOOKUP(C43,Программа!A$2:B$5063,2))</f>
        <v>Социальная защита семей с детьми, инвалидов, ветеранов, граждан и детей, оказавшихся в трудной жизненной ситуации</v>
      </c>
      <c r="C43" s="637" t="s">
        <v>2865</v>
      </c>
      <c r="D43" s="543">
        <f>SUMIFS('Пр. 9'!G$10:G$1481,'Пр. 9'!$D$10:$D$1481,C43)</f>
        <v>733600</v>
      </c>
      <c r="E43" s="543">
        <f>SUMIFS('Пр. 9'!H$10:H$1481,'Пр. 9'!$D$10:$D$1481,$C43)</f>
        <v>0</v>
      </c>
      <c r="F43" s="649">
        <f>SUMIFS('Пр. 9'!I$10:I$1481,'Пр. 9'!$D$10:$D$1481,$C43)</f>
        <v>733600</v>
      </c>
    </row>
    <row r="44" spans="1:6" s="528" customFormat="1" ht="47.4" thickBot="1">
      <c r="A44" s="589"/>
      <c r="B44" s="545" t="str">
        <f>IF(C44&gt;0,VLOOKUP(C44,Программа!A$2:B$5063,2))</f>
        <v>Муниципальная целевая программа "Улучшение условий и охраны труда" по Тутаевскому муниципальному району</v>
      </c>
      <c r="C44" s="636" t="s">
        <v>2851</v>
      </c>
      <c r="D44" s="634">
        <f>SUMIFS('Пр. 9'!G$10:G$1481,'Пр. 9'!$D$10:$D$1481,C44)</f>
        <v>410600</v>
      </c>
      <c r="E44" s="543">
        <f>SUMIFS('Пр. 9'!H$10:H$1481,'Пр. 9'!$D$10:$D$1481,$C44)</f>
        <v>0</v>
      </c>
      <c r="F44" s="649">
        <f>SUMIFS('Пр. 9'!I$10:I$1481,'Пр. 9'!$D$10:$D$1481,$C44)</f>
        <v>410600</v>
      </c>
    </row>
    <row r="45" spans="1:6" ht="55.5" customHeight="1" thickBot="1">
      <c r="A45" s="540"/>
      <c r="B45" s="650" t="str">
        <f>IF(C45&gt;0,VLOOKUP(C45,Программа!A$2:B$5063,2))</f>
        <v>Мероприятия по оценке условий труда и  обучение специалистов по охране труда в учреждениях на территории Тутаевского муниципального района</v>
      </c>
      <c r="C45" s="651" t="s">
        <v>2970</v>
      </c>
      <c r="D45" s="652">
        <f>SUMIFS('Пр. 9'!G$10:G$1481,'Пр. 9'!$D$10:$D$1481,C45)</f>
        <v>410600</v>
      </c>
      <c r="E45" s="652">
        <f>SUMIFS('Пр. 9'!H$10:H$1481,'Пр. 9'!$D$10:$D$1481,$C45)</f>
        <v>0</v>
      </c>
      <c r="F45" s="653">
        <f>SUMIFS('Пр. 9'!I$10:I$1481,'Пр. 9'!$D$10:$D$1481,$C45)</f>
        <v>410600</v>
      </c>
    </row>
    <row r="46" spans="1:6" s="527" customFormat="1" ht="25.5" customHeight="1" thickBot="1">
      <c r="A46" s="571"/>
      <c r="B46" s="642" t="str">
        <f>IF(C46&gt;0,VLOOKUP(C46,Программа!A$2:B$5063,2))</f>
        <v>Муниципальная программа "Доступная среда "</v>
      </c>
      <c r="C46" s="643" t="s">
        <v>2867</v>
      </c>
      <c r="D46" s="644">
        <f>SUMIFS('Пр. 9'!G$10:G$1481,'Пр. 9'!$D$10:$D$1481,C46)</f>
        <v>1336395</v>
      </c>
      <c r="E46" s="644">
        <f>SUMIFS('Пр. 9'!H$10:H$1481,'Пр. 9'!$D$10:$D$1481,$C46)</f>
        <v>1050500</v>
      </c>
      <c r="F46" s="644">
        <f>SUMIFS('Пр. 9'!I$10:I$1481,'Пр. 9'!$D$10:$D$1481,$C46)</f>
        <v>2386895</v>
      </c>
    </row>
    <row r="47" spans="1:6" ht="63" thickBot="1">
      <c r="A47" s="540"/>
      <c r="B47" s="654" t="str">
        <f>IF(C47&gt;0,VLOOKUP(C47,Программа!A$2:B$5063,2))</f>
        <v>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v>
      </c>
      <c r="C47" s="655" t="s">
        <v>2869</v>
      </c>
      <c r="D47" s="625">
        <f>SUMIFS('Пр. 9'!G$10:G$1481,'Пр. 9'!$D$10:$D$1481,C47)</f>
        <v>1336395</v>
      </c>
      <c r="E47" s="625">
        <f>SUMIFS('Пр. 9'!H$10:H$1481,'Пр. 9'!$D$10:$D$1481,$C47)</f>
        <v>1050500</v>
      </c>
      <c r="F47" s="625">
        <f>SUMIFS('Пр. 9'!I$10:I$1481,'Пр. 9'!$D$10:$D$1481,$C47)</f>
        <v>2386895</v>
      </c>
    </row>
    <row r="48" spans="1:6" s="527" customFormat="1" ht="63" thickBot="1">
      <c r="A48" s="571"/>
      <c r="B48" s="645" t="str">
        <f>IF(C48&gt;0,VLOOKUP(C48,Программа!A$2:B$5063,2))</f>
        <v>Муниципальная программа "Обеспечение качественными коммунальными услугами населения Тутаевского муниципального района"</v>
      </c>
      <c r="C48" s="646" t="s">
        <v>2753</v>
      </c>
      <c r="D48" s="647">
        <f>SUMIFS('Пр. 9'!G$10:G$1481,'Пр. 9'!$D$10:$D$1481,C48)</f>
        <v>38520200.310000002</v>
      </c>
      <c r="E48" s="647">
        <f>SUMIFS('Пр. 9'!H$10:H$1481,'Пр. 9'!$D$10:$D$1481,$C48)</f>
        <v>19731260</v>
      </c>
      <c r="F48" s="648">
        <f>SUMIFS('Пр. 9'!I$10:I$1481,'Пр. 9'!$D$10:$D$1481,$C48)</f>
        <v>58251460.310000002</v>
      </c>
    </row>
    <row r="49" spans="1:6" s="528" customFormat="1" ht="63" thickBot="1">
      <c r="A49" s="589"/>
      <c r="B49" s="545" t="str">
        <f>IF(C49&gt;0,VLOOKUP(C49,Программа!A$2:B$5063,2))</f>
        <v>Муниципальная целевая программа "Обеспечение надежного теплоснабжения жилищного фонда и учреждений  бюджетной сферы" на территории Тутаевского муниципального района</v>
      </c>
      <c r="C49" s="636" t="s">
        <v>2755</v>
      </c>
      <c r="D49" s="634">
        <f>SUMIFS('Пр. 9'!G$10:G$1481,'Пр. 9'!$D$10:$D$1481,C49)</f>
        <v>4360000</v>
      </c>
      <c r="E49" s="543">
        <f>SUMIFS('Пр. 9'!H$10:H$1481,'Пр. 9'!$D$10:$D$1481,$C49)</f>
        <v>3887000</v>
      </c>
      <c r="F49" s="649">
        <f>SUMIFS('Пр. 9'!I$10:I$1481,'Пр. 9'!$D$10:$D$1481,$C49)</f>
        <v>8247000</v>
      </c>
    </row>
    <row r="50" spans="1:6" ht="47.4" thickBot="1">
      <c r="A50" s="540"/>
      <c r="B50" s="546" t="str">
        <f>IF(C50&gt;0,VLOOKUP(C50,Программа!A$2:B$5063,2))</f>
        <v>Обеспечение надежного теплоснабжения жилищного фонда и функционирования учреждений бюджетной сферы</v>
      </c>
      <c r="C50" s="637" t="s">
        <v>2757</v>
      </c>
      <c r="D50" s="543">
        <f>SUMIFS('Пр. 9'!G$10:G$1481,'Пр. 9'!$D$10:$D$1481,C50)</f>
        <v>3760000</v>
      </c>
      <c r="E50" s="543">
        <f>SUMIFS('Пр. 9'!H$10:H$1481,'Пр. 9'!$D$10:$D$1481,$C50)</f>
        <v>3887000</v>
      </c>
      <c r="F50" s="649">
        <f>SUMIFS('Пр. 9'!I$10:I$1481,'Пр. 9'!$D$10:$D$1481,$C50)</f>
        <v>7647000</v>
      </c>
    </row>
    <row r="51" spans="1:6" ht="16.2" thickBot="1">
      <c r="A51" s="540"/>
      <c r="B51" s="546" t="str">
        <f>IF(C51&gt;0,VLOOKUP(C51,Программа!A$2:B$5063,2))</f>
        <v xml:space="preserve">Обеспечение населения твердым топливом </v>
      </c>
      <c r="C51" s="637" t="s">
        <v>2819</v>
      </c>
      <c r="D51" s="543">
        <f>SUMIFS('Пр. 9'!G$10:G$1481,'Пр. 9'!$D$10:$D$1481,C51)</f>
        <v>600000</v>
      </c>
      <c r="E51" s="543">
        <f>SUMIFS('Пр. 9'!H$10:H$1481,'Пр. 9'!$D$10:$D$1481,$C51)</f>
        <v>0</v>
      </c>
      <c r="F51" s="649">
        <f>SUMIFS('Пр. 9'!I$10:I$1481,'Пр. 9'!$D$10:$D$1481,$C51)</f>
        <v>600000</v>
      </c>
    </row>
    <row r="52" spans="1:6" s="528" customFormat="1" ht="63" thickBot="1">
      <c r="A52" s="589"/>
      <c r="B52" s="545" t="str">
        <f>IF(C52&gt;0,VLOOKUP(C52,Программа!A$2:B$5063,2))</f>
        <v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v>
      </c>
      <c r="C52" s="636" t="s">
        <v>2759</v>
      </c>
      <c r="D52" s="634">
        <f>SUMIFS('Пр. 9'!G$10:G$1481,'Пр. 9'!$D$10:$D$1481,C52)</f>
        <v>21441304.990000002</v>
      </c>
      <c r="E52" s="543">
        <f>SUMIFS('Пр. 9'!H$10:H$1481,'Пр. 9'!$D$10:$D$1481,$C52)</f>
        <v>4492316</v>
      </c>
      <c r="F52" s="649">
        <f>SUMIFS('Пр. 9'!I$10:I$1481,'Пр. 9'!$D$10:$D$1481,$C52)</f>
        <v>25933620.990000002</v>
      </c>
    </row>
    <row r="53" spans="1:6" ht="47.4" thickBot="1">
      <c r="A53" s="540"/>
      <c r="B53" s="546" t="str">
        <f>IF(C53&gt;0,VLOOKUP(C53,Программа!A$2:B$5063,2))</f>
        <v>Модернизация объектов теплоснабжения с вводом их в эксплуатацию (строительство и реконструкция котельных)</v>
      </c>
      <c r="C53" s="637" t="s">
        <v>2761</v>
      </c>
      <c r="D53" s="543">
        <f>SUMIFS('Пр. 9'!G$10:G$1481,'Пр. 9'!$D$10:$D$1481,C53)</f>
        <v>4351305</v>
      </c>
      <c r="E53" s="543">
        <f>SUMIFS('Пр. 9'!H$10:H$1481,'Пр. 9'!$D$10:$D$1481,$C53)</f>
        <v>0</v>
      </c>
      <c r="F53" s="649">
        <f>SUMIFS('Пр. 9'!I$10:I$1481,'Пр. 9'!$D$10:$D$1481,$C53)</f>
        <v>4351305</v>
      </c>
    </row>
    <row r="54" spans="1:6" ht="63" thickBot="1">
      <c r="A54" s="540"/>
      <c r="B54" s="546" t="str">
        <f>IF(C54&gt;0,VLOOKUP(C54,Программа!A$2:B$5063,2))</f>
        <v>Газификация населенных пунктов Тутаевского муниципального района (строительство газопроводов и распределительных газовых сетей с вводом их в эксплуатацию)</v>
      </c>
      <c r="C54" s="637" t="s">
        <v>2763</v>
      </c>
      <c r="D54" s="543">
        <f>SUMIFS('Пр. 9'!G$10:G$1481,'Пр. 9'!$D$10:$D$1481,C54)</f>
        <v>17089999.990000002</v>
      </c>
      <c r="E54" s="543">
        <f>SUMIFS('Пр. 9'!H$10:H$1481,'Пр. 9'!$D$10:$D$1481,$C54)</f>
        <v>4492316</v>
      </c>
      <c r="F54" s="649">
        <f>SUMIFS('Пр. 9'!I$10:I$1481,'Пр. 9'!$D$10:$D$1481,$C54)</f>
        <v>21582315.990000002</v>
      </c>
    </row>
    <row r="55" spans="1:6" s="528" customFormat="1" ht="63" thickBot="1">
      <c r="A55" s="589"/>
      <c r="B55" s="545" t="str">
        <f>IF(C55&gt;0,VLOOKUP(C55,Программа!A$2:B$5063,2))</f>
        <v xml:space="preserve">Муниципальная целевая   программа «Развитие водоснабжения, водоотведения и очистки сточных вод» на территории Тутаевского муниципального района </v>
      </c>
      <c r="C55" s="636" t="s">
        <v>2765</v>
      </c>
      <c r="D55" s="634">
        <f>SUMIFS('Пр. 9'!G$10:G$1481,'Пр. 9'!$D$10:$D$1481,C55)</f>
        <v>3993367.32</v>
      </c>
      <c r="E55" s="543">
        <f>SUMIFS('Пр. 9'!H$10:H$1481,'Пр. 9'!$D$10:$D$1481,$C55)</f>
        <v>2429944</v>
      </c>
      <c r="F55" s="649">
        <f>SUMIFS('Пр. 9'!I$10:I$1481,'Пр. 9'!$D$10:$D$1481,$C55)</f>
        <v>6423311.3200000003</v>
      </c>
    </row>
    <row r="56" spans="1:6" ht="47.4" thickBot="1">
      <c r="A56" s="540"/>
      <c r="B56" s="546" t="str">
        <f>IF(C56&gt;0,VLOOKUP(C56,Программа!A$2:B$5063,2))</f>
        <v>Повышение качества водоснабжения в результате модернизации существующих источников водоснабжения и строительство  новых</v>
      </c>
      <c r="C56" s="637" t="s">
        <v>2767</v>
      </c>
      <c r="D56" s="543">
        <f>SUMIFS('Пр. 9'!G$10:G$1481,'Пр. 9'!$D$10:$D$1481,C56)</f>
        <v>3543367.32</v>
      </c>
      <c r="E56" s="543">
        <f>SUMIFS('Пр. 9'!H$10:H$1481,'Пр. 9'!$D$10:$D$1481,$C56)</f>
        <v>2429944</v>
      </c>
      <c r="F56" s="649">
        <f>SUMIFS('Пр. 9'!I$10:I$1481,'Пр. 9'!$D$10:$D$1481,$C56)</f>
        <v>5973311.3200000003</v>
      </c>
    </row>
    <row r="57" spans="1:6" ht="63.75" customHeight="1" thickBot="1">
      <c r="A57" s="540"/>
      <c r="B57" s="546" t="str">
        <f>IF(C57&gt;0,VLOOKUP(C57,Программа!A$2:B$5063,2))</f>
        <v>Повышение качества  водоотведения и очистки сточных вод в результате модернизации существующих  систем  водоотведения и очистки сточных вод, строительство новых систем</v>
      </c>
      <c r="C57" s="637" t="s">
        <v>2769</v>
      </c>
      <c r="D57" s="543">
        <f>SUMIFS('Пр. 9'!G$10:G$1481,'Пр. 9'!$D$10:$D$1481,C57)</f>
        <v>450000</v>
      </c>
      <c r="E57" s="543">
        <f>SUMIFS('Пр. 9'!H$10:H$1481,'Пр. 9'!$D$10:$D$1481,$C57)</f>
        <v>0</v>
      </c>
      <c r="F57" s="649">
        <f>SUMIFS('Пр. 9'!I$10:I$1481,'Пр. 9'!$D$10:$D$1481,$C57)</f>
        <v>450000</v>
      </c>
    </row>
    <row r="58" spans="1:6" s="528" customFormat="1" ht="63" thickBot="1">
      <c r="A58" s="589"/>
      <c r="B58" s="545" t="str">
        <f>IF(C58&gt;0,VLOOKUP(C58,Программа!A$2:B$5063,2))</f>
        <v>Муниципальная целевая программа "Подготовка объектов коммунального хозяйства Тутаевского муниципального района к работе в осенне-зимних условиях"</v>
      </c>
      <c r="C58" s="636" t="s">
        <v>2771</v>
      </c>
      <c r="D58" s="634">
        <f>SUMIFS('Пр. 9'!G$10:G$1481,'Пр. 9'!$D$10:$D$1481,C58)</f>
        <v>8725528</v>
      </c>
      <c r="E58" s="543">
        <f>SUMIFS('Пр. 9'!H$10:H$1481,'Пр. 9'!$D$10:$D$1481,$C58)</f>
        <v>8922000</v>
      </c>
      <c r="F58" s="649">
        <f>SUMIFS('Пр. 9'!I$10:I$1481,'Пр. 9'!$D$10:$D$1481,$C58)</f>
        <v>17647528</v>
      </c>
    </row>
    <row r="59" spans="1:6" ht="31.8" thickBot="1">
      <c r="A59" s="540"/>
      <c r="B59" s="546" t="str">
        <f>IF(C59&gt;0,VLOOKUP(C59,Программа!A$2:B$5063,2))</f>
        <v>Проведение комплекса работ по ремонту, замене и реконструкции объектов теплоснабжения</v>
      </c>
      <c r="C59" s="637" t="s">
        <v>2772</v>
      </c>
      <c r="D59" s="543">
        <f>SUMIFS('Пр. 9'!G$10:G$1481,'Пр. 9'!$D$10:$D$1481,C59)</f>
        <v>4689739.8600000003</v>
      </c>
      <c r="E59" s="543">
        <f>SUMIFS('Пр. 9'!H$10:H$1481,'Пр. 9'!$D$10:$D$1481,$C59)</f>
        <v>4897347</v>
      </c>
      <c r="F59" s="649">
        <f>SUMIFS('Пр. 9'!I$10:I$1481,'Пр. 9'!$D$10:$D$1481,$C59)</f>
        <v>9587086.8599999994</v>
      </c>
    </row>
    <row r="60" spans="1:6" ht="47.4" thickBot="1">
      <c r="A60" s="540"/>
      <c r="B60" s="546" t="str">
        <f>IF(C60&gt;0,VLOOKUP(C60,Программа!A$2:B$5063,2))</f>
        <v>Проведение комплекса работ по ремонту, замене и реконструкции объектов водоснабжения, водоотведения и очистки сточных вод</v>
      </c>
      <c r="C60" s="637" t="s">
        <v>2774</v>
      </c>
      <c r="D60" s="543">
        <f>SUMIFS('Пр. 9'!G$10:G$1481,'Пр. 9'!$D$10:$D$1481,C60)</f>
        <v>3796440.13</v>
      </c>
      <c r="E60" s="543">
        <f>SUMIFS('Пр. 9'!H$10:H$1481,'Пр. 9'!$D$10:$D$1481,$C60)</f>
        <v>4024653</v>
      </c>
      <c r="F60" s="649">
        <f>SUMIFS('Пр. 9'!I$10:I$1481,'Пр. 9'!$D$10:$D$1481,$C60)</f>
        <v>7821093.1299999999</v>
      </c>
    </row>
    <row r="61" spans="1:6" ht="31.8" thickBot="1">
      <c r="A61" s="540"/>
      <c r="B61" s="650" t="str">
        <f>IF(C61&gt;0,VLOOKUP(C61,Программа!A$2:B$5063,2))</f>
        <v>Проведение комплекса работ по ремонту, замене и реконструкции объектов газоснабжения</v>
      </c>
      <c r="C61" s="651" t="s">
        <v>2776</v>
      </c>
      <c r="D61" s="652">
        <f>SUMIFS('Пр. 9'!G$10:G$1481,'Пр. 9'!$D$10:$D$1481,C61)</f>
        <v>239348.01</v>
      </c>
      <c r="E61" s="652">
        <f>SUMIFS('Пр. 9'!H$10:H$1481,'Пр. 9'!$D$10:$D$1481,$C61)</f>
        <v>0</v>
      </c>
      <c r="F61" s="653">
        <f>SUMIFS('Пр. 9'!I$10:I$1481,'Пр. 9'!$D$10:$D$1481,$C61)</f>
        <v>239348.01</v>
      </c>
    </row>
    <row r="62" spans="1:6" s="527" customFormat="1" ht="63" thickBot="1">
      <c r="A62" s="571"/>
      <c r="B62" s="645" t="str">
        <f>IF(C62&gt;0,VLOOKUP(C62,Программа!A$2:B$5063,2))</f>
        <v>Муниципальная  программа "Об энергосбережении и повышении энергетической эффективности Тутаевского муниципального района"</v>
      </c>
      <c r="C62" s="646" t="s">
        <v>2778</v>
      </c>
      <c r="D62" s="647">
        <f>SUMIFS('Пр. 9'!G$10:G$1481,'Пр. 9'!$D$10:$D$1481,C62)</f>
        <v>2772433</v>
      </c>
      <c r="E62" s="647">
        <f>SUMIFS('Пр. 9'!H$10:H$1481,'Пр. 9'!$D$10:$D$1481,$C62)</f>
        <v>0</v>
      </c>
      <c r="F62" s="648">
        <f>SUMIFS('Пр. 9'!I$10:I$1481,'Пр. 9'!$D$10:$D$1481,$C62)</f>
        <v>2772433</v>
      </c>
    </row>
    <row r="63" spans="1:6" ht="74.25" customHeight="1" thickBot="1">
      <c r="A63" s="540"/>
      <c r="B63" s="546" t="str">
        <f>IF(C63&gt;0,VLOOKUP(C63,Программа!A$2:B$5063,2))</f>
        <v>Обеспечение рационального использования топливно- энергетических ресурсов при их производстве, передаче и потреблении и создание условий повышения энергетической эффективности</v>
      </c>
      <c r="C63" s="637" t="s">
        <v>2836</v>
      </c>
      <c r="D63" s="543">
        <f>SUMIFS('Пр. 9'!G$10:G$1481,'Пр. 9'!$D$10:$D$1481,C63)</f>
        <v>2772433</v>
      </c>
      <c r="E63" s="543">
        <f>SUMIFS('Пр. 9'!H$10:H$1481,'Пр. 9'!$D$10:$D$1481,$C63)</f>
        <v>0</v>
      </c>
      <c r="F63" s="649">
        <f>SUMIFS('Пр. 9'!I$10:I$1481,'Пр. 9'!$D$10:$D$1481,$C63)</f>
        <v>2772433</v>
      </c>
    </row>
    <row r="64" spans="1:6" s="527" customFormat="1" ht="47.4" thickBot="1">
      <c r="A64" s="571"/>
      <c r="B64" s="656" t="str">
        <f>IF(C64&gt;0,VLOOKUP(C64,Программа!A$2:B$5063,2))</f>
        <v>Муниципальная программа "Развитие дорожного хозяйства и транспорта в Тутаевском муниципальном районе"</v>
      </c>
      <c r="C64" s="631" t="s">
        <v>2821</v>
      </c>
      <c r="D64" s="632">
        <f>SUMIFS('Пр. 9'!G$10:G$1481,'Пр. 9'!$D$10:$D$1481,C64)</f>
        <v>110968406</v>
      </c>
      <c r="E64" s="632">
        <f>SUMIFS('Пр. 9'!H$10:H$1481,'Пр. 9'!$D$10:$D$1481,$C64)</f>
        <v>-304929</v>
      </c>
      <c r="F64" s="657">
        <f>SUMIFS('Пр. 9'!I$10:I$1481,'Пр. 9'!$D$10:$D$1481,$C64)</f>
        <v>110663477</v>
      </c>
    </row>
    <row r="65" spans="1:6" s="528" customFormat="1" ht="47.4" thickBot="1">
      <c r="A65" s="589"/>
      <c r="B65" s="545" t="str">
        <f>IF(C65&gt;0,VLOOKUP(C65,Программа!A$2:B$5063,2))</f>
        <v>Муниципальная целевая программа «Повышение безопасности дорожного движения на территории Тутаевского муниципального района»</v>
      </c>
      <c r="C65" s="636" t="s">
        <v>2823</v>
      </c>
      <c r="D65" s="634">
        <f>SUMIFS('Пр. 9'!G$10:G$1481,'Пр. 9'!$D$10:$D$1481,C65)</f>
        <v>5082855</v>
      </c>
      <c r="E65" s="543">
        <f>SUMIFS('Пр. 9'!H$10:H$1481,'Пр. 9'!$D$10:$D$1481,$C65)</f>
        <v>0</v>
      </c>
      <c r="F65" s="649">
        <f>SUMIFS('Пр. 9'!I$10:I$1481,'Пр. 9'!$D$10:$D$1481,$C65)</f>
        <v>5082855</v>
      </c>
    </row>
    <row r="66" spans="1:6" ht="31.8" thickBot="1">
      <c r="A66" s="540"/>
      <c r="B66" s="546" t="str">
        <f>IF(C66&gt;0,VLOOKUP(C66,Программа!A$2:B$5063,2))</f>
        <v>Повышение безопасности дорожного движения на автомобильных дорогах</v>
      </c>
      <c r="C66" s="637" t="s">
        <v>2824</v>
      </c>
      <c r="D66" s="543">
        <f>SUMIFS('Пр. 9'!G$10:G$1481,'Пр. 9'!$D$10:$D$1481,C66)</f>
        <v>5082855</v>
      </c>
      <c r="E66" s="543">
        <f>SUMIFS('Пр. 9'!H$10:H$1481,'Пр. 9'!$D$10:$D$1481,$C66)</f>
        <v>0</v>
      </c>
      <c r="F66" s="649">
        <f>SUMIFS('Пр. 9'!I$10:I$1481,'Пр. 9'!$D$10:$D$1481,$C66)</f>
        <v>5082855</v>
      </c>
    </row>
    <row r="67" spans="1:6" s="528" customFormat="1" ht="47.4" thickBot="1">
      <c r="A67" s="589"/>
      <c r="B67" s="545" t="str">
        <f>IF(C67&gt;0,VLOOKUP(C67,Программа!A$2:B$5063,2))</f>
        <v>Муниципальная целевая программа «Сохранность автомобильных дорог общего пользования Тутаевского муниципального района»</v>
      </c>
      <c r="C67" s="636" t="s">
        <v>2825</v>
      </c>
      <c r="D67" s="634">
        <f>SUMIFS('Пр. 9'!G$10:G$1481,'Пр. 9'!$D$10:$D$1481,C67)</f>
        <v>105885551</v>
      </c>
      <c r="E67" s="543">
        <f>SUMIFS('Пр. 9'!H$10:H$1481,'Пр. 9'!$D$10:$D$1481,$C67)</f>
        <v>-304929</v>
      </c>
      <c r="F67" s="649">
        <f>SUMIFS('Пр. 9'!I$10:I$1481,'Пр. 9'!$D$10:$D$1481,$C67)</f>
        <v>105580622</v>
      </c>
    </row>
    <row r="68" spans="1:6" ht="31.8" thickBot="1">
      <c r="A68" s="540"/>
      <c r="B68" s="650" t="str">
        <f>IF(C68&gt;0,VLOOKUP(C68,Программа!A$2:B$5063,2))</f>
        <v>Приведение  в нормативное состояние автомобильных дорог общего пользования</v>
      </c>
      <c r="C68" s="651" t="s">
        <v>2826</v>
      </c>
      <c r="D68" s="652">
        <f>SUMIFS('Пр. 9'!G$10:G$1481,'Пр. 9'!$D$10:$D$1481,C68)</f>
        <v>105885551</v>
      </c>
      <c r="E68" s="652">
        <f>SUMIFS('Пр. 9'!H$10:H$1481,'Пр. 9'!$D$10:$D$1481,$C68)</f>
        <v>-304929</v>
      </c>
      <c r="F68" s="653">
        <f>SUMIFS('Пр. 9'!I$10:I$1481,'Пр. 9'!$D$10:$D$1481,$C68)</f>
        <v>105580622</v>
      </c>
    </row>
    <row r="69" spans="1:6" s="527" customFormat="1" ht="63.75" customHeight="1" thickBot="1">
      <c r="A69" s="571"/>
      <c r="B69" s="645" t="str">
        <f>IF(C69&gt;0,VLOOKUP(C69,Программа!A$2:B$5063,2))</f>
        <v>Муниципальная программа "Стимулирование развития жилищного строительства в Тутаевском муниципальном  районе Ярославской области"</v>
      </c>
      <c r="C69" s="646" t="s">
        <v>2780</v>
      </c>
      <c r="D69" s="647">
        <f>SUMIFS('Пр. 9'!G$10:G$1481,'Пр. 9'!$D$10:$D$1481,C69)</f>
        <v>35803019.390000001</v>
      </c>
      <c r="E69" s="647">
        <f>SUMIFS('Пр. 9'!H$10:H$1481,'Пр. 9'!$D$10:$D$1481,$C69)</f>
        <v>4165086.15</v>
      </c>
      <c r="F69" s="648">
        <f>SUMIFS('Пр. 9'!I$10:I$1481,'Пр. 9'!$D$10:$D$1481,$C69)-1</f>
        <v>39968104.539999999</v>
      </c>
    </row>
    <row r="70" spans="1:6" s="528" customFormat="1" ht="79.5" customHeight="1" thickBot="1">
      <c r="A70" s="589"/>
      <c r="B70" s="545" t="str">
        <f>IF(C70&gt;0,VLOOKUP(C70,Программа!A$2:B$5063,2))</f>
        <v>Муниципальная целевая программа "Поддержка граждан, проживающих на территории Тутаевского муниципального района Ярославской области в сфере ипотечного жилищного кредитования"</v>
      </c>
      <c r="C70" s="636" t="s">
        <v>2781</v>
      </c>
      <c r="D70" s="634">
        <f>SUMIFS('Пр. 9'!G$10:G$1481,'Пр. 9'!$D$10:$D$1481,C70)</f>
        <v>3979615.88</v>
      </c>
      <c r="E70" s="543">
        <f>SUMIFS('Пр. 9'!H$10:H$1481,'Пр. 9'!$D$10:$D$1481,$C70)</f>
        <v>0</v>
      </c>
      <c r="F70" s="649">
        <f>SUMIFS('Пр. 9'!I$10:I$1481,'Пр. 9'!$D$10:$D$1481,$C70)</f>
        <v>3979615.88</v>
      </c>
    </row>
    <row r="71" spans="1:6" ht="95.25" customHeight="1" thickBot="1">
      <c r="A71" s="540"/>
      <c r="B71" s="546" t="str">
        <f>IF(C71&gt;0,VLOOKUP(C71,Программа!A$2:B$5063,2))</f>
        <v>Обеспечение доступности жилья в соответствии с  уровнем платежеспособности спроса граждан, путем оказания поддержки гражданам, проживающим на территории Тутаевского муниципального района, в сфере ипотечного жилищного кредитования и займа</v>
      </c>
      <c r="C71" s="637" t="s">
        <v>2782</v>
      </c>
      <c r="D71" s="543">
        <f>SUMIFS('Пр. 9'!G$10:G$1481,'Пр. 9'!$D$10:$D$1481,C71)</f>
        <v>3979615.88</v>
      </c>
      <c r="E71" s="543">
        <f>SUMIFS('Пр. 9'!H$10:H$1481,'Пр. 9'!$D$10:$D$1481,$C71)</f>
        <v>0</v>
      </c>
      <c r="F71" s="649">
        <f>SUMIFS('Пр. 9'!I$10:I$1481,'Пр. 9'!$D$10:$D$1481,$C71)</f>
        <v>3979615.88</v>
      </c>
    </row>
    <row r="72" spans="1:6" s="528" customFormat="1" ht="48" customHeight="1" thickBot="1">
      <c r="A72" s="589"/>
      <c r="B72" s="545" t="str">
        <f>IF(C72&gt;0,VLOOKUP(C72,Программа!A$2:B$5063,2))</f>
        <v>Муниципальная целевая программа "Переселение граждан из аварийного жилищного фонда в Тутаевском муниципальном районе"</v>
      </c>
      <c r="C72" s="636" t="s">
        <v>2783</v>
      </c>
      <c r="D72" s="634">
        <f>SUMIFS('Пр. 9'!G$10:G$1481,'Пр. 9'!$D$10:$D$1481,C72)</f>
        <v>16243871.309999999</v>
      </c>
      <c r="E72" s="543">
        <f>SUMIFS('Пр. 9'!H$10:H$1481,'Пр. 9'!$D$10:$D$1481,$C72)</f>
        <v>4165086.15</v>
      </c>
      <c r="F72" s="649">
        <f>SUMIFS('Пр. 9'!I$10:I$1481,'Пр. 9'!$D$10:$D$1481,$C72)</f>
        <v>20408957.459999997</v>
      </c>
    </row>
    <row r="73" spans="1:6" ht="63.75" customHeight="1" thickBot="1">
      <c r="A73" s="540"/>
      <c r="B73" s="546" t="str">
        <f>IF(C73&gt;0,VLOOKUP(C73,Программа!A$2:B$5063,2))</f>
        <v>Финансовое и организационное обеспечение переселения граждан из аварийных многоквартирных домов на территории Тутаевского муниципального района</v>
      </c>
      <c r="C73" s="637" t="s">
        <v>2784</v>
      </c>
      <c r="D73" s="543">
        <f>SUMIFS('Пр. 9'!G$10:G$1481,'Пр. 9'!$D$10:$D$1481,C73)</f>
        <v>16243871.309999999</v>
      </c>
      <c r="E73" s="543">
        <f>SUMIFS('Пр. 9'!H$10:H$1481,'Пр. 9'!$D$10:$D$1481,$C73)</f>
        <v>4165086.15</v>
      </c>
      <c r="F73" s="649">
        <f>SUMIFS('Пр. 9'!I$10:I$1481,'Пр. 9'!$D$10:$D$1481,$C73)</f>
        <v>20408957.459999997</v>
      </c>
    </row>
    <row r="74" spans="1:6" s="528" customFormat="1" ht="79.5" customHeight="1" thickBot="1">
      <c r="A74" s="589"/>
      <c r="B74" s="545" t="str">
        <f>IF(C74&gt;0,VLOOKUP(C74,Программа!A$2:B$5063,2))</f>
        <v>Муниципальная целевая программа "Переселение граждан из  жилищного фонда, признанного непригодным для проживания, и (или) жилищного фонда с высоким уровнем износа на территории Тутаевского муниципального района"</v>
      </c>
      <c r="C74" s="636" t="s">
        <v>2785</v>
      </c>
      <c r="D74" s="634">
        <f>SUMIFS('Пр. 9'!G$10:G$1481,'Пр. 9'!$D$10:$D$1481,C74)</f>
        <v>11284076</v>
      </c>
      <c r="E74" s="543">
        <f>SUMIFS('Пр. 9'!H$10:H$1481,'Пр. 9'!$D$10:$D$1481,$C74)</f>
        <v>0</v>
      </c>
      <c r="F74" s="649">
        <f>SUMIFS('Пр. 9'!I$10:I$1481,'Пр. 9'!$D$10:$D$1481,$C74)</f>
        <v>11284076</v>
      </c>
    </row>
    <row r="75" spans="1:6" ht="63.75" customHeight="1" thickBot="1">
      <c r="A75" s="540"/>
      <c r="B75" s="546" t="str">
        <f>IF(C75&gt;0,VLOOKUP(C75,Программа!A$2:B$5063,2))</f>
        <v>Финансовое и организационное обеспечение переселения граждан из непригодного для проживания жилищного фонда с высоким уровнем износа</v>
      </c>
      <c r="C75" s="637" t="s">
        <v>2786</v>
      </c>
      <c r="D75" s="543">
        <f>SUMIFS('Пр. 9'!G$10:G$1481,'Пр. 9'!$D$10:$D$1481,C75)</f>
        <v>11284076</v>
      </c>
      <c r="E75" s="543">
        <f>SUMIFS('Пр. 9'!H$10:H$1481,'Пр. 9'!$D$10:$D$1481,$C75)</f>
        <v>0</v>
      </c>
      <c r="F75" s="649">
        <f>SUMIFS('Пр. 9'!I$10:I$1481,'Пр. 9'!$D$10:$D$1481,$C75)</f>
        <v>11284076</v>
      </c>
    </row>
    <row r="76" spans="1:6" s="528" customFormat="1" ht="63.75" customHeight="1" thickBot="1">
      <c r="A76" s="589"/>
      <c r="B76" s="545" t="str">
        <f>IF(C76&gt;0,VLOOKUP(C76,Программа!A$2:B$5063,2))</f>
        <v>Муниципальная целевая программа "Предоставление молодым семьям социальных выплат на приобретение(строительство) жилья"</v>
      </c>
      <c r="C76" s="636" t="s">
        <v>2787</v>
      </c>
      <c r="D76" s="634">
        <f>SUMIFS('Пр. 9'!G$10:G$1481,'Пр. 9'!$D$10:$D$1481,C76)</f>
        <v>4295456.2</v>
      </c>
      <c r="E76" s="543">
        <f>SUMIFS('Пр. 9'!H$10:H$1481,'Пр. 9'!$D$10:$D$1481,$C76)</f>
        <v>0</v>
      </c>
      <c r="F76" s="649">
        <f>SUMIFS('Пр. 9'!I$10:I$1481,'Пр. 9'!$D$10:$D$1481,$C76)</f>
        <v>4295456.2</v>
      </c>
    </row>
    <row r="77" spans="1:6" ht="32.25" customHeight="1" thickBot="1">
      <c r="A77" s="540"/>
      <c r="B77" s="650" t="str">
        <f>IF(C77&gt;0,VLOOKUP(C77,Программа!A$2:B$5063,2))</f>
        <v>Создание условий для поддержки  молодых семей в приобретении (строительстве) жилья</v>
      </c>
      <c r="C77" s="651" t="s">
        <v>2788</v>
      </c>
      <c r="D77" s="652">
        <f>SUMIFS('Пр. 9'!G$10:G$1481,'Пр. 9'!$D$10:$D$1481,C77)</f>
        <v>4295456.2</v>
      </c>
      <c r="E77" s="652">
        <f>SUMIFS('Пр. 9'!H$10:H$1481,'Пр. 9'!$D$10:$D$1481,$C77)</f>
        <v>0</v>
      </c>
      <c r="F77" s="653">
        <f>SUMIFS('Пр. 9'!I$10:I$1481,'Пр. 9'!$D$10:$D$1481,$C77)</f>
        <v>4295456.2</v>
      </c>
    </row>
    <row r="78" spans="1:6" s="527" customFormat="1" ht="70.5" customHeight="1" thickBot="1">
      <c r="A78" s="571"/>
      <c r="B78" s="645" t="str">
        <f>IF(C78&gt;0,VLOOKUP(C78,Программа!A$2:B$5063,2))</f>
        <v>Муниципальная программа "Экономическое развитие и инновационная экономика, развитие предпринимательства и сельского хозяйства в Тутаевском муниципальном районе"</v>
      </c>
      <c r="C78" s="646" t="s">
        <v>2813</v>
      </c>
      <c r="D78" s="647">
        <f>SUMIFS('Пр. 9'!G$10:G$1481,'Пр. 9'!$D$10:$D$1481,C78)</f>
        <v>1997047</v>
      </c>
      <c r="E78" s="647">
        <f>SUMIFS('Пр. 9'!H$10:H$1481,'Пр. 9'!$D$10:$D$1481,$C78)</f>
        <v>233200</v>
      </c>
      <c r="F78" s="648">
        <f>SUMIFS('Пр. 9'!I$10:I$1481,'Пр. 9'!$D$10:$D$1481,$C78)</f>
        <v>2230247</v>
      </c>
    </row>
    <row r="79" spans="1:6" s="528" customFormat="1" ht="63" thickBot="1">
      <c r="A79" s="589"/>
      <c r="B79" s="545" t="str">
        <f>IF(C79&gt;0,VLOOKUP(C79,Программа!A$2:B$5063,2))</f>
        <v>Муниципальная целевая программа «Развитие субъектов малого и среднего предпринимательства Тутаевского муниципального района»</v>
      </c>
      <c r="C79" s="638" t="s">
        <v>2830</v>
      </c>
      <c r="D79" s="634">
        <f>SUMIFS('Пр. 9'!G$10:G$1481,'Пр. 9'!$D$10:$D$1481,C79)</f>
        <v>450000</v>
      </c>
      <c r="E79" s="543">
        <f>SUMIFS('Пр. 9'!H$10:H$1481,'Пр. 9'!$D$10:$D$1481,$C79)</f>
        <v>150000</v>
      </c>
      <c r="F79" s="649">
        <f>SUMIFS('Пр. 9'!I$10:I$1481,'Пр. 9'!$D$10:$D$1481,$C79)</f>
        <v>600000</v>
      </c>
    </row>
    <row r="80" spans="1:6" ht="63" thickBot="1">
      <c r="A80" s="540"/>
      <c r="B80" s="546" t="str">
        <f>IF(C80&gt;0,VLOOKUP(C80,Программа!A$2:B$5063,2))</f>
        <v>Популяризация роли предпринимательства, информационная, консультационная и организационная поддержка субъектов малого и среднего предпринимательства</v>
      </c>
      <c r="C80" s="639" t="s">
        <v>2831</v>
      </c>
      <c r="D80" s="543">
        <f>SUMIFS('Пр. 9'!G$10:G$1481,'Пр. 9'!$D$10:$D$1481,C80)</f>
        <v>70000</v>
      </c>
      <c r="E80" s="543">
        <f>SUMIFS('Пр. 9'!H$10:H$1481,'Пр. 9'!$D$10:$D$1481,$C80)</f>
        <v>0</v>
      </c>
      <c r="F80" s="649">
        <f>SUMIFS('Пр. 9'!I$10:I$1481,'Пр. 9'!$D$10:$D$1481,$C80)</f>
        <v>70000</v>
      </c>
    </row>
    <row r="81" spans="1:6" ht="31.8" thickBot="1">
      <c r="A81" s="540"/>
      <c r="B81" s="546" t="str">
        <f>IF(C81&gt;0,VLOOKUP(C81,Программа!A$2:B$5063,2))</f>
        <v>Развитие системы финансовой поддержки субъектов малого и среднего предпринимательства</v>
      </c>
      <c r="C81" s="639" t="s">
        <v>2833</v>
      </c>
      <c r="D81" s="543">
        <f>SUMIFS('Пр. 9'!G$10:G$1481,'Пр. 9'!$D$10:$D$1481,C81)</f>
        <v>380000</v>
      </c>
      <c r="E81" s="543">
        <f>SUMIFS('Пр. 9'!H$10:H$1481,'Пр. 9'!$D$10:$D$1481,$C81)</f>
        <v>150000</v>
      </c>
      <c r="F81" s="649">
        <f>SUMIFS('Пр. 9'!I$10:I$1481,'Пр. 9'!$D$10:$D$1481,$C81)</f>
        <v>530000</v>
      </c>
    </row>
    <row r="82" spans="1:6" s="528" customFormat="1" ht="47.4" thickBot="1">
      <c r="A82" s="589"/>
      <c r="B82" s="545" t="str">
        <f>IF(C82&gt;0,VLOOKUP(C82,Программа!A$2:B$5063,2))</f>
        <v>Муниципальная целевая программа "Развитие потребительского рынка Тутаевского муниципального района "</v>
      </c>
      <c r="C82" s="638" t="s">
        <v>2814</v>
      </c>
      <c r="D82" s="634">
        <f>SUMIFS('Пр. 9'!G$10:G$1481,'Пр. 9'!$D$10:$D$1481,C82)</f>
        <v>111947</v>
      </c>
      <c r="E82" s="543">
        <f>SUMIFS('Пр. 9'!H$10:H$1481,'Пр. 9'!$D$10:$D$1481,$C82)</f>
        <v>83200</v>
      </c>
      <c r="F82" s="649">
        <f>SUMIFS('Пр. 9'!I$10:I$1481,'Пр. 9'!$D$10:$D$1481,$C82)</f>
        <v>195147</v>
      </c>
    </row>
    <row r="83" spans="1:6" ht="47.4" thickBot="1">
      <c r="A83" s="540"/>
      <c r="B83" s="546" t="str">
        <f>IF(C83&gt;0,VLOOKUP(C83,Программа!A$2:B$5063,2))</f>
        <v>Обеспечение доступности товаров для сельского населения путем оказания государственной поддержки</v>
      </c>
      <c r="C83" s="639" t="s">
        <v>2815</v>
      </c>
      <c r="D83" s="543">
        <f>SUMIFS('Пр. 9'!G$10:G$1481,'Пр. 9'!$D$10:$D$1481,C83)</f>
        <v>111947</v>
      </c>
      <c r="E83" s="543">
        <f>SUMIFS('Пр. 9'!H$10:H$1481,'Пр. 9'!$D$10:$D$1481,$C83)</f>
        <v>83200</v>
      </c>
      <c r="F83" s="649">
        <f>SUMIFS('Пр. 9'!I$10:I$1481,'Пр. 9'!$D$10:$D$1481,$C83)</f>
        <v>195147</v>
      </c>
    </row>
    <row r="84" spans="1:6" s="528" customFormat="1" ht="47.4" thickBot="1">
      <c r="A84" s="589"/>
      <c r="B84" s="545" t="str">
        <f>IF(C84&gt;0,VLOOKUP(C84,Программа!A$2:B$5063,2))</f>
        <v>Муниципальная целевая программа "Развитие агропромышленного комплекса и сельских территорий Тутаевского муниципального района"</v>
      </c>
      <c r="C84" s="638" t="s">
        <v>2817</v>
      </c>
      <c r="D84" s="634">
        <f>SUMIFS('Пр. 9'!G$10:G$1481,'Пр. 9'!$D$10:$D$1481,C84)</f>
        <v>1435100</v>
      </c>
      <c r="E84" s="543">
        <f>SUMIFS('Пр. 9'!H$10:H$1481,'Пр. 9'!$D$10:$D$1481,$C84)</f>
        <v>0</v>
      </c>
      <c r="F84" s="649">
        <f>SUMIFS('Пр. 9'!I$10:I$1481,'Пр. 9'!$D$10:$D$1481,$C84)</f>
        <v>1435100</v>
      </c>
    </row>
    <row r="85" spans="1:6" ht="47.4" thickBot="1">
      <c r="A85" s="540"/>
      <c r="B85" s="546" t="str">
        <f>IF(C85&gt;0,VLOOKUP(C85,Программа!A$2:B$5063,2))</f>
        <v>Поддержка сельскохозяйственного производства в рамках субсидирования  (молоко, овцеводство) сельскохозяйственных товаропроизводителей</v>
      </c>
      <c r="C85" s="639" t="s">
        <v>2818</v>
      </c>
      <c r="D85" s="543">
        <f>SUMIFS('Пр. 9'!G$10:G$1481,'Пр. 9'!$D$10:$D$1481,C85)</f>
        <v>1080100</v>
      </c>
      <c r="E85" s="543">
        <f>SUMIFS('Пр. 9'!H$10:H$1481,'Пр. 9'!$D$10:$D$1481,$C85)</f>
        <v>0</v>
      </c>
      <c r="F85" s="649">
        <f>SUMIFS('Пр. 9'!I$10:I$1481,'Пр. 9'!$D$10:$D$1481,$C85)</f>
        <v>1080100</v>
      </c>
    </row>
    <row r="86" spans="1:6" ht="31.8" thickBot="1">
      <c r="A86" s="540"/>
      <c r="B86" s="546" t="str">
        <f>IF(C86&gt;0,VLOOKUP(C86,Программа!A$2:B$5063,2))</f>
        <v xml:space="preserve">Кадровое обеспечение агропромышленного комплекса </v>
      </c>
      <c r="C86" s="639" t="s">
        <v>2847</v>
      </c>
      <c r="D86" s="543">
        <f>SUMIFS('Пр. 9'!G$10:G$1481,'Пр. 9'!$D$10:$D$1481,C86)</f>
        <v>30000</v>
      </c>
      <c r="E86" s="543">
        <f>SUMIFS('Пр. 9'!H$10:H$1481,'Пр. 9'!$D$10:$D$1481,$C86)</f>
        <v>0</v>
      </c>
      <c r="F86" s="649">
        <f>SUMIFS('Пр. 9'!I$10:I$1481,'Пр. 9'!$D$10:$D$1481,$C86)</f>
        <v>30000</v>
      </c>
    </row>
    <row r="87" spans="1:6" ht="78.599999999999994" thickBot="1">
      <c r="A87" s="540"/>
      <c r="B87" s="650" t="str">
        <f>IF(C87&gt;0,VLOOKUP(C87,Программа!A$2:B$5063,2))</f>
        <v>Повышение стимула роста профессионального мастерства, привлечение овцеводов и туристов для популяризации бренда романовской овцы, поощрение передовиков сельскохозяйственного  производства</v>
      </c>
      <c r="C87" s="658" t="s">
        <v>2849</v>
      </c>
      <c r="D87" s="652">
        <f>SUMIFS('Пр. 9'!G$10:G$1481,'Пр. 9'!$D$10:$D$1481,C87)</f>
        <v>235000</v>
      </c>
      <c r="E87" s="652">
        <f>SUMIFS('Пр. 9'!H$10:H$1481,'Пр. 9'!$D$10:$D$1481,$C87)</f>
        <v>0</v>
      </c>
      <c r="F87" s="653">
        <f>SUMIFS('Пр. 9'!I$10:I$1481,'Пр. 9'!$D$10:$D$1481,$C87)</f>
        <v>235000</v>
      </c>
    </row>
    <row r="88" spans="1:6" ht="63" thickBot="1">
      <c r="A88" s="540"/>
      <c r="B88" s="650" t="str">
        <f>IF(C88&gt;0,VLOOKUP(C88,Программа!A$2:B$5063,2))</f>
        <v>Мероприятия направленные на выполнение работ по оценке перспектив стратегического планирования развития сельского хозяйства Тутаевского муниципального района</v>
      </c>
      <c r="C88" s="661" t="s">
        <v>3156</v>
      </c>
      <c r="D88" s="652">
        <f>SUMIFS('Пр. 9'!G$10:G$1481,'Пр. 9'!$D$10:$D$1481,C88)</f>
        <v>90000</v>
      </c>
      <c r="E88" s="652">
        <f>SUMIFS('Пр. 9'!H$10:H$1481,'Пр. 9'!$D$10:$D$1481,$C88)</f>
        <v>0</v>
      </c>
      <c r="F88" s="653">
        <f>SUMIFS('Пр. 9'!I$10:I$1481,'Пр. 9'!$D$10:$D$1481,$C88)</f>
        <v>90000</v>
      </c>
    </row>
    <row r="89" spans="1:6" s="527" customFormat="1" ht="47.4" thickBot="1">
      <c r="A89" s="571"/>
      <c r="B89" s="645" t="str">
        <f>IF(C89&gt;0,VLOOKUP(C89,Программа!A$2:B$5063,2))</f>
        <v>Муниципальная программа "Повышение эффективности управления муниципальными финансами"</v>
      </c>
      <c r="C89" s="646" t="s">
        <v>2839</v>
      </c>
      <c r="D89" s="647">
        <f>SUMIFS('Пр. 9'!G$10:G$1481,'Пр. 9'!$D$10:$D$1481,C89)</f>
        <v>39535637</v>
      </c>
      <c r="E89" s="647">
        <f>SUMIFS('Пр. 9'!H$10:H$1481,'Пр. 9'!$D$10:$D$1481,$C89)</f>
        <v>-200000</v>
      </c>
      <c r="F89" s="648">
        <f>SUMIFS('Пр. 9'!I$10:I$1481,'Пр. 9'!$D$10:$D$1481,$C89)</f>
        <v>39335637</v>
      </c>
    </row>
    <row r="90" spans="1:6" ht="16.2" thickBot="1">
      <c r="A90" s="540"/>
      <c r="B90" s="546" t="str">
        <f>IF(C90&gt;0,VLOOKUP(C90,Программа!A$2:B$5063,2))</f>
        <v>Совершенствование межбюджетных отношений</v>
      </c>
      <c r="C90" s="639" t="s">
        <v>2840</v>
      </c>
      <c r="D90" s="543">
        <f>SUMIFS('Пр. 9'!G$10:G$1481,'Пр. 9'!$D$10:$D$1481,C90)</f>
        <v>20748000</v>
      </c>
      <c r="E90" s="543">
        <f>SUMIFS('Пр. 9'!H$10:H$1481,'Пр. 9'!$D$10:$D$1481,$C90)</f>
        <v>0</v>
      </c>
      <c r="F90" s="649">
        <f>SUMIFS('Пр. 9'!I$10:I$1481,'Пр. 9'!$D$10:$D$1481,$C90)</f>
        <v>20748000</v>
      </c>
    </row>
    <row r="91" spans="1:6" ht="31.8" thickBot="1">
      <c r="A91" s="540"/>
      <c r="B91" s="546" t="str">
        <f>IF(C91&gt;0,VLOOKUP(C91,Программа!A$2:B$5063,2))</f>
        <v xml:space="preserve">Повышение эффективности управления муниципальным долгом </v>
      </c>
      <c r="C91" s="639" t="s">
        <v>2842</v>
      </c>
      <c r="D91" s="543">
        <f>SUMIFS('Пр. 9'!G$10:G$1481,'Пр. 9'!$D$10:$D$1481,C91)</f>
        <v>2000000</v>
      </c>
      <c r="E91" s="543">
        <f>SUMIFS('Пр. 9'!H$10:H$1481,'Пр. 9'!$D$10:$D$1481,$C91)</f>
        <v>-200000</v>
      </c>
      <c r="F91" s="649">
        <f>SUMIFS('Пр. 9'!I$10:I$1481,'Пр. 9'!$D$10:$D$1481,$C91)</f>
        <v>1800000</v>
      </c>
    </row>
    <row r="92" spans="1:6" s="528" customFormat="1" ht="47.4" thickBot="1">
      <c r="A92" s="589"/>
      <c r="B92" s="545" t="str">
        <f>IF(C92&gt;0,VLOOKUP(C92,Программа!A$2:B$5063,2))</f>
        <v>Ведомственная целевая программа департамента финансов администрации Тутаевского муниципального района</v>
      </c>
      <c r="C92" s="638" t="s">
        <v>2844</v>
      </c>
      <c r="D92" s="634">
        <f>SUMIFS('Пр. 9'!G$10:G$1481,'Пр. 9'!$D$10:$D$1481,C92)</f>
        <v>16547637</v>
      </c>
      <c r="E92" s="543">
        <f>SUMIFS('Пр. 9'!H$10:H$1481,'Пр. 9'!$D$10:$D$1481,$C92)</f>
        <v>0</v>
      </c>
      <c r="F92" s="649">
        <f>SUMIFS('Пр. 9'!I$10:I$1481,'Пр. 9'!$D$10:$D$1481,$C92)</f>
        <v>16547637</v>
      </c>
    </row>
    <row r="93" spans="1:6" ht="16.2" thickBot="1">
      <c r="A93" s="540"/>
      <c r="B93" s="546" t="str">
        <f>IF(C93&gt;0,VLOOKUP(C93,Программа!A$2:B$5063,2))</f>
        <v>Обеспечение деятельности финансового органа</v>
      </c>
      <c r="C93" s="639" t="s">
        <v>2873</v>
      </c>
      <c r="D93" s="543">
        <f>SUMIFS('Пр. 9'!G$10:G$1481,'Пр. 9'!$D$10:$D$1481,C93)</f>
        <v>16547637</v>
      </c>
      <c r="E93" s="543">
        <f>SUMIFS('Пр. 9'!H$10:H$1481,'Пр. 9'!$D$10:$D$1481,$C93)</f>
        <v>0</v>
      </c>
      <c r="F93" s="649">
        <f>SUMIFS('Пр. 9'!I$10:I$1481,'Пр. 9'!$D$10:$D$1481,$C93)</f>
        <v>16547637</v>
      </c>
    </row>
    <row r="94" spans="1:6" s="528" customFormat="1" ht="47.4" thickBot="1">
      <c r="A94" s="589"/>
      <c r="B94" s="545" t="str">
        <f>IF(C94&gt;0,VLOOKUP(C94,Программа!A$2:B$5063,2))</f>
        <v>Муниципальная целевая программа "Развитие системы муниципальных закупок в Тутаевском муниципальном районе"</v>
      </c>
      <c r="C94" s="638" t="s">
        <v>2845</v>
      </c>
      <c r="D94" s="634">
        <f>SUMIFS('Пр. 9'!G$10:G$1481,'Пр. 9'!$D$10:$D$1481,C94)</f>
        <v>240000</v>
      </c>
      <c r="E94" s="543">
        <f>SUMIFS('Пр. 9'!H$10:H$1481,'Пр. 9'!$D$10:$D$1481,$C94)</f>
        <v>0</v>
      </c>
      <c r="F94" s="649">
        <f>SUMIFS('Пр. 9'!I$10:I$1481,'Пр. 9'!$D$10:$D$1481,$C94)</f>
        <v>240000</v>
      </c>
    </row>
    <row r="95" spans="1:6" ht="47.4" thickBot="1">
      <c r="A95" s="540"/>
      <c r="B95" s="650" t="str">
        <f>IF(C95&gt;0,VLOOKUP(C95,Программа!A$2:B$5063,2))</f>
        <v xml:space="preserve">Организация системы подготовки, планирования, сопровождения и осуществления муниципальных закупок </v>
      </c>
      <c r="C95" s="658" t="s">
        <v>2874</v>
      </c>
      <c r="D95" s="652">
        <f>SUMIFS('Пр. 9'!G$10:G$1481,'Пр. 9'!$D$10:$D$1481,C95)</f>
        <v>240000</v>
      </c>
      <c r="E95" s="652">
        <f>SUMIFS('Пр. 9'!H$10:H$1481,'Пр. 9'!$D$10:$D$1481,$C95)</f>
        <v>0</v>
      </c>
      <c r="F95" s="653">
        <f>SUMIFS('Пр. 9'!I$10:I$1481,'Пр. 9'!$D$10:$D$1481,$C95)</f>
        <v>240000</v>
      </c>
    </row>
    <row r="96" spans="1:6" s="527" customFormat="1" ht="31.8" thickBot="1">
      <c r="A96" s="571"/>
      <c r="B96" s="645" t="str">
        <f>IF(C96&gt;0,VLOOKUP(C96,Программа!A$2:B$5063,2))</f>
        <v>Программа развития муниципальной службы в Тутаевском муниципальном районе</v>
      </c>
      <c r="C96" s="659" t="s">
        <v>2880</v>
      </c>
      <c r="D96" s="647">
        <f>SUMIFS('Пр. 9'!G$10:G$1481,'Пр. 9'!$D$10:$D$1481,C96)</f>
        <v>50000</v>
      </c>
      <c r="E96" s="647">
        <f>SUMIFS('Пр. 9'!H$10:H$1481,'Пр. 9'!$D$10:$D$1481,$C96)</f>
        <v>0</v>
      </c>
      <c r="F96" s="648">
        <f>SUMIFS('Пр. 9'!I$10:I$1481,'Пр. 9'!$D$10:$D$1481,$C96)</f>
        <v>50000</v>
      </c>
    </row>
    <row r="97" spans="1:6" ht="31.8" thickBot="1">
      <c r="A97" s="540"/>
      <c r="B97" s="650" t="str">
        <f>IF(C97&gt;0,VLOOKUP(C97,Программа!A$2:B$5063,2))</f>
        <v>Мероприятия по повышению квалификации  муниципальных служащих</v>
      </c>
      <c r="C97" s="658" t="s">
        <v>2881</v>
      </c>
      <c r="D97" s="652">
        <f>SUMIFS('Пр. 9'!G$10:G$1481,'Пр. 9'!$D$10:$D$1481,C97)</f>
        <v>50000</v>
      </c>
      <c r="E97" s="652">
        <f>SUMIFS('Пр. 9'!H$10:H$1481,'Пр. 9'!$D$10:$D$1481,$C97)</f>
        <v>0</v>
      </c>
      <c r="F97" s="653">
        <f>SUMIFS('Пр. 9'!I$10:I$1481,'Пр. 9'!$D$10:$D$1481,$C97)</f>
        <v>50000</v>
      </c>
    </row>
    <row r="98" spans="1:6" s="527" customFormat="1" ht="54" customHeight="1" thickBot="1">
      <c r="A98" s="571"/>
      <c r="B98" s="645" t="str">
        <f>IF(C98&gt;0,VLOOKUP(C98,Программа!A$2:B$5063,2))</f>
        <v>Муниципальная программа "Информатизация управленческой деятельности Администрации Тутаевского муниципального района"</v>
      </c>
      <c r="C98" s="659" t="s">
        <v>2882</v>
      </c>
      <c r="D98" s="647">
        <f>SUMIFS('Пр. 9'!G$10:G$1481,'Пр. 9'!$D$10:$D$1481,C98)</f>
        <v>3016430</v>
      </c>
      <c r="E98" s="647">
        <f>SUMIFS('Пр. 9'!H$10:H$1481,'Пр. 9'!$D$10:$D$1481,$C98)</f>
        <v>0</v>
      </c>
      <c r="F98" s="648">
        <f>SUMIFS('Пр. 9'!I$10:I$1481,'Пр. 9'!$D$10:$D$1481,$C98)</f>
        <v>3016430</v>
      </c>
    </row>
    <row r="99" spans="1:6" ht="31.8" thickBot="1">
      <c r="A99" s="540"/>
      <c r="B99" s="546" t="str">
        <f>IF(C99&gt;0,VLOOKUP(C99,Программа!A$2:B$5063,2))</f>
        <v>Обеспечение бесперебойного функционирования  программного обеспечения</v>
      </c>
      <c r="C99" s="639" t="s">
        <v>2883</v>
      </c>
      <c r="D99" s="543">
        <f>SUMIFS('Пр. 9'!G$10:G$1481,'Пр. 9'!$D$10:$D$1481,C99)</f>
        <v>1416963</v>
      </c>
      <c r="E99" s="543">
        <f>SUMIFS('Пр. 9'!H$10:H$1481,'Пр. 9'!$D$10:$D$1481,$C99)</f>
        <v>0</v>
      </c>
      <c r="F99" s="649">
        <f>SUMIFS('Пр. 9'!I$10:I$1481,'Пр. 9'!$D$10:$D$1481,$C99)</f>
        <v>1416963</v>
      </c>
    </row>
    <row r="100" spans="1:6" ht="47.4" thickBot="1">
      <c r="A100" s="540"/>
      <c r="B100" s="650" t="str">
        <f>IF(C100&gt;0,VLOOKUP(C100,Программа!A$2:B$5063,2))</f>
        <v>Закупка компьютерного оборудования  и оргтехники для бесперебойного обеспечения деятельности органов местного самоуправления</v>
      </c>
      <c r="C100" s="658" t="s">
        <v>2891</v>
      </c>
      <c r="D100" s="652">
        <f>SUMIFS('Пр. 9'!G$10:G$1481,'Пр. 9'!$D$10:$D$1481,C100)</f>
        <v>1599467</v>
      </c>
      <c r="E100" s="652">
        <f>SUMIFS('Пр. 9'!H$10:H$1481,'Пр. 9'!$D$10:$D$1481,$C100)</f>
        <v>0</v>
      </c>
      <c r="F100" s="653">
        <f>SUMIFS('Пр. 9'!I$10:I$1481,'Пр. 9'!$D$10:$D$1481,$C100)</f>
        <v>1599467</v>
      </c>
    </row>
    <row r="101" spans="1:6" s="527" customFormat="1" ht="78.599999999999994" thickBot="1">
      <c r="A101" s="571"/>
      <c r="B101" s="645" t="str">
        <f>IF(C101&gt;0,VLOOKUP(C101,Программа!A$2:B$5063,2))</f>
        <v>Муниципальная программа "Поддержки социально ориентированных некоммерческих организаций и территориального общественного самоуправления Тутаевского муниципального района"</v>
      </c>
      <c r="C101" s="659" t="s">
        <v>2884</v>
      </c>
      <c r="D101" s="647">
        <f>SUMIFS('Пр. 9'!G$10:G$1481,'Пр. 9'!$D$10:$D$1481,C101)</f>
        <v>1134600</v>
      </c>
      <c r="E101" s="647">
        <f>SUMIFS('Пр. 9'!H$10:H$1481,'Пр. 9'!$D$10:$D$1481,$C101)</f>
        <v>257349</v>
      </c>
      <c r="F101" s="648">
        <f>SUMIFS('Пр. 9'!I$10:I$1481,'Пр. 9'!$D$10:$D$1481,$C101)</f>
        <v>1391949</v>
      </c>
    </row>
    <row r="102" spans="1:6" ht="47.4" thickBot="1">
      <c r="A102" s="540"/>
      <c r="B102" s="650" t="str">
        <f>IF(C102&gt;0,VLOOKUP(C102,Программа!A$2:B$5063,2))</f>
        <v>Размещение форм поддержки деятельности социально ориентированных некоммерческих организаций в средствах массовой информации</v>
      </c>
      <c r="C102" s="658" t="s">
        <v>2885</v>
      </c>
      <c r="D102" s="652">
        <f>SUMIFS('Пр. 9'!G$10:G$1481,'Пр. 9'!$D$10:$D$1481,C102)</f>
        <v>1134600</v>
      </c>
      <c r="E102" s="652">
        <f>SUMIFS('Пр. 9'!H$10:H$1481,'Пр. 9'!$D$10:$D$1481,$C102)</f>
        <v>257349</v>
      </c>
      <c r="F102" s="653">
        <f>SUMIFS('Пр. 9'!I$10:I$1481,'Пр. 9'!$D$10:$D$1481,$C102)</f>
        <v>1391949</v>
      </c>
    </row>
    <row r="103" spans="1:6" ht="48" hidden="1" customHeight="1" thickBot="1">
      <c r="A103" s="542" t="s">
        <v>2438</v>
      </c>
      <c r="B103" s="660" t="str">
        <f>IF(C103&gt;0,VLOOKUP(C103,Программа!A$2:B$5063,2))</f>
        <v xml:space="preserve">Стимулирование развития деятельности социально ориентированных некоммерческих организаций </v>
      </c>
      <c r="C103" s="661" t="s">
        <v>2888</v>
      </c>
      <c r="D103" s="662">
        <f>SUMIFS('Пр. 9'!G$10:G$1481,'Пр. 9'!$D$10:$D$1481,C103)</f>
        <v>0</v>
      </c>
      <c r="E103" s="662">
        <f>SUMIFS('Пр. 9'!H$10:H$1481,'Пр. 9'!$D$10:$D$1481,$C103)</f>
        <v>0</v>
      </c>
      <c r="F103" s="662">
        <f>SUMIFS('Пр. 9'!I$10:I$1481,'Пр. 9'!$D$10:$D$1481,$C103)</f>
        <v>0</v>
      </c>
    </row>
    <row r="104" spans="1:6" s="527" customFormat="1" ht="63" thickBot="1">
      <c r="A104" s="571" t="s">
        <v>2439</v>
      </c>
      <c r="B104" s="645" t="str">
        <f>IF(C104&gt;0,VLOOKUP(C104,Программа!A$2:B$5063,2))</f>
        <v>Муниципальная программа "Профилактика правонарушений и усиление борьбы с преступностью в Тутаевском муниципальном районе"</v>
      </c>
      <c r="C104" s="659" t="s">
        <v>2877</v>
      </c>
      <c r="D104" s="647">
        <f>SUMIFS('Пр. 9'!G$10:G$1481,'Пр. 9'!$D$10:$D$1481,C104)</f>
        <v>296000</v>
      </c>
      <c r="E104" s="647">
        <f>SUMIFS('Пр. 9'!H$10:H$1481,'Пр. 9'!$D$10:$D$1481,$C104)</f>
        <v>0</v>
      </c>
      <c r="F104" s="648">
        <f>SUMIFS('Пр. 9'!I$10:I$1481,'Пр. 9'!$D$10:$D$1481,$C104)</f>
        <v>296000</v>
      </c>
    </row>
    <row r="105" spans="1:6" ht="31.8" thickBot="1">
      <c r="A105" s="542" t="s">
        <v>2440</v>
      </c>
      <c r="B105" s="546" t="str">
        <f>IF(C105&gt;0,VLOOKUP(C105,Программа!A$2:B$5063,2))</f>
        <v>Реализация мероприятий по профилактике правонарушений</v>
      </c>
      <c r="C105" s="639" t="s">
        <v>2879</v>
      </c>
      <c r="D105" s="543">
        <f>SUMIFS('Пр. 9'!G$10:G$1481,'Пр. 9'!$D$10:$D$1481,C105)</f>
        <v>146000</v>
      </c>
      <c r="E105" s="543">
        <f>SUMIFS('Пр. 9'!H$10:H$1481,'Пр. 9'!$D$10:$D$1481,$C105)</f>
        <v>0</v>
      </c>
      <c r="F105" s="649">
        <f>SUMIFS('Пр. 9'!I$10:I$1481,'Пр. 9'!$D$10:$D$1481,$C105)</f>
        <v>146000</v>
      </c>
    </row>
    <row r="106" spans="1:6" ht="31.8" thickBot="1">
      <c r="A106" s="542"/>
      <c r="B106" s="650" t="str">
        <f>IF(C106&gt;0,VLOOKUP(C106,Программа!A$2:B$5063,2))</f>
        <v>Реализация мероприятий по деятельности народных дружин</v>
      </c>
      <c r="C106" s="658" t="s">
        <v>3064</v>
      </c>
      <c r="D106" s="652">
        <f>SUMIFS('Пр. 9'!G$10:G$1481,'Пр. 9'!$D$10:$D$1481,C106)</f>
        <v>150000</v>
      </c>
      <c r="E106" s="652">
        <f>SUMIFS('Пр. 9'!H$10:H$1481,'Пр. 9'!$D$10:$D$1481,$C106)</f>
        <v>0</v>
      </c>
      <c r="F106" s="653">
        <f>SUMIFS('Пр. 9'!I$10:I$1481,'Пр. 9'!$D$10:$D$1481,$C106)</f>
        <v>150000</v>
      </c>
    </row>
    <row r="107" spans="1:6" s="527" customFormat="1" ht="63" thickBot="1">
      <c r="A107" s="571" t="s">
        <v>2441</v>
      </c>
      <c r="B107" s="645" t="str">
        <f>IF(C107&gt;0,VLOOKUP(C107,Программа!A$2:B$5063,2))</f>
        <v>Муниципальная программа  "Организация перевозок автомобильным и речным транспортом на территории Тутаевского муниципального района"</v>
      </c>
      <c r="C107" s="659" t="s">
        <v>2910</v>
      </c>
      <c r="D107" s="647">
        <f>SUMIFS('Пр. 9'!G$10:G$1481,'Пр. 9'!$D$10:$D$1481,C107)</f>
        <v>27120942</v>
      </c>
      <c r="E107" s="647">
        <f>SUMIFS('Пр. 9'!H$10:H$1481,'Пр. 9'!$D$10:$D$1481,$C107)</f>
        <v>-200000</v>
      </c>
      <c r="F107" s="648">
        <f>SUMIFS('Пр. 9'!I$10:I$1481,'Пр. 9'!$D$10:$D$1481,$C107)</f>
        <v>26920942</v>
      </c>
    </row>
    <row r="108" spans="1:6" ht="63" thickBot="1">
      <c r="A108" s="540" t="s">
        <v>2577</v>
      </c>
      <c r="B108" s="546" t="str">
        <f>IF(C108&gt;0,VLOOKUP(C108,Программа!A$2:B$5063,2))</f>
        <v>Предоставление социальных услуг лицам, находящимся под диспансерным наблюдением в связи с туберкулезом, и больных туберкулезом  при проезде в транспорте общего пользования</v>
      </c>
      <c r="C108" s="639" t="s">
        <v>2911</v>
      </c>
      <c r="D108" s="543">
        <f>SUMIFS('Пр. 9'!G$10:G$1481,'Пр. 9'!$D$10:$D$1481,C108)</f>
        <v>42478</v>
      </c>
      <c r="E108" s="543">
        <f>SUMIFS('Пр. 9'!H$10:H$1481,'Пр. 9'!$D$10:$D$1481,$C108)</f>
        <v>0</v>
      </c>
      <c r="F108" s="649">
        <f>SUMIFS('Пр. 9'!I$10:I$1481,'Пр. 9'!$D$10:$D$1481,$C108)</f>
        <v>42478</v>
      </c>
    </row>
    <row r="109" spans="1:6" ht="63" thickBot="1">
      <c r="A109" s="540" t="s">
        <v>2578</v>
      </c>
      <c r="B109" s="546" t="str">
        <f>IF(C109&gt;0,VLOOKUP(C109,Программа!A$2:B$5063,2))</f>
        <v>Предоставление социальных услуг детям из многодетных семей, обучающихся в общеобразовательных организациях  при проезде в транспорте общего пользования</v>
      </c>
      <c r="C109" s="639" t="s">
        <v>2912</v>
      </c>
      <c r="D109" s="543">
        <f>SUMIFS('Пр. 9'!G$10:G$1481,'Пр. 9'!$D$10:$D$1481,C109)</f>
        <v>195464</v>
      </c>
      <c r="E109" s="543">
        <f>SUMIFS('Пр. 9'!H$10:H$1481,'Пр. 9'!$D$10:$D$1481,$C109)</f>
        <v>0</v>
      </c>
      <c r="F109" s="649">
        <f>SUMIFS('Пр. 9'!I$10:I$1481,'Пр. 9'!$D$10:$D$1481,$C109)</f>
        <v>195464</v>
      </c>
    </row>
    <row r="110" spans="1:6" ht="48.75" customHeight="1" thickBot="1">
      <c r="A110" s="540" t="s">
        <v>2579</v>
      </c>
      <c r="B110" s="546" t="str">
        <f>IF(C110&gt;0,VLOOKUP(C110,Программа!A$2:B$5063,2))</f>
        <v>Организация предоставления транспортных услуг по перевозке пассажиров автомобильным транспортом, транспортом общего пользования</v>
      </c>
      <c r="C110" s="639" t="s">
        <v>2913</v>
      </c>
      <c r="D110" s="543">
        <f>SUMIFS('Пр. 9'!G$10:G$1481,'Пр. 9'!$D$10:$D$1481,C110)</f>
        <v>19710000</v>
      </c>
      <c r="E110" s="543">
        <f>SUMIFS('Пр. 9'!H$10:H$1481,'Пр. 9'!$D$10:$D$1481,$C110)</f>
        <v>-200000</v>
      </c>
      <c r="F110" s="649">
        <f>SUMIFS('Пр. 9'!I$10:I$1481,'Пр. 9'!$D$10:$D$1481,$C110)</f>
        <v>19510000</v>
      </c>
    </row>
    <row r="111" spans="1:6" ht="42" customHeight="1" thickBot="1">
      <c r="A111" s="540"/>
      <c r="B111" s="650" t="s">
        <v>3146</v>
      </c>
      <c r="C111" s="658" t="s">
        <v>3070</v>
      </c>
      <c r="D111" s="652">
        <f>SUMIFS('Пр. 9'!G$10:G$1481,'Пр. 9'!$D$10:$D$1481,C111)</f>
        <v>7173000</v>
      </c>
      <c r="E111" s="652">
        <f>SUMIFS('Пр. 9'!H$10:H$1481,'Пр. 9'!$D$10:$D$1481,$C111)</f>
        <v>0</v>
      </c>
      <c r="F111" s="653">
        <f>SUMIFS('Пр. 9'!I$10:I$1481,'Пр. 9'!$D$10:$D$1481,$C111)</f>
        <v>7173000</v>
      </c>
    </row>
    <row r="112" spans="1:6" s="527" customFormat="1" ht="48" customHeight="1" thickBot="1">
      <c r="A112" s="627" t="s">
        <v>2085</v>
      </c>
      <c r="B112" s="645" t="str">
        <f>IF(C112&gt;0,VLOOKUP(C112,Программа!A$2:B$5063,2))</f>
        <v>Муниципальная программа  "Развитие жилищного хозяйства Тутаевского муниципального района"</v>
      </c>
      <c r="C112" s="663" t="s">
        <v>2790</v>
      </c>
      <c r="D112" s="647">
        <f>SUMIFS('Пр. 9'!G$10:G$1481,'Пр. 9'!$D$10:$D$1481,C112)</f>
        <v>9916600</v>
      </c>
      <c r="E112" s="647">
        <f>SUMIFS('Пр. 9'!H$10:H$1481,'Пр. 9'!$D$10:$D$1481,$C112)</f>
        <v>0</v>
      </c>
      <c r="F112" s="648">
        <f>SUMIFS('Пр. 9'!I$10:I$1481,'Пр. 9'!$D$10:$D$1481,$C112)</f>
        <v>9916600</v>
      </c>
    </row>
    <row r="113" spans="1:6" s="528" customFormat="1" ht="63.75" customHeight="1" thickBot="1">
      <c r="A113" s="589" t="s">
        <v>2442</v>
      </c>
      <c r="B113" s="545" t="str">
        <f>IF(C113&gt;0,VLOOKUP(C113,Программа!A$2:B$5063,2))</f>
        <v>Муниципальная целевая программа "Развитие  лифтового хозяйства на территории городского поселения Тутаев Тутаевского муниципального района"</v>
      </c>
      <c r="C113" s="640" t="s">
        <v>2792</v>
      </c>
      <c r="D113" s="634">
        <f>SUMIFS('Пр. 9'!G$10:G$1481,'Пр. 9'!$D$10:$D$1481,C113)</f>
        <v>7200000</v>
      </c>
      <c r="E113" s="543">
        <f>SUMIFS('Пр. 9'!H$10:H$1481,'Пр. 9'!$D$10:$D$1481,$C113)</f>
        <v>0</v>
      </c>
      <c r="F113" s="649">
        <f>SUMIFS('Пр. 9'!I$10:I$1481,'Пр. 9'!$D$10:$D$1481,$C113)</f>
        <v>7200000</v>
      </c>
    </row>
    <row r="114" spans="1:6" ht="32.25" customHeight="1" thickBot="1">
      <c r="A114" s="540" t="s">
        <v>2580</v>
      </c>
      <c r="B114" s="546" t="str">
        <f>IF(C114&gt;0,VLOOKUP(C114,Программа!A$2:B$5063,2))</f>
        <v>Обеспечение мероприятий по восстановлению лифтового хозяйства многоквартирных домов</v>
      </c>
      <c r="C114" s="563" t="s">
        <v>2804</v>
      </c>
      <c r="D114" s="543">
        <f>SUMIFS('Пр. 9'!G$10:G$1481,'Пр. 9'!$D$10:$D$1481,C114)</f>
        <v>7200000</v>
      </c>
      <c r="E114" s="543">
        <f>SUMIFS('Пр. 9'!H$10:H$1481,'Пр. 9'!$D$10:$D$1481,$C114)</f>
        <v>0</v>
      </c>
      <c r="F114" s="649">
        <f>SUMIFS('Пр. 9'!I$10:I$1481,'Пр. 9'!$D$10:$D$1481,$C114)</f>
        <v>7200000</v>
      </c>
    </row>
    <row r="115" spans="1:6" s="528" customFormat="1" ht="48" customHeight="1" thickBot="1">
      <c r="A115" s="589" t="s">
        <v>2581</v>
      </c>
      <c r="B115" s="545" t="str">
        <f>IF(C115&gt;0,VLOOKUP(C115,Программа!A$2:B$5063,2))</f>
        <v>Муниципальная целевая программа "Ремонт и содержание муниципального жилищного фонда   Тутаевского муниципального района"</v>
      </c>
      <c r="C115" s="640" t="s">
        <v>2914</v>
      </c>
      <c r="D115" s="634">
        <f>SUMIFS('Пр. 9'!G$10:G$1481,'Пр. 9'!$D$10:$D$1481,C115)</f>
        <v>2716600</v>
      </c>
      <c r="E115" s="543">
        <f>SUMIFS('Пр. 9'!H$10:H$1481,'Пр. 9'!$D$10:$D$1481,$C115)</f>
        <v>0</v>
      </c>
      <c r="F115" s="649">
        <f>SUMIFS('Пр. 9'!I$10:I$1481,'Пр. 9'!$D$10:$D$1481,$C115)</f>
        <v>2716600</v>
      </c>
    </row>
    <row r="116" spans="1:6" ht="32.25" customHeight="1" thickBot="1">
      <c r="A116" s="542" t="s">
        <v>293</v>
      </c>
      <c r="B116" s="546" t="str">
        <f>IF(C116&gt;0,VLOOKUP(C116,Программа!A$2:B$5063,2))</f>
        <v>Обеспечение мероприятий по замене приборов учета в муниципальном жилищном фонде</v>
      </c>
      <c r="C116" s="563" t="s">
        <v>2915</v>
      </c>
      <c r="D116" s="543">
        <f>SUMIFS('Пр. 9'!G$10:G$1481,'Пр. 9'!$D$10:$D$1481,C116)</f>
        <v>150000</v>
      </c>
      <c r="E116" s="543">
        <f>SUMIFS('Пр. 9'!H$10:H$1481,'Пр. 9'!$D$10:$D$1481,$C116)</f>
        <v>0</v>
      </c>
      <c r="F116" s="649">
        <f>SUMIFS('Пр. 9'!I$10:I$1481,'Пр. 9'!$D$10:$D$1481,$C116)</f>
        <v>150000</v>
      </c>
    </row>
    <row r="117" spans="1:6" ht="32.25" customHeight="1" thickBot="1">
      <c r="A117" s="540" t="s">
        <v>2443</v>
      </c>
      <c r="B117" s="546" t="str">
        <f>IF(C117&gt;0,VLOOKUP(C117,Программа!A$2:B$5063,2))</f>
        <v>Обеспечение мероприятий по ремонту общедомового имущества</v>
      </c>
      <c r="C117" s="563" t="s">
        <v>2916</v>
      </c>
      <c r="D117" s="543">
        <f>SUMIFS('Пр. 9'!G$10:G$1481,'Пр. 9'!$D$10:$D$1481,C117)</f>
        <v>1900000</v>
      </c>
      <c r="E117" s="543">
        <f>SUMIFS('Пр. 9'!H$10:H$1481,'Пр. 9'!$D$10:$D$1481,$C117)</f>
        <v>-106930</v>
      </c>
      <c r="F117" s="649">
        <f>SUMIFS('Пр. 9'!I$10:I$1481,'Пр. 9'!$D$10:$D$1481,$C117)</f>
        <v>1793070</v>
      </c>
    </row>
    <row r="118" spans="1:6" ht="32.25" customHeight="1" thickBot="1">
      <c r="A118" s="542" t="s">
        <v>294</v>
      </c>
      <c r="B118" s="650" t="str">
        <f>IF(C118&gt;0,VLOOKUP(C118,Программа!A$2:B$5063,2))</f>
        <v>Обеспечение мероприятий по ремонту муниципавльных квартир</v>
      </c>
      <c r="C118" s="664" t="s">
        <v>2917</v>
      </c>
      <c r="D118" s="652">
        <f>SUMIFS('Пр. 9'!G$10:G$1481,'Пр. 9'!$D$10:$D$1481,C118)</f>
        <v>666600</v>
      </c>
      <c r="E118" s="652">
        <f>SUMIFS('Пр. 9'!H$10:H$1481,'Пр. 9'!$D$10:$D$1481,$C118)</f>
        <v>106930</v>
      </c>
      <c r="F118" s="653">
        <f>SUMIFS('Пр. 9'!I$10:I$1481,'Пр. 9'!$D$10:$D$1481,$C118)</f>
        <v>773530</v>
      </c>
    </row>
    <row r="119" spans="1:6" s="527" customFormat="1" ht="48" customHeight="1" thickBot="1">
      <c r="A119" s="571"/>
      <c r="B119" s="645" t="str">
        <f>IF(C119&gt;0,VLOOKUP(C119,Программа!A$2:B$5063,2))</f>
        <v>Муниципальная программа "Благоустройство  и санитарно-эпидемиологическая безопасность  Тутаевского муниципального района</v>
      </c>
      <c r="C119" s="663" t="s">
        <v>2794</v>
      </c>
      <c r="D119" s="647">
        <f>SUMIFS('Пр. 9'!G$10:G$1481,'Пр. 9'!$D$10:$D$1481,C119)</f>
        <v>34905398.299999997</v>
      </c>
      <c r="E119" s="647">
        <f>SUMIFS('Пр. 9'!H$10:H$1481,'Пр. 9'!$D$10:$D$1481,$C119)</f>
        <v>-1062189.1000000001</v>
      </c>
      <c r="F119" s="648">
        <f>SUMIFS('Пр. 9'!I$10:I$1481,'Пр. 9'!$D$10:$D$1481,$C119)</f>
        <v>33843209.700000003</v>
      </c>
    </row>
    <row r="120" spans="1:6" s="528" customFormat="1" ht="48" customHeight="1" thickBot="1">
      <c r="A120" s="589"/>
      <c r="B120" s="545" t="str">
        <f>IF(C120&gt;0,VLOOKUP(C120,Программа!A$2:B$5063,2))</f>
        <v>Муниципальная целевая программа "Организация и развитие ритуальных услуг и мест захоронения в Тутаевском муниципальном районе"</v>
      </c>
      <c r="C120" s="640" t="s">
        <v>2795</v>
      </c>
      <c r="D120" s="634">
        <f>SUMIFS('Пр. 9'!G$10:G$1481,'Пр. 9'!$D$10:$D$1481,C120)</f>
        <v>1100000</v>
      </c>
      <c r="E120" s="543">
        <f>SUMIFS('Пр. 9'!H$10:H$1481,'Пр. 9'!$D$10:$D$1481,$C120)</f>
        <v>0</v>
      </c>
      <c r="F120" s="649">
        <f>SUMIFS('Пр. 9'!I$10:I$1481,'Пр. 9'!$D$10:$D$1481,$C120)</f>
        <v>1100000</v>
      </c>
    </row>
    <row r="121" spans="1:6" ht="32.25" customHeight="1" thickBot="1">
      <c r="A121" s="540"/>
      <c r="B121" s="546" t="str">
        <f>IF(C121&gt;0,VLOOKUP(C121,Программа!A$2:B$5063,2))</f>
        <v>Обеспечение комплекса работ по повышению уровня благоустройства мест погребений</v>
      </c>
      <c r="C121" s="563" t="s">
        <v>2797</v>
      </c>
      <c r="D121" s="543">
        <f>SUMIFS('Пр. 9'!G$10:G$1481,'Пр. 9'!$D$10:$D$1481,C121)</f>
        <v>1100000</v>
      </c>
      <c r="E121" s="543">
        <f>SUMIFS('Пр. 9'!H$10:H$1481,'Пр. 9'!$D$10:$D$1481,$C121)</f>
        <v>0</v>
      </c>
      <c r="F121" s="649">
        <f>SUMIFS('Пр. 9'!I$10:I$1481,'Пр. 9'!$D$10:$D$1481,$C121)</f>
        <v>1100000</v>
      </c>
    </row>
    <row r="122" spans="1:6" s="528" customFormat="1" ht="48" customHeight="1" thickBot="1">
      <c r="A122" s="589"/>
      <c r="B122" s="545" t="str">
        <f>IF(C122&gt;0,VLOOKUP(C122,Программа!A$2:B$5063,2))</f>
        <v>Муниципальная целевая программа "Благоустройство и озеленение территории  в Тутаевского муниципального  района"</v>
      </c>
      <c r="C122" s="640" t="s">
        <v>2798</v>
      </c>
      <c r="D122" s="634">
        <f>SUMIFS('Пр. 9'!G$10:G$1481,'Пр. 9'!$D$10:$D$1481,C122)</f>
        <v>33805398.299999997</v>
      </c>
      <c r="E122" s="543">
        <f>SUMIFS('Пр. 9'!H$10:H$1481,'Пр. 9'!$D$10:$D$1481,$C122)</f>
        <v>-1062189.1000000001</v>
      </c>
      <c r="F122" s="649">
        <f>SUMIFS('Пр. 9'!I$10:I$1481,'Пр. 9'!$D$10:$D$1481,$C122)</f>
        <v>32743209.699999999</v>
      </c>
    </row>
    <row r="123" spans="1:6" ht="48" customHeight="1" thickBot="1">
      <c r="A123" s="540"/>
      <c r="B123" s="546" t="str">
        <f>IF(C123&gt;0,VLOOKUP(C123,Программа!A$2:B$5063,2))</f>
        <v>Улучшение уровня внешнего благоустройства и санитарного  состояния территорий Тутаевского муниципального района</v>
      </c>
      <c r="C123" s="563" t="s">
        <v>2799</v>
      </c>
      <c r="D123" s="543">
        <f>SUMIFS('Пр. 9'!G$10:G$1481,'Пр. 9'!$D$10:$D$1481,C123)</f>
        <v>17752435.800000001</v>
      </c>
      <c r="E123" s="543">
        <f>SUMIFS('Пр. 9'!H$10:H$1481,'Пр. 9'!$D$10:$D$1481,$C123)</f>
        <v>150000</v>
      </c>
      <c r="F123" s="649">
        <f>SUMIFS('Пр. 9'!I$10:I$1481,'Пр. 9'!$D$10:$D$1481,$C123)</f>
        <v>17902435.800000001</v>
      </c>
    </row>
    <row r="124" spans="1:6" ht="35.25" customHeight="1" thickBot="1">
      <c r="A124" s="540"/>
      <c r="B124" s="546" t="str">
        <f>IF(C124&gt;0,VLOOKUP(C124,Программа!A$2:B$5063,2))</f>
        <v xml:space="preserve">Обеспечение мероприятий по совершенствованию  эстетического  состояния территорий </v>
      </c>
      <c r="C124" s="563" t="s">
        <v>2801</v>
      </c>
      <c r="D124" s="543">
        <f>SUMIFS('Пр. 9'!G$10:G$1481,'Пр. 9'!$D$10:$D$1481,C124)</f>
        <v>2072679.7</v>
      </c>
      <c r="E124" s="543">
        <f>SUMIFS('Пр. 9'!H$10:H$1481,'Пр. 9'!$D$10:$D$1481,$C124)</f>
        <v>0</v>
      </c>
      <c r="F124" s="649">
        <f>SUMIFS('Пр. 9'!I$10:I$1481,'Пр. 9'!$D$10:$D$1481,$C124)</f>
        <v>2072680.2</v>
      </c>
    </row>
    <row r="125" spans="1:6" ht="32.25" customHeight="1" thickBot="1">
      <c r="A125" s="540"/>
      <c r="B125" s="650" t="str">
        <f>IF(C125&gt;0,VLOOKUP(C125,Программа!A$2:B$5063,2))</f>
        <v>Обеспечение мероприятий по благоустройству мест массового отдыха населения</v>
      </c>
      <c r="C125" s="664" t="s">
        <v>2802</v>
      </c>
      <c r="D125" s="652">
        <f>SUMIFS('Пр. 9'!G$10:G$1481,'Пр. 9'!$D$10:$D$1481,C125)</f>
        <v>13980282.800000001</v>
      </c>
      <c r="E125" s="652">
        <f>SUMIFS('Пр. 9'!H$10:H$1481,'Пр. 9'!$D$10:$D$1481,$C125)</f>
        <v>-1212189.1000000001</v>
      </c>
      <c r="F125" s="653">
        <f>SUMIFS('Пр. 9'!I$10:I$1481,'Пр. 9'!$D$10:$D$1481,$C125)</f>
        <v>12768093.699999999</v>
      </c>
    </row>
    <row r="126" spans="1:6" s="527" customFormat="1" ht="48" customHeight="1" thickBot="1">
      <c r="A126" s="571"/>
      <c r="B126" s="656" t="str">
        <f>IF(C126&gt;0,VLOOKUP(C126,Программа!A$2:B$5063,2))</f>
        <v>Муниципальная программа "Обеспечение населения Тутаевского муниципального района банными услугами"</v>
      </c>
      <c r="C126" s="659" t="s">
        <v>2921</v>
      </c>
      <c r="D126" s="647">
        <f>SUMIFS('Пр. 9'!G$10:G$1481,'Пр. 9'!$D$10:$D$1481,C126)</f>
        <v>6900000</v>
      </c>
      <c r="E126" s="647">
        <f>SUMIFS('Пр. 9'!H$10:H$1481,'Пр. 9'!$D$10:$D$1481,$C126)</f>
        <v>0</v>
      </c>
      <c r="F126" s="648">
        <f>SUMIFS('Пр. 9'!I$10:I$1481,'Пр. 9'!$D$10:$D$1481,$C126)</f>
        <v>6900000</v>
      </c>
    </row>
    <row r="127" spans="1:6" ht="32.25" customHeight="1" thickBot="1">
      <c r="A127" s="540"/>
      <c r="B127" s="650" t="str">
        <f>IF(C127&gt;0,VLOOKUP(C127,Программа!A$2:B$5063,2))</f>
        <v>Обеспечение населения Тутаевского муниципального района банными услугами</v>
      </c>
      <c r="C127" s="664" t="s">
        <v>2922</v>
      </c>
      <c r="D127" s="652">
        <f>SUMIFS('Пр. 9'!G$10:G$1481,'Пр. 9'!$D$10:$D$1481,C127)</f>
        <v>6900000</v>
      </c>
      <c r="E127" s="652">
        <f>SUMIFS('Пр. 9'!H$10:H$1481,'Пр. 9'!$D$10:$D$1481,$C127)</f>
        <v>0</v>
      </c>
      <c r="F127" s="653">
        <f>SUMIFS('Пр. 9'!I$10:I$1481,'Пр. 9'!$D$10:$D$1481,$C127)</f>
        <v>6900000</v>
      </c>
    </row>
    <row r="128" spans="1:6" ht="23.25" customHeight="1" thickBot="1">
      <c r="A128" s="540"/>
      <c r="B128" s="665" t="s">
        <v>1148</v>
      </c>
      <c r="C128" s="666"/>
      <c r="D128" s="667">
        <f>D126+D119+D112+D107+D104+D101+D98+D96+D89+D78+D69+D64+D62+D48+D46+D39+D25+D10</f>
        <v>1663355823</v>
      </c>
      <c r="E128" s="667">
        <f>E126+E119+E112+E107+E104+E101+E98+E96+E89+E78+E69+E64+E62+E48+E46+E39+E25+E10</f>
        <v>46924714.049999997</v>
      </c>
      <c r="F128" s="667">
        <f>F126+F119+F112+F107+F104+F101+F98+F96+F89+F78+F69+F64+F62+F48+F46+F39+F25+F10</f>
        <v>1710280536.55</v>
      </c>
    </row>
    <row r="129" spans="1:6" ht="24.75" customHeight="1" thickBot="1">
      <c r="A129" s="542" t="s">
        <v>2453</v>
      </c>
      <c r="B129" s="626" t="str">
        <f>IF(C129&gt;0,VLOOKUP(C129,Программа!A$2:B$5063,2))</f>
        <v>Непрограммные расходы бюджета</v>
      </c>
      <c r="C129" s="637" t="s">
        <v>2852</v>
      </c>
      <c r="D129" s="543">
        <f>SUMIFS('Пр. 9'!G$10:G$1481,'Пр. 9'!$D$10:$D$1481,C129)</f>
        <v>109290275.70999999</v>
      </c>
      <c r="E129" s="543">
        <f>SUMIFS('Пр. 9'!H$10:H$1481,'Пр. 9'!$D$10:$D$1481,$C129)</f>
        <v>6557890</v>
      </c>
      <c r="F129" s="543">
        <f>SUMIFS('Пр. 9'!I$10:I$1481,'Пр. 9'!$D$10:$D$1481,$C129)</f>
        <v>115848165.70999999</v>
      </c>
    </row>
    <row r="130" spans="1:6" ht="29.25" customHeight="1" thickBot="1">
      <c r="A130" s="542" t="s">
        <v>2454</v>
      </c>
      <c r="B130" s="626" t="str">
        <f>IF(C130&gt;0,VLOOKUP(C130,Программа!A$2:B$5063,2))</f>
        <v>Межбюджетные трансферты  поселениям района</v>
      </c>
      <c r="C130" s="637" t="s">
        <v>2853</v>
      </c>
      <c r="D130" s="543">
        <f>SUMIFS('Пр. 9'!G$10:G$1481,'Пр. 9'!$D$10:$D$1481,C130)</f>
        <v>130445405.97</v>
      </c>
      <c r="E130" s="543">
        <f>SUMIFS('Пр. 9'!H$10:H$1481,'Пр. 9'!$D$10:$D$1481,$C130)</f>
        <v>18533054.25</v>
      </c>
      <c r="F130" s="543">
        <f>SUMIFS('Пр. 9'!I$10:I$1481,'Пр. 9'!$D$10:$D$1481,$C130)</f>
        <v>148978460.22</v>
      </c>
    </row>
    <row r="131" spans="1:6" ht="16.2" thickBot="1">
      <c r="A131" s="542"/>
      <c r="B131" s="630" t="s">
        <v>2457</v>
      </c>
      <c r="C131" s="641"/>
      <c r="D131" s="632">
        <f t="shared" ref="D131" si="0">D128+D129+D130</f>
        <v>1903091504.6800001</v>
      </c>
      <c r="E131" s="632">
        <f>E128+E129+E130</f>
        <v>72015658.299999997</v>
      </c>
      <c r="F131" s="632">
        <f>F128+F129+F130+1</f>
        <v>1975107163.48</v>
      </c>
    </row>
    <row r="132" spans="1:6">
      <c r="C132" s="264"/>
    </row>
    <row r="133" spans="1:6">
      <c r="C133" s="264"/>
    </row>
    <row r="134" spans="1:6">
      <c r="C134" s="264"/>
    </row>
    <row r="135" spans="1:6">
      <c r="C135" s="264"/>
    </row>
    <row r="136" spans="1:6">
      <c r="C136" s="264"/>
    </row>
    <row r="137" spans="1:6">
      <c r="C137" s="264"/>
    </row>
    <row r="138" spans="1:6">
      <c r="C138" s="264"/>
    </row>
    <row r="139" spans="1:6">
      <c r="C139" s="264"/>
    </row>
    <row r="140" spans="1:6">
      <c r="C140" s="264"/>
    </row>
    <row r="141" spans="1:6">
      <c r="C141" s="264"/>
    </row>
    <row r="142" spans="1:6">
      <c r="C142" s="264"/>
    </row>
    <row r="143" spans="1:6">
      <c r="C143" s="264"/>
    </row>
    <row r="144" spans="1:6">
      <c r="C144" s="264"/>
    </row>
    <row r="145" spans="3:3">
      <c r="C145" s="264"/>
    </row>
    <row r="146" spans="3:3">
      <c r="C146" s="264"/>
    </row>
    <row r="147" spans="3:3">
      <c r="C147" s="264"/>
    </row>
    <row r="148" spans="3:3">
      <c r="C148" s="264"/>
    </row>
    <row r="149" spans="3:3">
      <c r="C149" s="264"/>
    </row>
    <row r="150" spans="3:3">
      <c r="C150" s="264"/>
    </row>
    <row r="151" spans="3:3">
      <c r="C151" s="264"/>
    </row>
    <row r="152" spans="3:3">
      <c r="C152" s="264"/>
    </row>
    <row r="153" spans="3:3">
      <c r="C153" s="264"/>
    </row>
    <row r="154" spans="3:3">
      <c r="C154" s="264"/>
    </row>
    <row r="155" spans="3:3">
      <c r="C155" s="264"/>
    </row>
    <row r="156" spans="3:3">
      <c r="C156" s="264"/>
    </row>
    <row r="157" spans="3:3">
      <c r="C157" s="264"/>
    </row>
    <row r="158" spans="3:3">
      <c r="C158" s="264"/>
    </row>
    <row r="159" spans="3:3">
      <c r="C159" s="264"/>
    </row>
    <row r="160" spans="3:3">
      <c r="C160" s="264"/>
    </row>
    <row r="161" spans="3:3">
      <c r="C161" s="264"/>
    </row>
    <row r="162" spans="3:3">
      <c r="C162" s="264"/>
    </row>
    <row r="163" spans="3:3">
      <c r="C163" s="264"/>
    </row>
    <row r="164" spans="3:3">
      <c r="C164" s="264"/>
    </row>
    <row r="165" spans="3:3">
      <c r="C165" s="264"/>
    </row>
    <row r="166" spans="3:3">
      <c r="C166" s="264"/>
    </row>
    <row r="167" spans="3:3">
      <c r="C167" s="264"/>
    </row>
    <row r="168" spans="3:3">
      <c r="C168" s="264"/>
    </row>
    <row r="169" spans="3:3">
      <c r="C169" s="264"/>
    </row>
    <row r="170" spans="3:3">
      <c r="C170" s="264"/>
    </row>
    <row r="171" spans="3:3">
      <c r="C171" s="264"/>
    </row>
    <row r="172" spans="3:3">
      <c r="C172" s="264"/>
    </row>
    <row r="173" spans="3:3">
      <c r="C173" s="264"/>
    </row>
    <row r="174" spans="3:3">
      <c r="C174" s="264"/>
    </row>
    <row r="175" spans="3:3">
      <c r="C175" s="264"/>
    </row>
    <row r="176" spans="3:3">
      <c r="C176" s="264"/>
    </row>
    <row r="177" spans="3:3">
      <c r="C177" s="264"/>
    </row>
    <row r="178" spans="3:3">
      <c r="C178" s="264"/>
    </row>
    <row r="179" spans="3:3">
      <c r="C179" s="264"/>
    </row>
    <row r="180" spans="3:3">
      <c r="C180" s="264"/>
    </row>
    <row r="181" spans="3:3">
      <c r="C181" s="264"/>
    </row>
    <row r="182" spans="3:3">
      <c r="C182" s="264"/>
    </row>
    <row r="183" spans="3:3">
      <c r="C183" s="264"/>
    </row>
    <row r="184" spans="3:3">
      <c r="C184" s="264"/>
    </row>
    <row r="185" spans="3:3">
      <c r="C185" s="264"/>
    </row>
    <row r="186" spans="3:3">
      <c r="C186" s="264"/>
    </row>
    <row r="187" spans="3:3">
      <c r="C187" s="264"/>
    </row>
    <row r="188" spans="3:3">
      <c r="C188" s="264"/>
    </row>
    <row r="189" spans="3:3">
      <c r="C189" s="264"/>
    </row>
    <row r="190" spans="3:3">
      <c r="C190" s="264"/>
    </row>
    <row r="191" spans="3:3">
      <c r="C191" s="264"/>
    </row>
    <row r="192" spans="3:3">
      <c r="C192" s="264"/>
    </row>
    <row r="193" spans="3:3">
      <c r="C193" s="264"/>
    </row>
    <row r="194" spans="3:3">
      <c r="C194" s="264"/>
    </row>
    <row r="195" spans="3:3">
      <c r="C195" s="264"/>
    </row>
    <row r="196" spans="3:3">
      <c r="C196" s="264"/>
    </row>
    <row r="197" spans="3:3">
      <c r="C197" s="264"/>
    </row>
    <row r="198" spans="3:3">
      <c r="C198" s="264"/>
    </row>
    <row r="199" spans="3:3">
      <c r="C199" s="264"/>
    </row>
    <row r="200" spans="3:3">
      <c r="C200" s="264"/>
    </row>
    <row r="201" spans="3:3">
      <c r="C201" s="264"/>
    </row>
    <row r="202" spans="3:3">
      <c r="C202" s="264"/>
    </row>
  </sheetData>
  <mergeCells count="11">
    <mergeCell ref="A2:F2"/>
    <mergeCell ref="A1:F1"/>
    <mergeCell ref="E8:E9"/>
    <mergeCell ref="F8:F9"/>
    <mergeCell ref="A6:F6"/>
    <mergeCell ref="A4:F4"/>
    <mergeCell ref="A3:F3"/>
    <mergeCell ref="A8:A9"/>
    <mergeCell ref="B8:B9"/>
    <mergeCell ref="C8:C9"/>
    <mergeCell ref="D8:D9"/>
  </mergeCells>
  <pageMargins left="0.70866141732283472" right="0.70866141732283472" top="0.74803149606299213" bottom="0.74803149606299213" header="0.31496062992125984" footer="0.31496062992125984"/>
  <pageSetup paperSize="9" fitToHeight="0" orientation="portrait" r:id="rId1"/>
  <headerFooter alignWithMargins="0">
    <oddFooter>&amp;C&amp;P</oddFooter>
  </headerFooter>
</worksheet>
</file>

<file path=xl/worksheets/sheet17.xml><?xml version="1.0" encoding="utf-8"?>
<worksheet xmlns="http://schemas.openxmlformats.org/spreadsheetml/2006/main" xmlns:r="http://schemas.openxmlformats.org/officeDocument/2006/relationships">
  <sheetPr codeName="Лист35">
    <pageSetUpPr fitToPage="1"/>
  </sheetPr>
  <dimension ref="A1:I123"/>
  <sheetViews>
    <sheetView showGridLines="0" view="pageBreakPreview" zoomScale="85" zoomScaleSheetLayoutView="85" workbookViewId="0">
      <selection activeCell="L16" sqref="L16"/>
    </sheetView>
  </sheetViews>
  <sheetFormatPr defaultColWidth="9.109375" defaultRowHeight="13.2"/>
  <cols>
    <col min="1" max="1" width="6.33203125" style="157" customWidth="1"/>
    <col min="2" max="2" width="42.33203125" style="157" customWidth="1"/>
    <col min="3" max="3" width="13.109375" style="157" customWidth="1"/>
    <col min="4" max="4" width="17.44140625" style="157" hidden="1" customWidth="1"/>
    <col min="5" max="5" width="17" style="157" hidden="1" customWidth="1"/>
    <col min="6" max="6" width="14.5546875" style="157" customWidth="1"/>
    <col min="7" max="7" width="15.88671875" style="157" hidden="1" customWidth="1"/>
    <col min="8" max="8" width="18.88671875" style="157" hidden="1" customWidth="1"/>
    <col min="9" max="9" width="17.33203125" style="157" customWidth="1"/>
    <col min="10" max="16384" width="9.109375" style="157"/>
  </cols>
  <sheetData>
    <row r="1" spans="1:9" ht="15.75" customHeight="1">
      <c r="A1" s="897" t="s">
        <v>51</v>
      </c>
      <c r="B1" s="897"/>
      <c r="C1" s="897"/>
      <c r="D1" s="897"/>
      <c r="E1" s="897"/>
      <c r="F1" s="897"/>
      <c r="G1" s="897"/>
      <c r="H1" s="897"/>
      <c r="I1" s="897"/>
    </row>
    <row r="2" spans="1:9" ht="15.75" customHeight="1">
      <c r="A2" s="897" t="s">
        <v>1069</v>
      </c>
      <c r="B2" s="897"/>
      <c r="C2" s="897"/>
      <c r="D2" s="897"/>
      <c r="E2" s="897"/>
      <c r="F2" s="897"/>
      <c r="G2" s="897"/>
      <c r="H2" s="897"/>
      <c r="I2" s="897"/>
    </row>
    <row r="3" spans="1:9" ht="15.75" customHeight="1">
      <c r="A3" s="897" t="s">
        <v>720</v>
      </c>
      <c r="B3" s="897"/>
      <c r="C3" s="897"/>
      <c r="D3" s="897"/>
      <c r="E3" s="897"/>
      <c r="F3" s="897"/>
      <c r="G3" s="897"/>
      <c r="H3" s="897"/>
      <c r="I3" s="897"/>
    </row>
    <row r="4" spans="1:9" ht="15.75" customHeight="1">
      <c r="A4" s="897" t="s">
        <v>2480</v>
      </c>
      <c r="B4" s="897"/>
      <c r="C4" s="897"/>
      <c r="D4" s="897"/>
      <c r="E4" s="897"/>
      <c r="F4" s="897"/>
      <c r="G4" s="897"/>
      <c r="H4" s="897"/>
      <c r="I4" s="897"/>
    </row>
    <row r="5" spans="1:9" ht="15.6">
      <c r="A5" s="328"/>
      <c r="B5" s="325"/>
      <c r="C5" s="329"/>
      <c r="D5" s="329"/>
      <c r="E5" s="898"/>
      <c r="F5" s="898"/>
      <c r="G5" s="898"/>
      <c r="H5" s="898"/>
      <c r="I5" s="898"/>
    </row>
    <row r="6" spans="1:9" ht="30" customHeight="1">
      <c r="A6" s="843" t="s">
        <v>2455</v>
      </c>
      <c r="B6" s="843"/>
      <c r="C6" s="843"/>
      <c r="D6" s="843"/>
      <c r="E6" s="843"/>
      <c r="F6" s="843"/>
      <c r="G6" s="843"/>
      <c r="H6" s="843"/>
      <c r="I6" s="843"/>
    </row>
    <row r="7" spans="1:9" ht="16.2" thickBot="1">
      <c r="A7" s="328"/>
      <c r="B7" s="325"/>
      <c r="C7" s="329"/>
      <c r="D7" s="329"/>
      <c r="E7" s="899"/>
      <c r="F7" s="899"/>
      <c r="G7" s="899"/>
      <c r="H7" s="899"/>
      <c r="I7" s="899"/>
    </row>
    <row r="8" spans="1:9" ht="13.8" thickBot="1">
      <c r="A8" s="875" t="s">
        <v>2061</v>
      </c>
      <c r="B8" s="875" t="s">
        <v>7</v>
      </c>
      <c r="C8" s="875" t="s">
        <v>2289</v>
      </c>
      <c r="D8" s="875" t="s">
        <v>2481</v>
      </c>
      <c r="E8" s="875" t="s">
        <v>1140</v>
      </c>
      <c r="F8" s="875" t="s">
        <v>2414</v>
      </c>
      <c r="G8" s="875" t="s">
        <v>2481</v>
      </c>
      <c r="H8" s="875" t="s">
        <v>1140</v>
      </c>
      <c r="I8" s="875" t="s">
        <v>2415</v>
      </c>
    </row>
    <row r="9" spans="1:9" ht="20.25" customHeight="1" thickBot="1">
      <c r="A9" s="875"/>
      <c r="B9" s="875"/>
      <c r="C9" s="900"/>
      <c r="D9" s="875"/>
      <c r="E9" s="875"/>
      <c r="F9" s="875"/>
      <c r="G9" s="875"/>
      <c r="H9" s="875"/>
      <c r="I9" s="875"/>
    </row>
    <row r="10" spans="1:9" ht="16.2" thickBot="1">
      <c r="A10" s="374">
        <v>1</v>
      </c>
      <c r="B10" s="367" t="e">
        <f>IF(C10&gt;0,VLOOKUP(C10,Программа!A$2:B$5063,2))</f>
        <v>#N/A</v>
      </c>
      <c r="C10" s="368">
        <v>10</v>
      </c>
      <c r="D10" s="369" t="e">
        <f>SUMIFS(Пр.10!#REF!,Пр.10!$D$10:$D$1006,C10)</f>
        <v>#REF!</v>
      </c>
      <c r="E10" s="369">
        <f>SUMIFS(Пр.10!$G$10:$G$1006,Пр.10!$D$10:$D$1006,C10)</f>
        <v>0</v>
      </c>
      <c r="F10" s="369" t="e">
        <f>SUMIFS(Пр.10!#REF!,Пр.10!$D$10:$D$1006,C10)</f>
        <v>#REF!</v>
      </c>
      <c r="G10" s="369" t="e">
        <f>SUMIFS(Пр.10!#REF!,Пр.10!$D$10:$D$1006,C10)</f>
        <v>#REF!</v>
      </c>
      <c r="H10" s="369">
        <f>SUMIFS(Пр.10!$H$10:$H$1006,Пр.10!$D$10:$D$1006,C10)</f>
        <v>0</v>
      </c>
      <c r="I10" s="369" t="e">
        <f>SUMIFS(Пр.10!#REF!,Пр.10!$D$10:$D$1006,C10)</f>
        <v>#REF!</v>
      </c>
    </row>
    <row r="11" spans="1:9" ht="16.2" thickBot="1">
      <c r="A11" s="376" t="s">
        <v>2421</v>
      </c>
      <c r="B11" s="367" t="e">
        <f>IF(C11&gt;0,VLOOKUP(C11,Программа!A$2:B$5063,2))</f>
        <v>#N/A</v>
      </c>
      <c r="C11" s="373">
        <v>11</v>
      </c>
      <c r="D11" s="369" t="e">
        <f>SUMIFS(Пр.10!#REF!,Пр.10!$D$10:$D$1006,C11)</f>
        <v>#REF!</v>
      </c>
      <c r="E11" s="369">
        <f>SUMIFS(Пр.10!$G$10:$G$1006,Пр.10!$D$10:$D$1006,C11)</f>
        <v>0</v>
      </c>
      <c r="F11" s="369" t="e">
        <f>SUMIFS(Пр.10!#REF!,Пр.10!$D$10:$D$1006,C11)</f>
        <v>#REF!</v>
      </c>
      <c r="G11" s="369" t="e">
        <f>SUMIFS(Пр.10!#REF!,Пр.10!$D$10:$D$1006,C11)</f>
        <v>#REF!</v>
      </c>
      <c r="H11" s="369">
        <f>SUMIFS(Пр.10!$H$10:$H$1006,Пр.10!$D$10:$D$1006,C11)</f>
        <v>0</v>
      </c>
      <c r="I11" s="369" t="e">
        <f>SUMIFS(Пр.10!#REF!,Пр.10!$D$10:$D$1006,C11)</f>
        <v>#REF!</v>
      </c>
    </row>
    <row r="12" spans="1:9" ht="16.2" thickBot="1">
      <c r="A12" s="376" t="s">
        <v>2422</v>
      </c>
      <c r="B12" s="367" t="e">
        <f>IF(C12&gt;0,VLOOKUP(C12,Программа!A$2:B$5063,2))</f>
        <v>#N/A</v>
      </c>
      <c r="C12" s="373">
        <v>12</v>
      </c>
      <c r="D12" s="369" t="e">
        <f>SUMIFS(Пр.10!#REF!,Пр.10!$D$10:$D$1006,C12)</f>
        <v>#REF!</v>
      </c>
      <c r="E12" s="369">
        <f>SUMIFS(Пр.10!$G$10:$G$1006,Пр.10!$D$10:$D$1006,C12)</f>
        <v>0</v>
      </c>
      <c r="F12" s="369" t="e">
        <f>SUMIFS(Пр.10!#REF!,Пр.10!$D$10:$D$1006,C12)</f>
        <v>#REF!</v>
      </c>
      <c r="G12" s="369" t="e">
        <f>SUMIFS(Пр.10!#REF!,Пр.10!$D$10:$D$1006,C12)</f>
        <v>#REF!</v>
      </c>
      <c r="H12" s="369">
        <f>SUMIFS(Пр.10!$H$10:$H$1006,Пр.10!$D$10:$D$1006,C12)</f>
        <v>0</v>
      </c>
      <c r="I12" s="369" t="e">
        <f>SUMIFS(Пр.10!#REF!,Пр.10!$D$10:$D$1006,C12)</f>
        <v>#REF!</v>
      </c>
    </row>
    <row r="13" spans="1:9" ht="16.2" hidden="1" thickBot="1">
      <c r="A13" s="377" t="s">
        <v>2423</v>
      </c>
      <c r="B13" s="367" t="e">
        <f>IF(C13&gt;0,VLOOKUP(C13,Программа!A$2:B$5063,2))</f>
        <v>#N/A</v>
      </c>
      <c r="C13" s="368">
        <v>13</v>
      </c>
      <c r="D13" s="369" t="e">
        <f>SUMIFS(Пр.10!#REF!,Пр.10!$D$10:$D$1006,C13)</f>
        <v>#REF!</v>
      </c>
      <c r="E13" s="369">
        <f>SUMIFS(Пр.10!$G$10:$G$1006,Пр.10!$D$10:$D$1006,C13)</f>
        <v>0</v>
      </c>
      <c r="F13" s="369" t="e">
        <f>SUMIFS(Пр.10!#REF!,Пр.10!$D$10:$D$1006,C13)</f>
        <v>#REF!</v>
      </c>
      <c r="G13" s="369" t="e">
        <f>SUMIFS(Пр.10!#REF!,Пр.10!$D$10:$D$1006,C13)</f>
        <v>#REF!</v>
      </c>
      <c r="H13" s="369">
        <f>SUMIFS(Пр.10!$H$10:$H$1006,Пр.10!$D$10:$D$1006,C13)</f>
        <v>0</v>
      </c>
      <c r="I13" s="369" t="e">
        <f>SUMIFS(Пр.10!#REF!,Пр.10!$D$10:$D$1006,C13)</f>
        <v>#REF!</v>
      </c>
    </row>
    <row r="14" spans="1:9" ht="16.2" thickBot="1">
      <c r="A14" s="374" t="s">
        <v>289</v>
      </c>
      <c r="B14" s="367" t="e">
        <f>IF(C14&gt;0,VLOOKUP(C14,Программа!A$2:B$5063,2))</f>
        <v>#N/A</v>
      </c>
      <c r="C14" s="368">
        <v>20</v>
      </c>
      <c r="D14" s="369" t="e">
        <f>SUMIFS(Пр.10!#REF!,Пр.10!$D$10:$D$1006,C14)</f>
        <v>#REF!</v>
      </c>
      <c r="E14" s="369">
        <f>SUMIFS(Пр.10!$G$10:$G$1006,Пр.10!$D$10:$D$1006,C14)</f>
        <v>0</v>
      </c>
      <c r="F14" s="369" t="e">
        <f>SUMIFS(Пр.10!#REF!,Пр.10!$D$10:$D$1006,C14)</f>
        <v>#REF!</v>
      </c>
      <c r="G14" s="369" t="e">
        <f>SUMIFS(Пр.10!#REF!,Пр.10!$D$10:$D$1006,C14)</f>
        <v>#REF!</v>
      </c>
      <c r="H14" s="369">
        <f>SUMIFS(Пр.10!$H$10:$H$1006,Пр.10!$D$10:$D$1006,C14)</f>
        <v>0</v>
      </c>
      <c r="I14" s="369" t="e">
        <f>SUMIFS(Пр.10!#REF!,Пр.10!$D$10:$D$1006,C14)</f>
        <v>#REF!</v>
      </c>
    </row>
    <row r="15" spans="1:9" ht="16.2" thickBot="1">
      <c r="A15" s="376" t="s">
        <v>2424</v>
      </c>
      <c r="B15" s="367" t="e">
        <f>IF(C15&gt;0,VLOOKUP(C15,Программа!A$2:B$5063,2))</f>
        <v>#N/A</v>
      </c>
      <c r="C15" s="368">
        <v>21</v>
      </c>
      <c r="D15" s="369" t="e">
        <f>SUMIFS(Пр.10!#REF!,Пр.10!$D$10:$D$1006,C15)</f>
        <v>#REF!</v>
      </c>
      <c r="E15" s="369">
        <f>SUMIFS(Пр.10!$G$10:$G$1006,Пр.10!$D$10:$D$1006,C15)</f>
        <v>0</v>
      </c>
      <c r="F15" s="369" t="e">
        <f>SUMIFS(Пр.10!#REF!,Пр.10!$D$10:$D$1006,C15)</f>
        <v>#REF!</v>
      </c>
      <c r="G15" s="369" t="e">
        <f>SUMIFS(Пр.10!#REF!,Пр.10!$D$10:$D$1006,C15)</f>
        <v>#REF!</v>
      </c>
      <c r="H15" s="369">
        <f>SUMIFS(Пр.10!$H$10:$H$1006,Пр.10!$D$10:$D$1006,C15)</f>
        <v>0</v>
      </c>
      <c r="I15" s="369" t="e">
        <f>SUMIFS(Пр.10!#REF!,Пр.10!$D$10:$D$1006,C15)</f>
        <v>#REF!</v>
      </c>
    </row>
    <row r="16" spans="1:9" ht="16.2" thickBot="1">
      <c r="A16" s="376" t="s">
        <v>2425</v>
      </c>
      <c r="B16" s="367" t="e">
        <f>IF(C16&gt;0,VLOOKUP(C16,Программа!A$2:B$5063,2))</f>
        <v>#N/A</v>
      </c>
      <c r="C16" s="368">
        <v>22</v>
      </c>
      <c r="D16" s="369" t="e">
        <f>SUMIFS(Пр.10!#REF!,Пр.10!$D$10:$D$1006,C16)</f>
        <v>#REF!</v>
      </c>
      <c r="E16" s="369">
        <f>SUMIFS(Пр.10!$G$10:$G$1006,Пр.10!$D$10:$D$1006,C16)</f>
        <v>0</v>
      </c>
      <c r="F16" s="369" t="e">
        <f>SUMIFS(Пр.10!#REF!,Пр.10!$D$10:$D$1006,C16)</f>
        <v>#REF!</v>
      </c>
      <c r="G16" s="369" t="e">
        <f>SUMIFS(Пр.10!#REF!,Пр.10!$D$10:$D$1006,C16)</f>
        <v>#REF!</v>
      </c>
      <c r="H16" s="369">
        <f>SUMIFS(Пр.10!$H$10:$H$1006,Пр.10!$D$10:$D$1006,C16)</f>
        <v>0</v>
      </c>
      <c r="I16" s="369" t="e">
        <f>SUMIFS(Пр.10!#REF!,Пр.10!$D$10:$D$1006,C16)</f>
        <v>#REF!</v>
      </c>
    </row>
    <row r="17" spans="1:9" ht="16.2" thickBot="1">
      <c r="A17" s="374" t="s">
        <v>2426</v>
      </c>
      <c r="B17" s="367" t="e">
        <f>IF(C17&gt;0,VLOOKUP(C17,Программа!A$2:B$5063,2))</f>
        <v>#N/A</v>
      </c>
      <c r="C17" s="368">
        <v>30</v>
      </c>
      <c r="D17" s="369" t="e">
        <f>SUMIFS(Пр.10!#REF!,Пр.10!$D$10:$D$1006,C17)</f>
        <v>#REF!</v>
      </c>
      <c r="E17" s="369">
        <f>SUMIFS(Пр.10!$G$10:$G$1006,Пр.10!$D$10:$D$1006,C17)</f>
        <v>0</v>
      </c>
      <c r="F17" s="369" t="e">
        <f>SUMIFS(Пр.10!#REF!,Пр.10!$D$10:$D$1006,C17)</f>
        <v>#REF!</v>
      </c>
      <c r="G17" s="369" t="e">
        <f>SUMIFS(Пр.10!#REF!,Пр.10!$D$10:$D$1006,C17)</f>
        <v>#REF!</v>
      </c>
      <c r="H17" s="369">
        <f>SUMIFS(Пр.10!$H$10:$H$1006,Пр.10!$D$10:$D$1006,C17)</f>
        <v>0</v>
      </c>
      <c r="I17" s="369" t="e">
        <f>SUMIFS(Пр.10!#REF!,Пр.10!$D$10:$D$1006,C17)</f>
        <v>#REF!</v>
      </c>
    </row>
    <row r="18" spans="1:9" ht="16.2" thickBot="1">
      <c r="A18" s="376" t="s">
        <v>2427</v>
      </c>
      <c r="B18" s="367" t="e">
        <f>IF(C18&gt;0,VLOOKUP(C18,Программа!A$2:B$5063,2))</f>
        <v>#N/A</v>
      </c>
      <c r="C18" s="368">
        <v>31</v>
      </c>
      <c r="D18" s="369" t="e">
        <f>SUMIFS(Пр.10!#REF!,Пр.10!$D$10:$D$1006,C18)</f>
        <v>#REF!</v>
      </c>
      <c r="E18" s="369">
        <f>SUMIFS(Пр.10!$G$10:$G$1006,Пр.10!$D$10:$D$1006,C18)</f>
        <v>0</v>
      </c>
      <c r="F18" s="369" t="e">
        <f>SUMIFS(Пр.10!#REF!,Пр.10!$D$10:$D$1006,C18)</f>
        <v>#REF!</v>
      </c>
      <c r="G18" s="369" t="e">
        <f>SUMIFS(Пр.10!#REF!,Пр.10!$D$10:$D$1006,C18)</f>
        <v>#REF!</v>
      </c>
      <c r="H18" s="369">
        <f>SUMIFS(Пр.10!$H$10:$H$1006,Пр.10!$D$10:$D$1006,C18)</f>
        <v>0</v>
      </c>
      <c r="I18" s="369" t="e">
        <f>SUMIFS(Пр.10!#REF!,Пр.10!$D$10:$D$1006,C18)</f>
        <v>#REF!</v>
      </c>
    </row>
    <row r="19" spans="1:9" ht="16.2" thickBot="1">
      <c r="A19" s="376" t="s">
        <v>2428</v>
      </c>
      <c r="B19" s="367" t="e">
        <f>IF(C19&gt;0,VLOOKUP(C19,Программа!A$2:B$5063,2))</f>
        <v>#N/A</v>
      </c>
      <c r="C19" s="368">
        <v>32</v>
      </c>
      <c r="D19" s="369" t="e">
        <f>SUMIFS(Пр.10!#REF!,Пр.10!$D$10:$D$1006,C19)</f>
        <v>#REF!</v>
      </c>
      <c r="E19" s="369">
        <f>SUMIFS(Пр.10!$G$10:$G$1006,Пр.10!$D$10:$D$1006,C19)</f>
        <v>0</v>
      </c>
      <c r="F19" s="369" t="e">
        <f>SUMIFS(Пр.10!#REF!,Пр.10!$D$10:$D$1006,C19)</f>
        <v>#REF!</v>
      </c>
      <c r="G19" s="369" t="e">
        <f>SUMIFS(Пр.10!#REF!,Пр.10!$D$10:$D$1006,C19)</f>
        <v>#REF!</v>
      </c>
      <c r="H19" s="369">
        <f>SUMIFS(Пр.10!$H$10:$H$1006,Пр.10!$D$10:$D$1006,C19)</f>
        <v>0</v>
      </c>
      <c r="I19" s="369" t="e">
        <f>SUMIFS(Пр.10!#REF!,Пр.10!$D$10:$D$1006,C19)</f>
        <v>#REF!</v>
      </c>
    </row>
    <row r="20" spans="1:9" ht="16.2" thickBot="1">
      <c r="A20" s="374" t="s">
        <v>2429</v>
      </c>
      <c r="B20" s="367" t="e">
        <f>IF(C20&gt;0,VLOOKUP(C20,Программа!A$2:B$5063,2))</f>
        <v>#N/A</v>
      </c>
      <c r="C20" s="368">
        <v>40</v>
      </c>
      <c r="D20" s="369" t="e">
        <f>SUMIFS(Пр.10!#REF!,Пр.10!$D$10:$D$1006,C20)</f>
        <v>#REF!</v>
      </c>
      <c r="E20" s="369">
        <f>SUMIFS(Пр.10!$G$10:$G$1006,Пр.10!$D$10:$D$1006,C20)</f>
        <v>0</v>
      </c>
      <c r="F20" s="369" t="e">
        <f>SUMIFS(Пр.10!#REF!,Пр.10!$D$10:$D$1006,C20)</f>
        <v>#REF!</v>
      </c>
      <c r="G20" s="369" t="e">
        <f>SUMIFS(Пр.10!#REF!,Пр.10!$D$10:$D$1006,C20)</f>
        <v>#REF!</v>
      </c>
      <c r="H20" s="369">
        <f>SUMIFS(Пр.10!$H$10:$H$1006,Пр.10!$D$10:$D$1006,C20)</f>
        <v>0</v>
      </c>
      <c r="I20" s="369" t="e">
        <f>SUMIFS(Пр.10!#REF!,Пр.10!$D$10:$D$1006,C20)</f>
        <v>#REF!</v>
      </c>
    </row>
    <row r="21" spans="1:9" ht="16.2" thickBot="1">
      <c r="A21" s="376" t="s">
        <v>2430</v>
      </c>
      <c r="B21" s="367" t="e">
        <f>IF(C21&gt;0,VLOOKUP(C21,Программа!A$2:B$5063,2))</f>
        <v>#N/A</v>
      </c>
      <c r="C21" s="368">
        <v>41</v>
      </c>
      <c r="D21" s="369" t="e">
        <f>SUMIFS(Пр.10!#REF!,Пр.10!$D$10:$D$1006,C21)</f>
        <v>#REF!</v>
      </c>
      <c r="E21" s="369">
        <f>SUMIFS(Пр.10!$G$10:$G$1006,Пр.10!$D$10:$D$1006,C21)</f>
        <v>0</v>
      </c>
      <c r="F21" s="369" t="e">
        <f>SUMIFS(Пр.10!#REF!,Пр.10!$D$10:$D$1006,C21)</f>
        <v>#REF!</v>
      </c>
      <c r="G21" s="369" t="e">
        <f>SUMIFS(Пр.10!#REF!,Пр.10!$D$10:$D$1006,C21)</f>
        <v>#REF!</v>
      </c>
      <c r="H21" s="369">
        <f>SUMIFS(Пр.10!$H$10:$H$1006,Пр.10!$D$10:$D$1006,C21)</f>
        <v>0</v>
      </c>
      <c r="I21" s="369" t="e">
        <f>SUMIFS(Пр.10!#REF!,Пр.10!$D$10:$D$1006,C21)</f>
        <v>#REF!</v>
      </c>
    </row>
    <row r="22" spans="1:9" ht="16.2" thickBot="1">
      <c r="A22" s="374" t="s">
        <v>2431</v>
      </c>
      <c r="B22" s="367" t="e">
        <f>IF(C22&gt;0,VLOOKUP(C22,Программа!A$2:B$5063,2))</f>
        <v>#N/A</v>
      </c>
      <c r="C22" s="368">
        <v>50</v>
      </c>
      <c r="D22" s="369" t="e">
        <f>SUMIFS(Пр.10!#REF!,Пр.10!$D$10:$D$1006,C22)</f>
        <v>#REF!</v>
      </c>
      <c r="E22" s="369">
        <f>SUMIFS(Пр.10!$G$10:$G$1006,Пр.10!$D$10:$D$1006,C22)</f>
        <v>0</v>
      </c>
      <c r="F22" s="369" t="e">
        <f>SUMIFS(Пр.10!#REF!,Пр.10!$D$10:$D$1006,C22)</f>
        <v>#REF!</v>
      </c>
      <c r="G22" s="369" t="e">
        <f>SUMIFS(Пр.10!#REF!,Пр.10!$D$10:$D$1006,C22)</f>
        <v>#REF!</v>
      </c>
      <c r="H22" s="369">
        <f>SUMIFS(Пр.10!$H$10:$H$1006,Пр.10!$D$10:$D$1006,C22)</f>
        <v>0</v>
      </c>
      <c r="I22" s="369" t="e">
        <f>SUMIFS(Пр.10!#REF!,Пр.10!$D$10:$D$1006,C22)</f>
        <v>#REF!</v>
      </c>
    </row>
    <row r="23" spans="1:9" ht="16.2" thickBot="1">
      <c r="A23" s="376" t="s">
        <v>2432</v>
      </c>
      <c r="B23" s="367" t="e">
        <f>IF(C23&gt;0,VLOOKUP(C23,Программа!A$2:B$5063,2))</f>
        <v>#N/A</v>
      </c>
      <c r="C23" s="368">
        <v>51</v>
      </c>
      <c r="D23" s="369" t="e">
        <f>SUMIFS(Пр.10!#REF!,Пр.10!$D$10:$D$1006,C23)</f>
        <v>#REF!</v>
      </c>
      <c r="E23" s="369">
        <f>SUMIFS(Пр.10!$G$10:$G$1006,Пр.10!$D$10:$D$1006,C23)</f>
        <v>0</v>
      </c>
      <c r="F23" s="369" t="e">
        <f>SUMIFS(Пр.10!#REF!,Пр.10!$D$10:$D$1006,C23)</f>
        <v>#REF!</v>
      </c>
      <c r="G23" s="369" t="e">
        <f>SUMIFS(Пр.10!#REF!,Пр.10!$D$10:$D$1006,C23)</f>
        <v>#REF!</v>
      </c>
      <c r="H23" s="369">
        <f>SUMIFS(Пр.10!$H$10:$H$1006,Пр.10!$D$10:$D$1006,C23)</f>
        <v>0</v>
      </c>
      <c r="I23" s="369" t="e">
        <f>SUMIFS(Пр.10!#REF!,Пр.10!$D$10:$D$1006,C23)</f>
        <v>#REF!</v>
      </c>
    </row>
    <row r="24" spans="1:9" ht="16.2" thickBot="1">
      <c r="A24" s="374" t="s">
        <v>2433</v>
      </c>
      <c r="B24" s="367" t="e">
        <f>IF(C24&gt;0,VLOOKUP(C24,Программа!A$2:B$5063,2))</f>
        <v>#N/A</v>
      </c>
      <c r="C24" s="368">
        <v>60</v>
      </c>
      <c r="D24" s="369" t="e">
        <f>SUMIFS(Пр.10!#REF!,Пр.10!$D$10:$D$1006,C24)</f>
        <v>#REF!</v>
      </c>
      <c r="E24" s="369">
        <f>SUMIFS(Пр.10!$G$10:$G$1006,Пр.10!$D$10:$D$1006,C24)</f>
        <v>0</v>
      </c>
      <c r="F24" s="369" t="e">
        <f>SUMIFS(Пр.10!#REF!,Пр.10!$D$10:$D$1006,C24)</f>
        <v>#REF!</v>
      </c>
      <c r="G24" s="369" t="e">
        <f>SUMIFS(Пр.10!#REF!,Пр.10!$D$10:$D$1006,C24)</f>
        <v>#REF!</v>
      </c>
      <c r="H24" s="369">
        <f>SUMIFS(Пр.10!$H$10:$H$1006,Пр.10!$D$10:$D$1006,C24)</f>
        <v>0</v>
      </c>
      <c r="I24" s="369" t="e">
        <f>SUMIFS(Пр.10!#REF!,Пр.10!$D$10:$D$1006,C24)</f>
        <v>#REF!</v>
      </c>
    </row>
    <row r="25" spans="1:9" ht="16.2" thickBot="1">
      <c r="A25" s="376" t="s">
        <v>2434</v>
      </c>
      <c r="B25" s="367" t="e">
        <f>IF(C25&gt;0,VLOOKUP(C25,Программа!A$2:B$5063,2))</f>
        <v>#N/A</v>
      </c>
      <c r="C25" s="368">
        <v>61</v>
      </c>
      <c r="D25" s="369" t="e">
        <f>SUMIFS(Пр.10!#REF!,Пр.10!$D$10:$D$1006,C25)</f>
        <v>#REF!</v>
      </c>
      <c r="E25" s="369">
        <f>SUMIFS(Пр.10!$G$10:$G$1006,Пр.10!$D$10:$D$1006,C25)</f>
        <v>0</v>
      </c>
      <c r="F25" s="369" t="e">
        <f>SUMIFS(Пр.10!#REF!,Пр.10!$D$10:$D$1006,C25)</f>
        <v>#REF!</v>
      </c>
      <c r="G25" s="369" t="e">
        <f>SUMIFS(Пр.10!#REF!,Пр.10!$D$10:$D$1006,C25)</f>
        <v>#REF!</v>
      </c>
      <c r="H25" s="369">
        <f>SUMIFS(Пр.10!$H$10:$H$1006,Пр.10!$D$10:$D$1006,C25)</f>
        <v>0</v>
      </c>
      <c r="I25" s="369" t="e">
        <f>SUMIFS(Пр.10!#REF!,Пр.10!$D$10:$D$1006,C25)</f>
        <v>#REF!</v>
      </c>
    </row>
    <row r="26" spans="1:9" ht="16.2" thickBot="1">
      <c r="A26" s="374" t="s">
        <v>2435</v>
      </c>
      <c r="B26" s="367" t="e">
        <f>IF(C26&gt;0,VLOOKUP(C26,Программа!A$2:B$5063,2))</f>
        <v>#N/A</v>
      </c>
      <c r="C26" s="368">
        <v>70</v>
      </c>
      <c r="D26" s="369" t="e">
        <f>SUMIFS(Пр.10!#REF!,Пр.10!$D$10:$D$1006,C26)</f>
        <v>#REF!</v>
      </c>
      <c r="E26" s="369">
        <f>SUMIFS(Пр.10!$G$10:$G$1006,Пр.10!$D$10:$D$1006,C26)</f>
        <v>0</v>
      </c>
      <c r="F26" s="369" t="e">
        <f>SUMIFS(Пр.10!#REF!,Пр.10!$D$10:$D$1006,C26)</f>
        <v>#REF!</v>
      </c>
      <c r="G26" s="369" t="e">
        <f>SUMIFS(Пр.10!#REF!,Пр.10!$D$10:$D$1006,C26)</f>
        <v>#REF!</v>
      </c>
      <c r="H26" s="369">
        <f>SUMIFS(Пр.10!$H$10:$H$1006,Пр.10!$D$10:$D$1006,C26)</f>
        <v>0</v>
      </c>
      <c r="I26" s="369" t="e">
        <f>SUMIFS(Пр.10!#REF!,Пр.10!$D$10:$D$1006,C26)</f>
        <v>#REF!</v>
      </c>
    </row>
    <row r="27" spans="1:9" ht="16.2" thickBot="1">
      <c r="A27" s="376" t="s">
        <v>2436</v>
      </c>
      <c r="B27" s="367" t="e">
        <f>IF(C27&gt;0,VLOOKUP(C27,Программа!A$2:B$5063,2))</f>
        <v>#N/A</v>
      </c>
      <c r="C27" s="368">
        <v>71</v>
      </c>
      <c r="D27" s="369" t="e">
        <f>SUMIFS(Пр.10!#REF!,Пр.10!$D$10:$D$1006,C27)</f>
        <v>#REF!</v>
      </c>
      <c r="E27" s="369">
        <f>SUMIFS(Пр.10!$G$10:$G$1006,Пр.10!$D$10:$D$1006,C27)</f>
        <v>0</v>
      </c>
      <c r="F27" s="369" t="e">
        <f>SUMIFS(Пр.10!#REF!,Пр.10!$D$10:$D$1006,C27)</f>
        <v>#REF!</v>
      </c>
      <c r="G27" s="369" t="e">
        <f>SUMIFS(Пр.10!#REF!,Пр.10!$D$10:$D$1006,C27)</f>
        <v>#REF!</v>
      </c>
      <c r="H27" s="369">
        <f>SUMIFS(Пр.10!$H$10:$H$1006,Пр.10!$D$10:$D$1006,C27)</f>
        <v>0</v>
      </c>
      <c r="I27" s="369" t="e">
        <f>SUMIFS(Пр.10!#REF!,Пр.10!$D$10:$D$1006,C27)</f>
        <v>#REF!</v>
      </c>
    </row>
    <row r="28" spans="1:9" ht="16.2" thickBot="1">
      <c r="A28" s="376" t="s">
        <v>2437</v>
      </c>
      <c r="B28" s="367" t="e">
        <f>IF(C28&gt;0,VLOOKUP(C28,Программа!A$2:B$5063,2))</f>
        <v>#N/A</v>
      </c>
      <c r="C28" s="368">
        <v>72</v>
      </c>
      <c r="D28" s="369" t="e">
        <f>SUMIFS(Пр.10!#REF!,Пр.10!$D$10:$D$1006,C28)</f>
        <v>#REF!</v>
      </c>
      <c r="E28" s="369">
        <f>SUMIFS(Пр.10!$G$10:$G$1006,Пр.10!$D$10:$D$1006,C28)</f>
        <v>0</v>
      </c>
      <c r="F28" s="369" t="e">
        <f>SUMIFS(Пр.10!#REF!,Пр.10!$D$10:$D$1006,C28)</f>
        <v>#REF!</v>
      </c>
      <c r="G28" s="369" t="e">
        <f>SUMIFS(Пр.10!#REF!,Пр.10!$D$10:$D$1006,C28)</f>
        <v>#REF!</v>
      </c>
      <c r="H28" s="369">
        <f>SUMIFS(Пр.10!$H$10:$H$1006,Пр.10!$D$10:$D$1006,C28)</f>
        <v>0</v>
      </c>
      <c r="I28" s="369" t="e">
        <f>SUMIFS(Пр.10!#REF!,Пр.10!$D$10:$D$1006,C28)</f>
        <v>#REF!</v>
      </c>
    </row>
    <row r="29" spans="1:9" ht="16.2" thickBot="1">
      <c r="A29" s="374" t="s">
        <v>2438</v>
      </c>
      <c r="B29" s="367" t="e">
        <f>IF(C29&gt;0,VLOOKUP(C29,Программа!A$2:B$5063,2))</f>
        <v>#N/A</v>
      </c>
      <c r="C29" s="368">
        <v>80</v>
      </c>
      <c r="D29" s="369" t="e">
        <f>SUMIFS(Пр.10!#REF!,Пр.10!$D$10:$D$1006,C29)</f>
        <v>#REF!</v>
      </c>
      <c r="E29" s="369">
        <f>SUMIFS(Пр.10!$G$10:$G$1006,Пр.10!$D$10:$D$1006,C29)</f>
        <v>0</v>
      </c>
      <c r="F29" s="369" t="e">
        <f>SUMIFS(Пр.10!#REF!,Пр.10!$D$10:$D$1006,C29)</f>
        <v>#REF!</v>
      </c>
      <c r="G29" s="369" t="e">
        <f>SUMIFS(Пр.10!#REF!,Пр.10!$D$10:$D$1006,C29)</f>
        <v>#REF!</v>
      </c>
      <c r="H29" s="369">
        <f>SUMIFS(Пр.10!$H$10:$H$1006,Пр.10!$D$10:$D$1006,C29)</f>
        <v>0</v>
      </c>
      <c r="I29" s="369" t="e">
        <f>SUMIFS(Пр.10!#REF!,Пр.10!$D$10:$D$1006,C29)</f>
        <v>#REF!</v>
      </c>
    </row>
    <row r="30" spans="1:9" ht="16.2" thickBot="1">
      <c r="A30" s="376" t="s">
        <v>2439</v>
      </c>
      <c r="B30" s="367" t="e">
        <f>IF(C30&gt;0,VLOOKUP(C30,Программа!A$2:B$5063,2))</f>
        <v>#N/A</v>
      </c>
      <c r="C30" s="368">
        <v>81</v>
      </c>
      <c r="D30" s="369" t="e">
        <f>SUMIFS(Пр.10!#REF!,Пр.10!$D$10:$D$1006,C30)</f>
        <v>#REF!</v>
      </c>
      <c r="E30" s="369">
        <f>SUMIFS(Пр.10!$G$10:$G$1006,Пр.10!$D$10:$D$1006,C30)</f>
        <v>0</v>
      </c>
      <c r="F30" s="369" t="e">
        <f>SUMIFS(Пр.10!#REF!,Пр.10!$D$10:$D$1006,C30)</f>
        <v>#REF!</v>
      </c>
      <c r="G30" s="369" t="e">
        <f>SUMIFS(Пр.10!#REF!,Пр.10!$D$10:$D$1006,C30)</f>
        <v>#REF!</v>
      </c>
      <c r="H30" s="369">
        <f>SUMIFS(Пр.10!$H$10:$H$1006,Пр.10!$D$10:$D$1006,C30)</f>
        <v>0</v>
      </c>
      <c r="I30" s="369" t="e">
        <f>SUMIFS(Пр.10!#REF!,Пр.10!$D$10:$D$1006,C30)</f>
        <v>#REF!</v>
      </c>
    </row>
    <row r="31" spans="1:9" ht="16.2" thickBot="1">
      <c r="A31" s="374" t="s">
        <v>2440</v>
      </c>
      <c r="B31" s="367" t="e">
        <f>IF(C31&gt;0,VLOOKUP(C31,Программа!A$2:B$5063,2))</f>
        <v>#N/A</v>
      </c>
      <c r="C31" s="368">
        <v>90</v>
      </c>
      <c r="D31" s="369" t="e">
        <f>SUMIFS(Пр.10!#REF!,Пр.10!$D$10:$D$1006,C31)</f>
        <v>#REF!</v>
      </c>
      <c r="E31" s="369">
        <f>SUMIFS(Пр.10!$G$10:$G$1006,Пр.10!$D$10:$D$1006,C31)</f>
        <v>0</v>
      </c>
      <c r="F31" s="369" t="e">
        <f>SUMIFS(Пр.10!#REF!,Пр.10!$D$10:$D$1006,C31)</f>
        <v>#REF!</v>
      </c>
      <c r="G31" s="369" t="e">
        <f>SUMIFS(Пр.10!#REF!,Пр.10!$D$10:$D$1006,C31)</f>
        <v>#REF!</v>
      </c>
      <c r="H31" s="369">
        <f>SUMIFS(Пр.10!$H$10:$H$1006,Пр.10!$D$10:$D$1006,C31)</f>
        <v>0</v>
      </c>
      <c r="I31" s="369" t="e">
        <f>SUMIFS(Пр.10!#REF!,Пр.10!$D$10:$D$1006,C31)</f>
        <v>#REF!</v>
      </c>
    </row>
    <row r="32" spans="1:9" ht="16.2" thickBot="1">
      <c r="A32" s="376" t="s">
        <v>2441</v>
      </c>
      <c r="B32" s="367" t="e">
        <f>IF(C32&gt;0,VLOOKUP(C32,Программа!A$2:B$5063,2))</f>
        <v>#N/A</v>
      </c>
      <c r="C32" s="368">
        <v>91</v>
      </c>
      <c r="D32" s="369" t="e">
        <f>SUMIFS(Пр.10!#REF!,Пр.10!$D$10:$D$1006,C32)</f>
        <v>#REF!</v>
      </c>
      <c r="E32" s="369">
        <f>SUMIFS(Пр.10!$G$10:$G$1006,Пр.10!$D$10:$D$1006,C32)</f>
        <v>0</v>
      </c>
      <c r="F32" s="369" t="e">
        <f>SUMIFS(Пр.10!#REF!,Пр.10!$D$10:$D$1006,C32)</f>
        <v>#REF!</v>
      </c>
      <c r="G32" s="369" t="e">
        <f>SUMIFS(Пр.10!#REF!,Пр.10!$D$10:$D$1006,C32)</f>
        <v>#REF!</v>
      </c>
      <c r="H32" s="369">
        <f>SUMIFS(Пр.10!$H$10:$H$1006,Пр.10!$D$10:$D$1006,C32)</f>
        <v>0</v>
      </c>
      <c r="I32" s="369" t="e">
        <f>SUMIFS(Пр.10!#REF!,Пр.10!$D$10:$D$1006,C32)</f>
        <v>#REF!</v>
      </c>
    </row>
    <row r="33" spans="1:9" ht="16.2" thickBot="1">
      <c r="A33" s="374" t="s">
        <v>2085</v>
      </c>
      <c r="B33" s="367" t="e">
        <f>IF(C33&gt;0,VLOOKUP(C33,Программа!A$2:B$5063,2))</f>
        <v>#N/A</v>
      </c>
      <c r="C33" s="368">
        <v>100</v>
      </c>
      <c r="D33" s="369" t="e">
        <f>SUMIFS(Пр.10!#REF!,Пр.10!$D$10:$D$1006,C33)</f>
        <v>#REF!</v>
      </c>
      <c r="E33" s="369">
        <f>SUMIFS(Пр.10!$G$10:$G$1006,Пр.10!$D$10:$D$1006,C33)</f>
        <v>0</v>
      </c>
      <c r="F33" s="369" t="e">
        <f>SUMIFS(Пр.10!#REF!,Пр.10!$D$10:$D$1006,C33)</f>
        <v>#REF!</v>
      </c>
      <c r="G33" s="369" t="e">
        <f>SUMIFS(Пр.10!#REF!,Пр.10!$D$10:$D$1006,C33)</f>
        <v>#REF!</v>
      </c>
      <c r="H33" s="369">
        <f>SUMIFS(Пр.10!$H$10:$H$1006,Пр.10!$D$10:$D$1006,C33)</f>
        <v>0</v>
      </c>
      <c r="I33" s="369" t="e">
        <f>SUMIFS(Пр.10!#REF!,Пр.10!$D$10:$D$1006,C33)</f>
        <v>#REF!</v>
      </c>
    </row>
    <row r="34" spans="1:9" ht="16.2" thickBot="1">
      <c r="A34" s="376" t="s">
        <v>2442</v>
      </c>
      <c r="B34" s="367" t="e">
        <f>IF(C34&gt;0,VLOOKUP(C34,Программа!A$2:B$5063,2))</f>
        <v>#N/A</v>
      </c>
      <c r="C34" s="368">
        <v>101</v>
      </c>
      <c r="D34" s="369" t="e">
        <f>SUMIFS(Пр.10!#REF!,Пр.10!$D$10:$D$1006,C34)</f>
        <v>#REF!</v>
      </c>
      <c r="E34" s="369">
        <f>SUMIFS(Пр.10!$G$10:$G$1006,Пр.10!$D$10:$D$1006,C34)</f>
        <v>0</v>
      </c>
      <c r="F34" s="369" t="e">
        <f>SUMIFS(Пр.10!#REF!,Пр.10!$D$10:$D$1006,C34)</f>
        <v>#REF!</v>
      </c>
      <c r="G34" s="369" t="e">
        <f>SUMIFS(Пр.10!#REF!,Пр.10!$D$10:$D$1006,C34)</f>
        <v>#REF!</v>
      </c>
      <c r="H34" s="369">
        <f>SUMIFS(Пр.10!$H$10:$H$1006,Пр.10!$D$10:$D$1006,C34)</f>
        <v>0</v>
      </c>
      <c r="I34" s="369" t="e">
        <f>SUMIFS(Пр.10!#REF!,Пр.10!$D$10:$D$1006,C34)</f>
        <v>#REF!</v>
      </c>
    </row>
    <row r="35" spans="1:9" ht="16.2" hidden="1" thickBot="1">
      <c r="A35" s="374" t="s">
        <v>293</v>
      </c>
      <c r="B35" s="367" t="e">
        <f>IF(C35&gt;0,VLOOKUP(C35,Программа!A$2:B$5063,2))</f>
        <v>#N/A</v>
      </c>
      <c r="C35" s="368">
        <v>110</v>
      </c>
      <c r="D35" s="369" t="e">
        <f>SUMIFS(Пр.10!#REF!,Пр.10!$D$10:$D$1006,C35)</f>
        <v>#REF!</v>
      </c>
      <c r="E35" s="369">
        <f>SUMIFS(Пр.10!$G$10:$G$1006,Пр.10!$D$10:$D$1006,C35)</f>
        <v>0</v>
      </c>
      <c r="F35" s="369" t="e">
        <f>SUMIFS(Пр.10!#REF!,Пр.10!$D$10:$D$1006,C35)</f>
        <v>#REF!</v>
      </c>
      <c r="G35" s="369" t="e">
        <f>SUMIFS(Пр.10!#REF!,Пр.10!$D$10:$D$1006,C35)</f>
        <v>#REF!</v>
      </c>
      <c r="H35" s="369">
        <f>SUMIFS(Пр.10!$H$10:$H$1006,Пр.10!$D$10:$D$1006,C35)</f>
        <v>0</v>
      </c>
      <c r="I35" s="369" t="e">
        <f>SUMIFS(Пр.10!#REF!,Пр.10!$D$10:$D$1006,C35)</f>
        <v>#REF!</v>
      </c>
    </row>
    <row r="36" spans="1:9" ht="16.2" hidden="1" thickBot="1">
      <c r="A36" s="376" t="s">
        <v>2443</v>
      </c>
      <c r="B36" s="367" t="e">
        <f>IF(C36&gt;0,VLOOKUP(C36,Программа!A$2:B$5063,2))</f>
        <v>#N/A</v>
      </c>
      <c r="C36" s="368">
        <v>111</v>
      </c>
      <c r="D36" s="369" t="e">
        <f>SUMIFS(Пр.10!#REF!,Пр.10!$D$10:$D$1006,C36)</f>
        <v>#REF!</v>
      </c>
      <c r="E36" s="369">
        <f>SUMIFS(Пр.10!$G$10:$G$1006,Пр.10!$D$10:$D$1006,C36)</f>
        <v>0</v>
      </c>
      <c r="F36" s="369" t="e">
        <f>SUMIFS(Пр.10!#REF!,Пр.10!$D$10:$D$1006,C36)</f>
        <v>#REF!</v>
      </c>
      <c r="G36" s="369" t="e">
        <f>SUMIFS(Пр.10!#REF!,Пр.10!$D$10:$D$1006,C36)</f>
        <v>#REF!</v>
      </c>
      <c r="H36" s="369">
        <f>SUMIFS(Пр.10!$H$10:$H$1006,Пр.10!$D$10:$D$1006,C36)</f>
        <v>0</v>
      </c>
      <c r="I36" s="369" t="e">
        <f>SUMIFS(Пр.10!#REF!,Пр.10!$D$10:$D$1006,C36)</f>
        <v>#REF!</v>
      </c>
    </row>
    <row r="37" spans="1:9" ht="16.2" thickBot="1">
      <c r="A37" s="374" t="s">
        <v>294</v>
      </c>
      <c r="B37" s="367" t="e">
        <f>IF(C37&gt;0,VLOOKUP(C37,Программа!A$2:B$5063,2))</f>
        <v>#N/A</v>
      </c>
      <c r="C37" s="368">
        <v>120</v>
      </c>
      <c r="D37" s="369" t="e">
        <f>SUMIFS(Пр.10!#REF!,Пр.10!$D$10:$D$1006,C37)</f>
        <v>#REF!</v>
      </c>
      <c r="E37" s="369">
        <f>SUMIFS(Пр.10!$G$10:$G$1006,Пр.10!$D$10:$D$1006,C37)</f>
        <v>0</v>
      </c>
      <c r="F37" s="369" t="e">
        <f>SUMIFS(Пр.10!#REF!,Пр.10!$D$10:$D$1006,C37)</f>
        <v>#REF!</v>
      </c>
      <c r="G37" s="369" t="e">
        <f>SUMIFS(Пр.10!#REF!,Пр.10!$D$10:$D$1006,C37)</f>
        <v>#REF!</v>
      </c>
      <c r="H37" s="369">
        <f>SUMIFS(Пр.10!$H$10:$H$1006,Пр.10!$D$10:$D$1006,C37)</f>
        <v>0</v>
      </c>
      <c r="I37" s="369" t="e">
        <f>SUMIFS(Пр.10!#REF!,Пр.10!$D$10:$D$1006,C37)</f>
        <v>#REF!</v>
      </c>
    </row>
    <row r="38" spans="1:9" ht="16.2" thickBot="1">
      <c r="A38" s="374" t="s">
        <v>2444</v>
      </c>
      <c r="B38" s="367" t="e">
        <f>IF(C38&gt;0,VLOOKUP(C38,Программа!A$2:B$5063,2))</f>
        <v>#N/A</v>
      </c>
      <c r="C38" s="368">
        <v>121</v>
      </c>
      <c r="D38" s="369" t="e">
        <f>SUMIFS(Пр.10!#REF!,Пр.10!$D$10:$D$1006,C38)</f>
        <v>#REF!</v>
      </c>
      <c r="E38" s="369">
        <f>SUMIFS(Пр.10!$G$10:$G$1006,Пр.10!$D$10:$D$1006,C38)</f>
        <v>0</v>
      </c>
      <c r="F38" s="369" t="e">
        <f>SUMIFS(Пр.10!#REF!,Пр.10!$D$10:$D$1006,C38)</f>
        <v>#REF!</v>
      </c>
      <c r="G38" s="369" t="e">
        <f>SUMIFS(Пр.10!#REF!,Пр.10!$D$10:$D$1006,C38)</f>
        <v>#REF!</v>
      </c>
      <c r="H38" s="369">
        <f>SUMIFS(Пр.10!$H$10:$H$1006,Пр.10!$D$10:$D$1006,C38)</f>
        <v>0</v>
      </c>
      <c r="I38" s="369" t="e">
        <f>SUMIFS(Пр.10!#REF!,Пр.10!$D$10:$D$1006,C38)</f>
        <v>#REF!</v>
      </c>
    </row>
    <row r="39" spans="1:9" ht="16.2" thickBot="1">
      <c r="A39" s="374" t="s">
        <v>2445</v>
      </c>
      <c r="B39" s="367" t="e">
        <f>IF(C39&gt;0,VLOOKUP(C39,Программа!A$2:B$5063,2))</f>
        <v>#N/A</v>
      </c>
      <c r="C39" s="368">
        <v>130</v>
      </c>
      <c r="D39" s="369" t="e">
        <f>SUMIFS(Пр.10!#REF!,Пр.10!$D$10:$D$1006,C39)</f>
        <v>#REF!</v>
      </c>
      <c r="E39" s="369">
        <f>SUMIFS(Пр.10!$G$10:$G$1006,Пр.10!$D$10:$D$1006,C39)</f>
        <v>0</v>
      </c>
      <c r="F39" s="369" t="e">
        <f>SUMIFS(Пр.10!#REF!,Пр.10!$D$10:$D$1006,C39)</f>
        <v>#REF!</v>
      </c>
      <c r="G39" s="369" t="e">
        <f>SUMIFS(Пр.10!#REF!,Пр.10!$D$10:$D$1006,C39)</f>
        <v>#REF!</v>
      </c>
      <c r="H39" s="369">
        <f>SUMIFS(Пр.10!$H$10:$H$1006,Пр.10!$D$10:$D$1006,C39)</f>
        <v>0</v>
      </c>
      <c r="I39" s="369" t="e">
        <f>SUMIFS(Пр.10!#REF!,Пр.10!$D$10:$D$1006,C39)</f>
        <v>#REF!</v>
      </c>
    </row>
    <row r="40" spans="1:9" ht="16.2" thickBot="1">
      <c r="A40" s="376" t="s">
        <v>2446</v>
      </c>
      <c r="B40" s="367" t="e">
        <f>IF(C40&gt;0,VLOOKUP(C40,Программа!A$2:B$5063,2))</f>
        <v>#N/A</v>
      </c>
      <c r="C40" s="368">
        <v>131</v>
      </c>
      <c r="D40" s="369" t="e">
        <f>SUMIFS(Пр.10!#REF!,Пр.10!$D$10:$D$1006,C40)</f>
        <v>#REF!</v>
      </c>
      <c r="E40" s="369">
        <f>SUMIFS(Пр.10!$G$10:$G$1006,Пр.10!$D$10:$D$1006,C40)</f>
        <v>0</v>
      </c>
      <c r="F40" s="369" t="e">
        <f>SUMIFS(Пр.10!#REF!,Пр.10!$D$10:$D$1006,C40)</f>
        <v>#REF!</v>
      </c>
      <c r="G40" s="369" t="e">
        <f>SUMIFS(Пр.10!#REF!,Пр.10!$D$10:$D$1006,C40)</f>
        <v>#REF!</v>
      </c>
      <c r="H40" s="369">
        <f>SUMIFS(Пр.10!$H$10:$H$1006,Пр.10!$D$10:$D$1006,C40)</f>
        <v>0</v>
      </c>
      <c r="I40" s="369" t="e">
        <f>SUMIFS(Пр.10!#REF!,Пр.10!$D$10:$D$1006,C40)</f>
        <v>#REF!</v>
      </c>
    </row>
    <row r="41" spans="1:9" ht="16.2" thickBot="1">
      <c r="A41" s="374" t="s">
        <v>295</v>
      </c>
      <c r="B41" s="367" t="e">
        <f>IF(C41&gt;0,VLOOKUP(C41,Программа!A$2:B$5063,2))</f>
        <v>#N/A</v>
      </c>
      <c r="C41" s="368">
        <v>140</v>
      </c>
      <c r="D41" s="369" t="e">
        <f>SUMIFS(Пр.10!#REF!,Пр.10!$D$10:$D$1006,C41)</f>
        <v>#REF!</v>
      </c>
      <c r="E41" s="369">
        <f>SUMIFS(Пр.10!$G$10:$G$1006,Пр.10!$D$10:$D$1006,C41)</f>
        <v>0</v>
      </c>
      <c r="F41" s="369" t="e">
        <f>SUMIFS(Пр.10!#REF!,Пр.10!$D$10:$D$1006,C41)</f>
        <v>#REF!</v>
      </c>
      <c r="G41" s="369" t="e">
        <f>SUMIFS(Пр.10!#REF!,Пр.10!$D$10:$D$1006,C41)</f>
        <v>#REF!</v>
      </c>
      <c r="H41" s="369">
        <f>SUMIFS(Пр.10!$H$10:$H$1006,Пр.10!$D$10:$D$1006,C41)</f>
        <v>0</v>
      </c>
      <c r="I41" s="369" t="e">
        <f>SUMIFS(Пр.10!#REF!,Пр.10!$D$10:$D$1006,C41)</f>
        <v>#REF!</v>
      </c>
    </row>
    <row r="42" spans="1:9" ht="16.2" hidden="1" thickBot="1">
      <c r="A42" s="376" t="s">
        <v>2447</v>
      </c>
      <c r="B42" s="367" t="e">
        <f>IF(C42&gt;0,VLOOKUP(C42,Программа!A$2:B$5063,2))</f>
        <v>#N/A</v>
      </c>
      <c r="C42" s="368">
        <v>141</v>
      </c>
      <c r="D42" s="369" t="e">
        <f>SUMIFS(Пр.10!#REF!,Пр.10!$D$10:$D$1006,C42)</f>
        <v>#REF!</v>
      </c>
      <c r="E42" s="369">
        <f>SUMIFS(Пр.10!$G$10:$G$1006,Пр.10!$D$10:$D$1006,C42)</f>
        <v>0</v>
      </c>
      <c r="F42" s="369" t="e">
        <f>SUMIFS(Пр.10!#REF!,Пр.10!$D$10:$D$1006,C42)</f>
        <v>#REF!</v>
      </c>
      <c r="G42" s="369" t="e">
        <f>SUMIFS(Пр.10!#REF!,Пр.10!$D$10:$D$1006,C42)</f>
        <v>#REF!</v>
      </c>
      <c r="H42" s="369">
        <f>SUMIFS(Пр.10!$H$10:$H$1006,Пр.10!$D$10:$D$1006,C42)</f>
        <v>0</v>
      </c>
      <c r="I42" s="369" t="e">
        <f>SUMIFS(Пр.10!#REF!,Пр.10!$D$10:$D$1006,C42)</f>
        <v>#REF!</v>
      </c>
    </row>
    <row r="43" spans="1:9" ht="16.2" thickBot="1">
      <c r="A43" s="376" t="s">
        <v>2448</v>
      </c>
      <c r="B43" s="367" t="e">
        <f>IF(C43&gt;0,VLOOKUP(C43,Программа!A$2:B$5063,2))</f>
        <v>#N/A</v>
      </c>
      <c r="C43" s="368">
        <v>142</v>
      </c>
      <c r="D43" s="369" t="e">
        <f>SUMIFS(Пр.10!#REF!,Пр.10!$D$10:$D$1006,C43)</f>
        <v>#REF!</v>
      </c>
      <c r="E43" s="369">
        <f>SUMIFS(Пр.10!$G$10:$G$1006,Пр.10!$D$10:$D$1006,C43)</f>
        <v>0</v>
      </c>
      <c r="F43" s="369" t="e">
        <f>SUMIFS(Пр.10!#REF!,Пр.10!$D$10:$D$1006,C43)</f>
        <v>#REF!</v>
      </c>
      <c r="G43" s="369" t="e">
        <f>SUMIFS(Пр.10!#REF!,Пр.10!$D$10:$D$1006,C43)</f>
        <v>#REF!</v>
      </c>
      <c r="H43" s="369">
        <f>SUMIFS(Пр.10!$H$10:$H$1006,Пр.10!$D$10:$D$1006,C43)</f>
        <v>0</v>
      </c>
      <c r="I43" s="369" t="e">
        <f>SUMIFS(Пр.10!#REF!,Пр.10!$D$10:$D$1006,C43)</f>
        <v>#REF!</v>
      </c>
    </row>
    <row r="44" spans="1:9" ht="16.2" thickBot="1">
      <c r="A44" s="374" t="s">
        <v>2449</v>
      </c>
      <c r="B44" s="367" t="e">
        <f>IF(C44&gt;0,VLOOKUP(C44,Программа!A$2:B$5063,2))</f>
        <v>#N/A</v>
      </c>
      <c r="C44" s="368">
        <v>150</v>
      </c>
      <c r="D44" s="369" t="e">
        <f>SUMIFS(Пр.10!#REF!,Пр.10!$D$10:$D$1006,C44)</f>
        <v>#REF!</v>
      </c>
      <c r="E44" s="369">
        <f>SUMIFS(Пр.10!$G$10:$G$1006,Пр.10!$D$10:$D$1006,C44)</f>
        <v>0</v>
      </c>
      <c r="F44" s="369" t="e">
        <f>SUMIFS(Пр.10!#REF!,Пр.10!$D$10:$D$1006,C44)</f>
        <v>#REF!</v>
      </c>
      <c r="G44" s="369" t="e">
        <f>SUMIFS(Пр.10!#REF!,Пр.10!$D$10:$D$1006,C44)</f>
        <v>#REF!</v>
      </c>
      <c r="H44" s="369">
        <f>SUMIFS(Пр.10!$H$10:$H$1006,Пр.10!$D$10:$D$1006,C44)</f>
        <v>0</v>
      </c>
      <c r="I44" s="369" t="e">
        <f>SUMIFS(Пр.10!#REF!,Пр.10!$D$10:$D$1006,C44)</f>
        <v>#REF!</v>
      </c>
    </row>
    <row r="45" spans="1:9" ht="16.2" thickBot="1">
      <c r="A45" s="376" t="s">
        <v>2450</v>
      </c>
      <c r="B45" s="367" t="e">
        <f>IF(C45&gt;0,VLOOKUP(C45,Программа!A$2:B$5063,2))</f>
        <v>#N/A</v>
      </c>
      <c r="C45" s="368">
        <v>151</v>
      </c>
      <c r="D45" s="369" t="e">
        <f>SUMIFS(Пр.10!#REF!,Пр.10!$D$10:$D$1006,C45)</f>
        <v>#REF!</v>
      </c>
      <c r="E45" s="369">
        <f>SUMIFS(Пр.10!$G$10:$G$1006,Пр.10!$D$10:$D$1006,C45)</f>
        <v>0</v>
      </c>
      <c r="F45" s="369" t="e">
        <f>SUMIFS(Пр.10!#REF!,Пр.10!$D$10:$D$1006,C45)</f>
        <v>#REF!</v>
      </c>
      <c r="G45" s="369" t="e">
        <f>SUMIFS(Пр.10!#REF!,Пр.10!$D$10:$D$1006,C45)</f>
        <v>#REF!</v>
      </c>
      <c r="H45" s="369">
        <f>SUMIFS(Пр.10!$H$10:$H$1006,Пр.10!$D$10:$D$1006,C45)</f>
        <v>0</v>
      </c>
      <c r="I45" s="369" t="e">
        <f>SUMIFS(Пр.10!#REF!,Пр.10!$D$10:$D$1006,C45)</f>
        <v>#REF!</v>
      </c>
    </row>
    <row r="46" spans="1:9" ht="16.2" thickBot="1">
      <c r="A46" s="376" t="s">
        <v>2451</v>
      </c>
      <c r="B46" s="367" t="e">
        <f>IF(C46&gt;0,VLOOKUP(C46,Программа!A$2:B$5063,2))</f>
        <v>#N/A</v>
      </c>
      <c r="C46" s="368">
        <v>152</v>
      </c>
      <c r="D46" s="369" t="e">
        <f>SUMIFS(Пр.10!#REF!,Пр.10!$D$10:$D$1006,C46)</f>
        <v>#REF!</v>
      </c>
      <c r="E46" s="369">
        <f>SUMIFS(Пр.10!$G$10:$G$1006,Пр.10!$D$10:$D$1006,C46)</f>
        <v>0</v>
      </c>
      <c r="F46" s="369" t="e">
        <f>SUMIFS(Пр.10!#REF!,Пр.10!$D$10:$D$1006,C46)</f>
        <v>#REF!</v>
      </c>
      <c r="G46" s="369" t="e">
        <f>SUMIFS(Пр.10!#REF!,Пр.10!$D$10:$D$1006,C46)</f>
        <v>#REF!</v>
      </c>
      <c r="H46" s="369">
        <f>SUMIFS(Пр.10!$H$10:$H$1006,Пр.10!$D$10:$D$1006,C46)</f>
        <v>0</v>
      </c>
      <c r="I46" s="369" t="e">
        <f>SUMIFS(Пр.10!#REF!,Пр.10!$D$10:$D$1006,C46)</f>
        <v>#REF!</v>
      </c>
    </row>
    <row r="47" spans="1:9" ht="16.2" thickBot="1">
      <c r="A47" s="374" t="s">
        <v>296</v>
      </c>
      <c r="B47" s="367" t="e">
        <f>IF(C47&gt;0,VLOOKUP(C47,Программа!A$2:B$5063,2))</f>
        <v>#N/A</v>
      </c>
      <c r="C47" s="368">
        <v>160</v>
      </c>
      <c r="D47" s="369" t="e">
        <f>SUMIFS(Пр.10!#REF!,Пр.10!$D$10:$D$1006,C47)</f>
        <v>#REF!</v>
      </c>
      <c r="E47" s="369">
        <f>SUMIFS(Пр.10!$G$10:$G$1006,Пр.10!$D$10:$D$1006,C47)</f>
        <v>0</v>
      </c>
      <c r="F47" s="369" t="e">
        <f>SUMIFS(Пр.10!#REF!,Пр.10!$D$10:$D$1006,C47)</f>
        <v>#REF!</v>
      </c>
      <c r="G47" s="369" t="e">
        <f>SUMIFS(Пр.10!#REF!,Пр.10!$D$10:$D$1006,C47)</f>
        <v>#REF!</v>
      </c>
      <c r="H47" s="369">
        <f>SUMIFS(Пр.10!$H$10:$H$1006,Пр.10!$D$10:$D$1006,C47)</f>
        <v>0</v>
      </c>
      <c r="I47" s="369" t="e">
        <f>SUMIFS(Пр.10!#REF!,Пр.10!$D$10:$D$1006,C47)</f>
        <v>#REF!</v>
      </c>
    </row>
    <row r="48" spans="1:9" ht="16.2" thickBot="1">
      <c r="A48" s="376" t="s">
        <v>2452</v>
      </c>
      <c r="B48" s="367" t="e">
        <f>IF(C48&gt;0,VLOOKUP(C48,Программа!A$2:B$5063,2))</f>
        <v>#N/A</v>
      </c>
      <c r="C48" s="368">
        <v>161</v>
      </c>
      <c r="D48" s="369" t="e">
        <f>SUMIFS(Пр.10!#REF!,Пр.10!$D$10:$D$1006,C48)</f>
        <v>#REF!</v>
      </c>
      <c r="E48" s="369">
        <f>SUMIFS(Пр.10!$G$10:$G$1006,Пр.10!$D$10:$D$1006,C48)</f>
        <v>0</v>
      </c>
      <c r="F48" s="369" t="e">
        <f>SUMIFS(Пр.10!#REF!,Пр.10!$D$10:$D$1006,C48)</f>
        <v>#REF!</v>
      </c>
      <c r="G48" s="369" t="e">
        <f>SUMIFS(Пр.10!#REF!,Пр.10!$D$10:$D$1006,C48)</f>
        <v>#REF!</v>
      </c>
      <c r="H48" s="369">
        <f>SUMIFS(Пр.10!$H$10:$H$1006,Пр.10!$D$10:$D$1006,C48)</f>
        <v>0</v>
      </c>
      <c r="I48" s="369" t="e">
        <f>SUMIFS(Пр.10!#REF!,Пр.10!$D$10:$D$1006,C48)</f>
        <v>#REF!</v>
      </c>
    </row>
    <row r="49" spans="1:9" ht="16.2" thickBot="1">
      <c r="A49" s="376"/>
      <c r="B49" s="370" t="s">
        <v>1148</v>
      </c>
      <c r="C49" s="381"/>
      <c r="D49" s="372" t="e">
        <f>D10+D14+D17+D20+D22+D24+D26+D29+D31+D33+D35+D37+D39+D41+D44+D47</f>
        <v>#REF!</v>
      </c>
      <c r="E49" s="372">
        <f t="shared" ref="E49:I49" si="0">E10+E14+E17+E20+E22+E24+E26+E29+E31+E33+E35+E37+E39+E41+E44+E47</f>
        <v>0</v>
      </c>
      <c r="F49" s="372" t="e">
        <f t="shared" si="0"/>
        <v>#REF!</v>
      </c>
      <c r="G49" s="372" t="e">
        <f t="shared" si="0"/>
        <v>#REF!</v>
      </c>
      <c r="H49" s="372">
        <f t="shared" si="0"/>
        <v>0</v>
      </c>
      <c r="I49" s="372" t="e">
        <f t="shared" si="0"/>
        <v>#REF!</v>
      </c>
    </row>
    <row r="50" spans="1:9" ht="31.5" customHeight="1" thickBot="1">
      <c r="A50" s="374" t="s">
        <v>2453</v>
      </c>
      <c r="B50" s="367" t="e">
        <f>IF(C50&gt;0,VLOOKUP(C50,Программа!A$2:B$5063,2))</f>
        <v>#N/A</v>
      </c>
      <c r="C50" s="368">
        <v>409</v>
      </c>
      <c r="D50" s="369" t="e">
        <f>SUMIFS(Пр.10!#REF!,Пр.10!$D$10:$D$1006,C50)</f>
        <v>#REF!</v>
      </c>
      <c r="E50" s="369">
        <f>SUMIFS(Пр.10!$G$10:$G$1006,Пр.10!$D$10:$D$1006,C50)</f>
        <v>0</v>
      </c>
      <c r="F50" s="369" t="e">
        <f>SUMIFS(Пр.10!#REF!,Пр.10!$D$10:$D$1006,C50)</f>
        <v>#REF!</v>
      </c>
      <c r="G50" s="369" t="e">
        <f>SUMIFS(Пр.10!#REF!,Пр.10!$D$10:$D$1006,C50)</f>
        <v>#REF!</v>
      </c>
      <c r="H50" s="369">
        <f>SUMIFS(Пр.10!$H$10:$H$1006,Пр.10!$D$10:$D$1006,C50)</f>
        <v>0</v>
      </c>
      <c r="I50" s="369" t="e">
        <f>SUMIFS(Пр.10!#REF!,Пр.10!$D$10:$D$1006,C50)</f>
        <v>#REF!</v>
      </c>
    </row>
    <row r="51" spans="1:9" ht="16.2" thickBot="1">
      <c r="A51" s="374" t="s">
        <v>2454</v>
      </c>
      <c r="B51" s="367" t="e">
        <f>IF(C51&gt;0,VLOOKUP(C51,Программа!A$2:B$5063,2))</f>
        <v>#N/A</v>
      </c>
      <c r="C51" s="368">
        <v>990</v>
      </c>
      <c r="D51" s="369" t="e">
        <f>SUMIFS(Пр.10!#REF!,Пр.10!$D$10:$D$1006,C51)</f>
        <v>#REF!</v>
      </c>
      <c r="E51" s="369">
        <f>SUMIFS(Пр.10!$G$10:$G$1006,Пр.10!$D$10:$D$1006,C51)</f>
        <v>0</v>
      </c>
      <c r="F51" s="369" t="e">
        <f>SUMIFS(Пр.10!#REF!,Пр.10!$D$10:$D$1006,C51)</f>
        <v>#REF!</v>
      </c>
      <c r="G51" s="369" t="e">
        <f>SUMIFS(Пр.10!#REF!,Пр.10!$D$10:$D$1006,C51)</f>
        <v>#REF!</v>
      </c>
      <c r="H51" s="369">
        <f>SUMIFS(Пр.10!$H$10:$H$1006,Пр.10!$D$10:$D$1006,C51)</f>
        <v>0</v>
      </c>
      <c r="I51" s="369" t="e">
        <f>SUMIFS(Пр.10!#REF!,Пр.10!$D$10:$D$1006,C51)</f>
        <v>#REF!</v>
      </c>
    </row>
    <row r="52" spans="1:9" ht="16.2" thickBot="1">
      <c r="A52" s="338"/>
      <c r="B52" s="370" t="s">
        <v>2457</v>
      </c>
      <c r="C52" s="371"/>
      <c r="D52" s="372" t="e">
        <f t="shared" ref="D52:I52" si="1">D51+D50+D47+D44+D41+D39+D37+D35+D33+D31+D29+D26+D24+D22+D20+D17+D14+D10</f>
        <v>#REF!</v>
      </c>
      <c r="E52" s="372">
        <f t="shared" si="1"/>
        <v>0</v>
      </c>
      <c r="F52" s="372" t="e">
        <f t="shared" si="1"/>
        <v>#REF!</v>
      </c>
      <c r="G52" s="372" t="e">
        <f t="shared" si="1"/>
        <v>#REF!</v>
      </c>
      <c r="H52" s="372">
        <f t="shared" si="1"/>
        <v>0</v>
      </c>
      <c r="I52" s="372" t="e">
        <f t="shared" si="1"/>
        <v>#REF!</v>
      </c>
    </row>
    <row r="53" spans="1:9">
      <c r="C53" s="264"/>
      <c r="D53" s="264"/>
    </row>
    <row r="54" spans="1:9">
      <c r="C54" s="264"/>
      <c r="D54" s="264"/>
    </row>
    <row r="55" spans="1:9">
      <c r="C55" s="264"/>
      <c r="D55" s="264"/>
    </row>
    <row r="56" spans="1:9">
      <c r="C56" s="264"/>
      <c r="D56" s="264"/>
    </row>
    <row r="57" spans="1:9">
      <c r="C57" s="264"/>
      <c r="D57" s="264"/>
    </row>
    <row r="58" spans="1:9">
      <c r="C58" s="264"/>
      <c r="D58" s="264"/>
    </row>
    <row r="59" spans="1:9">
      <c r="C59" s="264"/>
      <c r="D59" s="264"/>
    </row>
    <row r="60" spans="1:9">
      <c r="C60" s="264"/>
      <c r="D60" s="264"/>
    </row>
    <row r="61" spans="1:9">
      <c r="C61" s="264"/>
      <c r="D61" s="264"/>
    </row>
    <row r="62" spans="1:9">
      <c r="C62" s="264"/>
      <c r="D62" s="264"/>
    </row>
    <row r="63" spans="1:9">
      <c r="C63" s="264"/>
      <c r="D63" s="264"/>
    </row>
    <row r="64" spans="1:9">
      <c r="C64" s="264"/>
      <c r="D64" s="264"/>
    </row>
    <row r="65" spans="3:4">
      <c r="C65" s="264"/>
      <c r="D65" s="264"/>
    </row>
    <row r="66" spans="3:4">
      <c r="C66" s="264"/>
      <c r="D66" s="264"/>
    </row>
    <row r="67" spans="3:4">
      <c r="C67" s="264"/>
      <c r="D67" s="264"/>
    </row>
    <row r="68" spans="3:4">
      <c r="C68" s="264"/>
      <c r="D68" s="264"/>
    </row>
    <row r="69" spans="3:4">
      <c r="C69" s="264"/>
      <c r="D69" s="264"/>
    </row>
    <row r="70" spans="3:4">
      <c r="C70" s="264"/>
      <c r="D70" s="264"/>
    </row>
    <row r="71" spans="3:4">
      <c r="C71" s="264"/>
      <c r="D71" s="264"/>
    </row>
    <row r="72" spans="3:4">
      <c r="C72" s="264"/>
      <c r="D72" s="264"/>
    </row>
    <row r="73" spans="3:4">
      <c r="C73" s="264"/>
      <c r="D73" s="264"/>
    </row>
    <row r="74" spans="3:4">
      <c r="C74" s="264"/>
      <c r="D74" s="264"/>
    </row>
    <row r="75" spans="3:4">
      <c r="C75" s="264"/>
      <c r="D75" s="264"/>
    </row>
    <row r="76" spans="3:4">
      <c r="C76" s="264"/>
      <c r="D76" s="264"/>
    </row>
    <row r="77" spans="3:4">
      <c r="C77" s="264"/>
      <c r="D77" s="264"/>
    </row>
    <row r="78" spans="3:4">
      <c r="C78" s="264"/>
      <c r="D78" s="264"/>
    </row>
    <row r="79" spans="3:4">
      <c r="C79" s="264"/>
      <c r="D79" s="264"/>
    </row>
    <row r="80" spans="3:4">
      <c r="C80" s="264"/>
      <c r="D80" s="264"/>
    </row>
    <row r="81" spans="3:4">
      <c r="C81" s="264"/>
      <c r="D81" s="264"/>
    </row>
    <row r="82" spans="3:4">
      <c r="C82" s="264"/>
      <c r="D82" s="264"/>
    </row>
    <row r="83" spans="3:4">
      <c r="C83" s="264"/>
      <c r="D83" s="264"/>
    </row>
    <row r="84" spans="3:4">
      <c r="C84" s="264"/>
      <c r="D84" s="264"/>
    </row>
    <row r="85" spans="3:4">
      <c r="C85" s="264"/>
      <c r="D85" s="264"/>
    </row>
    <row r="86" spans="3:4">
      <c r="C86" s="264"/>
      <c r="D86" s="264"/>
    </row>
    <row r="87" spans="3:4">
      <c r="C87" s="264"/>
      <c r="D87" s="264"/>
    </row>
    <row r="88" spans="3:4">
      <c r="C88" s="264"/>
      <c r="D88" s="264"/>
    </row>
    <row r="89" spans="3:4">
      <c r="C89" s="264"/>
      <c r="D89" s="264"/>
    </row>
    <row r="90" spans="3:4">
      <c r="C90" s="264"/>
      <c r="D90" s="264"/>
    </row>
    <row r="91" spans="3:4">
      <c r="C91" s="264"/>
      <c r="D91" s="264"/>
    </row>
    <row r="92" spans="3:4">
      <c r="C92" s="264"/>
      <c r="D92" s="264"/>
    </row>
    <row r="93" spans="3:4">
      <c r="C93" s="264"/>
      <c r="D93" s="264"/>
    </row>
    <row r="94" spans="3:4">
      <c r="C94" s="264"/>
      <c r="D94" s="264"/>
    </row>
    <row r="95" spans="3:4">
      <c r="C95" s="264"/>
      <c r="D95" s="264"/>
    </row>
    <row r="96" spans="3:4">
      <c r="C96" s="264"/>
      <c r="D96" s="264"/>
    </row>
    <row r="97" spans="3:4">
      <c r="C97" s="264"/>
      <c r="D97" s="264"/>
    </row>
    <row r="98" spans="3:4">
      <c r="C98" s="264"/>
      <c r="D98" s="264"/>
    </row>
    <row r="99" spans="3:4">
      <c r="C99" s="264"/>
      <c r="D99" s="264"/>
    </row>
    <row r="100" spans="3:4">
      <c r="C100" s="264"/>
      <c r="D100" s="264"/>
    </row>
    <row r="101" spans="3:4">
      <c r="C101" s="264"/>
      <c r="D101" s="264"/>
    </row>
    <row r="102" spans="3:4">
      <c r="C102" s="264"/>
      <c r="D102" s="264"/>
    </row>
    <row r="103" spans="3:4">
      <c r="C103" s="264"/>
      <c r="D103" s="264"/>
    </row>
    <row r="104" spans="3:4">
      <c r="C104" s="264"/>
      <c r="D104" s="264"/>
    </row>
    <row r="105" spans="3:4">
      <c r="C105" s="264"/>
      <c r="D105" s="264"/>
    </row>
    <row r="106" spans="3:4">
      <c r="C106" s="264"/>
      <c r="D106" s="264"/>
    </row>
    <row r="107" spans="3:4">
      <c r="C107" s="264"/>
      <c r="D107" s="264"/>
    </row>
    <row r="108" spans="3:4">
      <c r="C108" s="264"/>
      <c r="D108" s="264"/>
    </row>
    <row r="109" spans="3:4">
      <c r="C109" s="264"/>
      <c r="D109" s="264"/>
    </row>
    <row r="110" spans="3:4">
      <c r="C110" s="264"/>
      <c r="D110" s="264"/>
    </row>
    <row r="111" spans="3:4">
      <c r="C111" s="264"/>
      <c r="D111" s="264"/>
    </row>
    <row r="112" spans="3:4">
      <c r="C112" s="264"/>
      <c r="D112" s="264"/>
    </row>
    <row r="113" spans="3:4">
      <c r="C113" s="264"/>
      <c r="D113" s="264"/>
    </row>
    <row r="114" spans="3:4">
      <c r="C114" s="264"/>
      <c r="D114" s="264"/>
    </row>
    <row r="115" spans="3:4">
      <c r="C115" s="264"/>
      <c r="D115" s="264"/>
    </row>
    <row r="116" spans="3:4">
      <c r="C116" s="264"/>
      <c r="D116" s="264"/>
    </row>
    <row r="117" spans="3:4">
      <c r="C117" s="264"/>
      <c r="D117" s="264"/>
    </row>
    <row r="118" spans="3:4">
      <c r="C118" s="264"/>
      <c r="D118" s="264"/>
    </row>
    <row r="119" spans="3:4">
      <c r="C119" s="264"/>
      <c r="D119" s="264"/>
    </row>
    <row r="120" spans="3:4">
      <c r="C120" s="264"/>
      <c r="D120" s="264"/>
    </row>
    <row r="121" spans="3:4">
      <c r="C121" s="264"/>
      <c r="D121" s="264"/>
    </row>
    <row r="122" spans="3:4">
      <c r="C122" s="264"/>
      <c r="D122" s="264"/>
    </row>
    <row r="123" spans="3:4">
      <c r="C123" s="264"/>
      <c r="D123" s="264"/>
    </row>
  </sheetData>
  <mergeCells count="16">
    <mergeCell ref="E7:I7"/>
    <mergeCell ref="A8:A9"/>
    <mergeCell ref="B8:B9"/>
    <mergeCell ref="C8:C9"/>
    <mergeCell ref="I8:I9"/>
    <mergeCell ref="F8:F9"/>
    <mergeCell ref="D8:D9"/>
    <mergeCell ref="E8:E9"/>
    <mergeCell ref="G8:G9"/>
    <mergeCell ref="H8:H9"/>
    <mergeCell ref="A6:I6"/>
    <mergeCell ref="A1:I1"/>
    <mergeCell ref="A2:I2"/>
    <mergeCell ref="A3:I3"/>
    <mergeCell ref="A4:I4"/>
    <mergeCell ref="E5:I5"/>
  </mergeCells>
  <pageMargins left="0.70866141732283472" right="0.70866141732283472" top="0.74803149606299213" bottom="0.74803149606299213" header="0.31496062992125984" footer="0.31496062992125984"/>
  <pageSetup paperSize="9" scale="95" fitToHeight="0" orientation="portrait" r:id="rId1"/>
  <headerFooter alignWithMargins="0">
    <oddFooter>&amp;C&amp;P</oddFooter>
  </headerFooter>
</worksheet>
</file>

<file path=xl/worksheets/sheet18.xml><?xml version="1.0" encoding="utf-8"?>
<worksheet xmlns="http://schemas.openxmlformats.org/spreadsheetml/2006/main" xmlns:r="http://schemas.openxmlformats.org/officeDocument/2006/relationships">
  <sheetPr codeName="Лист14"/>
  <dimension ref="A1:G419"/>
  <sheetViews>
    <sheetView showGridLines="0" view="pageBreakPreview" zoomScale="115" zoomScaleSheetLayoutView="115" workbookViewId="0">
      <selection activeCell="A4" sqref="A4:D4"/>
    </sheetView>
  </sheetViews>
  <sheetFormatPr defaultColWidth="9.109375" defaultRowHeight="15.6"/>
  <cols>
    <col min="1" max="1" width="50.44140625" style="284" customWidth="1"/>
    <col min="2" max="2" width="18" style="284" customWidth="1"/>
    <col min="3" max="3" width="14.88671875" style="284" customWidth="1"/>
    <col min="4" max="4" width="0.33203125" style="284" customWidth="1"/>
    <col min="5" max="7" width="9.109375" style="284"/>
    <col min="8" max="8" width="43.44140625" style="284" customWidth="1"/>
    <col min="9" max="16384" width="9.109375" style="284"/>
  </cols>
  <sheetData>
    <row r="1" spans="1:4">
      <c r="A1" s="892" t="s">
        <v>52</v>
      </c>
      <c r="B1" s="892"/>
      <c r="C1" s="892"/>
      <c r="D1" s="892"/>
    </row>
    <row r="2" spans="1:4">
      <c r="A2" s="892" t="s">
        <v>1069</v>
      </c>
      <c r="B2" s="892"/>
      <c r="C2" s="892"/>
      <c r="D2" s="892"/>
    </row>
    <row r="3" spans="1:4">
      <c r="A3" s="892" t="s">
        <v>720</v>
      </c>
      <c r="B3" s="892"/>
      <c r="C3" s="892"/>
      <c r="D3" s="892"/>
    </row>
    <row r="4" spans="1:4">
      <c r="A4" s="892" t="s">
        <v>2479</v>
      </c>
      <c r="B4" s="892"/>
      <c r="C4" s="892"/>
      <c r="D4" s="892"/>
    </row>
    <row r="5" spans="1:4" ht="15.75" customHeight="1">
      <c r="A5" s="281"/>
      <c r="B5" s="281"/>
      <c r="C5" s="281"/>
    </row>
    <row r="7" spans="1:4" ht="41.25" customHeight="1">
      <c r="A7" s="901" t="s">
        <v>2286</v>
      </c>
      <c r="B7" s="901"/>
      <c r="C7" s="901"/>
      <c r="D7" s="901"/>
    </row>
    <row r="8" spans="1:4" ht="14.25" customHeight="1">
      <c r="A8" s="285"/>
      <c r="B8" s="285"/>
      <c r="C8" s="285"/>
      <c r="D8" s="285"/>
    </row>
    <row r="9" spans="1:4" ht="34.5" customHeight="1">
      <c r="A9" s="902" t="s">
        <v>1644</v>
      </c>
      <c r="B9" s="902"/>
      <c r="C9" s="902"/>
      <c r="D9" s="903"/>
    </row>
    <row r="10" spans="1:4" ht="98.25" customHeight="1">
      <c r="A10" s="280" t="s">
        <v>1645</v>
      </c>
      <c r="B10" s="280" t="s">
        <v>2110</v>
      </c>
      <c r="C10" s="280" t="s">
        <v>2111</v>
      </c>
      <c r="D10" s="143"/>
    </row>
    <row r="11" spans="1:4" ht="26.25" customHeight="1">
      <c r="A11" s="286" t="s">
        <v>1395</v>
      </c>
      <c r="B11" s="287">
        <f>1670000+C11</f>
        <v>1830000</v>
      </c>
      <c r="C11" s="283">
        <v>160000</v>
      </c>
      <c r="D11" s="288"/>
    </row>
    <row r="12" spans="1:4" ht="30.75" customHeight="1">
      <c r="A12" s="286" t="s">
        <v>655</v>
      </c>
      <c r="B12" s="287">
        <f>1810000+C12</f>
        <v>2184000</v>
      </c>
      <c r="C12" s="283">
        <v>374000</v>
      </c>
      <c r="D12" s="288"/>
    </row>
    <row r="13" spans="1:4" ht="27" customHeight="1">
      <c r="A13" s="289" t="s">
        <v>1148</v>
      </c>
      <c r="B13" s="290">
        <f>SUM(B11:B12)</f>
        <v>4014000</v>
      </c>
      <c r="C13" s="290">
        <f>SUM(C11:C12)</f>
        <v>534000</v>
      </c>
      <c r="D13" s="291"/>
    </row>
    <row r="224" ht="54.75" customHeight="1"/>
    <row r="225" ht="27" customHeight="1"/>
    <row r="226" ht="85.5" customHeight="1"/>
    <row r="227" ht="27" customHeight="1"/>
    <row r="228" ht="38.25" customHeight="1"/>
    <row r="234" ht="54" customHeight="1"/>
    <row r="235" ht="37.5" customHeight="1"/>
    <row r="236" ht="69.75" customHeight="1"/>
    <row r="274" spans="1:6">
      <c r="A274" s="292"/>
      <c r="B274" s="292"/>
      <c r="C274" s="292"/>
      <c r="D274" s="292"/>
      <c r="E274" s="292"/>
      <c r="F274" s="292"/>
    </row>
    <row r="275" spans="1:6">
      <c r="A275" s="292"/>
      <c r="B275" s="292"/>
      <c r="C275" s="292"/>
      <c r="D275" s="292"/>
      <c r="E275" s="292"/>
      <c r="F275" s="292"/>
    </row>
    <row r="276" spans="1:6">
      <c r="A276" s="292"/>
      <c r="B276" s="292"/>
      <c r="C276" s="292"/>
      <c r="D276" s="292"/>
      <c r="E276" s="292"/>
      <c r="F276" s="292"/>
    </row>
    <row r="277" spans="1:6">
      <c r="A277" s="292"/>
      <c r="B277" s="292"/>
      <c r="C277" s="292"/>
      <c r="D277" s="292"/>
      <c r="E277" s="292"/>
      <c r="F277" s="292"/>
    </row>
    <row r="419" spans="4:7">
      <c r="D419" s="293"/>
      <c r="E419" s="293"/>
      <c r="F419" s="293"/>
      <c r="G419" s="293"/>
    </row>
  </sheetData>
  <mergeCells count="6">
    <mergeCell ref="A7:D7"/>
    <mergeCell ref="A9:D9"/>
    <mergeCell ref="A1:D1"/>
    <mergeCell ref="A2:D2"/>
    <mergeCell ref="A3:D3"/>
    <mergeCell ref="A4:D4"/>
  </mergeCells>
  <phoneticPr fontId="36" type="noConversion"/>
  <pageMargins left="0.70866141732283472" right="0.70866141732283472" top="0.74803149606299213" bottom="0.74803149606299213" header="0.31496062992125984" footer="0.31496062992125984"/>
  <pageSetup paperSize="9" fitToHeight="0" orientation="portrait" r:id="rId1"/>
  <headerFooter alignWithMargins="0">
    <oddFooter>&amp;C&amp;P</oddFooter>
  </headerFooter>
</worksheet>
</file>

<file path=xl/worksheets/sheet19.xml><?xml version="1.0" encoding="utf-8"?>
<worksheet xmlns="http://schemas.openxmlformats.org/spreadsheetml/2006/main" xmlns:r="http://schemas.openxmlformats.org/officeDocument/2006/relationships">
  <sheetPr codeName="Лист15"/>
  <dimension ref="A1:E15"/>
  <sheetViews>
    <sheetView showGridLines="0" view="pageBreakPreview" zoomScale="115" zoomScaleSheetLayoutView="115" workbookViewId="0">
      <selection activeCell="A4" sqref="A4:E4"/>
    </sheetView>
  </sheetViews>
  <sheetFormatPr defaultColWidth="9.109375" defaultRowHeight="15"/>
  <cols>
    <col min="1" max="1" width="34.6640625" style="294" customWidth="1"/>
    <col min="2" max="2" width="11.44140625" style="294" customWidth="1"/>
    <col min="3" max="3" width="13" style="294" customWidth="1"/>
    <col min="4" max="4" width="12.109375" style="294" customWidth="1"/>
    <col min="5" max="5" width="12.88671875" style="294" customWidth="1"/>
    <col min="6" max="7" width="9.109375" style="294"/>
    <col min="8" max="8" width="43.44140625" style="294" customWidth="1"/>
    <col min="9" max="16384" width="9.109375" style="294"/>
  </cols>
  <sheetData>
    <row r="1" spans="1:5" ht="15.6">
      <c r="A1" s="782" t="s">
        <v>2288</v>
      </c>
      <c r="B1" s="782"/>
      <c r="C1" s="782"/>
      <c r="D1" s="782"/>
      <c r="E1" s="904"/>
    </row>
    <row r="2" spans="1:5" ht="15.6">
      <c r="A2" s="782" t="s">
        <v>1069</v>
      </c>
      <c r="B2" s="782"/>
      <c r="C2" s="782"/>
      <c r="D2" s="782"/>
      <c r="E2" s="810"/>
    </row>
    <row r="3" spans="1:5" ht="15.6">
      <c r="A3" s="782" t="s">
        <v>720</v>
      </c>
      <c r="B3" s="782"/>
      <c r="C3" s="782"/>
      <c r="D3" s="782"/>
      <c r="E3" s="810"/>
    </row>
    <row r="4" spans="1:5" ht="15.6">
      <c r="A4" s="782" t="s">
        <v>2479</v>
      </c>
      <c r="B4" s="782"/>
      <c r="C4" s="782"/>
      <c r="D4" s="782"/>
      <c r="E4" s="810"/>
    </row>
    <row r="5" spans="1:5">
      <c r="A5" s="282"/>
      <c r="B5" s="282"/>
      <c r="C5" s="282"/>
      <c r="D5" s="1"/>
      <c r="E5" s="295"/>
    </row>
    <row r="6" spans="1:5">
      <c r="A6" s="1"/>
      <c r="B6" s="1"/>
      <c r="C6" s="1"/>
      <c r="D6" s="1"/>
      <c r="E6" s="295"/>
    </row>
    <row r="7" spans="1:5" ht="43.5" customHeight="1">
      <c r="A7" s="901" t="s">
        <v>2287</v>
      </c>
      <c r="B7" s="901"/>
      <c r="C7" s="901"/>
      <c r="D7" s="901"/>
      <c r="E7" s="813"/>
    </row>
    <row r="8" spans="1:5" ht="15.6">
      <c r="A8" s="285"/>
      <c r="B8" s="285"/>
      <c r="C8" s="285"/>
      <c r="D8" s="285"/>
      <c r="E8" s="296"/>
    </row>
    <row r="9" spans="1:5" ht="35.25" customHeight="1">
      <c r="A9" s="902" t="s">
        <v>1644</v>
      </c>
      <c r="B9" s="902"/>
      <c r="C9" s="902"/>
      <c r="D9" s="902"/>
      <c r="E9" s="902"/>
    </row>
    <row r="10" spans="1:5" ht="33.75" customHeight="1">
      <c r="A10" s="905" t="s">
        <v>1645</v>
      </c>
      <c r="B10" s="907" t="s">
        <v>2414</v>
      </c>
      <c r="C10" s="908"/>
      <c r="D10" s="907" t="s">
        <v>2415</v>
      </c>
      <c r="E10" s="908"/>
    </row>
    <row r="11" spans="1:5" ht="122.25" customHeight="1">
      <c r="A11" s="906"/>
      <c r="B11" s="280" t="s">
        <v>2110</v>
      </c>
      <c r="C11" s="280" t="s">
        <v>2111</v>
      </c>
      <c r="D11" s="280" t="s">
        <v>2110</v>
      </c>
      <c r="E11" s="280" t="s">
        <v>2111</v>
      </c>
    </row>
    <row r="12" spans="1:5" ht="30.75" customHeight="1">
      <c r="A12" s="286" t="s">
        <v>1395</v>
      </c>
      <c r="B12" s="287">
        <f>929000+C12</f>
        <v>1049000</v>
      </c>
      <c r="C12" s="283">
        <v>120000</v>
      </c>
      <c r="D12" s="287">
        <f>1074000+E12</f>
        <v>1204000</v>
      </c>
      <c r="E12" s="287">
        <v>130000</v>
      </c>
    </row>
    <row r="13" spans="1:5" ht="31.2">
      <c r="A13" s="286" t="s">
        <v>655</v>
      </c>
      <c r="B13" s="287">
        <f>71000+C13</f>
        <v>351000</v>
      </c>
      <c r="C13" s="283">
        <v>280000</v>
      </c>
      <c r="D13" s="287">
        <f>246000+E13</f>
        <v>550000</v>
      </c>
      <c r="E13" s="287">
        <v>304000</v>
      </c>
    </row>
    <row r="14" spans="1:5" ht="28.5" customHeight="1">
      <c r="A14" s="289" t="s">
        <v>1148</v>
      </c>
      <c r="B14" s="297">
        <f>B12+B13</f>
        <v>1400000</v>
      </c>
      <c r="C14" s="297">
        <f>C12+C13</f>
        <v>400000</v>
      </c>
      <c r="D14" s="297">
        <f>D12+D13</f>
        <v>1754000</v>
      </c>
      <c r="E14" s="297">
        <f>E12+E13</f>
        <v>434000</v>
      </c>
    </row>
    <row r="15" spans="1:5" ht="15.6">
      <c r="A15" s="298"/>
      <c r="B15" s="298"/>
      <c r="C15" s="298"/>
      <c r="D15" s="298"/>
      <c r="E15" s="298"/>
    </row>
  </sheetData>
  <mergeCells count="9">
    <mergeCell ref="A1:E1"/>
    <mergeCell ref="A2:E2"/>
    <mergeCell ref="A3:E3"/>
    <mergeCell ref="A4:E4"/>
    <mergeCell ref="A10:A11"/>
    <mergeCell ref="B10:C10"/>
    <mergeCell ref="D10:E10"/>
    <mergeCell ref="A9:E9"/>
    <mergeCell ref="A7:E7"/>
  </mergeCells>
  <phoneticPr fontId="36" type="noConversion"/>
  <pageMargins left="0.70866141732283472" right="0.70866141732283472" top="0.74803149606299213" bottom="0.74803149606299213" header="0.31496062992125984" footer="0.31496062992125984"/>
  <pageSetup paperSize="9" orientation="portrait"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O121"/>
  <sheetViews>
    <sheetView showGridLines="0" view="pageBreakPreview" topLeftCell="A110" zoomScaleSheetLayoutView="100" workbookViewId="0">
      <selection activeCell="O106" sqref="O106"/>
    </sheetView>
  </sheetViews>
  <sheetFormatPr defaultColWidth="8.88671875" defaultRowHeight="13.2"/>
  <cols>
    <col min="1" max="1" width="5.109375" style="154" bestFit="1" customWidth="1"/>
    <col min="2" max="3" width="3" style="154" bestFit="1" customWidth="1"/>
    <col min="4" max="4" width="3" style="154" customWidth="1"/>
    <col min="5" max="5" width="5.44140625" style="154" customWidth="1"/>
    <col min="6" max="6" width="3" style="154" customWidth="1"/>
    <col min="7" max="7" width="5.88671875" style="154" customWidth="1"/>
    <col min="8" max="8" width="4.88671875" style="154" bestFit="1" customWidth="1"/>
    <col min="9" max="9" width="37" style="154" customWidth="1"/>
    <col min="10" max="10" width="14.5546875" style="154" hidden="1" customWidth="1"/>
    <col min="11" max="11" width="14.33203125" style="154" hidden="1" customWidth="1"/>
    <col min="12" max="12" width="15.88671875" style="154" customWidth="1"/>
    <col min="13" max="14" width="14.33203125" style="154" hidden="1" customWidth="1"/>
    <col min="15" max="15" width="14.33203125" style="154" bestFit="1" customWidth="1"/>
    <col min="16" max="16384" width="8.88671875" style="154"/>
  </cols>
  <sheetData>
    <row r="1" spans="1:15" ht="15.6">
      <c r="A1" s="782" t="s">
        <v>5</v>
      </c>
      <c r="B1" s="782"/>
      <c r="C1" s="782"/>
      <c r="D1" s="782"/>
      <c r="E1" s="782"/>
      <c r="F1" s="782"/>
      <c r="G1" s="782"/>
      <c r="H1" s="782"/>
      <c r="I1" s="782"/>
      <c r="J1" s="782"/>
      <c r="K1" s="782"/>
      <c r="L1" s="782"/>
      <c r="M1" s="782"/>
      <c r="N1" s="782"/>
      <c r="O1" s="782"/>
    </row>
    <row r="2" spans="1:15" ht="15.6">
      <c r="A2" s="782" t="s">
        <v>1069</v>
      </c>
      <c r="B2" s="782"/>
      <c r="C2" s="782"/>
      <c r="D2" s="782"/>
      <c r="E2" s="782"/>
      <c r="F2" s="782"/>
      <c r="G2" s="782"/>
      <c r="H2" s="782"/>
      <c r="I2" s="782"/>
      <c r="J2" s="782"/>
      <c r="K2" s="782"/>
      <c r="L2" s="782"/>
      <c r="M2" s="782"/>
      <c r="N2" s="782"/>
      <c r="O2" s="782"/>
    </row>
    <row r="3" spans="1:15" ht="15.6">
      <c r="A3" s="782" t="s">
        <v>720</v>
      </c>
      <c r="B3" s="782"/>
      <c r="C3" s="782"/>
      <c r="D3" s="782"/>
      <c r="E3" s="782"/>
      <c r="F3" s="782"/>
      <c r="G3" s="782"/>
      <c r="H3" s="782"/>
      <c r="I3" s="782"/>
      <c r="J3" s="782"/>
      <c r="K3" s="782"/>
      <c r="L3" s="782"/>
      <c r="M3" s="782"/>
      <c r="N3" s="782"/>
      <c r="O3" s="782"/>
    </row>
    <row r="4" spans="1:15" ht="15.6">
      <c r="A4" s="782" t="s">
        <v>3148</v>
      </c>
      <c r="B4" s="782"/>
      <c r="C4" s="782"/>
      <c r="D4" s="782"/>
      <c r="E4" s="782"/>
      <c r="F4" s="782"/>
      <c r="G4" s="782"/>
      <c r="H4" s="782"/>
      <c r="I4" s="782"/>
      <c r="J4" s="782"/>
      <c r="K4" s="782"/>
      <c r="L4" s="782"/>
      <c r="M4" s="782"/>
      <c r="N4" s="782"/>
      <c r="O4" s="782"/>
    </row>
    <row r="5" spans="1:15" ht="15.6">
      <c r="A5" s="22"/>
      <c r="B5" s="22"/>
      <c r="C5" s="22"/>
      <c r="D5" s="433"/>
      <c r="E5" s="22"/>
      <c r="F5" s="22"/>
      <c r="G5" s="40"/>
      <c r="H5" s="41"/>
      <c r="I5" s="785"/>
      <c r="J5" s="785"/>
      <c r="K5" s="785"/>
      <c r="L5" s="785"/>
      <c r="M5" s="785"/>
      <c r="N5" s="785"/>
      <c r="O5" s="785"/>
    </row>
    <row r="6" spans="1:15" ht="57.75" customHeight="1">
      <c r="A6" s="783" t="s">
        <v>2621</v>
      </c>
      <c r="B6" s="783"/>
      <c r="C6" s="783"/>
      <c r="D6" s="783"/>
      <c r="E6" s="783"/>
      <c r="F6" s="783"/>
      <c r="G6" s="783"/>
      <c r="H6" s="783"/>
      <c r="I6" s="783"/>
      <c r="J6" s="783"/>
      <c r="K6" s="783"/>
      <c r="L6" s="783"/>
      <c r="M6" s="783"/>
      <c r="N6" s="783"/>
      <c r="O6" s="783"/>
    </row>
    <row r="7" spans="1:15" ht="17.399999999999999">
      <c r="A7" s="22"/>
      <c r="B7" s="22"/>
      <c r="C7" s="22"/>
      <c r="D7" s="433"/>
      <c r="E7" s="22"/>
      <c r="F7" s="22"/>
      <c r="G7" s="23"/>
      <c r="H7" s="6"/>
      <c r="I7" s="786"/>
      <c r="J7" s="786"/>
      <c r="K7" s="786"/>
      <c r="L7" s="786"/>
      <c r="M7" s="786"/>
      <c r="N7" s="786"/>
      <c r="O7" s="786"/>
    </row>
    <row r="8" spans="1:15" ht="2.25" customHeight="1">
      <c r="A8" s="22"/>
      <c r="B8" s="22"/>
      <c r="C8" s="22"/>
      <c r="D8" s="433"/>
      <c r="E8" s="22"/>
      <c r="F8" s="22"/>
      <c r="G8" s="23"/>
      <c r="H8" s="6"/>
      <c r="I8" s="787"/>
      <c r="J8" s="787"/>
      <c r="K8" s="787"/>
      <c r="L8" s="787"/>
      <c r="M8" s="787"/>
      <c r="N8" s="787"/>
      <c r="O8" s="787"/>
    </row>
    <row r="9" spans="1:15" ht="12.75" customHeight="1">
      <c r="A9" s="788" t="s">
        <v>1312</v>
      </c>
      <c r="B9" s="788"/>
      <c r="C9" s="788"/>
      <c r="D9" s="788"/>
      <c r="E9" s="788"/>
      <c r="F9" s="788"/>
      <c r="G9" s="788"/>
      <c r="H9" s="788"/>
      <c r="I9" s="781" t="s">
        <v>968</v>
      </c>
      <c r="J9" s="781" t="s">
        <v>3230</v>
      </c>
      <c r="K9" s="781" t="s">
        <v>1140</v>
      </c>
      <c r="L9" s="781" t="s">
        <v>2524</v>
      </c>
      <c r="M9" s="781" t="s">
        <v>3231</v>
      </c>
      <c r="N9" s="781" t="s">
        <v>1140</v>
      </c>
      <c r="O9" s="781" t="s">
        <v>2617</v>
      </c>
    </row>
    <row r="10" spans="1:15" ht="169.2">
      <c r="A10" s="25" t="s">
        <v>17</v>
      </c>
      <c r="B10" s="25" t="s">
        <v>18</v>
      </c>
      <c r="C10" s="25" t="s">
        <v>63</v>
      </c>
      <c r="D10" s="25" t="s">
        <v>2646</v>
      </c>
      <c r="E10" s="26" t="s">
        <v>2647</v>
      </c>
      <c r="F10" s="25" t="s">
        <v>952</v>
      </c>
      <c r="G10" s="27" t="s">
        <v>2644</v>
      </c>
      <c r="H10" s="26" t="s">
        <v>2645</v>
      </c>
      <c r="I10" s="781"/>
      <c r="J10" s="781"/>
      <c r="K10" s="781"/>
      <c r="L10" s="781"/>
      <c r="M10" s="781"/>
      <c r="N10" s="781"/>
      <c r="O10" s="781"/>
    </row>
    <row r="11" spans="1:15" ht="15.6">
      <c r="A11" s="34" t="s">
        <v>96</v>
      </c>
      <c r="B11" s="34" t="s">
        <v>97</v>
      </c>
      <c r="C11" s="34" t="s">
        <v>98</v>
      </c>
      <c r="D11" s="34" t="s">
        <v>98</v>
      </c>
      <c r="E11" s="34" t="s">
        <v>96</v>
      </c>
      <c r="F11" s="34" t="s">
        <v>98</v>
      </c>
      <c r="G11" s="31" t="s">
        <v>100</v>
      </c>
      <c r="H11" s="31" t="s">
        <v>96</v>
      </c>
      <c r="I11" s="28" t="s">
        <v>468</v>
      </c>
      <c r="J11" s="80">
        <v>169888000</v>
      </c>
      <c r="K11" s="80">
        <f t="shared" ref="K11" si="0">K12+K14+K16+K20+K24+K30+K33+K35+K41</f>
        <v>0</v>
      </c>
      <c r="L11" s="80">
        <f>SUM(J11:K11)</f>
        <v>169888000</v>
      </c>
      <c r="M11" s="80">
        <v>168475000</v>
      </c>
      <c r="N11" s="80">
        <f t="shared" ref="N11" si="1">N12+N14+N16+N20+N24+N30+N33+N35+N41</f>
        <v>0</v>
      </c>
      <c r="O11" s="80">
        <f>SUM(M11:N11)</f>
        <v>168475000</v>
      </c>
    </row>
    <row r="12" spans="1:15" ht="20.25" customHeight="1">
      <c r="A12" s="34" t="s">
        <v>96</v>
      </c>
      <c r="B12" s="34" t="s">
        <v>97</v>
      </c>
      <c r="C12" s="34" t="s">
        <v>290</v>
      </c>
      <c r="D12" s="34" t="s">
        <v>98</v>
      </c>
      <c r="E12" s="34" t="s">
        <v>96</v>
      </c>
      <c r="F12" s="34" t="s">
        <v>98</v>
      </c>
      <c r="G12" s="31" t="s">
        <v>100</v>
      </c>
      <c r="H12" s="31" t="s">
        <v>96</v>
      </c>
      <c r="I12" s="28" t="s">
        <v>469</v>
      </c>
      <c r="J12" s="80">
        <v>104148000</v>
      </c>
      <c r="K12" s="80">
        <f t="shared" ref="K12" si="2">K13</f>
        <v>0</v>
      </c>
      <c r="L12" s="80">
        <f t="shared" ref="L12:L79" si="3">SUM(J12:K12)</f>
        <v>104148000</v>
      </c>
      <c r="M12" s="80">
        <v>115500000</v>
      </c>
      <c r="N12" s="80">
        <f t="shared" ref="N12" si="4">N13</f>
        <v>0</v>
      </c>
      <c r="O12" s="80">
        <f t="shared" ref="O12:O79" si="5">SUM(M12:N12)</f>
        <v>115500000</v>
      </c>
    </row>
    <row r="13" spans="1:15" ht="15.6">
      <c r="A13" s="35" t="s">
        <v>101</v>
      </c>
      <c r="B13" s="35" t="s">
        <v>97</v>
      </c>
      <c r="C13" s="35" t="s">
        <v>290</v>
      </c>
      <c r="D13" s="35" t="s">
        <v>297</v>
      </c>
      <c r="E13" s="35" t="s">
        <v>96</v>
      </c>
      <c r="F13" s="35" t="s">
        <v>290</v>
      </c>
      <c r="G13" s="32" t="s">
        <v>100</v>
      </c>
      <c r="H13" s="32" t="s">
        <v>298</v>
      </c>
      <c r="I13" s="8" t="s">
        <v>1527</v>
      </c>
      <c r="J13" s="123">
        <v>104148000</v>
      </c>
      <c r="K13" s="123"/>
      <c r="L13" s="123">
        <f t="shared" si="3"/>
        <v>104148000</v>
      </c>
      <c r="M13" s="123">
        <v>115500000</v>
      </c>
      <c r="N13" s="123"/>
      <c r="O13" s="123">
        <f t="shared" si="5"/>
        <v>115500000</v>
      </c>
    </row>
    <row r="14" spans="1:15" ht="64.5" customHeight="1">
      <c r="A14" s="34" t="s">
        <v>96</v>
      </c>
      <c r="B14" s="34" t="s">
        <v>97</v>
      </c>
      <c r="C14" s="34" t="s">
        <v>2238</v>
      </c>
      <c r="D14" s="34" t="s">
        <v>98</v>
      </c>
      <c r="E14" s="34" t="s">
        <v>96</v>
      </c>
      <c r="F14" s="34" t="s">
        <v>98</v>
      </c>
      <c r="G14" s="31" t="s">
        <v>100</v>
      </c>
      <c r="H14" s="31" t="s">
        <v>96</v>
      </c>
      <c r="I14" s="28" t="s">
        <v>2240</v>
      </c>
      <c r="J14" s="80">
        <v>7889000</v>
      </c>
      <c r="K14" s="80">
        <f t="shared" ref="K14" si="6">K15</f>
        <v>0</v>
      </c>
      <c r="L14" s="80">
        <f t="shared" si="3"/>
        <v>7889000</v>
      </c>
      <c r="M14" s="80">
        <v>7889000</v>
      </c>
      <c r="N14" s="80">
        <f t="shared" ref="N14" si="7">N15</f>
        <v>0</v>
      </c>
      <c r="O14" s="80">
        <f t="shared" si="5"/>
        <v>7889000</v>
      </c>
    </row>
    <row r="15" spans="1:15" ht="66" customHeight="1">
      <c r="A15" s="35" t="s">
        <v>2469</v>
      </c>
      <c r="B15" s="35" t="s">
        <v>97</v>
      </c>
      <c r="C15" s="35" t="s">
        <v>2238</v>
      </c>
      <c r="D15" s="35" t="s">
        <v>297</v>
      </c>
      <c r="E15" s="35" t="s">
        <v>96</v>
      </c>
      <c r="F15" s="35" t="s">
        <v>290</v>
      </c>
      <c r="G15" s="32" t="s">
        <v>100</v>
      </c>
      <c r="H15" s="32" t="s">
        <v>298</v>
      </c>
      <c r="I15" s="8" t="s">
        <v>2239</v>
      </c>
      <c r="J15" s="123">
        <v>7889000</v>
      </c>
      <c r="K15" s="123"/>
      <c r="L15" s="123">
        <f t="shared" si="3"/>
        <v>7889000</v>
      </c>
      <c r="M15" s="123">
        <v>7889000</v>
      </c>
      <c r="N15" s="123"/>
      <c r="O15" s="123">
        <f t="shared" si="5"/>
        <v>7889000</v>
      </c>
    </row>
    <row r="16" spans="1:15" ht="15.6">
      <c r="A16" s="34" t="s">
        <v>96</v>
      </c>
      <c r="B16" s="34" t="s">
        <v>97</v>
      </c>
      <c r="C16" s="34" t="s">
        <v>291</v>
      </c>
      <c r="D16" s="34" t="s">
        <v>98</v>
      </c>
      <c r="E16" s="34" t="s">
        <v>96</v>
      </c>
      <c r="F16" s="34" t="s">
        <v>98</v>
      </c>
      <c r="G16" s="31" t="s">
        <v>100</v>
      </c>
      <c r="H16" s="31" t="s">
        <v>96</v>
      </c>
      <c r="I16" s="28" t="s">
        <v>900</v>
      </c>
      <c r="J16" s="80">
        <v>17626000</v>
      </c>
      <c r="K16" s="80">
        <f t="shared" ref="K16" si="8">K17+K18+K19</f>
        <v>0</v>
      </c>
      <c r="L16" s="80">
        <f t="shared" si="3"/>
        <v>17626000</v>
      </c>
      <c r="M16" s="80">
        <v>4958000</v>
      </c>
      <c r="N16" s="80">
        <f t="shared" ref="N16" si="9">N17+N18+N19</f>
        <v>0</v>
      </c>
      <c r="O16" s="80">
        <f t="shared" si="5"/>
        <v>4958000</v>
      </c>
    </row>
    <row r="17" spans="1:15" ht="34.5" customHeight="1">
      <c r="A17" s="35" t="s">
        <v>101</v>
      </c>
      <c r="B17" s="35" t="s">
        <v>97</v>
      </c>
      <c r="C17" s="35" t="s">
        <v>291</v>
      </c>
      <c r="D17" s="35" t="s">
        <v>297</v>
      </c>
      <c r="E17" s="35" t="s">
        <v>96</v>
      </c>
      <c r="F17" s="35" t="s">
        <v>297</v>
      </c>
      <c r="G17" s="32" t="s">
        <v>100</v>
      </c>
      <c r="H17" s="32" t="s">
        <v>298</v>
      </c>
      <c r="I17" s="8" t="s">
        <v>256</v>
      </c>
      <c r="J17" s="123">
        <v>17038000</v>
      </c>
      <c r="K17" s="123"/>
      <c r="L17" s="123">
        <f t="shared" si="3"/>
        <v>17038000</v>
      </c>
      <c r="M17" s="123">
        <v>4356000</v>
      </c>
      <c r="N17" s="123"/>
      <c r="O17" s="123">
        <f t="shared" si="5"/>
        <v>4356000</v>
      </c>
    </row>
    <row r="18" spans="1:15" ht="34.5" customHeight="1">
      <c r="A18" s="35" t="s">
        <v>101</v>
      </c>
      <c r="B18" s="35" t="s">
        <v>97</v>
      </c>
      <c r="C18" s="35" t="s">
        <v>291</v>
      </c>
      <c r="D18" s="35" t="s">
        <v>2238</v>
      </c>
      <c r="E18" s="35" t="s">
        <v>96</v>
      </c>
      <c r="F18" s="35" t="s">
        <v>290</v>
      </c>
      <c r="G18" s="32" t="s">
        <v>100</v>
      </c>
      <c r="H18" s="32" t="s">
        <v>298</v>
      </c>
      <c r="I18" s="8" t="s">
        <v>650</v>
      </c>
      <c r="J18" s="123">
        <v>523000</v>
      </c>
      <c r="K18" s="123"/>
      <c r="L18" s="123">
        <f t="shared" si="3"/>
        <v>523000</v>
      </c>
      <c r="M18" s="123">
        <v>537000</v>
      </c>
      <c r="N18" s="123"/>
      <c r="O18" s="123">
        <f t="shared" si="5"/>
        <v>537000</v>
      </c>
    </row>
    <row r="19" spans="1:15" ht="46.8">
      <c r="A19" s="35" t="s">
        <v>101</v>
      </c>
      <c r="B19" s="35" t="s">
        <v>97</v>
      </c>
      <c r="C19" s="35" t="s">
        <v>291</v>
      </c>
      <c r="D19" s="35" t="s">
        <v>2659</v>
      </c>
      <c r="E19" s="35" t="s">
        <v>96</v>
      </c>
      <c r="F19" s="35" t="s">
        <v>297</v>
      </c>
      <c r="G19" s="32" t="s">
        <v>100</v>
      </c>
      <c r="H19" s="32" t="s">
        <v>298</v>
      </c>
      <c r="I19" s="8" t="s">
        <v>2241</v>
      </c>
      <c r="J19" s="123">
        <v>65000</v>
      </c>
      <c r="K19" s="123"/>
      <c r="L19" s="123">
        <f t="shared" si="3"/>
        <v>65000</v>
      </c>
      <c r="M19" s="123">
        <v>65000</v>
      </c>
      <c r="N19" s="123"/>
      <c r="O19" s="123">
        <f t="shared" si="5"/>
        <v>65000</v>
      </c>
    </row>
    <row r="20" spans="1:15" ht="19.5" customHeight="1">
      <c r="A20" s="34" t="s">
        <v>96</v>
      </c>
      <c r="B20" s="34" t="s">
        <v>97</v>
      </c>
      <c r="C20" s="34" t="s">
        <v>292</v>
      </c>
      <c r="D20" s="34" t="s">
        <v>98</v>
      </c>
      <c r="E20" s="34" t="s">
        <v>96</v>
      </c>
      <c r="F20" s="34" t="s">
        <v>98</v>
      </c>
      <c r="G20" s="31" t="s">
        <v>100</v>
      </c>
      <c r="H20" s="31" t="s">
        <v>96</v>
      </c>
      <c r="I20" s="28" t="s">
        <v>263</v>
      </c>
      <c r="J20" s="80">
        <v>7700000</v>
      </c>
      <c r="K20" s="80">
        <f t="shared" ref="K20" si="10">K21+K22</f>
        <v>0</v>
      </c>
      <c r="L20" s="80">
        <f t="shared" si="3"/>
        <v>7700000</v>
      </c>
      <c r="M20" s="80">
        <v>7800000</v>
      </c>
      <c r="N20" s="80">
        <f t="shared" ref="N20" si="11">N21+N22</f>
        <v>0</v>
      </c>
      <c r="O20" s="80">
        <f t="shared" si="5"/>
        <v>7800000</v>
      </c>
    </row>
    <row r="21" spans="1:15" ht="65.25" customHeight="1">
      <c r="A21" s="35" t="s">
        <v>101</v>
      </c>
      <c r="B21" s="35" t="s">
        <v>97</v>
      </c>
      <c r="C21" s="35" t="s">
        <v>292</v>
      </c>
      <c r="D21" s="35" t="s">
        <v>2238</v>
      </c>
      <c r="E21" s="35" t="s">
        <v>96</v>
      </c>
      <c r="F21" s="35" t="s">
        <v>290</v>
      </c>
      <c r="G21" s="32" t="s">
        <v>100</v>
      </c>
      <c r="H21" s="32" t="s">
        <v>298</v>
      </c>
      <c r="I21" s="8" t="s">
        <v>1258</v>
      </c>
      <c r="J21" s="123">
        <v>7610000</v>
      </c>
      <c r="K21" s="123"/>
      <c r="L21" s="123">
        <f t="shared" si="3"/>
        <v>7610000</v>
      </c>
      <c r="M21" s="123">
        <v>7710000</v>
      </c>
      <c r="N21" s="123"/>
      <c r="O21" s="123">
        <f t="shared" si="5"/>
        <v>7710000</v>
      </c>
    </row>
    <row r="22" spans="1:15" ht="73.5" customHeight="1">
      <c r="A22" s="35" t="s">
        <v>2081</v>
      </c>
      <c r="B22" s="35" t="s">
        <v>97</v>
      </c>
      <c r="C22" s="35" t="s">
        <v>292</v>
      </c>
      <c r="D22" s="35" t="s">
        <v>2660</v>
      </c>
      <c r="E22" s="35" t="s">
        <v>96</v>
      </c>
      <c r="F22" s="35" t="s">
        <v>290</v>
      </c>
      <c r="G22" s="32" t="s">
        <v>100</v>
      </c>
      <c r="H22" s="32" t="s">
        <v>298</v>
      </c>
      <c r="I22" s="8" t="s">
        <v>587</v>
      </c>
      <c r="J22" s="123">
        <v>90000</v>
      </c>
      <c r="K22" s="123"/>
      <c r="L22" s="123">
        <f t="shared" si="3"/>
        <v>90000</v>
      </c>
      <c r="M22" s="123">
        <v>90000</v>
      </c>
      <c r="N22" s="123"/>
      <c r="O22" s="123">
        <f t="shared" si="5"/>
        <v>90000</v>
      </c>
    </row>
    <row r="23" spans="1:15" ht="47.25" hidden="1" customHeight="1">
      <c r="A23" s="34" t="s">
        <v>101</v>
      </c>
      <c r="B23" s="34" t="s">
        <v>97</v>
      </c>
      <c r="C23" s="34" t="s">
        <v>528</v>
      </c>
      <c r="D23" s="34"/>
      <c r="E23" s="34" t="s">
        <v>99</v>
      </c>
      <c r="F23" s="34" t="s">
        <v>98</v>
      </c>
      <c r="G23" s="31" t="s">
        <v>100</v>
      </c>
      <c r="H23" s="31" t="s">
        <v>96</v>
      </c>
      <c r="I23" s="28" t="s">
        <v>107</v>
      </c>
      <c r="J23" s="80">
        <v>0</v>
      </c>
      <c r="K23" s="80"/>
      <c r="L23" s="80">
        <f t="shared" si="3"/>
        <v>0</v>
      </c>
      <c r="M23" s="80">
        <v>0</v>
      </c>
      <c r="N23" s="80"/>
      <c r="O23" s="80">
        <f t="shared" si="5"/>
        <v>0</v>
      </c>
    </row>
    <row r="24" spans="1:15" ht="79.5" customHeight="1">
      <c r="A24" s="34" t="s">
        <v>96</v>
      </c>
      <c r="B24" s="34" t="s">
        <v>97</v>
      </c>
      <c r="C24" s="34" t="s">
        <v>293</v>
      </c>
      <c r="D24" s="34" t="s">
        <v>98</v>
      </c>
      <c r="E24" s="34" t="s">
        <v>96</v>
      </c>
      <c r="F24" s="34" t="s">
        <v>98</v>
      </c>
      <c r="G24" s="31" t="s">
        <v>100</v>
      </c>
      <c r="H24" s="31" t="s">
        <v>96</v>
      </c>
      <c r="I24" s="28" t="s">
        <v>817</v>
      </c>
      <c r="J24" s="81">
        <v>10843000</v>
      </c>
      <c r="K24" s="81">
        <f t="shared" ref="K24" si="12">K25+K27</f>
        <v>0</v>
      </c>
      <c r="L24" s="80">
        <f t="shared" si="3"/>
        <v>10843000</v>
      </c>
      <c r="M24" s="81">
        <v>10843000</v>
      </c>
      <c r="N24" s="81">
        <f t="shared" ref="N24" si="13">N25+N27</f>
        <v>0</v>
      </c>
      <c r="O24" s="80">
        <f t="shared" si="5"/>
        <v>10843000</v>
      </c>
    </row>
    <row r="25" spans="1:15" ht="158.25" customHeight="1">
      <c r="A25" s="38" t="s">
        <v>96</v>
      </c>
      <c r="B25" s="38" t="s">
        <v>97</v>
      </c>
      <c r="C25" s="38" t="s">
        <v>293</v>
      </c>
      <c r="D25" s="38" t="s">
        <v>290</v>
      </c>
      <c r="E25" s="38" t="s">
        <v>96</v>
      </c>
      <c r="F25" s="38" t="s">
        <v>98</v>
      </c>
      <c r="G25" s="33" t="s">
        <v>100</v>
      </c>
      <c r="H25" s="33" t="s">
        <v>299</v>
      </c>
      <c r="I25" s="30" t="s">
        <v>1063</v>
      </c>
      <c r="J25" s="196">
        <v>3000</v>
      </c>
      <c r="K25" s="196">
        <f t="shared" ref="K25" si="14">K26</f>
        <v>0</v>
      </c>
      <c r="L25" s="123">
        <f t="shared" si="3"/>
        <v>3000</v>
      </c>
      <c r="M25" s="196">
        <v>3000</v>
      </c>
      <c r="N25" s="196">
        <f t="shared" ref="N25" si="15">N26</f>
        <v>0</v>
      </c>
      <c r="O25" s="123">
        <f t="shared" si="5"/>
        <v>3000</v>
      </c>
    </row>
    <row r="26" spans="1:15" ht="147" customHeight="1">
      <c r="A26" s="35" t="s">
        <v>386</v>
      </c>
      <c r="B26" s="35" t="s">
        <v>97</v>
      </c>
      <c r="C26" s="35" t="s">
        <v>293</v>
      </c>
      <c r="D26" s="35" t="s">
        <v>290</v>
      </c>
      <c r="E26" s="35" t="s">
        <v>2661</v>
      </c>
      <c r="F26" s="35" t="s">
        <v>291</v>
      </c>
      <c r="G26" s="32" t="s">
        <v>100</v>
      </c>
      <c r="H26" s="32" t="s">
        <v>299</v>
      </c>
      <c r="I26" s="8" t="s">
        <v>1064</v>
      </c>
      <c r="J26" s="123">
        <v>3000</v>
      </c>
      <c r="K26" s="123"/>
      <c r="L26" s="123">
        <f t="shared" si="3"/>
        <v>3000</v>
      </c>
      <c r="M26" s="123">
        <v>3000</v>
      </c>
      <c r="N26" s="123"/>
      <c r="O26" s="123">
        <f t="shared" si="5"/>
        <v>3000</v>
      </c>
    </row>
    <row r="27" spans="1:15" ht="160.5" customHeight="1">
      <c r="A27" s="38" t="s">
        <v>96</v>
      </c>
      <c r="B27" s="38" t="s">
        <v>97</v>
      </c>
      <c r="C27" s="38" t="s">
        <v>293</v>
      </c>
      <c r="D27" s="38" t="s">
        <v>291</v>
      </c>
      <c r="E27" s="38" t="s">
        <v>96</v>
      </c>
      <c r="F27" s="38" t="s">
        <v>98</v>
      </c>
      <c r="G27" s="33" t="s">
        <v>100</v>
      </c>
      <c r="H27" s="33" t="s">
        <v>299</v>
      </c>
      <c r="I27" s="30" t="s">
        <v>457</v>
      </c>
      <c r="J27" s="122">
        <v>10840000</v>
      </c>
      <c r="K27" s="122">
        <f t="shared" ref="K27" si="16">K28+K29</f>
        <v>0</v>
      </c>
      <c r="L27" s="123">
        <f t="shared" si="3"/>
        <v>10840000</v>
      </c>
      <c r="M27" s="122">
        <v>10840000</v>
      </c>
      <c r="N27" s="122">
        <f t="shared" ref="N27" si="17">N28+N29</f>
        <v>0</v>
      </c>
      <c r="O27" s="123">
        <f t="shared" si="5"/>
        <v>10840000</v>
      </c>
    </row>
    <row r="28" spans="1:15" ht="131.25" customHeight="1">
      <c r="A28" s="35" t="s">
        <v>96</v>
      </c>
      <c r="B28" s="35" t="s">
        <v>97</v>
      </c>
      <c r="C28" s="35" t="s">
        <v>293</v>
      </c>
      <c r="D28" s="35" t="s">
        <v>291</v>
      </c>
      <c r="E28" s="35" t="s">
        <v>2976</v>
      </c>
      <c r="F28" s="35" t="s">
        <v>98</v>
      </c>
      <c r="G28" s="32" t="s">
        <v>100</v>
      </c>
      <c r="H28" s="32" t="s">
        <v>299</v>
      </c>
      <c r="I28" s="8" t="s">
        <v>2977</v>
      </c>
      <c r="J28" s="123">
        <v>7840000</v>
      </c>
      <c r="K28" s="123"/>
      <c r="L28" s="123">
        <f t="shared" si="3"/>
        <v>7840000</v>
      </c>
      <c r="M28" s="123">
        <v>7840000</v>
      </c>
      <c r="N28" s="123"/>
      <c r="O28" s="123">
        <f t="shared" si="5"/>
        <v>7840000</v>
      </c>
    </row>
    <row r="29" spans="1:15" ht="79.5" customHeight="1">
      <c r="A29" s="35" t="s">
        <v>386</v>
      </c>
      <c r="B29" s="35" t="s">
        <v>97</v>
      </c>
      <c r="C29" s="35" t="s">
        <v>293</v>
      </c>
      <c r="D29" s="35" t="s">
        <v>291</v>
      </c>
      <c r="E29" s="35" t="s">
        <v>2663</v>
      </c>
      <c r="F29" s="35" t="s">
        <v>291</v>
      </c>
      <c r="G29" s="32" t="s">
        <v>100</v>
      </c>
      <c r="H29" s="32" t="s">
        <v>299</v>
      </c>
      <c r="I29" s="8" t="s">
        <v>2242</v>
      </c>
      <c r="J29" s="123">
        <v>3000000</v>
      </c>
      <c r="K29" s="123"/>
      <c r="L29" s="123">
        <f t="shared" si="3"/>
        <v>3000000</v>
      </c>
      <c r="M29" s="123">
        <v>3000000</v>
      </c>
      <c r="N29" s="123"/>
      <c r="O29" s="123">
        <f t="shared" si="5"/>
        <v>3000000</v>
      </c>
    </row>
    <row r="30" spans="1:15" ht="33.75" customHeight="1">
      <c r="A30" s="34" t="s">
        <v>96</v>
      </c>
      <c r="B30" s="34" t="s">
        <v>97</v>
      </c>
      <c r="C30" s="34" t="s">
        <v>294</v>
      </c>
      <c r="D30" s="34" t="s">
        <v>98</v>
      </c>
      <c r="E30" s="34" t="s">
        <v>96</v>
      </c>
      <c r="F30" s="34" t="s">
        <v>98</v>
      </c>
      <c r="G30" s="31" t="s">
        <v>100</v>
      </c>
      <c r="H30" s="31" t="s">
        <v>96</v>
      </c>
      <c r="I30" s="28" t="s">
        <v>1108</v>
      </c>
      <c r="J30" s="81">
        <v>3375000</v>
      </c>
      <c r="K30" s="81">
        <f t="shared" ref="K30" si="18">K31+K32</f>
        <v>0</v>
      </c>
      <c r="L30" s="80">
        <f t="shared" si="3"/>
        <v>3375000</v>
      </c>
      <c r="M30" s="81">
        <v>3244000</v>
      </c>
      <c r="N30" s="81">
        <f t="shared" ref="N30" si="19">N31+N32</f>
        <v>0</v>
      </c>
      <c r="O30" s="80">
        <f t="shared" si="5"/>
        <v>3244000</v>
      </c>
    </row>
    <row r="31" spans="1:15" ht="45.75" customHeight="1">
      <c r="A31" s="35" t="s">
        <v>260</v>
      </c>
      <c r="B31" s="35" t="s">
        <v>97</v>
      </c>
      <c r="C31" s="35" t="s">
        <v>294</v>
      </c>
      <c r="D31" s="35" t="s">
        <v>290</v>
      </c>
      <c r="E31" s="35" t="s">
        <v>96</v>
      </c>
      <c r="F31" s="35" t="s">
        <v>290</v>
      </c>
      <c r="G31" s="32" t="s">
        <v>100</v>
      </c>
      <c r="H31" s="32" t="s">
        <v>299</v>
      </c>
      <c r="I31" s="8" t="s">
        <v>88</v>
      </c>
      <c r="J31" s="123">
        <v>3375000</v>
      </c>
      <c r="K31" s="123"/>
      <c r="L31" s="123">
        <f t="shared" si="3"/>
        <v>3375000</v>
      </c>
      <c r="M31" s="123">
        <v>3244000</v>
      </c>
      <c r="N31" s="123"/>
      <c r="O31" s="123">
        <f t="shared" si="5"/>
        <v>3244000</v>
      </c>
    </row>
    <row r="32" spans="1:15" ht="0.75" customHeight="1">
      <c r="A32" s="35" t="s">
        <v>101</v>
      </c>
      <c r="B32" s="35" t="s">
        <v>97</v>
      </c>
      <c r="C32" s="35" t="s">
        <v>294</v>
      </c>
      <c r="D32" s="35"/>
      <c r="E32" s="35" t="s">
        <v>83</v>
      </c>
      <c r="F32" s="35" t="s">
        <v>290</v>
      </c>
      <c r="G32" s="32" t="s">
        <v>100</v>
      </c>
      <c r="H32" s="32" t="s">
        <v>299</v>
      </c>
      <c r="I32" s="8" t="s">
        <v>2474</v>
      </c>
      <c r="J32" s="123">
        <v>0</v>
      </c>
      <c r="K32" s="123"/>
      <c r="L32" s="80">
        <f t="shared" si="3"/>
        <v>0</v>
      </c>
      <c r="M32" s="123">
        <v>0</v>
      </c>
      <c r="N32" s="123"/>
      <c r="O32" s="80">
        <f t="shared" si="5"/>
        <v>0</v>
      </c>
    </row>
    <row r="33" spans="1:15" ht="54" customHeight="1">
      <c r="A33" s="34" t="s">
        <v>96</v>
      </c>
      <c r="B33" s="34" t="s">
        <v>97</v>
      </c>
      <c r="C33" s="34" t="s">
        <v>2445</v>
      </c>
      <c r="D33" s="34" t="s">
        <v>98</v>
      </c>
      <c r="E33" s="34" t="s">
        <v>96</v>
      </c>
      <c r="F33" s="34" t="s">
        <v>98</v>
      </c>
      <c r="G33" s="31" t="s">
        <v>100</v>
      </c>
      <c r="H33" s="31" t="s">
        <v>2530</v>
      </c>
      <c r="I33" s="28" t="s">
        <v>2531</v>
      </c>
      <c r="J33" s="80">
        <v>5321000</v>
      </c>
      <c r="K33" s="80">
        <f t="shared" ref="K33" si="20">K34</f>
        <v>0</v>
      </c>
      <c r="L33" s="80">
        <f t="shared" si="3"/>
        <v>5321000</v>
      </c>
      <c r="M33" s="80">
        <v>5321000</v>
      </c>
      <c r="N33" s="80">
        <f t="shared" ref="N33" si="21">N34</f>
        <v>0</v>
      </c>
      <c r="O33" s="80">
        <f t="shared" si="5"/>
        <v>5321000</v>
      </c>
    </row>
    <row r="34" spans="1:15" ht="46.8">
      <c r="A34" s="35" t="s">
        <v>2080</v>
      </c>
      <c r="B34" s="35" t="s">
        <v>97</v>
      </c>
      <c r="C34" s="35" t="s">
        <v>2445</v>
      </c>
      <c r="D34" s="35" t="s">
        <v>290</v>
      </c>
      <c r="E34" s="35" t="s">
        <v>2664</v>
      </c>
      <c r="F34" s="35" t="s">
        <v>291</v>
      </c>
      <c r="G34" s="32" t="s">
        <v>100</v>
      </c>
      <c r="H34" s="32" t="s">
        <v>2530</v>
      </c>
      <c r="I34" s="8" t="s">
        <v>2107</v>
      </c>
      <c r="J34" s="123">
        <v>5321000</v>
      </c>
      <c r="K34" s="123"/>
      <c r="L34" s="123">
        <f t="shared" si="3"/>
        <v>5321000</v>
      </c>
      <c r="M34" s="123">
        <v>5321000</v>
      </c>
      <c r="N34" s="123"/>
      <c r="O34" s="123">
        <f t="shared" si="5"/>
        <v>5321000</v>
      </c>
    </row>
    <row r="35" spans="1:15" ht="48" customHeight="1">
      <c r="A35" s="34" t="s">
        <v>96</v>
      </c>
      <c r="B35" s="34" t="s">
        <v>97</v>
      </c>
      <c r="C35" s="34" t="s">
        <v>295</v>
      </c>
      <c r="D35" s="34" t="s">
        <v>98</v>
      </c>
      <c r="E35" s="34" t="s">
        <v>96</v>
      </c>
      <c r="F35" s="34" t="s">
        <v>98</v>
      </c>
      <c r="G35" s="31" t="s">
        <v>100</v>
      </c>
      <c r="H35" s="31" t="s">
        <v>96</v>
      </c>
      <c r="I35" s="28" t="s">
        <v>1530</v>
      </c>
      <c r="J35" s="81">
        <v>8870000</v>
      </c>
      <c r="K35" s="81">
        <f t="shared" ref="K35" si="22">K36+K37</f>
        <v>0</v>
      </c>
      <c r="L35" s="80">
        <f t="shared" si="3"/>
        <v>8870000</v>
      </c>
      <c r="M35" s="81">
        <v>8870000</v>
      </c>
      <c r="N35" s="81">
        <f t="shared" ref="N35" si="23">N36+N37</f>
        <v>0</v>
      </c>
      <c r="O35" s="80">
        <f t="shared" si="5"/>
        <v>8870000</v>
      </c>
    </row>
    <row r="36" spans="1:15" ht="132.75" customHeight="1">
      <c r="A36" s="35" t="s">
        <v>96</v>
      </c>
      <c r="B36" s="35" t="s">
        <v>97</v>
      </c>
      <c r="C36" s="35" t="s">
        <v>295</v>
      </c>
      <c r="D36" s="35" t="s">
        <v>297</v>
      </c>
      <c r="E36" s="35" t="s">
        <v>96</v>
      </c>
      <c r="F36" s="35" t="s">
        <v>98</v>
      </c>
      <c r="G36" s="32" t="s">
        <v>100</v>
      </c>
      <c r="H36" s="32" t="s">
        <v>96</v>
      </c>
      <c r="I36" s="8" t="s">
        <v>1542</v>
      </c>
      <c r="J36" s="123">
        <v>3000000</v>
      </c>
      <c r="K36" s="123"/>
      <c r="L36" s="123">
        <f t="shared" si="3"/>
        <v>3000000</v>
      </c>
      <c r="M36" s="123">
        <v>3000000</v>
      </c>
      <c r="N36" s="123"/>
      <c r="O36" s="123">
        <f t="shared" si="5"/>
        <v>3000000</v>
      </c>
    </row>
    <row r="37" spans="1:15" ht="93.6">
      <c r="A37" s="35" t="s">
        <v>96</v>
      </c>
      <c r="B37" s="35" t="s">
        <v>97</v>
      </c>
      <c r="C37" s="35" t="s">
        <v>295</v>
      </c>
      <c r="D37" s="35" t="s">
        <v>2665</v>
      </c>
      <c r="E37" s="35" t="s">
        <v>96</v>
      </c>
      <c r="F37" s="35" t="s">
        <v>98</v>
      </c>
      <c r="G37" s="32" t="s">
        <v>100</v>
      </c>
      <c r="H37" s="32" t="s">
        <v>1423</v>
      </c>
      <c r="I37" s="8" t="s">
        <v>2086</v>
      </c>
      <c r="J37" s="82">
        <v>5870000</v>
      </c>
      <c r="K37" s="82">
        <f t="shared" ref="K37" si="24">K38+K39+K40</f>
        <v>0</v>
      </c>
      <c r="L37" s="123">
        <f t="shared" si="3"/>
        <v>5870000</v>
      </c>
      <c r="M37" s="82">
        <v>5870000</v>
      </c>
      <c r="N37" s="82">
        <f t="shared" ref="N37" si="25">N38+N39+N40</f>
        <v>0</v>
      </c>
      <c r="O37" s="123">
        <f t="shared" si="5"/>
        <v>5870000</v>
      </c>
    </row>
    <row r="38" spans="1:15" ht="93.6">
      <c r="A38" s="35" t="s">
        <v>96</v>
      </c>
      <c r="B38" s="35" t="s">
        <v>97</v>
      </c>
      <c r="C38" s="35" t="s">
        <v>295</v>
      </c>
      <c r="D38" s="35" t="s">
        <v>2665</v>
      </c>
      <c r="E38" s="35" t="s">
        <v>2662</v>
      </c>
      <c r="F38" s="35" t="s">
        <v>2085</v>
      </c>
      <c r="G38" s="32" t="s">
        <v>100</v>
      </c>
      <c r="H38" s="32" t="s">
        <v>1423</v>
      </c>
      <c r="I38" s="8" t="s">
        <v>2667</v>
      </c>
      <c r="J38" s="123">
        <v>2570000</v>
      </c>
      <c r="K38" s="123"/>
      <c r="L38" s="123">
        <f t="shared" si="3"/>
        <v>2570000</v>
      </c>
      <c r="M38" s="123">
        <v>2570000</v>
      </c>
      <c r="N38" s="123"/>
      <c r="O38" s="123">
        <f t="shared" si="5"/>
        <v>2570000</v>
      </c>
    </row>
    <row r="39" spans="1:15" ht="93.6">
      <c r="A39" s="35" t="s">
        <v>96</v>
      </c>
      <c r="B39" s="35" t="s">
        <v>97</v>
      </c>
      <c r="C39" s="35" t="s">
        <v>295</v>
      </c>
      <c r="D39" s="35" t="s">
        <v>2665</v>
      </c>
      <c r="E39" s="35" t="s">
        <v>2662</v>
      </c>
      <c r="F39" s="35" t="s">
        <v>2445</v>
      </c>
      <c r="G39" s="32" t="s">
        <v>100</v>
      </c>
      <c r="H39" s="32" t="s">
        <v>1423</v>
      </c>
      <c r="I39" s="8" t="s">
        <v>2668</v>
      </c>
      <c r="J39" s="123">
        <v>1800000</v>
      </c>
      <c r="K39" s="123"/>
      <c r="L39" s="123">
        <f t="shared" si="3"/>
        <v>1800000</v>
      </c>
      <c r="M39" s="123">
        <v>1800000</v>
      </c>
      <c r="N39" s="123"/>
      <c r="O39" s="123">
        <f t="shared" si="5"/>
        <v>1800000</v>
      </c>
    </row>
    <row r="40" spans="1:15" ht="115.5" customHeight="1">
      <c r="A40" s="35" t="s">
        <v>386</v>
      </c>
      <c r="B40" s="35" t="s">
        <v>97</v>
      </c>
      <c r="C40" s="35" t="s">
        <v>295</v>
      </c>
      <c r="D40" s="35" t="s">
        <v>2665</v>
      </c>
      <c r="E40" s="35" t="s">
        <v>2666</v>
      </c>
      <c r="F40" s="35" t="s">
        <v>291</v>
      </c>
      <c r="G40" s="32" t="s">
        <v>100</v>
      </c>
      <c r="H40" s="32" t="s">
        <v>1423</v>
      </c>
      <c r="I40" s="8" t="s">
        <v>2087</v>
      </c>
      <c r="J40" s="123">
        <v>1500000</v>
      </c>
      <c r="K40" s="123"/>
      <c r="L40" s="123">
        <f t="shared" si="3"/>
        <v>1500000</v>
      </c>
      <c r="M40" s="123">
        <v>1500000</v>
      </c>
      <c r="N40" s="123"/>
      <c r="O40" s="123">
        <f t="shared" si="5"/>
        <v>1500000</v>
      </c>
    </row>
    <row r="41" spans="1:15" ht="31.2">
      <c r="A41" s="34" t="s">
        <v>96</v>
      </c>
      <c r="B41" s="34" t="s">
        <v>97</v>
      </c>
      <c r="C41" s="34" t="s">
        <v>296</v>
      </c>
      <c r="D41" s="34" t="s">
        <v>98</v>
      </c>
      <c r="E41" s="34" t="s">
        <v>96</v>
      </c>
      <c r="F41" s="34" t="s">
        <v>98</v>
      </c>
      <c r="G41" s="31" t="s">
        <v>100</v>
      </c>
      <c r="H41" s="31" t="s">
        <v>96</v>
      </c>
      <c r="I41" s="29" t="s">
        <v>89</v>
      </c>
      <c r="J41" s="80">
        <v>4116000</v>
      </c>
      <c r="K41" s="80"/>
      <c r="L41" s="80">
        <f t="shared" si="3"/>
        <v>4116000</v>
      </c>
      <c r="M41" s="80">
        <v>4050000</v>
      </c>
      <c r="N41" s="80"/>
      <c r="O41" s="80">
        <f t="shared" si="5"/>
        <v>4050000</v>
      </c>
    </row>
    <row r="42" spans="1:15" ht="28.5" hidden="1" customHeight="1">
      <c r="A42" s="34" t="s">
        <v>96</v>
      </c>
      <c r="B42" s="34" t="s">
        <v>97</v>
      </c>
      <c r="C42" s="34" t="s">
        <v>1044</v>
      </c>
      <c r="D42" s="34"/>
      <c r="E42" s="34" t="s">
        <v>99</v>
      </c>
      <c r="F42" s="34" t="s">
        <v>98</v>
      </c>
      <c r="G42" s="31" t="s">
        <v>100</v>
      </c>
      <c r="H42" s="31" t="s">
        <v>96</v>
      </c>
      <c r="I42" s="29" t="s">
        <v>1045</v>
      </c>
      <c r="J42" s="80">
        <v>0</v>
      </c>
      <c r="K42" s="80"/>
      <c r="L42" s="80">
        <f t="shared" si="3"/>
        <v>0</v>
      </c>
      <c r="M42" s="80">
        <v>0</v>
      </c>
      <c r="N42" s="80"/>
      <c r="O42" s="80">
        <f t="shared" si="5"/>
        <v>0</v>
      </c>
    </row>
    <row r="43" spans="1:15" ht="20.25" customHeight="1">
      <c r="A43" s="34" t="s">
        <v>96</v>
      </c>
      <c r="B43" s="34" t="s">
        <v>289</v>
      </c>
      <c r="C43" s="34" t="s">
        <v>98</v>
      </c>
      <c r="D43" s="34" t="s">
        <v>98</v>
      </c>
      <c r="E43" s="34" t="s">
        <v>96</v>
      </c>
      <c r="F43" s="34" t="s">
        <v>98</v>
      </c>
      <c r="G43" s="36" t="s">
        <v>100</v>
      </c>
      <c r="H43" s="36" t="s">
        <v>96</v>
      </c>
      <c r="I43" s="2" t="s">
        <v>1947</v>
      </c>
      <c r="J43" s="81">
        <v>1207098085</v>
      </c>
      <c r="K43" s="81">
        <f t="shared" ref="K43" si="26">K44</f>
        <v>17111567</v>
      </c>
      <c r="L43" s="80">
        <f t="shared" si="3"/>
        <v>1224209652</v>
      </c>
      <c r="M43" s="81">
        <v>1098859220</v>
      </c>
      <c r="N43" s="81">
        <f t="shared" ref="N43" si="27">N44</f>
        <v>0</v>
      </c>
      <c r="O43" s="80">
        <f t="shared" si="5"/>
        <v>1098859220</v>
      </c>
    </row>
    <row r="44" spans="1:15" ht="66" customHeight="1">
      <c r="A44" s="34" t="s">
        <v>96</v>
      </c>
      <c r="B44" s="34" t="s">
        <v>289</v>
      </c>
      <c r="C44" s="34" t="s">
        <v>297</v>
      </c>
      <c r="D44" s="34" t="s">
        <v>98</v>
      </c>
      <c r="E44" s="34" t="s">
        <v>96</v>
      </c>
      <c r="F44" s="34" t="s">
        <v>98</v>
      </c>
      <c r="G44" s="36" t="s">
        <v>100</v>
      </c>
      <c r="H44" s="36" t="s">
        <v>96</v>
      </c>
      <c r="I44" s="2" t="s">
        <v>322</v>
      </c>
      <c r="J44" s="81">
        <v>1207098085</v>
      </c>
      <c r="K44" s="81">
        <f t="shared" ref="K44" si="28">K45+K50+K60+K86</f>
        <v>17111567</v>
      </c>
      <c r="L44" s="80">
        <f t="shared" si="3"/>
        <v>1224209652</v>
      </c>
      <c r="M44" s="81">
        <v>1098859220</v>
      </c>
      <c r="N44" s="81">
        <f t="shared" ref="N44" si="29">N45+N50+N60+N86</f>
        <v>0</v>
      </c>
      <c r="O44" s="80">
        <f t="shared" si="5"/>
        <v>1098859220</v>
      </c>
    </row>
    <row r="45" spans="1:15" ht="46.8">
      <c r="A45" s="34" t="s">
        <v>1149</v>
      </c>
      <c r="B45" s="34" t="s">
        <v>289</v>
      </c>
      <c r="C45" s="34" t="s">
        <v>297</v>
      </c>
      <c r="D45" s="34" t="s">
        <v>290</v>
      </c>
      <c r="E45" s="34" t="s">
        <v>96</v>
      </c>
      <c r="F45" s="34" t="s">
        <v>98</v>
      </c>
      <c r="G45" s="36" t="s">
        <v>100</v>
      </c>
      <c r="H45" s="36" t="s">
        <v>300</v>
      </c>
      <c r="I45" s="2" t="s">
        <v>2243</v>
      </c>
      <c r="J45" s="81">
        <v>304232000</v>
      </c>
      <c r="K45" s="81">
        <f t="shared" ref="K45" si="30">K46+K47+K48+K49</f>
        <v>0</v>
      </c>
      <c r="L45" s="80">
        <f t="shared" si="3"/>
        <v>304232000</v>
      </c>
      <c r="M45" s="81">
        <v>307243000</v>
      </c>
      <c r="N45" s="81">
        <f t="shared" ref="N45" si="31">N46+N47+N48+N49</f>
        <v>0</v>
      </c>
      <c r="O45" s="80">
        <f t="shared" si="5"/>
        <v>307243000</v>
      </c>
    </row>
    <row r="46" spans="1:15" ht="66" customHeight="1">
      <c r="A46" s="35" t="s">
        <v>1149</v>
      </c>
      <c r="B46" s="35" t="s">
        <v>289</v>
      </c>
      <c r="C46" s="35" t="s">
        <v>297</v>
      </c>
      <c r="D46" s="35" t="s">
        <v>290</v>
      </c>
      <c r="E46" s="35" t="s">
        <v>2669</v>
      </c>
      <c r="F46" s="35" t="s">
        <v>291</v>
      </c>
      <c r="G46" s="37" t="s">
        <v>100</v>
      </c>
      <c r="H46" s="37" t="s">
        <v>300</v>
      </c>
      <c r="I46" s="39" t="s">
        <v>2072</v>
      </c>
      <c r="J46" s="123">
        <v>293436000</v>
      </c>
      <c r="K46" s="123"/>
      <c r="L46" s="123">
        <f t="shared" si="3"/>
        <v>293436000</v>
      </c>
      <c r="M46" s="123">
        <v>297213000</v>
      </c>
      <c r="N46" s="123"/>
      <c r="O46" s="123">
        <f t="shared" si="5"/>
        <v>297213000</v>
      </c>
    </row>
    <row r="47" spans="1:15" ht="66" customHeight="1">
      <c r="A47" s="35" t="s">
        <v>1149</v>
      </c>
      <c r="B47" s="35" t="s">
        <v>289</v>
      </c>
      <c r="C47" s="35" t="s">
        <v>297</v>
      </c>
      <c r="D47" s="35" t="s">
        <v>290</v>
      </c>
      <c r="E47" s="35" t="s">
        <v>2669</v>
      </c>
      <c r="F47" s="35" t="s">
        <v>291</v>
      </c>
      <c r="G47" s="37" t="s">
        <v>100</v>
      </c>
      <c r="H47" s="37" t="s">
        <v>300</v>
      </c>
      <c r="I47" s="39" t="s">
        <v>2071</v>
      </c>
      <c r="J47" s="123">
        <v>10796000</v>
      </c>
      <c r="K47" s="123"/>
      <c r="L47" s="123">
        <f t="shared" si="3"/>
        <v>10796000</v>
      </c>
      <c r="M47" s="123">
        <v>10030000</v>
      </c>
      <c r="N47" s="123"/>
      <c r="O47" s="123">
        <f t="shared" si="5"/>
        <v>10030000</v>
      </c>
    </row>
    <row r="48" spans="1:15" ht="78.75" hidden="1" customHeight="1">
      <c r="A48" s="35" t="s">
        <v>1149</v>
      </c>
      <c r="B48" s="35" t="s">
        <v>289</v>
      </c>
      <c r="C48" s="35" t="s">
        <v>297</v>
      </c>
      <c r="D48" s="35"/>
      <c r="E48" s="35" t="s">
        <v>2070</v>
      </c>
      <c r="F48" s="35" t="s">
        <v>291</v>
      </c>
      <c r="G48" s="37" t="s">
        <v>100</v>
      </c>
      <c r="H48" s="37" t="s">
        <v>300</v>
      </c>
      <c r="I48" s="39" t="s">
        <v>2073</v>
      </c>
      <c r="J48" s="123">
        <v>0</v>
      </c>
      <c r="K48" s="123"/>
      <c r="L48" s="80">
        <f t="shared" si="3"/>
        <v>0</v>
      </c>
      <c r="M48" s="123">
        <v>0</v>
      </c>
      <c r="N48" s="123"/>
      <c r="O48" s="80">
        <f t="shared" si="5"/>
        <v>0</v>
      </c>
    </row>
    <row r="49" spans="1:15" ht="94.5" hidden="1" customHeight="1">
      <c r="A49" s="35" t="s">
        <v>1149</v>
      </c>
      <c r="B49" s="35" t="s">
        <v>289</v>
      </c>
      <c r="C49" s="35" t="s">
        <v>297</v>
      </c>
      <c r="D49" s="35"/>
      <c r="E49" s="35" t="s">
        <v>2070</v>
      </c>
      <c r="F49" s="35" t="s">
        <v>291</v>
      </c>
      <c r="G49" s="37" t="s">
        <v>100</v>
      </c>
      <c r="H49" s="37" t="s">
        <v>300</v>
      </c>
      <c r="I49" s="39" t="s">
        <v>2074</v>
      </c>
      <c r="J49" s="123">
        <v>0</v>
      </c>
      <c r="K49" s="123"/>
      <c r="L49" s="80">
        <f t="shared" si="3"/>
        <v>0</v>
      </c>
      <c r="M49" s="123">
        <v>0</v>
      </c>
      <c r="N49" s="123"/>
      <c r="O49" s="80">
        <f t="shared" si="5"/>
        <v>0</v>
      </c>
    </row>
    <row r="50" spans="1:15" ht="78" customHeight="1">
      <c r="A50" s="34" t="s">
        <v>96</v>
      </c>
      <c r="B50" s="34" t="s">
        <v>289</v>
      </c>
      <c r="C50" s="34" t="s">
        <v>297</v>
      </c>
      <c r="D50" s="34" t="s">
        <v>290</v>
      </c>
      <c r="E50" s="34" t="s">
        <v>96</v>
      </c>
      <c r="F50" s="34" t="s">
        <v>98</v>
      </c>
      <c r="G50" s="36" t="s">
        <v>100</v>
      </c>
      <c r="H50" s="36" t="s">
        <v>300</v>
      </c>
      <c r="I50" s="2" t="s">
        <v>2075</v>
      </c>
      <c r="J50" s="81">
        <v>26217722</v>
      </c>
      <c r="K50" s="81">
        <f>SUM(K51:K59)</f>
        <v>11479870</v>
      </c>
      <c r="L50" s="80">
        <f t="shared" si="3"/>
        <v>37697592</v>
      </c>
      <c r="M50" s="81">
        <v>24884037</v>
      </c>
      <c r="N50" s="81">
        <f>SUM(N51:N59)</f>
        <v>0</v>
      </c>
      <c r="O50" s="80">
        <f t="shared" si="5"/>
        <v>24884037</v>
      </c>
    </row>
    <row r="51" spans="1:15" ht="64.5" customHeight="1">
      <c r="A51" s="35" t="s">
        <v>2081</v>
      </c>
      <c r="B51" s="35" t="s">
        <v>289</v>
      </c>
      <c r="C51" s="35" t="s">
        <v>297</v>
      </c>
      <c r="D51" s="35" t="s">
        <v>297</v>
      </c>
      <c r="E51" s="35" t="s">
        <v>2671</v>
      </c>
      <c r="F51" s="35" t="s">
        <v>291</v>
      </c>
      <c r="G51" s="37" t="s">
        <v>100</v>
      </c>
      <c r="H51" s="37" t="s">
        <v>300</v>
      </c>
      <c r="I51" s="39" t="s">
        <v>2519</v>
      </c>
      <c r="J51" s="82">
        <v>1400000</v>
      </c>
      <c r="K51" s="82"/>
      <c r="L51" s="123">
        <f>J51+K51</f>
        <v>1400000</v>
      </c>
      <c r="M51" s="82">
        <v>1400000</v>
      </c>
      <c r="N51" s="82"/>
      <c r="O51" s="123">
        <f>M51+N51</f>
        <v>1400000</v>
      </c>
    </row>
    <row r="52" spans="1:15" ht="36" customHeight="1">
      <c r="A52" s="35" t="s">
        <v>2077</v>
      </c>
      <c r="B52" s="35" t="s">
        <v>289</v>
      </c>
      <c r="C52" s="35" t="s">
        <v>297</v>
      </c>
      <c r="D52" s="35" t="s">
        <v>297</v>
      </c>
      <c r="E52" s="35" t="s">
        <v>2673</v>
      </c>
      <c r="F52" s="35" t="s">
        <v>291</v>
      </c>
      <c r="G52" s="37" t="s">
        <v>100</v>
      </c>
      <c r="H52" s="37" t="s">
        <v>300</v>
      </c>
      <c r="I52" s="3" t="s">
        <v>725</v>
      </c>
      <c r="J52" s="123">
        <v>20283000</v>
      </c>
      <c r="K52" s="123"/>
      <c r="L52" s="123">
        <f t="shared" si="3"/>
        <v>20283000</v>
      </c>
      <c r="M52" s="123">
        <v>20283000</v>
      </c>
      <c r="N52" s="123"/>
      <c r="O52" s="123">
        <f t="shared" si="5"/>
        <v>20283000</v>
      </c>
    </row>
    <row r="53" spans="1:15" ht="151.5" customHeight="1">
      <c r="A53" s="35" t="s">
        <v>2077</v>
      </c>
      <c r="B53" s="35" t="s">
        <v>289</v>
      </c>
      <c r="C53" s="35" t="s">
        <v>297</v>
      </c>
      <c r="D53" s="35" t="s">
        <v>297</v>
      </c>
      <c r="E53" s="35" t="s">
        <v>3083</v>
      </c>
      <c r="F53" s="35" t="s">
        <v>291</v>
      </c>
      <c r="G53" s="37" t="s">
        <v>100</v>
      </c>
      <c r="H53" s="37" t="s">
        <v>300</v>
      </c>
      <c r="I53" s="3" t="s">
        <v>3198</v>
      </c>
      <c r="J53" s="123">
        <v>1333685</v>
      </c>
      <c r="K53" s="123"/>
      <c r="L53" s="123">
        <f t="shared" si="3"/>
        <v>1333685</v>
      </c>
      <c r="M53" s="123"/>
      <c r="N53" s="123"/>
      <c r="O53" s="123">
        <v>0</v>
      </c>
    </row>
    <row r="54" spans="1:15" ht="140.4">
      <c r="A54" s="35" t="s">
        <v>2081</v>
      </c>
      <c r="B54" s="35" t="s">
        <v>289</v>
      </c>
      <c r="C54" s="35" t="s">
        <v>297</v>
      </c>
      <c r="D54" s="35" t="s">
        <v>297</v>
      </c>
      <c r="E54" s="35" t="s">
        <v>3077</v>
      </c>
      <c r="F54" s="35" t="s">
        <v>291</v>
      </c>
      <c r="G54" s="37" t="s">
        <v>3078</v>
      </c>
      <c r="H54" s="37" t="s">
        <v>300</v>
      </c>
      <c r="I54" s="778" t="s">
        <v>2521</v>
      </c>
      <c r="J54" s="123"/>
      <c r="K54" s="123">
        <v>2937936</v>
      </c>
      <c r="L54" s="123">
        <f t="shared" si="3"/>
        <v>2937936</v>
      </c>
      <c r="M54" s="123"/>
      <c r="N54" s="123"/>
      <c r="O54" s="123">
        <v>0</v>
      </c>
    </row>
    <row r="55" spans="1:15" ht="93.6">
      <c r="A55" s="35" t="s">
        <v>2081</v>
      </c>
      <c r="B55" s="35" t="s">
        <v>289</v>
      </c>
      <c r="C55" s="35" t="s">
        <v>297</v>
      </c>
      <c r="D55" s="35" t="s">
        <v>297</v>
      </c>
      <c r="E55" s="35" t="s">
        <v>3079</v>
      </c>
      <c r="F55" s="35" t="s">
        <v>291</v>
      </c>
      <c r="G55" s="37" t="s">
        <v>3078</v>
      </c>
      <c r="H55" s="37" t="s">
        <v>300</v>
      </c>
      <c r="I55" s="773" t="s">
        <v>3080</v>
      </c>
      <c r="J55" s="123"/>
      <c r="K55" s="123">
        <v>8541934</v>
      </c>
      <c r="L55" s="123">
        <f t="shared" si="3"/>
        <v>8541934</v>
      </c>
      <c r="M55" s="123"/>
      <c r="N55" s="123"/>
      <c r="O55" s="123">
        <v>0</v>
      </c>
    </row>
    <row r="56" spans="1:15" ht="67.5" customHeight="1">
      <c r="A56" s="35" t="s">
        <v>2078</v>
      </c>
      <c r="B56" s="35" t="s">
        <v>289</v>
      </c>
      <c r="C56" s="35" t="s">
        <v>297</v>
      </c>
      <c r="D56" s="35" t="s">
        <v>297</v>
      </c>
      <c r="E56" s="35" t="s">
        <v>2674</v>
      </c>
      <c r="F56" s="35" t="s">
        <v>291</v>
      </c>
      <c r="G56" s="37" t="s">
        <v>100</v>
      </c>
      <c r="H56" s="37" t="s">
        <v>300</v>
      </c>
      <c r="I56" s="39" t="s">
        <v>2222</v>
      </c>
      <c r="J56" s="123">
        <v>2166960</v>
      </c>
      <c r="K56" s="123"/>
      <c r="L56" s="123">
        <f t="shared" si="3"/>
        <v>2166960</v>
      </c>
      <c r="M56" s="123">
        <v>2166960</v>
      </c>
      <c r="N56" s="123"/>
      <c r="O56" s="123">
        <f t="shared" si="5"/>
        <v>2166960</v>
      </c>
    </row>
    <row r="57" spans="1:15" ht="70.5" customHeight="1">
      <c r="A57" s="35" t="s">
        <v>1149</v>
      </c>
      <c r="B57" s="35" t="s">
        <v>289</v>
      </c>
      <c r="C57" s="35" t="s">
        <v>297</v>
      </c>
      <c r="D57" s="35" t="s">
        <v>297</v>
      </c>
      <c r="E57" s="35" t="s">
        <v>2674</v>
      </c>
      <c r="F57" s="35" t="s">
        <v>291</v>
      </c>
      <c r="G57" s="37" t="s">
        <v>100</v>
      </c>
      <c r="H57" s="37" t="s">
        <v>300</v>
      </c>
      <c r="I57" s="3" t="s">
        <v>2223</v>
      </c>
      <c r="J57" s="123">
        <v>61500</v>
      </c>
      <c r="K57" s="123"/>
      <c r="L57" s="123">
        <f t="shared" si="3"/>
        <v>61500</v>
      </c>
      <c r="M57" s="123">
        <v>61500</v>
      </c>
      <c r="N57" s="123"/>
      <c r="O57" s="123">
        <f t="shared" si="5"/>
        <v>61500</v>
      </c>
    </row>
    <row r="58" spans="1:15" ht="97.95" customHeight="1">
      <c r="A58" s="35" t="s">
        <v>2080</v>
      </c>
      <c r="B58" s="35" t="s">
        <v>289</v>
      </c>
      <c r="C58" s="35" t="s">
        <v>297</v>
      </c>
      <c r="D58" s="35" t="s">
        <v>297</v>
      </c>
      <c r="E58" s="35" t="s">
        <v>2674</v>
      </c>
      <c r="F58" s="35" t="s">
        <v>291</v>
      </c>
      <c r="G58" s="37" t="s">
        <v>100</v>
      </c>
      <c r="H58" s="37" t="s">
        <v>300</v>
      </c>
      <c r="I58" s="180" t="s">
        <v>2225</v>
      </c>
      <c r="J58" s="123">
        <v>167147</v>
      </c>
      <c r="K58" s="123"/>
      <c r="L58" s="123">
        <f t="shared" si="3"/>
        <v>167147</v>
      </c>
      <c r="M58" s="123">
        <v>167147</v>
      </c>
      <c r="N58" s="123"/>
      <c r="O58" s="123">
        <f t="shared" si="5"/>
        <v>167147</v>
      </c>
    </row>
    <row r="59" spans="1:15" ht="96.75" customHeight="1">
      <c r="A59" s="35" t="s">
        <v>2080</v>
      </c>
      <c r="B59" s="35" t="s">
        <v>289</v>
      </c>
      <c r="C59" s="35" t="s">
        <v>297</v>
      </c>
      <c r="D59" s="35" t="s">
        <v>297</v>
      </c>
      <c r="E59" s="35" t="s">
        <v>2674</v>
      </c>
      <c r="F59" s="35" t="s">
        <v>291</v>
      </c>
      <c r="G59" s="37" t="s">
        <v>100</v>
      </c>
      <c r="H59" s="37" t="s">
        <v>300</v>
      </c>
      <c r="I59" s="180" t="s">
        <v>2224</v>
      </c>
      <c r="J59" s="123">
        <v>805430</v>
      </c>
      <c r="K59" s="123"/>
      <c r="L59" s="123">
        <f t="shared" si="3"/>
        <v>805430</v>
      </c>
      <c r="M59" s="123">
        <v>805430</v>
      </c>
      <c r="N59" s="123"/>
      <c r="O59" s="123">
        <f t="shared" si="5"/>
        <v>805430</v>
      </c>
    </row>
    <row r="60" spans="1:15" ht="46.8">
      <c r="A60" s="34" t="s">
        <v>96</v>
      </c>
      <c r="B60" s="34" t="s">
        <v>289</v>
      </c>
      <c r="C60" s="34" t="s">
        <v>297</v>
      </c>
      <c r="D60" s="34" t="s">
        <v>2238</v>
      </c>
      <c r="E60" s="34" t="s">
        <v>96</v>
      </c>
      <c r="F60" s="34" t="s">
        <v>98</v>
      </c>
      <c r="G60" s="36" t="s">
        <v>100</v>
      </c>
      <c r="H60" s="36" t="s">
        <v>300</v>
      </c>
      <c r="I60" s="57" t="s">
        <v>336</v>
      </c>
      <c r="J60" s="81">
        <v>759949183</v>
      </c>
      <c r="K60" s="81">
        <f t="shared" ref="K60" si="32">SUM(K61:K85)</f>
        <v>0</v>
      </c>
      <c r="L60" s="80">
        <f t="shared" si="3"/>
        <v>759949183</v>
      </c>
      <c r="M60" s="81">
        <v>759949183</v>
      </c>
      <c r="N60" s="81">
        <f t="shared" ref="N60" si="33">SUM(N61:N85)</f>
        <v>0</v>
      </c>
      <c r="O60" s="80">
        <f t="shared" si="5"/>
        <v>759949183</v>
      </c>
    </row>
    <row r="61" spans="1:15" ht="68.25" customHeight="1">
      <c r="A61" s="35" t="s">
        <v>2082</v>
      </c>
      <c r="B61" s="35" t="s">
        <v>289</v>
      </c>
      <c r="C61" s="35" t="s">
        <v>297</v>
      </c>
      <c r="D61" s="35" t="s">
        <v>2238</v>
      </c>
      <c r="E61" s="35" t="s">
        <v>2679</v>
      </c>
      <c r="F61" s="35" t="s">
        <v>291</v>
      </c>
      <c r="G61" s="37" t="s">
        <v>100</v>
      </c>
      <c r="H61" s="37" t="s">
        <v>300</v>
      </c>
      <c r="I61" s="8" t="s">
        <v>463</v>
      </c>
      <c r="J61" s="123">
        <v>18261000</v>
      </c>
      <c r="K61" s="123"/>
      <c r="L61" s="123">
        <f t="shared" si="3"/>
        <v>18261000</v>
      </c>
      <c r="M61" s="123">
        <v>18261000</v>
      </c>
      <c r="N61" s="123"/>
      <c r="O61" s="123">
        <f t="shared" si="5"/>
        <v>18261000</v>
      </c>
    </row>
    <row r="62" spans="1:15" ht="148.5" customHeight="1">
      <c r="A62" s="35" t="s">
        <v>2080</v>
      </c>
      <c r="B62" s="35" t="s">
        <v>289</v>
      </c>
      <c r="C62" s="35" t="s">
        <v>297</v>
      </c>
      <c r="D62" s="35" t="s">
        <v>2238</v>
      </c>
      <c r="E62" s="35" t="s">
        <v>2680</v>
      </c>
      <c r="F62" s="35" t="s">
        <v>291</v>
      </c>
      <c r="G62" s="37" t="s">
        <v>100</v>
      </c>
      <c r="H62" s="37" t="s">
        <v>300</v>
      </c>
      <c r="I62" s="8" t="s">
        <v>2230</v>
      </c>
      <c r="J62" s="123">
        <v>4407000</v>
      </c>
      <c r="K62" s="123"/>
      <c r="L62" s="123">
        <f t="shared" si="3"/>
        <v>4407000</v>
      </c>
      <c r="M62" s="123">
        <v>4407000</v>
      </c>
      <c r="N62" s="123"/>
      <c r="O62" s="123">
        <f t="shared" si="5"/>
        <v>4407000</v>
      </c>
    </row>
    <row r="63" spans="1:15" ht="84" customHeight="1">
      <c r="A63" s="35" t="s">
        <v>2080</v>
      </c>
      <c r="B63" s="35" t="s">
        <v>289</v>
      </c>
      <c r="C63" s="35" t="s">
        <v>297</v>
      </c>
      <c r="D63" s="35" t="s">
        <v>2238</v>
      </c>
      <c r="E63" s="35" t="s">
        <v>2680</v>
      </c>
      <c r="F63" s="35" t="s">
        <v>291</v>
      </c>
      <c r="G63" s="37" t="s">
        <v>100</v>
      </c>
      <c r="H63" s="37" t="s">
        <v>300</v>
      </c>
      <c r="I63" s="8" t="s">
        <v>2654</v>
      </c>
      <c r="J63" s="123">
        <v>980000</v>
      </c>
      <c r="K63" s="123"/>
      <c r="L63" s="123">
        <f t="shared" si="3"/>
        <v>980000</v>
      </c>
      <c r="M63" s="123">
        <v>980000</v>
      </c>
      <c r="N63" s="123"/>
      <c r="O63" s="123">
        <f t="shared" si="5"/>
        <v>980000</v>
      </c>
    </row>
    <row r="64" spans="1:15" ht="82.5" customHeight="1">
      <c r="A64" s="35" t="s">
        <v>2082</v>
      </c>
      <c r="B64" s="35" t="s">
        <v>289</v>
      </c>
      <c r="C64" s="35" t="s">
        <v>297</v>
      </c>
      <c r="D64" s="35" t="s">
        <v>2238</v>
      </c>
      <c r="E64" s="35" t="s">
        <v>2680</v>
      </c>
      <c r="F64" s="35" t="s">
        <v>291</v>
      </c>
      <c r="G64" s="37" t="s">
        <v>100</v>
      </c>
      <c r="H64" s="37" t="s">
        <v>300</v>
      </c>
      <c r="I64" s="8" t="s">
        <v>1110</v>
      </c>
      <c r="J64" s="123">
        <v>34900000</v>
      </c>
      <c r="K64" s="123"/>
      <c r="L64" s="123">
        <f t="shared" si="3"/>
        <v>34900000</v>
      </c>
      <c r="M64" s="123">
        <v>34900000</v>
      </c>
      <c r="N64" s="123"/>
      <c r="O64" s="123">
        <f t="shared" si="5"/>
        <v>34900000</v>
      </c>
    </row>
    <row r="65" spans="1:15" ht="115.5" customHeight="1">
      <c r="A65" s="35" t="s">
        <v>2082</v>
      </c>
      <c r="B65" s="35" t="s">
        <v>289</v>
      </c>
      <c r="C65" s="35" t="s">
        <v>297</v>
      </c>
      <c r="D65" s="35" t="s">
        <v>2238</v>
      </c>
      <c r="E65" s="35" t="s">
        <v>2680</v>
      </c>
      <c r="F65" s="35" t="s">
        <v>291</v>
      </c>
      <c r="G65" s="37" t="s">
        <v>100</v>
      </c>
      <c r="H65" s="37" t="s">
        <v>300</v>
      </c>
      <c r="I65" s="8" t="s">
        <v>2229</v>
      </c>
      <c r="J65" s="123">
        <v>35700000</v>
      </c>
      <c r="K65" s="123"/>
      <c r="L65" s="123">
        <f t="shared" si="3"/>
        <v>35700000</v>
      </c>
      <c r="M65" s="123">
        <v>35700000</v>
      </c>
      <c r="N65" s="123"/>
      <c r="O65" s="123">
        <f t="shared" si="5"/>
        <v>35700000</v>
      </c>
    </row>
    <row r="66" spans="1:15" ht="105.75" customHeight="1">
      <c r="A66" s="35" t="s">
        <v>2082</v>
      </c>
      <c r="B66" s="35" t="s">
        <v>289</v>
      </c>
      <c r="C66" s="35" t="s">
        <v>297</v>
      </c>
      <c r="D66" s="35" t="s">
        <v>2238</v>
      </c>
      <c r="E66" s="35" t="s">
        <v>2682</v>
      </c>
      <c r="F66" s="35" t="s">
        <v>291</v>
      </c>
      <c r="G66" s="37" t="s">
        <v>100</v>
      </c>
      <c r="H66" s="37" t="s">
        <v>300</v>
      </c>
      <c r="I66" s="8" t="s">
        <v>2689</v>
      </c>
      <c r="J66" s="123">
        <v>17459000</v>
      </c>
      <c r="K66" s="123"/>
      <c r="L66" s="123">
        <f t="shared" si="3"/>
        <v>17459000</v>
      </c>
      <c r="M66" s="123">
        <v>17459000</v>
      </c>
      <c r="N66" s="123"/>
      <c r="O66" s="123">
        <f t="shared" si="5"/>
        <v>17459000</v>
      </c>
    </row>
    <row r="67" spans="1:15" ht="121.5" customHeight="1">
      <c r="A67" s="35" t="s">
        <v>2080</v>
      </c>
      <c r="B67" s="35" t="s">
        <v>289</v>
      </c>
      <c r="C67" s="35" t="s">
        <v>297</v>
      </c>
      <c r="D67" s="35" t="s">
        <v>2238</v>
      </c>
      <c r="E67" s="35" t="s">
        <v>2680</v>
      </c>
      <c r="F67" s="35" t="s">
        <v>291</v>
      </c>
      <c r="G67" s="37" t="s">
        <v>100</v>
      </c>
      <c r="H67" s="37" t="s">
        <v>300</v>
      </c>
      <c r="I67" s="8" t="s">
        <v>2471</v>
      </c>
      <c r="J67" s="123">
        <v>10593925</v>
      </c>
      <c r="K67" s="123"/>
      <c r="L67" s="123">
        <f t="shared" si="3"/>
        <v>10593925</v>
      </c>
      <c r="M67" s="123">
        <v>10593925</v>
      </c>
      <c r="N67" s="123"/>
      <c r="O67" s="123">
        <f t="shared" si="5"/>
        <v>10593925</v>
      </c>
    </row>
    <row r="68" spans="1:15" ht="95.25" customHeight="1">
      <c r="A68" s="35" t="s">
        <v>2080</v>
      </c>
      <c r="B68" s="35" t="s">
        <v>289</v>
      </c>
      <c r="C68" s="35" t="s">
        <v>297</v>
      </c>
      <c r="D68" s="35" t="s">
        <v>2238</v>
      </c>
      <c r="E68" s="35" t="s">
        <v>2680</v>
      </c>
      <c r="F68" s="35" t="s">
        <v>291</v>
      </c>
      <c r="G68" s="37" t="s">
        <v>100</v>
      </c>
      <c r="H68" s="37" t="s">
        <v>300</v>
      </c>
      <c r="I68" s="8" t="s">
        <v>1635</v>
      </c>
      <c r="J68" s="123">
        <v>23943268</v>
      </c>
      <c r="K68" s="123"/>
      <c r="L68" s="123">
        <f t="shared" si="3"/>
        <v>23943268</v>
      </c>
      <c r="M68" s="123">
        <v>23943268</v>
      </c>
      <c r="N68" s="123"/>
      <c r="O68" s="123">
        <f t="shared" si="5"/>
        <v>23943268</v>
      </c>
    </row>
    <row r="69" spans="1:15" ht="126.75" customHeight="1">
      <c r="A69" s="35" t="s">
        <v>2082</v>
      </c>
      <c r="B69" s="35" t="s">
        <v>289</v>
      </c>
      <c r="C69" s="35" t="s">
        <v>297</v>
      </c>
      <c r="D69" s="35" t="s">
        <v>2238</v>
      </c>
      <c r="E69" s="35" t="s">
        <v>2680</v>
      </c>
      <c r="F69" s="35" t="s">
        <v>291</v>
      </c>
      <c r="G69" s="37" t="s">
        <v>100</v>
      </c>
      <c r="H69" s="37" t="s">
        <v>300</v>
      </c>
      <c r="I69" s="8" t="s">
        <v>887</v>
      </c>
      <c r="J69" s="123">
        <v>59079000</v>
      </c>
      <c r="K69" s="123"/>
      <c r="L69" s="123">
        <f t="shared" si="3"/>
        <v>59079000</v>
      </c>
      <c r="M69" s="123">
        <v>59079000</v>
      </c>
      <c r="N69" s="123"/>
      <c r="O69" s="123">
        <f t="shared" si="5"/>
        <v>59079000</v>
      </c>
    </row>
    <row r="70" spans="1:15" ht="96.6" customHeight="1">
      <c r="A70" s="35" t="s">
        <v>2077</v>
      </c>
      <c r="B70" s="35" t="s">
        <v>289</v>
      </c>
      <c r="C70" s="35" t="s">
        <v>297</v>
      </c>
      <c r="D70" s="35" t="s">
        <v>2238</v>
      </c>
      <c r="E70" s="35" t="s">
        <v>2680</v>
      </c>
      <c r="F70" s="35" t="s">
        <v>291</v>
      </c>
      <c r="G70" s="37" t="s">
        <v>100</v>
      </c>
      <c r="H70" s="37" t="s">
        <v>300</v>
      </c>
      <c r="I70" s="181" t="s">
        <v>524</v>
      </c>
      <c r="J70" s="123">
        <v>40000</v>
      </c>
      <c r="K70" s="123"/>
      <c r="L70" s="123">
        <f t="shared" si="3"/>
        <v>40000</v>
      </c>
      <c r="M70" s="123">
        <v>40000</v>
      </c>
      <c r="N70" s="123"/>
      <c r="O70" s="123">
        <f t="shared" si="5"/>
        <v>40000</v>
      </c>
    </row>
    <row r="71" spans="1:15" ht="159" customHeight="1">
      <c r="A71" s="35" t="s">
        <v>2082</v>
      </c>
      <c r="B71" s="35" t="s">
        <v>289</v>
      </c>
      <c r="C71" s="35" t="s">
        <v>297</v>
      </c>
      <c r="D71" s="35" t="s">
        <v>2238</v>
      </c>
      <c r="E71" s="35" t="s">
        <v>2680</v>
      </c>
      <c r="F71" s="35" t="s">
        <v>291</v>
      </c>
      <c r="G71" s="37" t="s">
        <v>100</v>
      </c>
      <c r="H71" s="37" t="s">
        <v>300</v>
      </c>
      <c r="I71" s="8" t="s">
        <v>2083</v>
      </c>
      <c r="J71" s="123">
        <v>44582019</v>
      </c>
      <c r="K71" s="123"/>
      <c r="L71" s="123">
        <f t="shared" si="3"/>
        <v>44582019</v>
      </c>
      <c r="M71" s="123">
        <v>44582019</v>
      </c>
      <c r="N71" s="123"/>
      <c r="O71" s="123">
        <f t="shared" si="5"/>
        <v>44582019</v>
      </c>
    </row>
    <row r="72" spans="1:15" ht="15.6">
      <c r="A72" s="35" t="s">
        <v>2082</v>
      </c>
      <c r="B72" s="35" t="s">
        <v>289</v>
      </c>
      <c r="C72" s="35" t="s">
        <v>297</v>
      </c>
      <c r="D72" s="35" t="s">
        <v>2238</v>
      </c>
      <c r="E72" s="35" t="s">
        <v>2680</v>
      </c>
      <c r="F72" s="35" t="s">
        <v>291</v>
      </c>
      <c r="G72" s="37" t="s">
        <v>100</v>
      </c>
      <c r="H72" s="37" t="s">
        <v>300</v>
      </c>
      <c r="I72" s="8" t="s">
        <v>353</v>
      </c>
      <c r="J72" s="123">
        <v>19500000</v>
      </c>
      <c r="K72" s="123"/>
      <c r="L72" s="123">
        <f t="shared" si="3"/>
        <v>19500000</v>
      </c>
      <c r="M72" s="123">
        <v>19500000</v>
      </c>
      <c r="N72" s="123"/>
      <c r="O72" s="123">
        <f t="shared" si="5"/>
        <v>19500000</v>
      </c>
    </row>
    <row r="73" spans="1:15" ht="48.75" customHeight="1">
      <c r="A73" s="35" t="s">
        <v>2080</v>
      </c>
      <c r="B73" s="35" t="s">
        <v>289</v>
      </c>
      <c r="C73" s="35" t="s">
        <v>297</v>
      </c>
      <c r="D73" s="35" t="s">
        <v>2238</v>
      </c>
      <c r="E73" s="35" t="s">
        <v>2680</v>
      </c>
      <c r="F73" s="35" t="s">
        <v>291</v>
      </c>
      <c r="G73" s="37" t="s">
        <v>100</v>
      </c>
      <c r="H73" s="37" t="s">
        <v>300</v>
      </c>
      <c r="I73" s="8" t="s">
        <v>237</v>
      </c>
      <c r="J73" s="123">
        <v>1844836</v>
      </c>
      <c r="K73" s="123"/>
      <c r="L73" s="123">
        <f t="shared" si="3"/>
        <v>1844836</v>
      </c>
      <c r="M73" s="123">
        <v>1844836</v>
      </c>
      <c r="N73" s="123"/>
      <c r="O73" s="123">
        <f t="shared" si="5"/>
        <v>1844836</v>
      </c>
    </row>
    <row r="74" spans="1:15" ht="105.75" customHeight="1">
      <c r="A74" s="35" t="s">
        <v>2080</v>
      </c>
      <c r="B74" s="35" t="s">
        <v>289</v>
      </c>
      <c r="C74" s="35" t="s">
        <v>297</v>
      </c>
      <c r="D74" s="35" t="s">
        <v>2238</v>
      </c>
      <c r="E74" s="35" t="s">
        <v>2680</v>
      </c>
      <c r="F74" s="35" t="s">
        <v>291</v>
      </c>
      <c r="G74" s="37" t="s">
        <v>100</v>
      </c>
      <c r="H74" s="37" t="s">
        <v>300</v>
      </c>
      <c r="I74" s="8" t="s">
        <v>2466</v>
      </c>
      <c r="J74" s="123">
        <v>1902700</v>
      </c>
      <c r="K74" s="123"/>
      <c r="L74" s="123">
        <f t="shared" si="3"/>
        <v>1902700</v>
      </c>
      <c r="M74" s="123">
        <v>1902700</v>
      </c>
      <c r="N74" s="123"/>
      <c r="O74" s="123">
        <f t="shared" si="5"/>
        <v>1902700</v>
      </c>
    </row>
    <row r="75" spans="1:15" ht="65.25" customHeight="1">
      <c r="A75" s="35" t="s">
        <v>2080</v>
      </c>
      <c r="B75" s="35" t="s">
        <v>289</v>
      </c>
      <c r="C75" s="35" t="s">
        <v>297</v>
      </c>
      <c r="D75" s="35" t="s">
        <v>2238</v>
      </c>
      <c r="E75" s="35" t="s">
        <v>2680</v>
      </c>
      <c r="F75" s="35" t="s">
        <v>291</v>
      </c>
      <c r="G75" s="37" t="s">
        <v>100</v>
      </c>
      <c r="H75" s="37" t="s">
        <v>300</v>
      </c>
      <c r="I75" s="8" t="s">
        <v>2528</v>
      </c>
      <c r="J75" s="123">
        <v>286966643</v>
      </c>
      <c r="K75" s="123"/>
      <c r="L75" s="123">
        <f t="shared" si="3"/>
        <v>286966643</v>
      </c>
      <c r="M75" s="123">
        <v>286966643</v>
      </c>
      <c r="N75" s="123"/>
      <c r="O75" s="123">
        <f t="shared" si="5"/>
        <v>286966643</v>
      </c>
    </row>
    <row r="76" spans="1:15" ht="53.4" customHeight="1">
      <c r="A76" s="35" t="s">
        <v>2080</v>
      </c>
      <c r="B76" s="35" t="s">
        <v>289</v>
      </c>
      <c r="C76" s="35" t="s">
        <v>297</v>
      </c>
      <c r="D76" s="35" t="s">
        <v>2238</v>
      </c>
      <c r="E76" s="35" t="s">
        <v>2680</v>
      </c>
      <c r="F76" s="35" t="s">
        <v>291</v>
      </c>
      <c r="G76" s="37" t="s">
        <v>100</v>
      </c>
      <c r="H76" s="37" t="s">
        <v>300</v>
      </c>
      <c r="I76" s="8" t="s">
        <v>2649</v>
      </c>
      <c r="J76" s="123">
        <v>15478000</v>
      </c>
      <c r="K76" s="123"/>
      <c r="L76" s="123">
        <f t="shared" si="3"/>
        <v>15478000</v>
      </c>
      <c r="M76" s="123">
        <v>15478000</v>
      </c>
      <c r="N76" s="123"/>
      <c r="O76" s="123">
        <f t="shared" si="5"/>
        <v>15478000</v>
      </c>
    </row>
    <row r="77" spans="1:15" ht="99" customHeight="1">
      <c r="A77" s="178">
        <v>950</v>
      </c>
      <c r="B77" s="179" t="s">
        <v>289</v>
      </c>
      <c r="C77" s="179" t="s">
        <v>297</v>
      </c>
      <c r="D77" s="179" t="s">
        <v>2238</v>
      </c>
      <c r="E77" s="179" t="s">
        <v>2680</v>
      </c>
      <c r="F77" s="179" t="s">
        <v>291</v>
      </c>
      <c r="G77" s="179" t="s">
        <v>100</v>
      </c>
      <c r="H77" s="179" t="s">
        <v>300</v>
      </c>
      <c r="I77" s="8" t="s">
        <v>727</v>
      </c>
      <c r="J77" s="123">
        <v>2272875</v>
      </c>
      <c r="K77" s="123"/>
      <c r="L77" s="123">
        <f t="shared" si="3"/>
        <v>2272875</v>
      </c>
      <c r="M77" s="123">
        <v>2272875</v>
      </c>
      <c r="N77" s="123"/>
      <c r="O77" s="123">
        <f t="shared" si="5"/>
        <v>2272875</v>
      </c>
    </row>
    <row r="78" spans="1:15" ht="80.25" customHeight="1">
      <c r="A78" s="35" t="s">
        <v>2082</v>
      </c>
      <c r="B78" s="35" t="s">
        <v>289</v>
      </c>
      <c r="C78" s="35" t="s">
        <v>297</v>
      </c>
      <c r="D78" s="35" t="s">
        <v>2238</v>
      </c>
      <c r="E78" s="35" t="s">
        <v>2680</v>
      </c>
      <c r="F78" s="35" t="s">
        <v>291</v>
      </c>
      <c r="G78" s="37" t="s">
        <v>100</v>
      </c>
      <c r="H78" s="37" t="s">
        <v>300</v>
      </c>
      <c r="I78" s="8" t="s">
        <v>1634</v>
      </c>
      <c r="J78" s="123">
        <v>12281100</v>
      </c>
      <c r="K78" s="123"/>
      <c r="L78" s="123">
        <f t="shared" si="3"/>
        <v>12281100</v>
      </c>
      <c r="M78" s="123">
        <v>12281100</v>
      </c>
      <c r="N78" s="123"/>
      <c r="O78" s="123">
        <f t="shared" si="5"/>
        <v>12281100</v>
      </c>
    </row>
    <row r="79" spans="1:15" ht="49.5" customHeight="1">
      <c r="A79" s="35" t="s">
        <v>2080</v>
      </c>
      <c r="B79" s="35" t="s">
        <v>289</v>
      </c>
      <c r="C79" s="35" t="s">
        <v>297</v>
      </c>
      <c r="D79" s="35" t="s">
        <v>2238</v>
      </c>
      <c r="E79" s="35" t="s">
        <v>2680</v>
      </c>
      <c r="F79" s="35" t="s">
        <v>291</v>
      </c>
      <c r="G79" s="37" t="s">
        <v>100</v>
      </c>
      <c r="H79" s="37" t="s">
        <v>300</v>
      </c>
      <c r="I79" s="8" t="s">
        <v>1109</v>
      </c>
      <c r="J79" s="123">
        <v>3686489</v>
      </c>
      <c r="K79" s="123"/>
      <c r="L79" s="123">
        <f t="shared" si="3"/>
        <v>3686489</v>
      </c>
      <c r="M79" s="123">
        <v>3686489</v>
      </c>
      <c r="N79" s="123"/>
      <c r="O79" s="123">
        <f t="shared" si="5"/>
        <v>3686489</v>
      </c>
    </row>
    <row r="80" spans="1:15" ht="69.75" customHeight="1">
      <c r="A80" s="35" t="s">
        <v>2080</v>
      </c>
      <c r="B80" s="35" t="s">
        <v>289</v>
      </c>
      <c r="C80" s="35" t="s">
        <v>297</v>
      </c>
      <c r="D80" s="35" t="s">
        <v>2238</v>
      </c>
      <c r="E80" s="35" t="s">
        <v>2680</v>
      </c>
      <c r="F80" s="35" t="s">
        <v>291</v>
      </c>
      <c r="G80" s="37" t="s">
        <v>100</v>
      </c>
      <c r="H80" s="37" t="s">
        <v>300</v>
      </c>
      <c r="I80" s="8" t="s">
        <v>2467</v>
      </c>
      <c r="J80" s="123">
        <v>160874810</v>
      </c>
      <c r="K80" s="123"/>
      <c r="L80" s="123">
        <f t="shared" ref="L80:L113" si="34">SUM(J80:K80)</f>
        <v>160874810</v>
      </c>
      <c r="M80" s="123">
        <v>160874810</v>
      </c>
      <c r="N80" s="123"/>
      <c r="O80" s="123">
        <f t="shared" ref="O80:O113" si="35">SUM(M80:N80)</f>
        <v>160874810</v>
      </c>
    </row>
    <row r="81" spans="1:15" ht="114" customHeight="1">
      <c r="A81" s="35" t="s">
        <v>2077</v>
      </c>
      <c r="B81" s="35" t="s">
        <v>289</v>
      </c>
      <c r="C81" s="35" t="s">
        <v>297</v>
      </c>
      <c r="D81" s="35" t="s">
        <v>2238</v>
      </c>
      <c r="E81" s="35" t="s">
        <v>2680</v>
      </c>
      <c r="F81" s="35" t="s">
        <v>291</v>
      </c>
      <c r="G81" s="37" t="s">
        <v>100</v>
      </c>
      <c r="H81" s="37" t="s">
        <v>300</v>
      </c>
      <c r="I81" s="182" t="s">
        <v>2468</v>
      </c>
      <c r="J81" s="123">
        <v>126000</v>
      </c>
      <c r="K81" s="123"/>
      <c r="L81" s="123">
        <f t="shared" si="34"/>
        <v>126000</v>
      </c>
      <c r="M81" s="123">
        <v>126000</v>
      </c>
      <c r="N81" s="123"/>
      <c r="O81" s="123">
        <f t="shared" si="35"/>
        <v>126000</v>
      </c>
    </row>
    <row r="82" spans="1:15" ht="127.95" customHeight="1">
      <c r="A82" s="35" t="s">
        <v>2081</v>
      </c>
      <c r="B82" s="35" t="s">
        <v>289</v>
      </c>
      <c r="C82" s="35" t="s">
        <v>297</v>
      </c>
      <c r="D82" s="35" t="s">
        <v>2238</v>
      </c>
      <c r="E82" s="35" t="s">
        <v>2680</v>
      </c>
      <c r="F82" s="35" t="s">
        <v>291</v>
      </c>
      <c r="G82" s="37" t="s">
        <v>100</v>
      </c>
      <c r="H82" s="37" t="s">
        <v>300</v>
      </c>
      <c r="I82" s="8" t="s">
        <v>2657</v>
      </c>
      <c r="J82" s="123">
        <v>5100</v>
      </c>
      <c r="K82" s="123"/>
      <c r="L82" s="123">
        <f t="shared" si="34"/>
        <v>5100</v>
      </c>
      <c r="M82" s="123">
        <v>5100</v>
      </c>
      <c r="N82" s="123"/>
      <c r="O82" s="123">
        <f t="shared" si="35"/>
        <v>5100</v>
      </c>
    </row>
    <row r="83" spans="1:15" ht="46.8">
      <c r="A83" s="35" t="s">
        <v>2082</v>
      </c>
      <c r="B83" s="35" t="s">
        <v>289</v>
      </c>
      <c r="C83" s="35" t="s">
        <v>297</v>
      </c>
      <c r="D83" s="35" t="s">
        <v>2238</v>
      </c>
      <c r="E83" s="35" t="s">
        <v>2680</v>
      </c>
      <c r="F83" s="35" t="s">
        <v>291</v>
      </c>
      <c r="G83" s="37" t="s">
        <v>100</v>
      </c>
      <c r="H83" s="37" t="s">
        <v>300</v>
      </c>
      <c r="I83" s="8" t="s">
        <v>307</v>
      </c>
      <c r="J83" s="123">
        <v>4204534</v>
      </c>
      <c r="K83" s="123"/>
      <c r="L83" s="123">
        <f t="shared" si="34"/>
        <v>4204534</v>
      </c>
      <c r="M83" s="123">
        <v>4204534</v>
      </c>
      <c r="N83" s="123"/>
      <c r="O83" s="123">
        <f t="shared" si="35"/>
        <v>4204534</v>
      </c>
    </row>
    <row r="84" spans="1:15" ht="31.2">
      <c r="A84" s="35" t="s">
        <v>2077</v>
      </c>
      <c r="B84" s="35" t="s">
        <v>289</v>
      </c>
      <c r="C84" s="35" t="s">
        <v>297</v>
      </c>
      <c r="D84" s="35" t="s">
        <v>2238</v>
      </c>
      <c r="E84" s="35" t="s">
        <v>2680</v>
      </c>
      <c r="F84" s="35" t="s">
        <v>291</v>
      </c>
      <c r="G84" s="37" t="s">
        <v>100</v>
      </c>
      <c r="H84" s="37" t="s">
        <v>300</v>
      </c>
      <c r="I84" s="8" t="s">
        <v>2658</v>
      </c>
      <c r="J84" s="123">
        <v>630170</v>
      </c>
      <c r="K84" s="123"/>
      <c r="L84" s="123">
        <f t="shared" si="34"/>
        <v>630170</v>
      </c>
      <c r="M84" s="123">
        <v>630170</v>
      </c>
      <c r="N84" s="123"/>
      <c r="O84" s="123">
        <f t="shared" si="35"/>
        <v>630170</v>
      </c>
    </row>
    <row r="85" spans="1:15" ht="82.5" customHeight="1">
      <c r="A85" s="35" t="s">
        <v>2081</v>
      </c>
      <c r="B85" s="35" t="s">
        <v>289</v>
      </c>
      <c r="C85" s="35" t="s">
        <v>297</v>
      </c>
      <c r="D85" s="35" t="s">
        <v>2238</v>
      </c>
      <c r="E85" s="35" t="s">
        <v>2680</v>
      </c>
      <c r="F85" s="35" t="s">
        <v>291</v>
      </c>
      <c r="G85" s="37" t="s">
        <v>100</v>
      </c>
      <c r="H85" s="37" t="s">
        <v>300</v>
      </c>
      <c r="I85" s="8" t="s">
        <v>1497</v>
      </c>
      <c r="J85" s="123">
        <v>230714</v>
      </c>
      <c r="K85" s="123"/>
      <c r="L85" s="123">
        <f t="shared" si="34"/>
        <v>230714</v>
      </c>
      <c r="M85" s="123">
        <v>230714</v>
      </c>
      <c r="N85" s="123"/>
      <c r="O85" s="123">
        <f t="shared" si="35"/>
        <v>230714</v>
      </c>
    </row>
    <row r="86" spans="1:15" ht="36" customHeight="1">
      <c r="A86" s="34" t="s">
        <v>96</v>
      </c>
      <c r="B86" s="34" t="s">
        <v>289</v>
      </c>
      <c r="C86" s="34" t="s">
        <v>297</v>
      </c>
      <c r="D86" s="34" t="s">
        <v>2659</v>
      </c>
      <c r="E86" s="34" t="s">
        <v>96</v>
      </c>
      <c r="F86" s="34" t="s">
        <v>98</v>
      </c>
      <c r="G86" s="36" t="s">
        <v>100</v>
      </c>
      <c r="H86" s="36" t="s">
        <v>300</v>
      </c>
      <c r="I86" s="57" t="s">
        <v>337</v>
      </c>
      <c r="J86" s="80">
        <v>116699180</v>
      </c>
      <c r="K86" s="80">
        <f>SUM(K87:K112)</f>
        <v>5631697</v>
      </c>
      <c r="L86" s="80">
        <f t="shared" si="34"/>
        <v>122330877</v>
      </c>
      <c r="M86" s="80">
        <v>6783000</v>
      </c>
      <c r="N86" s="80">
        <f>SUM(N87:N111)</f>
        <v>0</v>
      </c>
      <c r="O86" s="80">
        <f t="shared" si="35"/>
        <v>6783000</v>
      </c>
    </row>
    <row r="87" spans="1:15" ht="129" customHeight="1">
      <c r="A87" s="35" t="s">
        <v>1149</v>
      </c>
      <c r="B87" s="35" t="s">
        <v>2518</v>
      </c>
      <c r="C87" s="35" t="s">
        <v>297</v>
      </c>
      <c r="D87" s="35" t="s">
        <v>2659</v>
      </c>
      <c r="E87" s="35" t="s">
        <v>2687</v>
      </c>
      <c r="F87" s="35" t="s">
        <v>291</v>
      </c>
      <c r="G87" s="37" t="s">
        <v>2542</v>
      </c>
      <c r="H87" s="37" t="s">
        <v>300</v>
      </c>
      <c r="I87" s="8" t="s">
        <v>2602</v>
      </c>
      <c r="J87" s="105">
        <v>18293565</v>
      </c>
      <c r="K87" s="105"/>
      <c r="L87" s="123">
        <f t="shared" si="34"/>
        <v>18293565</v>
      </c>
      <c r="M87" s="123">
        <v>0</v>
      </c>
      <c r="N87" s="123"/>
      <c r="O87" s="123">
        <f t="shared" si="35"/>
        <v>0</v>
      </c>
    </row>
    <row r="88" spans="1:15" ht="118.5" customHeight="1">
      <c r="A88" s="35" t="s">
        <v>386</v>
      </c>
      <c r="B88" s="35" t="s">
        <v>289</v>
      </c>
      <c r="C88" s="35" t="s">
        <v>297</v>
      </c>
      <c r="D88" s="35" t="s">
        <v>2659</v>
      </c>
      <c r="E88" s="35" t="s">
        <v>2687</v>
      </c>
      <c r="F88" s="35" t="s">
        <v>291</v>
      </c>
      <c r="G88" s="37" t="s">
        <v>2587</v>
      </c>
      <c r="H88" s="37" t="s">
        <v>300</v>
      </c>
      <c r="I88" s="8" t="s">
        <v>2603</v>
      </c>
      <c r="J88" s="105">
        <v>200000</v>
      </c>
      <c r="K88" s="105"/>
      <c r="L88" s="123">
        <f t="shared" si="34"/>
        <v>200000</v>
      </c>
      <c r="M88" s="123"/>
      <c r="N88" s="123"/>
      <c r="O88" s="123">
        <v>0</v>
      </c>
    </row>
    <row r="89" spans="1:15" ht="97.5" customHeight="1">
      <c r="A89" s="35" t="s">
        <v>2077</v>
      </c>
      <c r="B89" s="35" t="s">
        <v>289</v>
      </c>
      <c r="C89" s="35" t="s">
        <v>297</v>
      </c>
      <c r="D89" s="35" t="s">
        <v>2659</v>
      </c>
      <c r="E89" s="35" t="s">
        <v>2687</v>
      </c>
      <c r="F89" s="35" t="s">
        <v>291</v>
      </c>
      <c r="G89" s="37" t="s">
        <v>3112</v>
      </c>
      <c r="H89" s="37" t="s">
        <v>300</v>
      </c>
      <c r="I89" s="8" t="s">
        <v>3113</v>
      </c>
      <c r="J89" s="105">
        <v>1000000</v>
      </c>
      <c r="K89" s="105"/>
      <c r="L89" s="123">
        <f t="shared" si="34"/>
        <v>1000000</v>
      </c>
      <c r="M89" s="123"/>
      <c r="N89" s="123"/>
      <c r="O89" s="123">
        <v>0</v>
      </c>
    </row>
    <row r="90" spans="1:15" ht="82.5" hidden="1" customHeight="1">
      <c r="A90" s="35" t="s">
        <v>2077</v>
      </c>
      <c r="B90" s="35" t="s">
        <v>289</v>
      </c>
      <c r="C90" s="35" t="s">
        <v>297</v>
      </c>
      <c r="D90" s="35"/>
      <c r="E90" s="35" t="s">
        <v>2122</v>
      </c>
      <c r="F90" s="35" t="s">
        <v>291</v>
      </c>
      <c r="G90" s="37" t="s">
        <v>2588</v>
      </c>
      <c r="H90" s="37" t="s">
        <v>300</v>
      </c>
      <c r="I90" s="8" t="s">
        <v>2551</v>
      </c>
      <c r="J90" s="105">
        <v>0</v>
      </c>
      <c r="K90" s="105"/>
      <c r="L90" s="123">
        <f t="shared" si="34"/>
        <v>0</v>
      </c>
      <c r="M90" s="123"/>
      <c r="N90" s="123"/>
      <c r="O90" s="123">
        <v>0</v>
      </c>
    </row>
    <row r="91" spans="1:15" ht="79.5" customHeight="1">
      <c r="A91" s="35" t="s">
        <v>2077</v>
      </c>
      <c r="B91" s="35" t="s">
        <v>289</v>
      </c>
      <c r="C91" s="35" t="s">
        <v>297</v>
      </c>
      <c r="D91" s="35" t="s">
        <v>2659</v>
      </c>
      <c r="E91" s="35" t="s">
        <v>2687</v>
      </c>
      <c r="F91" s="35" t="s">
        <v>291</v>
      </c>
      <c r="G91" s="37" t="s">
        <v>2472</v>
      </c>
      <c r="H91" s="37" t="s">
        <v>300</v>
      </c>
      <c r="I91" s="8" t="s">
        <v>2552</v>
      </c>
      <c r="J91" s="105">
        <v>6833685</v>
      </c>
      <c r="K91" s="105"/>
      <c r="L91" s="123">
        <f t="shared" si="34"/>
        <v>6833685</v>
      </c>
      <c r="M91" s="123"/>
      <c r="N91" s="123"/>
      <c r="O91" s="123">
        <v>0</v>
      </c>
    </row>
    <row r="92" spans="1:15" ht="64.2" customHeight="1">
      <c r="A92" s="35" t="s">
        <v>2077</v>
      </c>
      <c r="B92" s="35" t="s">
        <v>289</v>
      </c>
      <c r="C92" s="35" t="s">
        <v>297</v>
      </c>
      <c r="D92" s="35" t="s">
        <v>2659</v>
      </c>
      <c r="E92" s="35" t="s">
        <v>2687</v>
      </c>
      <c r="F92" s="35" t="s">
        <v>291</v>
      </c>
      <c r="G92" s="37" t="s">
        <v>2600</v>
      </c>
      <c r="H92" s="37" t="s">
        <v>300</v>
      </c>
      <c r="I92" s="8" t="s">
        <v>2601</v>
      </c>
      <c r="J92" s="105">
        <v>35610000</v>
      </c>
      <c r="K92" s="105">
        <v>5631697</v>
      </c>
      <c r="L92" s="123">
        <f t="shared" si="34"/>
        <v>41241697</v>
      </c>
      <c r="M92" s="123">
        <v>6783000</v>
      </c>
      <c r="N92" s="123"/>
      <c r="O92" s="123">
        <f>M92+N92</f>
        <v>6783000</v>
      </c>
    </row>
    <row r="93" spans="1:15" ht="96" customHeight="1">
      <c r="A93" s="35" t="s">
        <v>2077</v>
      </c>
      <c r="B93" s="35" t="s">
        <v>289</v>
      </c>
      <c r="C93" s="35" t="s">
        <v>297</v>
      </c>
      <c r="D93" s="35" t="s">
        <v>2659</v>
      </c>
      <c r="E93" s="35" t="s">
        <v>2687</v>
      </c>
      <c r="F93" s="35" t="s">
        <v>291</v>
      </c>
      <c r="G93" s="37" t="s">
        <v>2589</v>
      </c>
      <c r="H93" s="37" t="s">
        <v>300</v>
      </c>
      <c r="I93" s="388" t="s">
        <v>2553</v>
      </c>
      <c r="J93" s="105">
        <v>2700000</v>
      </c>
      <c r="K93" s="105"/>
      <c r="L93" s="123">
        <f t="shared" si="34"/>
        <v>2700000</v>
      </c>
      <c r="M93" s="123"/>
      <c r="N93" s="123"/>
      <c r="O93" s="123">
        <v>0</v>
      </c>
    </row>
    <row r="94" spans="1:15" ht="81.75" customHeight="1">
      <c r="A94" s="35" t="s">
        <v>2077</v>
      </c>
      <c r="B94" s="35" t="s">
        <v>289</v>
      </c>
      <c r="C94" s="35" t="s">
        <v>297</v>
      </c>
      <c r="D94" s="35" t="s">
        <v>2659</v>
      </c>
      <c r="E94" s="35" t="s">
        <v>2687</v>
      </c>
      <c r="F94" s="35" t="s">
        <v>291</v>
      </c>
      <c r="G94" s="37" t="s">
        <v>2470</v>
      </c>
      <c r="H94" s="37" t="s">
        <v>300</v>
      </c>
      <c r="I94" s="8" t="s">
        <v>3116</v>
      </c>
      <c r="J94" s="105">
        <v>2600000</v>
      </c>
      <c r="K94" s="105"/>
      <c r="L94" s="123">
        <f t="shared" si="34"/>
        <v>2600000</v>
      </c>
      <c r="M94" s="123"/>
      <c r="N94" s="123"/>
      <c r="O94" s="123">
        <v>0</v>
      </c>
    </row>
    <row r="95" spans="1:15" ht="81.75" customHeight="1">
      <c r="A95" s="35" t="s">
        <v>2077</v>
      </c>
      <c r="B95" s="35" t="s">
        <v>289</v>
      </c>
      <c r="C95" s="35" t="s">
        <v>297</v>
      </c>
      <c r="D95" s="35" t="s">
        <v>2659</v>
      </c>
      <c r="E95" s="35" t="s">
        <v>2687</v>
      </c>
      <c r="F95" s="35" t="s">
        <v>291</v>
      </c>
      <c r="G95" s="37" t="s">
        <v>2590</v>
      </c>
      <c r="H95" s="37" t="s">
        <v>300</v>
      </c>
      <c r="I95" s="8" t="s">
        <v>3117</v>
      </c>
      <c r="J95" s="105">
        <v>7475000</v>
      </c>
      <c r="K95" s="105"/>
      <c r="L95" s="123">
        <f t="shared" si="34"/>
        <v>7475000</v>
      </c>
      <c r="M95" s="123"/>
      <c r="N95" s="123"/>
      <c r="O95" s="123">
        <v>0</v>
      </c>
    </row>
    <row r="96" spans="1:15" ht="81.75" customHeight="1">
      <c r="A96" s="35" t="s">
        <v>2077</v>
      </c>
      <c r="B96" s="35" t="s">
        <v>289</v>
      </c>
      <c r="C96" s="35" t="s">
        <v>297</v>
      </c>
      <c r="D96" s="35" t="s">
        <v>2659</v>
      </c>
      <c r="E96" s="35" t="s">
        <v>2687</v>
      </c>
      <c r="F96" s="35" t="s">
        <v>291</v>
      </c>
      <c r="G96" s="37" t="s">
        <v>2486</v>
      </c>
      <c r="H96" s="37" t="s">
        <v>300</v>
      </c>
      <c r="I96" s="8" t="s">
        <v>3118</v>
      </c>
      <c r="J96" s="105">
        <v>781000</v>
      </c>
      <c r="K96" s="105"/>
      <c r="L96" s="123">
        <f t="shared" si="34"/>
        <v>781000</v>
      </c>
      <c r="M96" s="123"/>
      <c r="N96" s="123"/>
      <c r="O96" s="123">
        <v>0</v>
      </c>
    </row>
    <row r="97" spans="1:15" ht="99" customHeight="1">
      <c r="A97" s="35" t="s">
        <v>2081</v>
      </c>
      <c r="B97" s="35" t="s">
        <v>289</v>
      </c>
      <c r="C97" s="35" t="s">
        <v>297</v>
      </c>
      <c r="D97" s="35" t="s">
        <v>2659</v>
      </c>
      <c r="E97" s="35" t="s">
        <v>2687</v>
      </c>
      <c r="F97" s="35" t="s">
        <v>291</v>
      </c>
      <c r="G97" s="37" t="s">
        <v>2591</v>
      </c>
      <c r="H97" s="37" t="s">
        <v>300</v>
      </c>
      <c r="I97" s="8" t="s">
        <v>2543</v>
      </c>
      <c r="J97" s="105">
        <v>100000</v>
      </c>
      <c r="K97" s="105"/>
      <c r="L97" s="123">
        <f t="shared" si="34"/>
        <v>100000</v>
      </c>
      <c r="M97" s="123"/>
      <c r="N97" s="123"/>
      <c r="O97" s="123">
        <v>0</v>
      </c>
    </row>
    <row r="98" spans="1:15" ht="81.75" customHeight="1">
      <c r="A98" s="35" t="s">
        <v>2077</v>
      </c>
      <c r="B98" s="35" t="s">
        <v>289</v>
      </c>
      <c r="C98" s="35" t="s">
        <v>297</v>
      </c>
      <c r="D98" s="35" t="s">
        <v>2659</v>
      </c>
      <c r="E98" s="35" t="s">
        <v>2687</v>
      </c>
      <c r="F98" s="35" t="s">
        <v>291</v>
      </c>
      <c r="G98" s="37" t="s">
        <v>2522</v>
      </c>
      <c r="H98" s="37" t="s">
        <v>300</v>
      </c>
      <c r="I98" s="8" t="s">
        <v>2557</v>
      </c>
      <c r="J98" s="105">
        <v>7590000</v>
      </c>
      <c r="K98" s="105"/>
      <c r="L98" s="123">
        <f t="shared" si="34"/>
        <v>7590000</v>
      </c>
      <c r="M98" s="123"/>
      <c r="N98" s="123"/>
      <c r="O98" s="123">
        <v>0</v>
      </c>
    </row>
    <row r="99" spans="1:15" ht="51.75" customHeight="1">
      <c r="A99" s="35" t="s">
        <v>2077</v>
      </c>
      <c r="B99" s="35" t="s">
        <v>289</v>
      </c>
      <c r="C99" s="35" t="s">
        <v>297</v>
      </c>
      <c r="D99" s="35" t="s">
        <v>2659</v>
      </c>
      <c r="E99" s="35" t="s">
        <v>2687</v>
      </c>
      <c r="F99" s="35" t="s">
        <v>291</v>
      </c>
      <c r="G99" s="37" t="s">
        <v>2592</v>
      </c>
      <c r="H99" s="37" t="s">
        <v>300</v>
      </c>
      <c r="I99" s="8" t="s">
        <v>2554</v>
      </c>
      <c r="J99" s="105">
        <v>8560000</v>
      </c>
      <c r="K99" s="105"/>
      <c r="L99" s="123">
        <f t="shared" si="34"/>
        <v>8560000</v>
      </c>
      <c r="M99" s="123"/>
      <c r="N99" s="123"/>
      <c r="O99" s="123">
        <v>0</v>
      </c>
    </row>
    <row r="100" spans="1:15" ht="93" customHeight="1">
      <c r="A100" s="35" t="s">
        <v>2077</v>
      </c>
      <c r="B100" s="35" t="s">
        <v>289</v>
      </c>
      <c r="C100" s="35" t="s">
        <v>297</v>
      </c>
      <c r="D100" s="35" t="s">
        <v>2659</v>
      </c>
      <c r="E100" s="35" t="s">
        <v>2687</v>
      </c>
      <c r="F100" s="35" t="s">
        <v>291</v>
      </c>
      <c r="G100" s="37" t="s">
        <v>2593</v>
      </c>
      <c r="H100" s="37" t="s">
        <v>300</v>
      </c>
      <c r="I100" s="388" t="s">
        <v>2555</v>
      </c>
      <c r="J100" s="105">
        <v>3273370</v>
      </c>
      <c r="K100" s="105"/>
      <c r="L100" s="123">
        <f t="shared" si="34"/>
        <v>3273370</v>
      </c>
      <c r="M100" s="123"/>
      <c r="N100" s="123"/>
      <c r="O100" s="123">
        <v>0</v>
      </c>
    </row>
    <row r="101" spans="1:15" ht="53.25" customHeight="1">
      <c r="A101" s="35" t="s">
        <v>2077</v>
      </c>
      <c r="B101" s="35" t="s">
        <v>289</v>
      </c>
      <c r="C101" s="35" t="s">
        <v>297</v>
      </c>
      <c r="D101" s="35" t="s">
        <v>2659</v>
      </c>
      <c r="E101" s="35" t="s">
        <v>2687</v>
      </c>
      <c r="F101" s="35" t="s">
        <v>291</v>
      </c>
      <c r="G101" s="37" t="s">
        <v>2594</v>
      </c>
      <c r="H101" s="37" t="s">
        <v>300</v>
      </c>
      <c r="I101" s="8" t="s">
        <v>2556</v>
      </c>
      <c r="J101" s="105">
        <v>3700000</v>
      </c>
      <c r="K101" s="105"/>
      <c r="L101" s="123">
        <f t="shared" si="34"/>
        <v>3700000</v>
      </c>
      <c r="M101" s="123"/>
      <c r="N101" s="123"/>
      <c r="O101" s="123">
        <v>0</v>
      </c>
    </row>
    <row r="102" spans="1:15" ht="112.5" customHeight="1">
      <c r="A102" s="35" t="s">
        <v>386</v>
      </c>
      <c r="B102" s="35" t="s">
        <v>289</v>
      </c>
      <c r="C102" s="35" t="s">
        <v>297</v>
      </c>
      <c r="D102" s="35" t="s">
        <v>2659</v>
      </c>
      <c r="E102" s="35" t="s">
        <v>2687</v>
      </c>
      <c r="F102" s="35" t="s">
        <v>291</v>
      </c>
      <c r="G102" s="37" t="s">
        <v>2595</v>
      </c>
      <c r="H102" s="37" t="s">
        <v>300</v>
      </c>
      <c r="I102" s="8" t="s">
        <v>2596</v>
      </c>
      <c r="J102" s="105">
        <v>350000</v>
      </c>
      <c r="K102" s="105"/>
      <c r="L102" s="123">
        <f t="shared" si="34"/>
        <v>350000</v>
      </c>
      <c r="M102" s="123"/>
      <c r="N102" s="123"/>
      <c r="O102" s="123">
        <v>0</v>
      </c>
    </row>
    <row r="103" spans="1:15" ht="66" customHeight="1">
      <c r="A103" s="35" t="s">
        <v>2077</v>
      </c>
      <c r="B103" s="35" t="s">
        <v>289</v>
      </c>
      <c r="C103" s="35" t="s">
        <v>297</v>
      </c>
      <c r="D103" s="35" t="s">
        <v>2659</v>
      </c>
      <c r="E103" s="35" t="s">
        <v>2687</v>
      </c>
      <c r="F103" s="35" t="s">
        <v>291</v>
      </c>
      <c r="G103" s="37" t="s">
        <v>2597</v>
      </c>
      <c r="H103" s="37" t="s">
        <v>300</v>
      </c>
      <c r="I103" s="8" t="s">
        <v>3119</v>
      </c>
      <c r="J103" s="105">
        <v>300000</v>
      </c>
      <c r="K103" s="105"/>
      <c r="L103" s="123">
        <f t="shared" si="34"/>
        <v>300000</v>
      </c>
      <c r="M103" s="123"/>
      <c r="N103" s="123"/>
      <c r="O103" s="123">
        <v>0</v>
      </c>
    </row>
    <row r="104" spans="1:15" ht="95.25" customHeight="1">
      <c r="A104" s="35" t="s">
        <v>2077</v>
      </c>
      <c r="B104" s="35" t="s">
        <v>2518</v>
      </c>
      <c r="C104" s="35" t="s">
        <v>297</v>
      </c>
      <c r="D104" s="35" t="s">
        <v>2659</v>
      </c>
      <c r="E104" s="35" t="s">
        <v>2687</v>
      </c>
      <c r="F104" s="35" t="s">
        <v>291</v>
      </c>
      <c r="G104" s="37" t="s">
        <v>2598</v>
      </c>
      <c r="H104" s="37" t="s">
        <v>300</v>
      </c>
      <c r="I104" s="8" t="s">
        <v>3120</v>
      </c>
      <c r="J104" s="105">
        <v>1100000</v>
      </c>
      <c r="K104" s="105"/>
      <c r="L104" s="123">
        <f t="shared" si="34"/>
        <v>1100000</v>
      </c>
      <c r="M104" s="123"/>
      <c r="N104" s="123"/>
      <c r="O104" s="123">
        <v>0</v>
      </c>
    </row>
    <row r="105" spans="1:15" ht="53.25" customHeight="1">
      <c r="A105" s="35" t="s">
        <v>2078</v>
      </c>
      <c r="B105" s="35" t="s">
        <v>289</v>
      </c>
      <c r="C105" s="35" t="s">
        <v>297</v>
      </c>
      <c r="D105" s="35" t="s">
        <v>2659</v>
      </c>
      <c r="E105" s="35" t="s">
        <v>2687</v>
      </c>
      <c r="F105" s="35" t="s">
        <v>291</v>
      </c>
      <c r="G105" s="37" t="s">
        <v>3106</v>
      </c>
      <c r="H105" s="37" t="s">
        <v>300</v>
      </c>
      <c r="I105" s="8" t="s">
        <v>3107</v>
      </c>
      <c r="J105" s="105">
        <v>900000</v>
      </c>
      <c r="K105" s="105"/>
      <c r="L105" s="123">
        <f t="shared" si="34"/>
        <v>900000</v>
      </c>
      <c r="M105" s="123"/>
      <c r="N105" s="123"/>
      <c r="O105" s="123">
        <v>0</v>
      </c>
    </row>
    <row r="106" spans="1:15" ht="96.75" customHeight="1">
      <c r="A106" s="35" t="s">
        <v>2077</v>
      </c>
      <c r="B106" s="35" t="s">
        <v>289</v>
      </c>
      <c r="C106" s="35" t="s">
        <v>297</v>
      </c>
      <c r="D106" s="35" t="s">
        <v>2659</v>
      </c>
      <c r="E106" s="35" t="s">
        <v>2687</v>
      </c>
      <c r="F106" s="35" t="s">
        <v>291</v>
      </c>
      <c r="G106" s="37" t="s">
        <v>3121</v>
      </c>
      <c r="H106" s="37" t="s">
        <v>300</v>
      </c>
      <c r="I106" s="8" t="s">
        <v>3122</v>
      </c>
      <c r="J106" s="105">
        <v>6800000</v>
      </c>
      <c r="K106" s="105"/>
      <c r="L106" s="123">
        <f t="shared" si="34"/>
        <v>6800000</v>
      </c>
      <c r="M106" s="123"/>
      <c r="N106" s="123"/>
      <c r="O106" s="123">
        <v>0</v>
      </c>
    </row>
    <row r="107" spans="1:15" ht="112.5" customHeight="1">
      <c r="A107" s="35" t="s">
        <v>2081</v>
      </c>
      <c r="B107" s="35" t="s">
        <v>289</v>
      </c>
      <c r="C107" s="35" t="s">
        <v>297</v>
      </c>
      <c r="D107" s="35" t="s">
        <v>2659</v>
      </c>
      <c r="E107" s="35" t="s">
        <v>2687</v>
      </c>
      <c r="F107" s="35" t="s">
        <v>291</v>
      </c>
      <c r="G107" s="37" t="s">
        <v>3096</v>
      </c>
      <c r="H107" s="37" t="s">
        <v>300</v>
      </c>
      <c r="I107" s="8" t="s">
        <v>3097</v>
      </c>
      <c r="J107" s="105">
        <v>6182560</v>
      </c>
      <c r="K107" s="105"/>
      <c r="L107" s="123">
        <f t="shared" si="34"/>
        <v>6182560</v>
      </c>
      <c r="M107" s="123"/>
      <c r="N107" s="123"/>
      <c r="O107" s="123">
        <v>0</v>
      </c>
    </row>
    <row r="108" spans="1:15" ht="81" customHeight="1">
      <c r="A108" s="35" t="s">
        <v>2081</v>
      </c>
      <c r="B108" s="35" t="s">
        <v>289</v>
      </c>
      <c r="C108" s="35" t="s">
        <v>297</v>
      </c>
      <c r="D108" s="35" t="s">
        <v>2659</v>
      </c>
      <c r="E108" s="35" t="s">
        <v>2687</v>
      </c>
      <c r="F108" s="35" t="s">
        <v>291</v>
      </c>
      <c r="G108" s="37" t="s">
        <v>3098</v>
      </c>
      <c r="H108" s="37" t="s">
        <v>300</v>
      </c>
      <c r="I108" s="8" t="s">
        <v>3099</v>
      </c>
      <c r="J108" s="105">
        <v>100000</v>
      </c>
      <c r="K108" s="105"/>
      <c r="L108" s="123">
        <f t="shared" si="34"/>
        <v>100000</v>
      </c>
      <c r="M108" s="123"/>
      <c r="N108" s="123"/>
      <c r="O108" s="123">
        <v>0</v>
      </c>
    </row>
    <row r="109" spans="1:15" ht="82.5" customHeight="1">
      <c r="A109" s="35" t="s">
        <v>2078</v>
      </c>
      <c r="B109" s="35" t="s">
        <v>289</v>
      </c>
      <c r="C109" s="35" t="s">
        <v>297</v>
      </c>
      <c r="D109" s="35" t="s">
        <v>2659</v>
      </c>
      <c r="E109" s="35" t="s">
        <v>2687</v>
      </c>
      <c r="F109" s="35" t="s">
        <v>291</v>
      </c>
      <c r="G109" s="37" t="s">
        <v>3123</v>
      </c>
      <c r="H109" s="37" t="s">
        <v>300</v>
      </c>
      <c r="I109" s="8" t="s">
        <v>3147</v>
      </c>
      <c r="J109" s="105">
        <v>1000000</v>
      </c>
      <c r="K109" s="105"/>
      <c r="L109" s="123">
        <f t="shared" si="34"/>
        <v>1000000</v>
      </c>
      <c r="M109" s="123"/>
      <c r="N109" s="123"/>
      <c r="O109" s="123">
        <v>0</v>
      </c>
    </row>
    <row r="110" spans="1:15" ht="55.5" customHeight="1">
      <c r="A110" s="35" t="s">
        <v>2078</v>
      </c>
      <c r="B110" s="35" t="s">
        <v>289</v>
      </c>
      <c r="C110" s="35" t="s">
        <v>297</v>
      </c>
      <c r="D110" s="35" t="s">
        <v>2659</v>
      </c>
      <c r="E110" s="35" t="s">
        <v>2687</v>
      </c>
      <c r="F110" s="35" t="s">
        <v>291</v>
      </c>
      <c r="G110" s="37" t="s">
        <v>3108</v>
      </c>
      <c r="H110" s="37" t="s">
        <v>300</v>
      </c>
      <c r="I110" s="8" t="s">
        <v>3109</v>
      </c>
      <c r="J110" s="105">
        <v>150000</v>
      </c>
      <c r="K110" s="105"/>
      <c r="L110" s="123">
        <f t="shared" si="34"/>
        <v>150000</v>
      </c>
      <c r="M110" s="123"/>
      <c r="N110" s="123"/>
      <c r="O110" s="123">
        <v>0</v>
      </c>
    </row>
    <row r="111" spans="1:15" ht="69.75" customHeight="1">
      <c r="A111" s="35" t="s">
        <v>2081</v>
      </c>
      <c r="B111" s="35" t="s">
        <v>289</v>
      </c>
      <c r="C111" s="35" t="s">
        <v>297</v>
      </c>
      <c r="D111" s="35" t="s">
        <v>2659</v>
      </c>
      <c r="E111" s="35" t="s">
        <v>2687</v>
      </c>
      <c r="F111" s="35" t="s">
        <v>291</v>
      </c>
      <c r="G111" s="37" t="s">
        <v>3100</v>
      </c>
      <c r="H111" s="37" t="s">
        <v>300</v>
      </c>
      <c r="I111" s="8" t="s">
        <v>3101</v>
      </c>
      <c r="J111" s="105">
        <v>500000</v>
      </c>
      <c r="K111" s="105"/>
      <c r="L111" s="123">
        <f t="shared" si="34"/>
        <v>500000</v>
      </c>
      <c r="M111" s="123"/>
      <c r="N111" s="123"/>
      <c r="O111" s="123">
        <v>0</v>
      </c>
    </row>
    <row r="112" spans="1:15" ht="67.5" customHeight="1">
      <c r="A112" s="35" t="s">
        <v>2077</v>
      </c>
      <c r="B112" s="35" t="s">
        <v>289</v>
      </c>
      <c r="C112" s="35" t="s">
        <v>297</v>
      </c>
      <c r="D112" s="35" t="s">
        <v>2659</v>
      </c>
      <c r="E112" s="35" t="s">
        <v>2687</v>
      </c>
      <c r="F112" s="35" t="s">
        <v>291</v>
      </c>
      <c r="G112" s="37" t="s">
        <v>3187</v>
      </c>
      <c r="H112" s="37" t="s">
        <v>300</v>
      </c>
      <c r="I112" s="8" t="s">
        <v>3188</v>
      </c>
      <c r="J112" s="105">
        <v>600000</v>
      </c>
      <c r="K112" s="105"/>
      <c r="L112" s="123">
        <f t="shared" si="34"/>
        <v>600000</v>
      </c>
      <c r="M112" s="123"/>
      <c r="N112" s="123"/>
      <c r="O112" s="123">
        <v>0</v>
      </c>
    </row>
    <row r="113" spans="1:15" ht="23.25" customHeight="1">
      <c r="A113" s="35"/>
      <c r="B113" s="35"/>
      <c r="C113" s="35"/>
      <c r="D113" s="35"/>
      <c r="E113" s="35"/>
      <c r="F113" s="35"/>
      <c r="G113" s="37"/>
      <c r="H113" s="37"/>
      <c r="I113" s="28" t="s">
        <v>1148</v>
      </c>
      <c r="J113" s="80">
        <v>1376986085</v>
      </c>
      <c r="K113" s="80">
        <f t="shared" ref="K113" si="36">K11+K43</f>
        <v>17111567</v>
      </c>
      <c r="L113" s="80">
        <f t="shared" si="34"/>
        <v>1394097652</v>
      </c>
      <c r="M113" s="80">
        <v>1267334220</v>
      </c>
      <c r="N113" s="80">
        <f t="shared" ref="N113" si="37">N11+N43</f>
        <v>0</v>
      </c>
      <c r="O113" s="80">
        <f t="shared" si="35"/>
        <v>1267334220</v>
      </c>
    </row>
    <row r="114" spans="1:15" ht="0.75" customHeight="1">
      <c r="A114" s="35" t="s">
        <v>2077</v>
      </c>
      <c r="B114" s="35" t="s">
        <v>289</v>
      </c>
      <c r="C114" s="35" t="s">
        <v>297</v>
      </c>
      <c r="D114" s="35" t="s">
        <v>2659</v>
      </c>
      <c r="E114" s="35" t="s">
        <v>2687</v>
      </c>
      <c r="F114" s="35" t="s">
        <v>291</v>
      </c>
      <c r="G114" s="37" t="s">
        <v>2592</v>
      </c>
      <c r="H114" s="37" t="s">
        <v>300</v>
      </c>
      <c r="I114" s="8" t="s">
        <v>2554</v>
      </c>
    </row>
    <row r="115" spans="1:15" ht="252.75" hidden="1" customHeight="1">
      <c r="A115" s="184"/>
      <c r="B115" s="184"/>
      <c r="C115" s="184"/>
      <c r="D115" s="184"/>
      <c r="E115" s="184"/>
      <c r="F115" s="184"/>
      <c r="G115" s="185"/>
      <c r="H115" s="185"/>
      <c r="I115" s="186"/>
    </row>
    <row r="116" spans="1:15" ht="15.6" hidden="1">
      <c r="A116" s="188"/>
      <c r="B116" s="188"/>
      <c r="C116" s="188"/>
      <c r="D116" s="188"/>
      <c r="E116" s="188"/>
      <c r="F116" s="188"/>
      <c r="G116" s="189"/>
      <c r="H116" s="189"/>
      <c r="I116" s="190"/>
    </row>
    <row r="117" spans="1:15" ht="25.5" hidden="1" customHeight="1">
      <c r="A117" s="184"/>
      <c r="B117" s="184"/>
      <c r="C117" s="184"/>
      <c r="D117" s="184"/>
      <c r="E117" s="184"/>
      <c r="F117" s="184"/>
      <c r="G117" s="185"/>
      <c r="H117" s="185"/>
      <c r="I117" s="186"/>
    </row>
    <row r="118" spans="1:15" ht="79.5" hidden="1" customHeight="1">
      <c r="A118" s="184"/>
      <c r="B118" s="184"/>
      <c r="C118" s="184"/>
      <c r="D118" s="184"/>
      <c r="E118" s="184"/>
      <c r="F118" s="184"/>
      <c r="G118" s="185"/>
      <c r="H118" s="185"/>
      <c r="I118" s="186"/>
    </row>
    <row r="119" spans="1:15" ht="54.75" hidden="1" customHeight="1">
      <c r="A119" s="184"/>
      <c r="B119" s="184"/>
      <c r="C119" s="184"/>
      <c r="D119" s="184"/>
      <c r="E119" s="184"/>
      <c r="F119" s="184"/>
      <c r="G119" s="185"/>
      <c r="H119" s="185"/>
      <c r="I119" s="186"/>
    </row>
    <row r="120" spans="1:15" ht="95.25" hidden="1" customHeight="1">
      <c r="A120" s="184"/>
      <c r="B120" s="184"/>
      <c r="C120" s="184"/>
      <c r="D120" s="184"/>
      <c r="E120" s="184"/>
      <c r="F120" s="184"/>
      <c r="G120" s="185"/>
      <c r="H120" s="185"/>
      <c r="I120" s="191"/>
    </row>
    <row r="121" spans="1:15" ht="16.5" hidden="1" customHeight="1">
      <c r="A121" s="187"/>
      <c r="B121" s="187"/>
      <c r="C121" s="187"/>
      <c r="D121" s="187"/>
      <c r="E121" s="187"/>
      <c r="F121" s="187"/>
      <c r="G121" s="187"/>
      <c r="H121" s="187"/>
      <c r="I121" s="192"/>
    </row>
  </sheetData>
  <autoFilter ref="A9:O114">
    <filterColumn colId="0" showButton="0"/>
    <filterColumn colId="1" showButton="0"/>
    <filterColumn colId="2" showButton="0"/>
    <filterColumn colId="3" showButton="0"/>
    <filterColumn colId="4" showButton="0"/>
    <filterColumn colId="5" showButton="0"/>
    <filterColumn colId="6" showButton="0"/>
  </autoFilter>
  <mergeCells count="16">
    <mergeCell ref="A6:O6"/>
    <mergeCell ref="I7:O7"/>
    <mergeCell ref="I8:O8"/>
    <mergeCell ref="M9:M10"/>
    <mergeCell ref="K9:K10"/>
    <mergeCell ref="L9:L10"/>
    <mergeCell ref="N9:N10"/>
    <mergeCell ref="O9:O10"/>
    <mergeCell ref="A9:H9"/>
    <mergeCell ref="I9:I10"/>
    <mergeCell ref="J9:J10"/>
    <mergeCell ref="A1:O1"/>
    <mergeCell ref="A2:O2"/>
    <mergeCell ref="A3:O3"/>
    <mergeCell ref="A4:O4"/>
    <mergeCell ref="I5:O5"/>
  </mergeCells>
  <phoneticPr fontId="36" type="noConversion"/>
  <pageMargins left="0.70866141732283472" right="0.70866141732283472" top="0.74803149606299213" bottom="0.74803149606299213" header="0.31496062992125984" footer="0.31496062992125984"/>
  <pageSetup paperSize="9" scale="88" fitToHeight="0" orientation="portrait" r:id="rId1"/>
  <headerFooter alignWithMargins="0">
    <oddFooter>&amp;C&amp;P</oddFooter>
  </headerFooter>
</worksheet>
</file>

<file path=xl/worksheets/sheet20.xml><?xml version="1.0" encoding="utf-8"?>
<worksheet xmlns="http://schemas.openxmlformats.org/spreadsheetml/2006/main" xmlns:r="http://schemas.openxmlformats.org/officeDocument/2006/relationships">
  <sheetPr codeName="Лист11">
    <pageSetUpPr fitToPage="1"/>
  </sheetPr>
  <dimension ref="A1:C19"/>
  <sheetViews>
    <sheetView view="pageBreakPreview" zoomScaleSheetLayoutView="100" workbookViewId="0">
      <selection activeCell="A4" sqref="A4:C4"/>
    </sheetView>
  </sheetViews>
  <sheetFormatPr defaultRowHeight="13.2"/>
  <cols>
    <col min="1" max="1" width="4.109375" bestFit="1" customWidth="1"/>
    <col min="2" max="2" width="65.33203125" customWidth="1"/>
    <col min="3" max="3" width="22.33203125" customWidth="1"/>
  </cols>
  <sheetData>
    <row r="1" spans="1:3" ht="15.6">
      <c r="A1" s="782" t="s">
        <v>1643</v>
      </c>
      <c r="B1" s="782"/>
      <c r="C1" s="782"/>
    </row>
    <row r="2" spans="1:3" ht="15.6">
      <c r="A2" s="782" t="s">
        <v>1069</v>
      </c>
      <c r="B2" s="782"/>
      <c r="C2" s="782"/>
    </row>
    <row r="3" spans="1:3" ht="15.6">
      <c r="A3" s="782" t="s">
        <v>720</v>
      </c>
      <c r="B3" s="782"/>
      <c r="C3" s="782"/>
    </row>
    <row r="4" spans="1:3" ht="15.6">
      <c r="A4" s="782" t="s">
        <v>2217</v>
      </c>
      <c r="B4" s="782"/>
      <c r="C4" s="782"/>
    </row>
    <row r="6" spans="1:3" ht="44.25" customHeight="1">
      <c r="A6" s="909" t="s">
        <v>48</v>
      </c>
      <c r="B6" s="909"/>
      <c r="C6" s="909"/>
    </row>
    <row r="7" spans="1:3" ht="10.5" customHeight="1">
      <c r="A7" s="128"/>
    </row>
    <row r="8" spans="1:3" ht="15.6">
      <c r="A8" s="129" t="s">
        <v>1203</v>
      </c>
      <c r="B8" s="910" t="s">
        <v>970</v>
      </c>
      <c r="C8" s="130" t="s">
        <v>1204</v>
      </c>
    </row>
    <row r="9" spans="1:3" ht="31.2">
      <c r="A9" s="131" t="s">
        <v>1205</v>
      </c>
      <c r="B9" s="911"/>
      <c r="C9" s="132" t="s">
        <v>1206</v>
      </c>
    </row>
    <row r="10" spans="1:3" ht="18">
      <c r="A10" s="133">
        <v>1</v>
      </c>
      <c r="B10" s="111" t="s">
        <v>1207</v>
      </c>
      <c r="C10" s="134">
        <v>950</v>
      </c>
    </row>
    <row r="11" spans="1:3" ht="18">
      <c r="A11" s="133">
        <v>2</v>
      </c>
      <c r="B11" s="111" t="s">
        <v>1035</v>
      </c>
      <c r="C11" s="134">
        <v>952</v>
      </c>
    </row>
    <row r="12" spans="1:3" ht="18">
      <c r="A12" s="133">
        <v>3</v>
      </c>
      <c r="B12" s="111" t="s">
        <v>1036</v>
      </c>
      <c r="C12" s="134">
        <v>953</v>
      </c>
    </row>
    <row r="13" spans="1:3" ht="19.5" customHeight="1">
      <c r="A13" s="133">
        <v>4</v>
      </c>
      <c r="B13" s="112" t="s">
        <v>1208</v>
      </c>
      <c r="C13" s="135">
        <v>954</v>
      </c>
    </row>
    <row r="14" spans="1:3" ht="18">
      <c r="A14" s="133">
        <v>5</v>
      </c>
      <c r="B14" s="111" t="s">
        <v>1701</v>
      </c>
      <c r="C14" s="134">
        <v>955</v>
      </c>
    </row>
    <row r="15" spans="1:3" ht="31.2">
      <c r="A15" s="133">
        <v>6</v>
      </c>
      <c r="B15" s="111" t="s">
        <v>1256</v>
      </c>
      <c r="C15" s="134">
        <v>956</v>
      </c>
    </row>
    <row r="16" spans="1:3" ht="31.2">
      <c r="A16" s="133">
        <v>7</v>
      </c>
      <c r="B16" s="111" t="s">
        <v>1209</v>
      </c>
      <c r="C16" s="134">
        <v>957</v>
      </c>
    </row>
    <row r="17" spans="1:3" ht="31.2">
      <c r="A17" s="133">
        <v>8</v>
      </c>
      <c r="B17" s="111" t="s">
        <v>1210</v>
      </c>
      <c r="C17" s="134">
        <v>958</v>
      </c>
    </row>
    <row r="18" spans="1:3" ht="18">
      <c r="A18" s="133">
        <v>9</v>
      </c>
      <c r="B18" s="111" t="s">
        <v>1211</v>
      </c>
      <c r="C18" s="134">
        <v>974</v>
      </c>
    </row>
    <row r="19" spans="1:3" ht="18">
      <c r="A19" s="133">
        <v>10</v>
      </c>
      <c r="B19" s="112" t="s">
        <v>1533</v>
      </c>
      <c r="C19" s="110">
        <v>982</v>
      </c>
    </row>
  </sheetData>
  <mergeCells count="6">
    <mergeCell ref="A6:C6"/>
    <mergeCell ref="B8:B9"/>
    <mergeCell ref="A1:C1"/>
    <mergeCell ref="A2:C2"/>
    <mergeCell ref="A3:C3"/>
    <mergeCell ref="A4:C4"/>
  </mergeCells>
  <phoneticPr fontId="36" type="noConversion"/>
  <pageMargins left="0.78740157480314965" right="0.39370078740157483" top="0.39370078740157483" bottom="0.39370078740157483" header="0.19685039370078741" footer="0.19685039370078741"/>
  <pageSetup paperSize="9" fitToHeight="0" orientation="portrait" r:id="rId1"/>
  <headerFooter alignWithMargins="0">
    <oddFooter>&amp;C&amp;P</oddFooter>
  </headerFooter>
</worksheet>
</file>

<file path=xl/worksheets/sheet21.xml><?xml version="1.0" encoding="utf-8"?>
<worksheet xmlns="http://schemas.openxmlformats.org/spreadsheetml/2006/main" xmlns:r="http://schemas.openxmlformats.org/officeDocument/2006/relationships">
  <sheetPr codeName="Лист36">
    <pageSetUpPr fitToPage="1"/>
  </sheetPr>
  <dimension ref="A1:I128"/>
  <sheetViews>
    <sheetView showGridLines="0" view="pageBreakPreview" topLeftCell="B128" zoomScaleSheetLayoutView="100" workbookViewId="0">
      <selection activeCell="F122" sqref="F122"/>
    </sheetView>
  </sheetViews>
  <sheetFormatPr defaultColWidth="9.109375" defaultRowHeight="13.2"/>
  <cols>
    <col min="1" max="1" width="6.33203125" style="157" hidden="1" customWidth="1"/>
    <col min="2" max="2" width="55.88671875" style="157" customWidth="1"/>
    <col min="3" max="3" width="13.109375" style="157" customWidth="1"/>
    <col min="4" max="5" width="15.5546875" style="157" hidden="1" customWidth="1"/>
    <col min="6" max="6" width="14.33203125" style="157" bestFit="1" customWidth="1"/>
    <col min="7" max="8" width="14.33203125" style="157" hidden="1" customWidth="1"/>
    <col min="9" max="9" width="14.33203125" style="157" bestFit="1" customWidth="1"/>
    <col min="10" max="16384" width="9.109375" style="157"/>
  </cols>
  <sheetData>
    <row r="1" spans="1:9" ht="15.75" customHeight="1">
      <c r="A1" s="897" t="s">
        <v>51</v>
      </c>
      <c r="B1" s="897"/>
      <c r="C1" s="897"/>
      <c r="D1" s="897"/>
      <c r="E1" s="897"/>
      <c r="F1" s="897"/>
      <c r="G1" s="897"/>
      <c r="H1" s="897"/>
      <c r="I1" s="897"/>
    </row>
    <row r="2" spans="1:9" ht="15.75" customHeight="1">
      <c r="A2" s="897" t="s">
        <v>1069</v>
      </c>
      <c r="B2" s="897"/>
      <c r="C2" s="897"/>
      <c r="D2" s="897"/>
      <c r="E2" s="897"/>
      <c r="F2" s="897"/>
      <c r="G2" s="897"/>
      <c r="H2" s="897"/>
      <c r="I2" s="897"/>
    </row>
    <row r="3" spans="1:9" ht="15.75" customHeight="1">
      <c r="A3" s="897" t="s">
        <v>720</v>
      </c>
      <c r="B3" s="897"/>
      <c r="C3" s="897"/>
      <c r="D3" s="897"/>
      <c r="E3" s="897"/>
      <c r="F3" s="897"/>
      <c r="G3" s="897"/>
      <c r="H3" s="897"/>
      <c r="I3" s="897"/>
    </row>
    <row r="4" spans="1:9" ht="15.75" customHeight="1">
      <c r="A4" s="897" t="s">
        <v>3148</v>
      </c>
      <c r="B4" s="897"/>
      <c r="C4" s="897"/>
      <c r="D4" s="897"/>
      <c r="E4" s="897"/>
      <c r="F4" s="897"/>
      <c r="G4" s="897"/>
      <c r="H4" s="897"/>
      <c r="I4" s="897"/>
    </row>
    <row r="5" spans="1:9" ht="15" customHeight="1">
      <c r="A5" s="843" t="s">
        <v>3057</v>
      </c>
      <c r="B5" s="843"/>
      <c r="C5" s="843"/>
      <c r="D5" s="843"/>
      <c r="E5" s="843"/>
      <c r="F5" s="843"/>
      <c r="G5" s="843"/>
      <c r="H5" s="843"/>
      <c r="I5" s="843"/>
    </row>
    <row r="6" spans="1:9" ht="37.5" customHeight="1">
      <c r="A6" s="843"/>
      <c r="B6" s="843"/>
      <c r="C6" s="843"/>
      <c r="D6" s="843"/>
      <c r="E6" s="843"/>
      <c r="F6" s="843"/>
      <c r="G6" s="843"/>
      <c r="H6" s="843"/>
      <c r="I6" s="843"/>
    </row>
    <row r="7" spans="1:9" ht="16.2" thickBot="1">
      <c r="A7" s="328"/>
      <c r="B7" s="325"/>
      <c r="C7" s="329"/>
      <c r="D7" s="329"/>
      <c r="E7" s="598"/>
      <c r="F7" s="598"/>
      <c r="G7" s="598"/>
      <c r="H7" s="598"/>
      <c r="I7" s="598"/>
    </row>
    <row r="8" spans="1:9" ht="13.8" thickBot="1">
      <c r="A8" s="814" t="s">
        <v>2061</v>
      </c>
      <c r="B8" s="895" t="s">
        <v>7</v>
      </c>
      <c r="C8" s="887" t="s">
        <v>2289</v>
      </c>
      <c r="D8" s="887" t="s">
        <v>3233</v>
      </c>
      <c r="E8" s="887" t="s">
        <v>1140</v>
      </c>
      <c r="F8" s="887" t="s">
        <v>2525</v>
      </c>
      <c r="G8" s="889" t="s">
        <v>2618</v>
      </c>
      <c r="H8" s="889" t="s">
        <v>1140</v>
      </c>
      <c r="I8" s="889" t="s">
        <v>2618</v>
      </c>
    </row>
    <row r="9" spans="1:9" ht="40.5" customHeight="1" thickBot="1">
      <c r="A9" s="814"/>
      <c r="B9" s="914"/>
      <c r="C9" s="915"/>
      <c r="D9" s="913"/>
      <c r="E9" s="913"/>
      <c r="F9" s="913"/>
      <c r="G9" s="912"/>
      <c r="H9" s="912"/>
      <c r="I9" s="912"/>
    </row>
    <row r="10" spans="1:9" s="527" customFormat="1" ht="47.4" thickBot="1">
      <c r="A10" s="571" t="s">
        <v>2422</v>
      </c>
      <c r="B10" s="549" t="str">
        <f>IF(C10&gt;0,VLOOKUP(C10,Программа!A$2:B$5063,2))</f>
        <v>Муниципальная программа  "Развитие культуры, туризма и молодежной политики в Тутаевском муниципальном районе"</v>
      </c>
      <c r="C10" s="576" t="s">
        <v>2721</v>
      </c>
      <c r="D10" s="686">
        <f>SUMIFS(Пр.10!G$10:G$1274,Пр.10!$D$10:$D$1274,$C10)</f>
        <v>125174228</v>
      </c>
      <c r="E10" s="686">
        <f>SUMIFS(Пр.10!H$10:H$1274,Пр.10!$D$10:$D$1274,$C10)</f>
        <v>0</v>
      </c>
      <c r="F10" s="686">
        <f>SUMIFS(Пр.10!I$10:I$1274,Пр.10!$D$10:$D$1274,$C10)</f>
        <v>125174228</v>
      </c>
      <c r="G10" s="686">
        <f>SUMIFS(Пр.10!J$10:J$1274,Пр.10!$D$10:$D$1274,$C10)</f>
        <v>120949078</v>
      </c>
      <c r="H10" s="686">
        <f>SUMIFS(Пр.10!K$10:K$1274,Пр.10!$D$10:$D$1274,$C10)</f>
        <v>0</v>
      </c>
      <c r="I10" s="689">
        <f>SUMIFS(Пр.10!L$10:L$1274,Пр.10!$D$10:$D$1274,$C10)</f>
        <v>120949078</v>
      </c>
    </row>
    <row r="11" spans="1:9" ht="16.2" thickBot="1">
      <c r="A11" s="541" t="s">
        <v>2423</v>
      </c>
      <c r="B11" s="547" t="str">
        <f>IF(C11&gt;0,VLOOKUP(C11,Программа!A$2:B$5063,2))</f>
        <v>Ведомственная целевая программа «Молодежь»</v>
      </c>
      <c r="C11" s="548" t="s">
        <v>2722</v>
      </c>
      <c r="D11" s="682">
        <f>SUMIFS(Пр.10!G$10:G$1274,Пр.10!$D$10:$D$1274,$C11)</f>
        <v>9663023</v>
      </c>
      <c r="E11" s="682">
        <f>SUMIFS(Пр.10!H$10:H$1274,Пр.10!$D$10:$D$1274,$C11)</f>
        <v>0</v>
      </c>
      <c r="F11" s="682">
        <f>SUMIFS(Пр.10!I$10:I$1274,Пр.10!$D$10:$D$1274,$C11)</f>
        <v>9663023</v>
      </c>
      <c r="G11" s="682">
        <f>SUMIFS(Пр.10!J$10:J$1274,Пр.10!$D$10:$D$1274,$C11)</f>
        <v>9467666</v>
      </c>
      <c r="H11" s="682">
        <f>SUMIFS(Пр.10!K$10:K$1274,Пр.10!$D$10:$D$1274,$C11)</f>
        <v>0</v>
      </c>
      <c r="I11" s="682">
        <f>SUMIFS(Пр.10!L$10:L$1274,Пр.10!$D$10:$D$1274,$C11)</f>
        <v>9467666</v>
      </c>
    </row>
    <row r="12" spans="1:9" ht="47.4" thickBot="1">
      <c r="A12" s="541"/>
      <c r="B12" s="546" t="str">
        <f>IF(C12&gt;0,VLOOKUP(C12,Программа!A$2:B$5063,2))</f>
        <v>Обеспечение условий для выполнения муниципального задания на оказание услуг, выполнение работ в сфере молодежной политики</v>
      </c>
      <c r="C12" s="77" t="s">
        <v>2723</v>
      </c>
      <c r="D12" s="680">
        <f>SUMIFS(Пр.10!G$10:G$1274,Пр.10!$D$10:$D$1274,$C12)</f>
        <v>9663023</v>
      </c>
      <c r="E12" s="680">
        <f>SUMIFS(Пр.10!H$10:H$1274,Пр.10!$D$10:$D$1274,$C12)</f>
        <v>0</v>
      </c>
      <c r="F12" s="680">
        <f>SUMIFS(Пр.10!I$10:I$1274,Пр.10!$D$10:$D$1274,$C12)</f>
        <v>9663023</v>
      </c>
      <c r="G12" s="680">
        <f>SUMIFS(Пр.10!J$10:J$1274,Пр.10!$D$10:$D$1274,$C12)</f>
        <v>9467666</v>
      </c>
      <c r="H12" s="680">
        <f>SUMIFS(Пр.10!K$10:K$1274,Пр.10!$D$10:$D$1274,$C12)</f>
        <v>0</v>
      </c>
      <c r="I12" s="680">
        <f>SUMIFS(Пр.10!L$10:L$1274,Пр.10!$D$10:$D$1274,$C12)</f>
        <v>9467666</v>
      </c>
    </row>
    <row r="13" spans="1:9" ht="63" thickBot="1">
      <c r="A13" s="541"/>
      <c r="B13" s="545" t="str">
        <f>IF(C13&gt;0,VLOOKUP(C13,Программа!A$2:B$5063,2))</f>
        <v>Муниципальная целевая программа «Патриотическое воспитание граждан Российской Федерации, проживающих на территории Тутаевского муниципального района Ярославской области»</v>
      </c>
      <c r="C13" s="577" t="s">
        <v>2724</v>
      </c>
      <c r="D13" s="680">
        <f>SUMIFS(Пр.10!G$10:G$1274,Пр.10!$D$10:$D$1274,$C13)</f>
        <v>1000000</v>
      </c>
      <c r="E13" s="680">
        <f>SUMIFS(Пр.10!H$10:H$1274,Пр.10!$D$10:$D$1274,$C13)</f>
        <v>0</v>
      </c>
      <c r="F13" s="680">
        <f>SUMIFS(Пр.10!I$10:I$1274,Пр.10!$D$10:$D$1274,$C13)</f>
        <v>1000000</v>
      </c>
      <c r="G13" s="680">
        <f>SUMIFS(Пр.10!J$10:J$1274,Пр.10!$D$10:$D$1274,$C13)</f>
        <v>0</v>
      </c>
      <c r="H13" s="680">
        <f>SUMIFS(Пр.10!K$10:K$1274,Пр.10!$D$10:$D$1274,$C13)</f>
        <v>0</v>
      </c>
      <c r="I13" s="680">
        <f>SUMIFS(Пр.10!L$10:L$1274,Пр.10!$D$10:$D$1274,$C13)</f>
        <v>0</v>
      </c>
    </row>
    <row r="14" spans="1:9" ht="63" thickBot="1">
      <c r="A14" s="542" t="s">
        <v>289</v>
      </c>
      <c r="B14" s="546" t="str">
        <f>IF(C14&gt;0,VLOOKUP(C14,Программа!A$2:B$5063,2))</f>
        <v>Координирование деятельности, совершенствование организационного, методического и информационного функционирования системы патриотического воспитания</v>
      </c>
      <c r="C14" s="578" t="s">
        <v>2725</v>
      </c>
      <c r="D14" s="680">
        <f>SUMIFS(Пр.10!G$10:G$1274,Пр.10!$D$10:$D$1274,$C14)</f>
        <v>1000000</v>
      </c>
      <c r="E14" s="680">
        <f>SUMIFS(Пр.10!H$10:H$1274,Пр.10!$D$10:$D$1274,$C14)</f>
        <v>0</v>
      </c>
      <c r="F14" s="680">
        <f>SUMIFS(Пр.10!I$10:I$1274,Пр.10!$D$10:$D$1274,$C14)</f>
        <v>1000000</v>
      </c>
      <c r="G14" s="680">
        <f>SUMIFS(Пр.10!J$10:J$1274,Пр.10!$D$10:$D$1274,$C14)</f>
        <v>0</v>
      </c>
      <c r="H14" s="680">
        <f>SUMIFS(Пр.10!K$10:K$1274,Пр.10!$D$10:$D$1274,$C14)</f>
        <v>0</v>
      </c>
      <c r="I14" s="680">
        <f>SUMIFS(Пр.10!L$10:L$1274,Пр.10!$D$10:$D$1274,$C14)</f>
        <v>0</v>
      </c>
    </row>
    <row r="15" spans="1:9" ht="47.4" thickBot="1">
      <c r="A15" s="540" t="s">
        <v>2424</v>
      </c>
      <c r="B15" s="545" t="str">
        <f>IF(C15&gt;0,VLOOKUP(C15,Программа!A$2:B$5063,2))</f>
        <v>Муниципальная целевая программа «Комплексные меры противодействия злоупотреблению наркотиками и их незаконному обороту»</v>
      </c>
      <c r="C15" s="577" t="s">
        <v>2726</v>
      </c>
      <c r="D15" s="680">
        <f>SUMIFS(Пр.10!G$10:G$1274,Пр.10!$D$10:$D$1274,$C15)</f>
        <v>167147</v>
      </c>
      <c r="E15" s="680">
        <f>SUMIFS(Пр.10!H$10:H$1274,Пр.10!$D$10:$D$1274,$C15)</f>
        <v>0</v>
      </c>
      <c r="F15" s="680">
        <f>SUMIFS(Пр.10!I$10:I$1274,Пр.10!$D$10:$D$1274,$C15)</f>
        <v>167147</v>
      </c>
      <c r="G15" s="680">
        <f>SUMIFS(Пр.10!J$10:J$1274,Пр.10!$D$10:$D$1274,$C15)</f>
        <v>167147</v>
      </c>
      <c r="H15" s="680">
        <f>SUMIFS(Пр.10!K$10:K$1274,Пр.10!$D$10:$D$1274,$C15)</f>
        <v>0</v>
      </c>
      <c r="I15" s="680">
        <f>SUMIFS(Пр.10!L$10:L$1274,Пр.10!$D$10:$D$1274,$C15)</f>
        <v>167147</v>
      </c>
    </row>
    <row r="16" spans="1:9" ht="31.8" thickBot="1">
      <c r="A16" s="540" t="s">
        <v>2425</v>
      </c>
      <c r="B16" s="546" t="str">
        <f>IF(C16&gt;0,VLOOKUP(C16,Программа!A$2:B$5063,2))</f>
        <v>Развитие системы профилактики немедицинского потребления наркотиков</v>
      </c>
      <c r="C16" s="578" t="s">
        <v>2727</v>
      </c>
      <c r="D16" s="680">
        <f>SUMIFS(Пр.10!G$10:G$1274,Пр.10!$D$10:$D$1274,$C16)</f>
        <v>167147</v>
      </c>
      <c r="E16" s="680">
        <f>SUMIFS(Пр.10!H$10:H$1274,Пр.10!$D$10:$D$1274,$C16)</f>
        <v>0</v>
      </c>
      <c r="F16" s="680">
        <f>SUMIFS(Пр.10!I$10:I$1274,Пр.10!$D$10:$D$1274,$C16)</f>
        <v>167147</v>
      </c>
      <c r="G16" s="680">
        <f>SUMIFS(Пр.10!J$10:J$1274,Пр.10!$D$10:$D$1274,$C16)</f>
        <v>167147</v>
      </c>
      <c r="H16" s="680">
        <f>SUMIFS(Пр.10!K$10:K$1274,Пр.10!$D$10:$D$1274,$C16)</f>
        <v>0</v>
      </c>
      <c r="I16" s="680">
        <f>SUMIFS(Пр.10!L$10:L$1274,Пр.10!$D$10:$D$1274,$C16)</f>
        <v>167147</v>
      </c>
    </row>
    <row r="17" spans="1:9" s="528" customFormat="1" ht="47.4" thickBot="1">
      <c r="A17" s="589"/>
      <c r="B17" s="545" t="str">
        <f>IF(C17&gt;0,VLOOKUP(C17,Программа!A$2:B$5063,2))</f>
        <v>Ведомственная целевая программа «Сохранение и развитие культуры Тутаевского муниципального района»</v>
      </c>
      <c r="C17" s="577" t="s">
        <v>2728</v>
      </c>
      <c r="D17" s="680">
        <f>SUMIFS(Пр.10!G$10:G$1274,Пр.10!$D$10:$D$1274,$C17)</f>
        <v>114344058</v>
      </c>
      <c r="E17" s="680">
        <f>SUMIFS(Пр.10!H$10:H$1274,Пр.10!$D$10:$D$1274,$C17)</f>
        <v>0</v>
      </c>
      <c r="F17" s="680">
        <f>SUMIFS(Пр.10!I$10:I$1274,Пр.10!$D$10:$D$1274,$C17)</f>
        <v>114344058</v>
      </c>
      <c r="G17" s="680">
        <f>SUMIFS(Пр.10!J$10:J$1274,Пр.10!$D$10:$D$1274,$C17)</f>
        <v>111314265</v>
      </c>
      <c r="H17" s="680">
        <f>SUMIFS(Пр.10!K$10:K$1274,Пр.10!$D$10:$D$1274,$C17)</f>
        <v>0</v>
      </c>
      <c r="I17" s="680">
        <f>SUMIFS(Пр.10!L$10:L$1274,Пр.10!$D$10:$D$1274,$C17)</f>
        <v>111314265</v>
      </c>
    </row>
    <row r="18" spans="1:9" ht="31.8" thickBot="1">
      <c r="A18" s="540"/>
      <c r="B18" s="546" t="str">
        <f>IF(C18&gt;0,VLOOKUP(C18,Программа!A$2:B$5063,2))</f>
        <v>Реализация дополнительных образовательных программ в сфере культуры</v>
      </c>
      <c r="C18" s="578" t="s">
        <v>2729</v>
      </c>
      <c r="D18" s="680">
        <f>SUMIFS(Пр.10!G$10:G$1274,Пр.10!$D$10:$D$1274,$C18)</f>
        <v>27973114</v>
      </c>
      <c r="E18" s="680">
        <f>SUMIFS(Пр.10!H$10:H$1274,Пр.10!$D$10:$D$1274,$C18)</f>
        <v>0</v>
      </c>
      <c r="F18" s="680">
        <f>SUMIFS(Пр.10!I$10:I$1274,Пр.10!$D$10:$D$1274,$C18)</f>
        <v>27973114</v>
      </c>
      <c r="G18" s="680">
        <f>SUMIFS(Пр.10!J$10:J$1274,Пр.10!$D$10:$D$1274,$C18)</f>
        <v>27336763</v>
      </c>
      <c r="H18" s="680">
        <f>SUMIFS(Пр.10!K$10:K$1274,Пр.10!$D$10:$D$1274,$C18)</f>
        <v>0</v>
      </c>
      <c r="I18" s="680">
        <f>SUMIFS(Пр.10!L$10:L$1274,Пр.10!$D$10:$D$1274,$C18)</f>
        <v>27336763</v>
      </c>
    </row>
    <row r="19" spans="1:9" ht="16.2" thickBot="1">
      <c r="A19" s="540"/>
      <c r="B19" s="546" t="str">
        <f>IF(C19&gt;0,VLOOKUP(C19,Программа!A$2:B$5063,2))</f>
        <v>Содействие доступу граждан к культурным ценностям</v>
      </c>
      <c r="C19" s="578" t="s">
        <v>2731</v>
      </c>
      <c r="D19" s="680">
        <f>SUMIFS(Пр.10!G$10:G$1274,Пр.10!$D$10:$D$1274,$C19)</f>
        <v>61057103</v>
      </c>
      <c r="E19" s="680">
        <f>SUMIFS(Пр.10!H$10:H$1274,Пр.10!$D$10:$D$1274,$C19)</f>
        <v>0</v>
      </c>
      <c r="F19" s="680">
        <f>SUMIFS(Пр.10!I$10:I$1274,Пр.10!$D$10:$D$1274,$C19)</f>
        <v>61057103</v>
      </c>
      <c r="G19" s="680">
        <f>SUMIFS(Пр.10!J$10:J$1274,Пр.10!$D$10:$D$1274,$C19)</f>
        <v>59415790</v>
      </c>
      <c r="H19" s="680">
        <f>SUMIFS(Пр.10!K$10:K$1274,Пр.10!$D$10:$D$1274,$C19)</f>
        <v>0</v>
      </c>
      <c r="I19" s="680">
        <f>SUMIFS(Пр.10!L$10:L$1274,Пр.10!$D$10:$D$1274,$C19)</f>
        <v>59415790</v>
      </c>
    </row>
    <row r="20" spans="1:9" ht="31.8" thickBot="1">
      <c r="A20" s="542" t="s">
        <v>2426</v>
      </c>
      <c r="B20" s="546" t="str">
        <f>IF(C20&gt;0,VLOOKUP(C20,Программа!A$2:B$5063,2))</f>
        <v>Поддержка доступа граждан к информационно-библиотечным ресурсам</v>
      </c>
      <c r="C20" s="578" t="s">
        <v>2734</v>
      </c>
      <c r="D20" s="680">
        <f>SUMIFS(Пр.10!G$10:G$1274,Пр.10!$D$10:$D$1274,$C20)</f>
        <v>16411106</v>
      </c>
      <c r="E20" s="680">
        <f>SUMIFS(Пр.10!H$10:H$1274,Пр.10!$D$10:$D$1274,$C20)</f>
        <v>0</v>
      </c>
      <c r="F20" s="680">
        <f>SUMIFS(Пр.10!I$10:I$1274,Пр.10!$D$10:$D$1274,$C20)</f>
        <v>16411106</v>
      </c>
      <c r="G20" s="680">
        <f>SUMIFS(Пр.10!J$10:J$1274,Пр.10!$D$10:$D$1274,$C20)</f>
        <v>16021371</v>
      </c>
      <c r="H20" s="680">
        <f>SUMIFS(Пр.10!K$10:K$1274,Пр.10!$D$10:$D$1274,$C20)</f>
        <v>0</v>
      </c>
      <c r="I20" s="680">
        <f>SUMIFS(Пр.10!L$10:L$1274,Пр.10!$D$10:$D$1274,$C20)</f>
        <v>16021371</v>
      </c>
    </row>
    <row r="21" spans="1:9" ht="31.8" thickBot="1">
      <c r="A21" s="540" t="s">
        <v>2427</v>
      </c>
      <c r="B21" s="546" t="str">
        <f>IF(C21&gt;0,VLOOKUP(C21,Программа!A$2:B$5063,2))</f>
        <v>Обеспечение эффективности управления системой культуры</v>
      </c>
      <c r="C21" s="578" t="s">
        <v>2735</v>
      </c>
      <c r="D21" s="680">
        <f>SUMIFS(Пр.10!G$10:G$1274,Пр.10!$D$10:$D$1274,$C21)</f>
        <v>8902735</v>
      </c>
      <c r="E21" s="680">
        <f>SUMIFS(Пр.10!H$10:H$1274,Пр.10!$D$10:$D$1274,$C21)</f>
        <v>0</v>
      </c>
      <c r="F21" s="680">
        <f>SUMIFS(Пр.10!I$10:I$1274,Пр.10!$D$10:$D$1274,$C21)</f>
        <v>8902735</v>
      </c>
      <c r="G21" s="680">
        <f>SUMIFS(Пр.10!J$10:J$1274,Пр.10!$D$10:$D$1274,$C21)</f>
        <v>8540341</v>
      </c>
      <c r="H21" s="680">
        <f>SUMIFS(Пр.10!K$10:K$1274,Пр.10!$D$10:$D$1274,$C21)</f>
        <v>0</v>
      </c>
      <c r="I21" s="680">
        <f>SUMIFS(Пр.10!L$10:L$1274,Пр.10!$D$10:$D$1274,$C21)</f>
        <v>8540341</v>
      </c>
    </row>
    <row r="22" spans="1:9" ht="47.4" hidden="1" thickBot="1">
      <c r="A22" s="540" t="s">
        <v>2428</v>
      </c>
      <c r="B22" s="545" t="str">
        <f>IF(C22&gt;0,VLOOKUP(C22,Программа!A$2:B$5063,2))</f>
        <v>Муниципальная целевая программа «Развитие въездного и внутреннего туризма на территории Тутаевского муниципального района»</v>
      </c>
      <c r="C22" s="577" t="s">
        <v>2736</v>
      </c>
      <c r="D22" s="680">
        <f>SUMIFS(Пр.10!G$10:G$1274,Пр.10!$D$10:$D$1274,$C22)</f>
        <v>0</v>
      </c>
      <c r="E22" s="680">
        <f>SUMIFS(Пр.10!H$10:H$1274,Пр.10!$D$10:$D$1274,$C22)</f>
        <v>0</v>
      </c>
      <c r="F22" s="680">
        <f>SUMIFS(Пр.10!I$10:I$1274,Пр.10!$D$10:$D$1274,$C22)</f>
        <v>0</v>
      </c>
      <c r="G22" s="680">
        <f>SUMIFS(Пр.10!J$10:J$1274,Пр.10!$D$10:$D$1274,$C22)</f>
        <v>0</v>
      </c>
      <c r="H22" s="680">
        <f>SUMIFS(Пр.10!K$10:K$1274,Пр.10!$D$10:$D$1274,$C22)</f>
        <v>0</v>
      </c>
      <c r="I22" s="680">
        <f>SUMIFS(Пр.10!L$10:L$1274,Пр.10!$D$10:$D$1274,$C22)</f>
        <v>0</v>
      </c>
    </row>
    <row r="23" spans="1:9" ht="16.2" hidden="1" thickBot="1">
      <c r="A23" s="542" t="s">
        <v>2429</v>
      </c>
      <c r="B23" s="552" t="str">
        <f>IF(C23&gt;0,VLOOKUP(C23,Программа!A$2:B$5063,2))</f>
        <v>Создание благоприятных условий для развития туризма</v>
      </c>
      <c r="C23" s="579" t="s">
        <v>2737</v>
      </c>
      <c r="D23" s="681">
        <f>SUMIFS(Пр.10!G$10:G$1274,Пр.10!$D$10:$D$1274,$C23)</f>
        <v>0</v>
      </c>
      <c r="E23" s="681">
        <f>SUMIFS(Пр.10!H$10:H$1274,Пр.10!$D$10:$D$1274,$C23)</f>
        <v>0</v>
      </c>
      <c r="F23" s="681">
        <f>SUMIFS(Пр.10!I$10:I$1274,Пр.10!$D$10:$D$1274,$C23)</f>
        <v>0</v>
      </c>
      <c r="G23" s="681">
        <f>SUMIFS(Пр.10!J$10:J$1274,Пр.10!$D$10:$D$1274,$C23)</f>
        <v>0</v>
      </c>
      <c r="H23" s="681">
        <f>SUMIFS(Пр.10!K$10:K$1274,Пр.10!$D$10:$D$1274,$C23)</f>
        <v>0</v>
      </c>
      <c r="I23" s="681">
        <f>SUMIFS(Пр.10!L$10:L$1274,Пр.10!$D$10:$D$1274,$C23)</f>
        <v>0</v>
      </c>
    </row>
    <row r="24" spans="1:9" s="527" customFormat="1" ht="47.4" thickBot="1">
      <c r="A24" s="571" t="s">
        <v>2430</v>
      </c>
      <c r="B24" s="549" t="str">
        <f>IF(C24&gt;0,VLOOKUP(C24,Программа!A$2:B$5063,2))</f>
        <v>Муниципальная программа "Развитие образования, физической культуры и спорта в Тутаевском муниципальном районе"</v>
      </c>
      <c r="C24" s="576" t="s">
        <v>2739</v>
      </c>
      <c r="D24" s="686">
        <f>SUMIFS(Пр.10!G$10:G$1274,Пр.10!$D$10:$D$1274,$C24)</f>
        <v>747882235</v>
      </c>
      <c r="E24" s="686">
        <f>SUMIFS(Пр.10!H$10:H$1274,Пр.10!$D$10:$D$1274,$C24)</f>
        <v>0</v>
      </c>
      <c r="F24" s="686">
        <f>SUMIFS(Пр.10!I$10:I$1274,Пр.10!$D$10:$D$1274,$C24)</f>
        <v>747882235</v>
      </c>
      <c r="G24" s="686">
        <f>SUMIFS(Пр.10!J$10:J$1274,Пр.10!$D$10:$D$1274,$C24)</f>
        <v>743043192</v>
      </c>
      <c r="H24" s="686">
        <f>SUMIFS(Пр.10!K$10:K$1274,Пр.10!$D$10:$D$1274,$C24)</f>
        <v>0</v>
      </c>
      <c r="I24" s="689">
        <f>SUMIFS(Пр.10!L$10:L$1274,Пр.10!$D$10:$D$1274,$C24)</f>
        <v>743043192</v>
      </c>
    </row>
    <row r="25" spans="1:9" ht="47.4" thickBot="1">
      <c r="A25" s="542" t="s">
        <v>2431</v>
      </c>
      <c r="B25" s="547" t="str">
        <f>IF(C25&gt;0,VLOOKUP(C25,Программа!A$2:B$5063,2))</f>
        <v xml:space="preserve">Ведомственная целевая программа департамента образования Администрации Тутаевского муниципального района </v>
      </c>
      <c r="C25" s="580" t="s">
        <v>2740</v>
      </c>
      <c r="D25" s="682">
        <f>SUMIFS(Пр.10!G$10:G$1274,Пр.10!$D$10:$D$1274,$C25)</f>
        <v>747882235</v>
      </c>
      <c r="E25" s="682">
        <f>SUMIFS(Пр.10!H$10:H$1274,Пр.10!$D$10:$D$1274,$C25)</f>
        <v>0</v>
      </c>
      <c r="F25" s="682">
        <f>SUMIFS(Пр.10!I$10:I$1274,Пр.10!$D$10:$D$1274,$C25)</f>
        <v>747882235</v>
      </c>
      <c r="G25" s="682">
        <f>SUMIFS(Пр.10!J$10:J$1274,Пр.10!$D$10:$D$1274,$C25)</f>
        <v>743043192</v>
      </c>
      <c r="H25" s="682">
        <f>SUMIFS(Пр.10!K$10:K$1274,Пр.10!$D$10:$D$1274,$C25)</f>
        <v>0</v>
      </c>
      <c r="I25" s="682">
        <f>SUMIFS(Пр.10!L$10:L$1274,Пр.10!$D$10:$D$1274,$C25)</f>
        <v>743043192</v>
      </c>
    </row>
    <row r="26" spans="1:9" ht="47.4" thickBot="1">
      <c r="A26" s="540" t="s">
        <v>2432</v>
      </c>
      <c r="B26" s="546" t="str">
        <f>IF(C26&gt;0,VLOOKUP(C26,Программа!A$2:B$5063,2))</f>
        <v>Организация предоставления муниципальных услуг и выполнения работ  муниципальными учреждениями сферы образования</v>
      </c>
      <c r="C26" s="578" t="s">
        <v>2741</v>
      </c>
      <c r="D26" s="680">
        <f>SUMIFS(Пр.10!G$10:G$1274,Пр.10!$D$10:$D$1274,$C26)</f>
        <v>667061061</v>
      </c>
      <c r="E26" s="680">
        <f>SUMIFS(Пр.10!H$10:H$1274,Пр.10!$D$10:$D$1274,$C26)</f>
        <v>0</v>
      </c>
      <c r="F26" s="680">
        <f>SUMIFS(Пр.10!I$10:I$1274,Пр.10!$D$10:$D$1274,$C26)</f>
        <v>667061061</v>
      </c>
      <c r="G26" s="680">
        <f>SUMIFS(Пр.10!J$10:J$1274,Пр.10!$D$10:$D$1274,$C26)</f>
        <v>662546148</v>
      </c>
      <c r="H26" s="680">
        <f>SUMIFS(Пр.10!K$10:K$1274,Пр.10!$D$10:$D$1274,$C26)</f>
        <v>0</v>
      </c>
      <c r="I26" s="680">
        <f>SUMIFS(Пр.10!L$10:L$1274,Пр.10!$D$10:$D$1274,$C26)</f>
        <v>662546148</v>
      </c>
    </row>
    <row r="27" spans="1:9" ht="47.4" thickBot="1">
      <c r="A27" s="540"/>
      <c r="B27" s="546" t="str">
        <f>IF(C27&gt;0,VLOOKUP(C27,Программа!A$2:B$5063,2))</f>
        <v>Методическая и консультационная помощь, психолого-педагогическое и медико-социальное сопровождение детей</v>
      </c>
      <c r="C27" s="578" t="s">
        <v>2746</v>
      </c>
      <c r="D27" s="680">
        <f>SUMIFS(Пр.10!G$10:G$1274,Пр.10!$D$10:$D$1274,$C27)</f>
        <v>11015325</v>
      </c>
      <c r="E27" s="680">
        <f>SUMIFS(Пр.10!H$10:H$1274,Пр.10!$D$10:$D$1274,$C27)</f>
        <v>0</v>
      </c>
      <c r="F27" s="680">
        <f>SUMIFS(Пр.10!I$10:I$1274,Пр.10!$D$10:$D$1274,$C27)</f>
        <v>11015325</v>
      </c>
      <c r="G27" s="680">
        <f>SUMIFS(Пр.10!J$10:J$1274,Пр.10!$D$10:$D$1274,$C27)</f>
        <v>10751594</v>
      </c>
      <c r="H27" s="680">
        <f>SUMIFS(Пр.10!K$10:K$1274,Пр.10!$D$10:$D$1274,$C27)</f>
        <v>0</v>
      </c>
      <c r="I27" s="680">
        <f>SUMIFS(Пр.10!L$10:L$1274,Пр.10!$D$10:$D$1274,$C27)</f>
        <v>10751594</v>
      </c>
    </row>
    <row r="28" spans="1:9" ht="47.4" thickBot="1">
      <c r="A28" s="540"/>
      <c r="B28" s="546" t="str">
        <f>IF(C28&gt;0,VLOOKUP(C28,Программа!A$2:B$5063,2))</f>
        <v>Обеспечение качества реализации мер по социальной поддержке детей-сирот и детей оставшихся без попечения родителей</v>
      </c>
      <c r="C28" s="578" t="s">
        <v>2747</v>
      </c>
      <c r="D28" s="680">
        <f>SUMIFS(Пр.10!G$10:G$1274,Пр.10!$D$10:$D$1274,$C28)</f>
        <v>36415959</v>
      </c>
      <c r="E28" s="680">
        <f>SUMIFS(Пр.10!H$10:H$1274,Пр.10!$D$10:$D$1274,$C28)</f>
        <v>0</v>
      </c>
      <c r="F28" s="680">
        <f>SUMIFS(Пр.10!I$10:I$1274,Пр.10!$D$10:$D$1274,$C28)</f>
        <v>36415959</v>
      </c>
      <c r="G28" s="680">
        <f>SUMIFS(Пр.10!J$10:J$1274,Пр.10!$D$10:$D$1274,$C28)</f>
        <v>36415959</v>
      </c>
      <c r="H28" s="680">
        <f>SUMIFS(Пр.10!K$10:K$1274,Пр.10!$D$10:$D$1274,$C28)</f>
        <v>0</v>
      </c>
      <c r="I28" s="680">
        <f>SUMIFS(Пр.10!L$10:L$1274,Пр.10!$D$10:$D$1274,$C28)</f>
        <v>36415959</v>
      </c>
    </row>
    <row r="29" spans="1:9" ht="31.8" hidden="1" thickBot="1">
      <c r="A29" s="542" t="s">
        <v>2433</v>
      </c>
      <c r="B29" s="546" t="str">
        <f>IF(C29&gt;0,VLOOKUP(C29,Программа!A$2:B$5063,2))</f>
        <v>Мероприятия направленные на поддержку и мотивации участников образовательного процесса</v>
      </c>
      <c r="C29" s="578" t="s">
        <v>2749</v>
      </c>
      <c r="D29" s="680">
        <f>SUMIFS(Пр.10!G$10:G$1274,Пр.10!$D$10:$D$1274,$C29)</f>
        <v>0</v>
      </c>
      <c r="E29" s="680">
        <f>SUMIFS(Пр.10!H$10:H$1274,Пр.10!$D$10:$D$1274,$C29)</f>
        <v>0</v>
      </c>
      <c r="F29" s="680">
        <f>SUMIFS(Пр.10!I$10:I$1274,Пр.10!$D$10:$D$1274,$C29)</f>
        <v>0</v>
      </c>
      <c r="G29" s="680">
        <f>SUMIFS(Пр.10!J$10:J$1274,Пр.10!$D$10:$D$1274,$C29)</f>
        <v>0</v>
      </c>
      <c r="H29" s="680">
        <f>SUMIFS(Пр.10!K$10:K$1274,Пр.10!$D$10:$D$1274,$C29)</f>
        <v>0</v>
      </c>
      <c r="I29" s="680">
        <f>SUMIFS(Пр.10!L$10:L$1274,Пр.10!$D$10:$D$1274,$C29)</f>
        <v>0</v>
      </c>
    </row>
    <row r="30" spans="1:9" ht="31.8" thickBot="1">
      <c r="A30" s="540" t="s">
        <v>2434</v>
      </c>
      <c r="B30" s="546" t="str">
        <f>IF(C30&gt;0,VLOOKUP(C30,Программа!A$2:B$5063,2))</f>
        <v>Мероприятия направленные на осуществление отдельных полномочий в области образования</v>
      </c>
      <c r="C30" s="578" t="s">
        <v>2750</v>
      </c>
      <c r="D30" s="680">
        <f>SUMIFS(Пр.10!G$10:G$1274,Пр.10!$D$10:$D$1274,$C30)</f>
        <v>6192430</v>
      </c>
      <c r="E30" s="680">
        <f>SUMIFS(Пр.10!H$10:H$1274,Пр.10!$D$10:$D$1274,$C30)</f>
        <v>0</v>
      </c>
      <c r="F30" s="680">
        <f>SUMIFS(Пр.10!I$10:I$1274,Пр.10!$D$10:$D$1274,$C30)</f>
        <v>6192430</v>
      </c>
      <c r="G30" s="680">
        <f>SUMIFS(Пр.10!J$10:J$1274,Пр.10!$D$10:$D$1274,$C30)</f>
        <v>6192430</v>
      </c>
      <c r="H30" s="680">
        <f>SUMIFS(Пр.10!K$10:K$1274,Пр.10!$D$10:$D$1274,$C30)</f>
        <v>0</v>
      </c>
      <c r="I30" s="680">
        <f>SUMIFS(Пр.10!L$10:L$1274,Пр.10!$D$10:$D$1274,$C30)</f>
        <v>6192430</v>
      </c>
    </row>
    <row r="31" spans="1:9" ht="31.8" thickBot="1">
      <c r="A31" s="542" t="s">
        <v>2435</v>
      </c>
      <c r="B31" s="546" t="str">
        <f>IF(C31&gt;0,VLOOKUP(C31,Программа!A$2:B$5063,2))</f>
        <v>Обеспечение эффективности управления системой образования</v>
      </c>
      <c r="C31" s="578" t="s">
        <v>2751</v>
      </c>
      <c r="D31" s="680">
        <f>SUMIFS(Пр.10!G$10:G$1274,Пр.10!$D$10:$D$1274,$C31)</f>
        <v>27197460</v>
      </c>
      <c r="E31" s="680">
        <f>SUMIFS(Пр.10!H$10:H$1274,Пр.10!$D$10:$D$1274,$C31)</f>
        <v>0</v>
      </c>
      <c r="F31" s="680">
        <f>SUMIFS(Пр.10!I$10:I$1274,Пр.10!$D$10:$D$1274,$C31)</f>
        <v>27197460</v>
      </c>
      <c r="G31" s="680">
        <f>SUMIFS(Пр.10!J$10:J$1274,Пр.10!$D$10:$D$1274,$C31)</f>
        <v>27137061</v>
      </c>
      <c r="H31" s="680">
        <f>SUMIFS(Пр.10!K$10:K$1274,Пр.10!$D$10:$D$1274,$C31)</f>
        <v>0</v>
      </c>
      <c r="I31" s="680">
        <f>SUMIFS(Пр.10!L$10:L$1274,Пр.10!$D$10:$D$1274,$C31)</f>
        <v>27137061</v>
      </c>
    </row>
    <row r="32" spans="1:9" ht="47.4" hidden="1" thickBot="1">
      <c r="A32" s="540" t="s">
        <v>2436</v>
      </c>
      <c r="B32" s="545" t="str">
        <f>IF(C32&gt;0,VLOOKUP(C32,Программа!A$2:B$5063,2))</f>
        <v>Муниципальная целевая программа "Духовно-нравственное воспитание и просвещение населения Тутаевского муниципального района"</v>
      </c>
      <c r="C32" s="577" t="s">
        <v>2855</v>
      </c>
      <c r="D32" s="680">
        <f>SUMIFS(Пр.10!G$10:G$1274,Пр.10!$D$10:$D$1274,$C32)</f>
        <v>0</v>
      </c>
      <c r="E32" s="680">
        <f>SUMIFS(Пр.10!H$10:H$1274,Пр.10!$D$10:$D$1274,$C32)</f>
        <v>0</v>
      </c>
      <c r="F32" s="680">
        <f>SUMIFS(Пр.10!I$10:I$1274,Пр.10!$D$10:$D$1274,$C32)</f>
        <v>0</v>
      </c>
      <c r="G32" s="680">
        <f>SUMIFS(Пр.10!J$10:J$1274,Пр.10!$D$10:$D$1274,$C32)</f>
        <v>0</v>
      </c>
      <c r="H32" s="680">
        <f>SUMIFS(Пр.10!K$10:K$1274,Пр.10!$D$10:$D$1274,$C32)</f>
        <v>0</v>
      </c>
      <c r="I32" s="680">
        <f>SUMIFS(Пр.10!L$10:L$1274,Пр.10!$D$10:$D$1274,$C32)</f>
        <v>0</v>
      </c>
    </row>
    <row r="33" spans="1:9" ht="47.4" hidden="1" thickBot="1">
      <c r="A33" s="540" t="s">
        <v>2437</v>
      </c>
      <c r="B33" s="546" t="str">
        <f>IF(C33&gt;0,VLOOKUP(C33,Программа!A$2:B$5063,2))</f>
        <v>Реализация мер по созданию целостной системы духовно-нравственного воспитания и просвещения населения</v>
      </c>
      <c r="C33" s="578" t="s">
        <v>2857</v>
      </c>
      <c r="D33" s="680">
        <f>SUMIFS(Пр.10!G$10:G$1274,Пр.10!$D$10:$D$1274,$C33)</f>
        <v>0</v>
      </c>
      <c r="E33" s="680">
        <f>SUMIFS(Пр.10!H$10:H$1274,Пр.10!$D$10:$D$1274,$C33)</f>
        <v>0</v>
      </c>
      <c r="F33" s="680">
        <f>SUMIFS(Пр.10!I$10:I$1274,Пр.10!$D$10:$D$1274,$C33)</f>
        <v>0</v>
      </c>
      <c r="G33" s="680">
        <f>SUMIFS(Пр.10!J$10:J$1274,Пр.10!$D$10:$D$1274,$C33)</f>
        <v>0</v>
      </c>
      <c r="H33" s="680">
        <f>SUMIFS(Пр.10!K$10:K$1274,Пр.10!$D$10:$D$1274,$C33)</f>
        <v>0</v>
      </c>
      <c r="I33" s="680">
        <f>SUMIFS(Пр.10!L$10:L$1274,Пр.10!$D$10:$D$1274,$C33)</f>
        <v>0</v>
      </c>
    </row>
    <row r="34" spans="1:9" ht="47.4" hidden="1" thickBot="1">
      <c r="A34" s="542" t="s">
        <v>2438</v>
      </c>
      <c r="B34" s="545" t="str">
        <f>IF(C34&gt;0,VLOOKUP(C34,Программа!A$2:B$5063,2))</f>
        <v>Муниципальная целевая программа "Развитие физической культуры и спорта в Тутаевском муниципальном районе"</v>
      </c>
      <c r="C34" s="577" t="s">
        <v>2856</v>
      </c>
      <c r="D34" s="680">
        <f>SUMIFS(Пр.10!G$10:G$1274,Пр.10!$D$10:$D$1274,$C34)</f>
        <v>0</v>
      </c>
      <c r="E34" s="680">
        <f>SUMIFS(Пр.10!H$10:H$1274,Пр.10!$D$10:$D$1274,$C34)</f>
        <v>0</v>
      </c>
      <c r="F34" s="680">
        <f>SUMIFS(Пр.10!I$10:I$1274,Пр.10!$D$10:$D$1274,$C34)</f>
        <v>0</v>
      </c>
      <c r="G34" s="680">
        <f>SUMIFS(Пр.10!J$10:J$1274,Пр.10!$D$10:$D$1274,$C34)</f>
        <v>0</v>
      </c>
      <c r="H34" s="680">
        <f>SUMIFS(Пр.10!K$10:K$1274,Пр.10!$D$10:$D$1274,$C34)</f>
        <v>0</v>
      </c>
      <c r="I34" s="680">
        <f>SUMIFS(Пр.10!L$10:L$1274,Пр.10!$D$10:$D$1274,$C34)</f>
        <v>0</v>
      </c>
    </row>
    <row r="35" spans="1:9" ht="63" hidden="1" thickBot="1">
      <c r="A35" s="540" t="s">
        <v>2439</v>
      </c>
      <c r="B35" s="546" t="str">
        <f>IF(C35&gt;0,VLOOKUP(C35,Программа!A$2:B$5063,2))</f>
        <v>Организация физкультурно-оздоровительной и спортивно-массовой работы среди детей, обучающейся молодежи, населения и людей с ограниченными возможностями здоровья</v>
      </c>
      <c r="C35" s="578" t="s">
        <v>2858</v>
      </c>
      <c r="D35" s="680">
        <f>SUMIFS(Пр.10!G$10:G$1274,Пр.10!$D$10:$D$1274,$C35)</f>
        <v>0</v>
      </c>
      <c r="E35" s="680">
        <f>SUMIFS(Пр.10!H$10:H$1274,Пр.10!$D$10:$D$1274,$C35)</f>
        <v>0</v>
      </c>
      <c r="F35" s="680">
        <f>SUMIFS(Пр.10!I$10:I$1274,Пр.10!$D$10:$D$1274,$C35)</f>
        <v>0</v>
      </c>
      <c r="G35" s="680">
        <f>SUMIFS(Пр.10!J$10:J$1274,Пр.10!$D$10:$D$1274,$C35)</f>
        <v>0</v>
      </c>
      <c r="H35" s="680">
        <f>SUMIFS(Пр.10!K$10:K$1274,Пр.10!$D$10:$D$1274,$C35)</f>
        <v>0</v>
      </c>
      <c r="I35" s="680">
        <f>SUMIFS(Пр.10!L$10:L$1274,Пр.10!$D$10:$D$1274,$C35)</f>
        <v>0</v>
      </c>
    </row>
    <row r="36" spans="1:9" ht="31.8" hidden="1" thickBot="1">
      <c r="A36" s="542" t="s">
        <v>2440</v>
      </c>
      <c r="B36" s="552" t="str">
        <f>IF(C36&gt;0,VLOOKUP(C36,Программа!A$2:B$5063,2))</f>
        <v>Строительство, реконструкция и капитальный ремонт спортивных сооружений</v>
      </c>
      <c r="C36" s="579" t="s">
        <v>2860</v>
      </c>
      <c r="D36" s="681">
        <f>SUMIFS(Пр.10!G$10:G$1274,Пр.10!$D$10:$D$1274,$C36)</f>
        <v>0</v>
      </c>
      <c r="E36" s="681">
        <f>SUMIFS(Пр.10!H$10:H$1274,Пр.10!$D$10:$D$1274,$C36)</f>
        <v>0</v>
      </c>
      <c r="F36" s="681">
        <f>SUMIFS(Пр.10!I$10:I$1274,Пр.10!$D$10:$D$1274,$C36)</f>
        <v>0</v>
      </c>
      <c r="G36" s="681">
        <f>SUMIFS(Пр.10!J$10:J$1274,Пр.10!$D$10:$D$1274,$C36)</f>
        <v>0</v>
      </c>
      <c r="H36" s="681">
        <f>SUMIFS(Пр.10!K$10:K$1274,Пр.10!$D$10:$D$1274,$C36)</f>
        <v>0</v>
      </c>
      <c r="I36" s="681">
        <f>SUMIFS(Пр.10!L$10:L$1274,Пр.10!$D$10:$D$1274,$C36)</f>
        <v>0</v>
      </c>
    </row>
    <row r="37" spans="1:9" s="527" customFormat="1" ht="47.4" thickBot="1">
      <c r="A37" s="571" t="s">
        <v>2441</v>
      </c>
      <c r="B37" s="549" t="str">
        <f>IF(C37&gt;0,VLOOKUP(C37,Программа!A$2:B$5063,2))</f>
        <v>Муниципальная программа "Социальная поддержка населения Тутаевского муниципального района"</v>
      </c>
      <c r="C37" s="576" t="s">
        <v>2809</v>
      </c>
      <c r="D37" s="686">
        <f>SUMIFS(Пр.10!G$10:G$1274,Пр.10!$D$10:$D$1274,$C37)</f>
        <v>248541923</v>
      </c>
      <c r="E37" s="686">
        <f>SUMIFS(Пр.10!H$10:H$1274,Пр.10!$D$10:$D$1274,$C37)</f>
        <v>0</v>
      </c>
      <c r="F37" s="686">
        <f>SUMIFS(Пр.10!I$10:I$1274,Пр.10!$D$10:$D$1274,$C37)</f>
        <v>248541923</v>
      </c>
      <c r="G37" s="686">
        <f>SUMIFS(Пр.10!J$10:J$1274,Пр.10!$D$10:$D$1274,$C37)</f>
        <v>248541923</v>
      </c>
      <c r="H37" s="686">
        <f>SUMIFS(Пр.10!K$10:K$1274,Пр.10!$D$10:$D$1274,$C37)</f>
        <v>0</v>
      </c>
      <c r="I37" s="689">
        <f>SUMIFS(Пр.10!L$10:L$1274,Пр.10!$D$10:$D$1274,$C37)</f>
        <v>248541923</v>
      </c>
    </row>
    <row r="38" spans="1:9" ht="47.4" thickBot="1">
      <c r="A38" s="540"/>
      <c r="B38" s="547" t="str">
        <f>IF(C38&gt;0,VLOOKUP(C38,Программа!A$2:B$5063,2))</f>
        <v xml:space="preserve">Ведомственная целевая программа «Социальная поддержка населения Тутаевского муниципального района» </v>
      </c>
      <c r="C38" s="580" t="s">
        <v>2811</v>
      </c>
      <c r="D38" s="682">
        <f>SUMIFS(Пр.10!G$10:G$1274,Пр.10!$D$10:$D$1274,$C38)</f>
        <v>248541923</v>
      </c>
      <c r="E38" s="682">
        <f>SUMIFS(Пр.10!H$10:H$1274,Пр.10!$D$10:$D$1274,$C38)</f>
        <v>0</v>
      </c>
      <c r="F38" s="682">
        <f>SUMIFS(Пр.10!I$10:I$1274,Пр.10!$D$10:$D$1274,$C38)</f>
        <v>248541923</v>
      </c>
      <c r="G38" s="682">
        <f>SUMIFS(Пр.10!J$10:J$1274,Пр.10!$D$10:$D$1274,$C38)</f>
        <v>248541923</v>
      </c>
      <c r="H38" s="682">
        <f>SUMIFS(Пр.10!K$10:K$1274,Пр.10!$D$10:$D$1274,$C38)</f>
        <v>0</v>
      </c>
      <c r="I38" s="682">
        <f>SUMIFS(Пр.10!L$10:L$1274,Пр.10!$D$10:$D$1274,$C38)</f>
        <v>248541923</v>
      </c>
    </row>
    <row r="39" spans="1:9" ht="31.8" thickBot="1">
      <c r="A39" s="540"/>
      <c r="B39" s="546" t="str">
        <f>IF(C39&gt;0,VLOOKUP(C39,Программа!A$2:B$5063,2))</f>
        <v>Исполнение публичных обязательств по предоставлению выплат, пособий и компенсаций</v>
      </c>
      <c r="C39" s="578" t="s">
        <v>2862</v>
      </c>
      <c r="D39" s="680">
        <f>SUMIFS(Пр.10!G$10:G$1274,Пр.10!$D$10:$D$1274,$C39)</f>
        <v>203732334</v>
      </c>
      <c r="E39" s="680">
        <f>SUMIFS(Пр.10!H$10:H$1274,Пр.10!$D$10:$D$1274,$C39)</f>
        <v>0</v>
      </c>
      <c r="F39" s="680">
        <f>SUMIFS(Пр.10!I$10:I$1274,Пр.10!$D$10:$D$1274,$C39)</f>
        <v>203732334</v>
      </c>
      <c r="G39" s="680">
        <f>SUMIFS(Пр.10!J$10:J$1274,Пр.10!$D$10:$D$1274,$C39)</f>
        <v>203732334</v>
      </c>
      <c r="H39" s="680">
        <f>SUMIFS(Пр.10!K$10:K$1274,Пр.10!$D$10:$D$1274,$C39)</f>
        <v>0</v>
      </c>
      <c r="I39" s="680">
        <f>SUMIFS(Пр.10!L$10:L$1274,Пр.10!$D$10:$D$1274,$C39)</f>
        <v>203732334</v>
      </c>
    </row>
    <row r="40" spans="1:9" ht="47.4" thickBot="1">
      <c r="A40" s="540"/>
      <c r="B40" s="546" t="str">
        <f>IF(C40&gt;0,VLOOKUP(C40,Программа!A$2:B$5063,2))</f>
        <v>Предоставление социальных услуг населению Тутаевского муниципального района на основе соблюдения стандартов и нормативов</v>
      </c>
      <c r="C40" s="578" t="s">
        <v>2863</v>
      </c>
      <c r="D40" s="680">
        <f>SUMIFS(Пр.10!G$10:G$1274,Пр.10!$D$10:$D$1274,$C40)</f>
        <v>44582019</v>
      </c>
      <c r="E40" s="680">
        <f>SUMIFS(Пр.10!H$10:H$1274,Пр.10!$D$10:$D$1274,$C40)</f>
        <v>0</v>
      </c>
      <c r="F40" s="680">
        <f>SUMIFS(Пр.10!I$10:I$1274,Пр.10!$D$10:$D$1274,$C40)</f>
        <v>44582019</v>
      </c>
      <c r="G40" s="680">
        <f>SUMIFS(Пр.10!J$10:J$1274,Пр.10!$D$10:$D$1274,$C40)</f>
        <v>44582019</v>
      </c>
      <c r="H40" s="680">
        <f>SUMIFS(Пр.10!K$10:K$1274,Пр.10!$D$10:$D$1274,$C40)</f>
        <v>0</v>
      </c>
      <c r="I40" s="680">
        <f>SUMIFS(Пр.10!L$10:L$1274,Пр.10!$D$10:$D$1274,$C40)</f>
        <v>44582019</v>
      </c>
    </row>
    <row r="41" spans="1:9" ht="47.4" thickBot="1">
      <c r="A41" s="542" t="s">
        <v>2085</v>
      </c>
      <c r="B41" s="546" t="str">
        <f>IF(C41&gt;0,VLOOKUP(C41,Программа!A$2:B$5063,2))</f>
        <v>Социальная защита семей с детьми, инвалидов, ветеранов, граждан и детей, оказавшихся в трудной жизненной ситуации</v>
      </c>
      <c r="C41" s="578" t="s">
        <v>2865</v>
      </c>
      <c r="D41" s="680">
        <f>SUMIFS(Пр.10!G$10:G$1274,Пр.10!$D$10:$D$1274,$C41)</f>
        <v>227570</v>
      </c>
      <c r="E41" s="680">
        <f>SUMIFS(Пр.10!H$10:H$1274,Пр.10!$D$10:$D$1274,$C41)</f>
        <v>0</v>
      </c>
      <c r="F41" s="680">
        <f>SUMIFS(Пр.10!I$10:I$1274,Пр.10!$D$10:$D$1274,$C41)</f>
        <v>227570</v>
      </c>
      <c r="G41" s="680">
        <f>SUMIFS(Пр.10!J$10:J$1274,Пр.10!$D$10:$D$1274,$C41)</f>
        <v>227570</v>
      </c>
      <c r="H41" s="680">
        <f>SUMIFS(Пр.10!K$10:K$1274,Пр.10!$D$10:$D$1274,$C41)</f>
        <v>0</v>
      </c>
      <c r="I41" s="680">
        <f>SUMIFS(Пр.10!L$10:L$1274,Пр.10!$D$10:$D$1274,$C41)</f>
        <v>227570</v>
      </c>
    </row>
    <row r="42" spans="1:9" ht="47.4" hidden="1" thickBot="1">
      <c r="A42" s="540" t="s">
        <v>2442</v>
      </c>
      <c r="B42" s="545" t="str">
        <f>IF(C42&gt;0,VLOOKUP(C42,Программа!A$2:B$5063,2))</f>
        <v>Муниципальная целевая программа "Улучшение условий и охраны труда" по Тутаевскому муниципальному району</v>
      </c>
      <c r="C42" s="577" t="s">
        <v>2851</v>
      </c>
      <c r="D42" s="680">
        <f>SUMIFS(Пр.10!G$10:G$1274,Пр.10!$D$10:$D$1274,$C42)</f>
        <v>0</v>
      </c>
      <c r="E42" s="680">
        <f>SUMIFS(Пр.10!H$10:H$1274,Пр.10!$D$10:$D$1274,$C42)</f>
        <v>0</v>
      </c>
      <c r="F42" s="680">
        <f>SUMIFS(Пр.10!I$10:I$1274,Пр.10!$D$10:$D$1274,$C42)</f>
        <v>0</v>
      </c>
      <c r="G42" s="680">
        <f>SUMIFS(Пр.10!J$10:J$1274,Пр.10!$D$10:$D$1274,$C42)</f>
        <v>0</v>
      </c>
      <c r="H42" s="680">
        <f>SUMIFS(Пр.10!K$10:K$1274,Пр.10!$D$10:$D$1274,$C42)</f>
        <v>0</v>
      </c>
      <c r="I42" s="680">
        <f>SUMIFS(Пр.10!L$10:L$1274,Пр.10!$D$10:$D$1274,$C42)</f>
        <v>0</v>
      </c>
    </row>
    <row r="43" spans="1:9" ht="47.4" hidden="1" thickBot="1">
      <c r="A43" s="540"/>
      <c r="B43" s="552" t="str">
        <f>IF(C43&gt;0,VLOOKUP(C43,Программа!A$2:B$5063,2))</f>
        <v>Мероприятия по оценке условий труда и  обучение специалистов по охране труда в учреждениях на территории Тутаевского муниципального района</v>
      </c>
      <c r="C43" s="579" t="s">
        <v>2970</v>
      </c>
      <c r="D43" s="681">
        <f>SUMIFS(Пр.10!G$10:G$1274,Пр.10!$D$10:$D$1274,$C43)</f>
        <v>0</v>
      </c>
      <c r="E43" s="681">
        <f>SUMIFS(Пр.10!H$10:H$1274,Пр.10!$D$10:$D$1274,$C43)</f>
        <v>0</v>
      </c>
      <c r="F43" s="681">
        <f>SUMIFS(Пр.10!I$10:I$1274,Пр.10!$D$10:$D$1274,$C43)</f>
        <v>0</v>
      </c>
      <c r="G43" s="681">
        <f>SUMIFS(Пр.10!J$10:J$1274,Пр.10!$D$10:$D$1274,$C43)</f>
        <v>0</v>
      </c>
      <c r="H43" s="681">
        <f>SUMIFS(Пр.10!K$10:K$1274,Пр.10!$D$10:$D$1274,$C43)</f>
        <v>0</v>
      </c>
      <c r="I43" s="681">
        <f>SUMIFS(Пр.10!L$10:L$1274,Пр.10!$D$10:$D$1274,$C43)</f>
        <v>0</v>
      </c>
    </row>
    <row r="44" spans="1:9" ht="16.2" hidden="1" thickBot="1">
      <c r="A44" s="540"/>
      <c r="B44" s="549" t="str">
        <f>IF(C44&gt;0,VLOOKUP(C44,Программа!A$2:B$5063,2))</f>
        <v>Муниципальная программа "Доступная среда "</v>
      </c>
      <c r="C44" s="576" t="s">
        <v>2867</v>
      </c>
      <c r="D44" s="686">
        <f>SUMIFS(Пр.10!G$10:G$1274,Пр.10!$D$10:$D$1274,$C44)</f>
        <v>0</v>
      </c>
      <c r="E44" s="686">
        <f>SUMIFS(Пр.10!H$10:H$1274,Пр.10!$D$10:$D$1274,$C44)</f>
        <v>0</v>
      </c>
      <c r="F44" s="686">
        <f>SUMIFS(Пр.10!I$10:I$1274,Пр.10!$D$10:$D$1274,$C44)</f>
        <v>0</v>
      </c>
      <c r="G44" s="686">
        <f>SUMIFS(Пр.10!J$10:J$1274,Пр.10!$D$10:$D$1274,$C44)</f>
        <v>0</v>
      </c>
      <c r="H44" s="686">
        <f>SUMIFS(Пр.10!K$10:K$1274,Пр.10!$D$10:$D$1274,$C44)</f>
        <v>0</v>
      </c>
      <c r="I44" s="689">
        <f>SUMIFS(Пр.10!L$10:L$1274,Пр.10!$D$10:$D$1274,$C44)</f>
        <v>0</v>
      </c>
    </row>
    <row r="45" spans="1:9" ht="63" hidden="1" thickBot="1">
      <c r="A45" s="542" t="s">
        <v>293</v>
      </c>
      <c r="B45" s="553" t="str">
        <f>IF(C45&gt;0,VLOOKUP(C45,Программа!A$2:B$5063,2))</f>
        <v>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v>
      </c>
      <c r="C45" s="581" t="s">
        <v>2869</v>
      </c>
      <c r="D45" s="690">
        <f>SUMIFS(Пр.10!G$10:G$1274,Пр.10!$D$10:$D$1274,$C45)</f>
        <v>0</v>
      </c>
      <c r="E45" s="690">
        <f>SUMIFS(Пр.10!H$10:H$1274,Пр.10!$D$10:$D$1274,$C45)</f>
        <v>0</v>
      </c>
      <c r="F45" s="690">
        <f>SUMIFS(Пр.10!I$10:I$1274,Пр.10!$D$10:$D$1274,$C45)</f>
        <v>0</v>
      </c>
      <c r="G45" s="690">
        <f>SUMIFS(Пр.10!J$10:J$1274,Пр.10!$D$10:$D$1274,$C45)</f>
        <v>0</v>
      </c>
      <c r="H45" s="690">
        <f>SUMIFS(Пр.10!K$10:K$1274,Пр.10!$D$10:$D$1274,$C45)</f>
        <v>0</v>
      </c>
      <c r="I45" s="690">
        <f>SUMIFS(Пр.10!L$10:L$1274,Пр.10!$D$10:$D$1274,$C45)</f>
        <v>0</v>
      </c>
    </row>
    <row r="46" spans="1:9" s="527" customFormat="1" ht="47.4" thickBot="1">
      <c r="A46" s="571" t="s">
        <v>2443</v>
      </c>
      <c r="B46" s="549" t="str">
        <f>IF(C46&gt;0,VLOOKUP(C46,Программа!A$2:B$5063,2))</f>
        <v>Муниципальная программа "Обеспечение качественными коммунальными услугами населения Тутаевского муниципального района"</v>
      </c>
      <c r="C46" s="576" t="s">
        <v>2753</v>
      </c>
      <c r="D46" s="686">
        <f>SUMIFS(Пр.10!G$10:G$1274,Пр.10!$D$10:$D$1274,$C46)</f>
        <v>9333685</v>
      </c>
      <c r="E46" s="686">
        <f>SUMIFS(Пр.10!H$10:H$1274,Пр.10!$D$10:$D$1274,$C46)</f>
        <v>0</v>
      </c>
      <c r="F46" s="686">
        <f>SUMIFS(Пр.10!I$10:I$1274,Пр.10!$D$10:$D$1274,$C46)</f>
        <v>9333685</v>
      </c>
      <c r="G46" s="686">
        <f>SUMIFS(Пр.10!J$10:J$1274,Пр.10!$D$10:$D$1274,$C46)</f>
        <v>0</v>
      </c>
      <c r="H46" s="686">
        <f>SUMIFS(Пр.10!K$10:K$1274,Пр.10!$D$10:$D$1274,$C46)</f>
        <v>0</v>
      </c>
      <c r="I46" s="689">
        <f>SUMIFS(Пр.10!L$10:L$1274,Пр.10!$D$10:$D$1274,$C46)</f>
        <v>0</v>
      </c>
    </row>
    <row r="47" spans="1:9" ht="63" thickBot="1">
      <c r="A47" s="542" t="s">
        <v>294</v>
      </c>
      <c r="B47" s="547" t="str">
        <f>IF(C47&gt;0,VLOOKUP(C47,Программа!A$2:B$5063,2))</f>
        <v>Муниципальная целевая программа "Обеспечение надежного теплоснабжения жилищного фонда и учреждений  бюджетной сферы" на территории Тутаевского муниципального района</v>
      </c>
      <c r="C47" s="580" t="s">
        <v>2755</v>
      </c>
      <c r="D47" s="682">
        <f>SUMIFS(Пр.10!G$10:G$1274,Пр.10!$D$10:$D$1274,$C47)</f>
        <v>1000000</v>
      </c>
      <c r="E47" s="682">
        <f>SUMIFS(Пр.10!H$10:H$1274,Пр.10!$D$10:$D$1274,$C47)</f>
        <v>0</v>
      </c>
      <c r="F47" s="682">
        <f>SUMIFS(Пр.10!I$10:I$1274,Пр.10!$D$10:$D$1274,$C47)</f>
        <v>1000000</v>
      </c>
      <c r="G47" s="682">
        <f>SUMIFS(Пр.10!J$10:J$1274,Пр.10!$D$10:$D$1274,$C47)</f>
        <v>0</v>
      </c>
      <c r="H47" s="682">
        <f>SUMIFS(Пр.10!K$10:K$1274,Пр.10!$D$10:$D$1274,$C47)</f>
        <v>0</v>
      </c>
      <c r="I47" s="682">
        <f>SUMIFS(Пр.10!L$10:L$1274,Пр.10!$D$10:$D$1274,$C47)</f>
        <v>0</v>
      </c>
    </row>
    <row r="48" spans="1:9" ht="47.4" thickBot="1">
      <c r="A48" s="542" t="s">
        <v>2444</v>
      </c>
      <c r="B48" s="546" t="str">
        <f>IF(C48&gt;0,VLOOKUP(C48,Программа!A$2:B$5063,2))</f>
        <v>Обеспечение надежного теплоснабжения жилищного фонда и функционирования учреждений бюджетной сферы</v>
      </c>
      <c r="C48" s="578" t="s">
        <v>2757</v>
      </c>
      <c r="D48" s="680">
        <f>SUMIFS(Пр.10!G$10:G$1274,Пр.10!$D$10:$D$1274,$C48)</f>
        <v>1000000</v>
      </c>
      <c r="E48" s="680">
        <f>SUMIFS(Пр.10!H$10:H$1274,Пр.10!$D$10:$D$1274,$C48)</f>
        <v>0</v>
      </c>
      <c r="F48" s="680">
        <f>SUMIFS(Пр.10!I$10:I$1274,Пр.10!$D$10:$D$1274,$C48)</f>
        <v>1000000</v>
      </c>
      <c r="G48" s="680">
        <f>SUMIFS(Пр.10!J$10:J$1274,Пр.10!$D$10:$D$1274,$C48)</f>
        <v>0</v>
      </c>
      <c r="H48" s="680">
        <f>SUMIFS(Пр.10!K$10:K$1274,Пр.10!$D$10:$D$1274,$C48)</f>
        <v>0</v>
      </c>
      <c r="I48" s="680">
        <f>SUMIFS(Пр.10!L$10:L$1274,Пр.10!$D$10:$D$1274,$C48)</f>
        <v>0</v>
      </c>
    </row>
    <row r="49" spans="1:9" ht="16.2" hidden="1" thickBot="1">
      <c r="A49" s="542" t="s">
        <v>2445</v>
      </c>
      <c r="B49" s="546" t="str">
        <f>IF(C49&gt;0,VLOOKUP(C49,Программа!A$2:B$5063,2))</f>
        <v xml:space="preserve">Обеспечение населения твердым топливом </v>
      </c>
      <c r="C49" s="578" t="s">
        <v>2819</v>
      </c>
      <c r="D49" s="680">
        <f>SUMIFS(Пр.10!G$10:G$1274,Пр.10!$D$10:$D$1274,$C49)</f>
        <v>0</v>
      </c>
      <c r="E49" s="680">
        <f>SUMIFS(Пр.10!H$10:H$1274,Пр.10!$D$10:$D$1274,$C49)</f>
        <v>0</v>
      </c>
      <c r="F49" s="680">
        <f>SUMIFS(Пр.10!I$10:I$1274,Пр.10!$D$10:$D$1274,$C49)</f>
        <v>0</v>
      </c>
      <c r="G49" s="680">
        <f>SUMIFS(Пр.10!J$10:J$1274,Пр.10!$D$10:$D$1274,$C49)</f>
        <v>0</v>
      </c>
      <c r="H49" s="680">
        <f>SUMIFS(Пр.10!K$10:K$1274,Пр.10!$D$10:$D$1274,$C49)</f>
        <v>0</v>
      </c>
      <c r="I49" s="680">
        <f>SUMIFS(Пр.10!L$10:L$1274,Пр.10!$D$10:$D$1274,$C49)</f>
        <v>0</v>
      </c>
    </row>
    <row r="50" spans="1:9" ht="63" thickBot="1">
      <c r="A50" s="540" t="s">
        <v>2446</v>
      </c>
      <c r="B50" s="545" t="str">
        <f>IF(C50&gt;0,VLOOKUP(C50,Программа!A$2:B$5063,2))</f>
        <v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v>
      </c>
      <c r="C50" s="577" t="s">
        <v>2759</v>
      </c>
      <c r="D50" s="680">
        <f>SUMIFS(Пр.10!G$10:G$1274,Пр.10!$D$10:$D$1274,$C50)</f>
        <v>6833685</v>
      </c>
      <c r="E50" s="680">
        <f>SUMIFS(Пр.10!H$10:H$1274,Пр.10!$D$10:$D$1274,$C50)</f>
        <v>0</v>
      </c>
      <c r="F50" s="680">
        <f>SUMIFS(Пр.10!I$10:I$1274,Пр.10!$D$10:$D$1274,$C50)</f>
        <v>6833685</v>
      </c>
      <c r="G50" s="680">
        <f>SUMIFS(Пр.10!J$10:J$1274,Пр.10!$D$10:$D$1274,$C50)</f>
        <v>0</v>
      </c>
      <c r="H50" s="680">
        <f>SUMIFS(Пр.10!K$10:K$1274,Пр.10!$D$10:$D$1274,$C50)</f>
        <v>0</v>
      </c>
      <c r="I50" s="680">
        <f>SUMIFS(Пр.10!L$10:L$1274,Пр.10!$D$10:$D$1274,$C50)</f>
        <v>0</v>
      </c>
    </row>
    <row r="51" spans="1:9" ht="47.4" thickBot="1">
      <c r="A51" s="542" t="s">
        <v>295</v>
      </c>
      <c r="B51" s="546" t="str">
        <f>IF(C51&gt;0,VLOOKUP(C51,Программа!A$2:B$5063,2))</f>
        <v>Модернизация объектов теплоснабжения с вводом их в эксплуатацию (строительство и реконструкция котельных)</v>
      </c>
      <c r="C51" s="578" t="s">
        <v>2761</v>
      </c>
      <c r="D51" s="680">
        <f>SUMIFS(Пр.10!G$10:G$1274,Пр.10!$D$10:$D$1274,$C51)</f>
        <v>1500000</v>
      </c>
      <c r="E51" s="680">
        <f>SUMIFS(Пр.10!H$10:H$1274,Пр.10!$D$10:$D$1274,$C51)</f>
        <v>0</v>
      </c>
      <c r="F51" s="680">
        <f>SUMIFS(Пр.10!I$10:I$1274,Пр.10!$D$10:$D$1274,$C51)</f>
        <v>1500000</v>
      </c>
      <c r="G51" s="680">
        <f>SUMIFS(Пр.10!J$10:J$1274,Пр.10!$D$10:$D$1274,$C51)</f>
        <v>0</v>
      </c>
      <c r="H51" s="680">
        <f>SUMIFS(Пр.10!K$10:K$1274,Пр.10!$D$10:$D$1274,$C51)</f>
        <v>0</v>
      </c>
      <c r="I51" s="680">
        <f>SUMIFS(Пр.10!L$10:L$1274,Пр.10!$D$10:$D$1274,$C51)</f>
        <v>0</v>
      </c>
    </row>
    <row r="52" spans="1:9" ht="63" thickBot="1">
      <c r="A52" s="540" t="s">
        <v>2447</v>
      </c>
      <c r="B52" s="546" t="str">
        <f>IF(C52&gt;0,VLOOKUP(C52,Программа!A$2:B$5063,2))</f>
        <v>Газификация населенных пунктов Тутаевского муниципального района (строительство газопроводов и распределительных газовых сетей с вводом их в эксплуатацию)</v>
      </c>
      <c r="C52" s="578" t="s">
        <v>2763</v>
      </c>
      <c r="D52" s="680">
        <f>SUMIFS(Пр.10!G$10:G$1274,Пр.10!$D$10:$D$1274,$C52)</f>
        <v>5333685</v>
      </c>
      <c r="E52" s="680">
        <f>SUMIFS(Пр.10!H$10:H$1274,Пр.10!$D$10:$D$1274,$C52)</f>
        <v>0</v>
      </c>
      <c r="F52" s="680">
        <f>SUMIFS(Пр.10!I$10:I$1274,Пр.10!$D$10:$D$1274,$C52)</f>
        <v>5333685</v>
      </c>
      <c r="G52" s="680">
        <f>SUMIFS(Пр.10!J$10:J$1274,Пр.10!$D$10:$D$1274,$C52)</f>
        <v>0</v>
      </c>
      <c r="H52" s="680">
        <f>SUMIFS(Пр.10!K$10:K$1274,Пр.10!$D$10:$D$1274,$C52)</f>
        <v>0</v>
      </c>
      <c r="I52" s="680">
        <f>SUMIFS(Пр.10!L$10:L$1274,Пр.10!$D$10:$D$1274,$C52)</f>
        <v>0</v>
      </c>
    </row>
    <row r="53" spans="1:9" ht="63" thickBot="1">
      <c r="A53" s="542" t="s">
        <v>2449</v>
      </c>
      <c r="B53" s="545" t="str">
        <f>IF(C53&gt;0,VLOOKUP(C53,Программа!A$2:B$5063,2))</f>
        <v xml:space="preserve">Муниципальная целевая   программа «Развитие водоснабжения, водоотведения и очистки сточных вод» на территории Тутаевского муниципального района </v>
      </c>
      <c r="C53" s="577" t="s">
        <v>2765</v>
      </c>
      <c r="D53" s="680">
        <f>SUMIFS(Пр.10!G$10:G$1274,Пр.10!$D$10:$D$1274,$C53)</f>
        <v>1500000</v>
      </c>
      <c r="E53" s="680">
        <f>SUMIFS(Пр.10!H$10:H$1274,Пр.10!$D$10:$D$1274,$C53)</f>
        <v>0</v>
      </c>
      <c r="F53" s="680">
        <f>SUMIFS(Пр.10!I$10:I$1274,Пр.10!$D$10:$D$1274,$C53)</f>
        <v>1500000</v>
      </c>
      <c r="G53" s="680">
        <f>SUMIFS(Пр.10!J$10:J$1274,Пр.10!$D$10:$D$1274,$C53)</f>
        <v>0</v>
      </c>
      <c r="H53" s="680">
        <f>SUMIFS(Пр.10!K$10:K$1274,Пр.10!$D$10:$D$1274,$C53)</f>
        <v>0</v>
      </c>
      <c r="I53" s="680">
        <f>SUMIFS(Пр.10!L$10:L$1274,Пр.10!$D$10:$D$1274,$C53)</f>
        <v>0</v>
      </c>
    </row>
    <row r="54" spans="1:9" ht="47.4" thickBot="1">
      <c r="A54" s="540" t="s">
        <v>2450</v>
      </c>
      <c r="B54" s="546" t="str">
        <f>IF(C54&gt;0,VLOOKUP(C54,Программа!A$2:B$5063,2))</f>
        <v>Повышение качества водоснабжения в результате модернизации существующих источников водоснабжения и строительство  новых</v>
      </c>
      <c r="C54" s="578" t="s">
        <v>2767</v>
      </c>
      <c r="D54" s="680">
        <f>SUMIFS(Пр.10!G$10:G$1274,Пр.10!$D$10:$D$1274,$C54)</f>
        <v>1500000</v>
      </c>
      <c r="E54" s="680">
        <f>SUMIFS(Пр.10!H$10:H$1274,Пр.10!$D$10:$D$1274,$C54)</f>
        <v>0</v>
      </c>
      <c r="F54" s="680">
        <f>SUMIFS(Пр.10!I$10:I$1274,Пр.10!$D$10:$D$1274,$C54)</f>
        <v>1500000</v>
      </c>
      <c r="G54" s="680">
        <f>SUMIFS(Пр.10!J$10:J$1274,Пр.10!$D$10:$D$1274,$C54)</f>
        <v>0</v>
      </c>
      <c r="H54" s="680">
        <f>SUMIFS(Пр.10!K$10:K$1274,Пр.10!$D$10:$D$1274,$C54)</f>
        <v>0</v>
      </c>
      <c r="I54" s="680">
        <f>SUMIFS(Пр.10!L$10:L$1274,Пр.10!$D$10:$D$1274,$C54)</f>
        <v>0</v>
      </c>
    </row>
    <row r="55" spans="1:9" ht="63" hidden="1" thickBot="1">
      <c r="A55" s="540"/>
      <c r="B55" s="546" t="str">
        <f>IF(C55&gt;0,VLOOKUP(C55,Программа!A$2:B$5063,2))</f>
        <v>Повышение качества  водоотведения и очистки сточных вод в результате модернизации существующих  систем  водоотведения и очистки сточных вод, строительство новых систем</v>
      </c>
      <c r="C55" s="578" t="s">
        <v>2769</v>
      </c>
      <c r="D55" s="680">
        <f>SUMIFS(Пр.10!G$10:G$1274,Пр.10!$D$10:$D$1274,$C55)</f>
        <v>0</v>
      </c>
      <c r="E55" s="680">
        <f>SUMIFS(Пр.10!H$10:H$1274,Пр.10!$D$10:$D$1274,$C55)</f>
        <v>0</v>
      </c>
      <c r="F55" s="680">
        <f>SUMIFS(Пр.10!I$10:I$1274,Пр.10!$D$10:$D$1274,$C55)</f>
        <v>0</v>
      </c>
      <c r="G55" s="680">
        <f>SUMIFS(Пр.10!J$10:J$1274,Пр.10!$D$10:$D$1274,$C55)</f>
        <v>0</v>
      </c>
      <c r="H55" s="680">
        <f>SUMIFS(Пр.10!K$10:K$1274,Пр.10!$D$10:$D$1274,$C55)</f>
        <v>0</v>
      </c>
      <c r="I55" s="680">
        <f>SUMIFS(Пр.10!L$10:L$1274,Пр.10!$D$10:$D$1274,$C55)</f>
        <v>0</v>
      </c>
    </row>
    <row r="56" spans="1:9" ht="62.4" hidden="1">
      <c r="B56" s="545" t="str">
        <f>IF(C56&gt;0,VLOOKUP(C56,Программа!A$2:B$5063,2))</f>
        <v>Муниципальная целевая программа "Подготовка объектов коммунального хозяйства Тутаевского муниципального района к работе в осенне-зимних условиях"</v>
      </c>
      <c r="C56" s="577" t="s">
        <v>2771</v>
      </c>
      <c r="D56" s="680">
        <f>SUMIFS(Пр.10!G$10:G$1274,Пр.10!$D$10:$D$1274,$C56)</f>
        <v>0</v>
      </c>
      <c r="E56" s="680">
        <f>SUMIFS(Пр.10!H$10:H$1274,Пр.10!$D$10:$D$1274,$C56)</f>
        <v>0</v>
      </c>
      <c r="F56" s="680">
        <f>SUMIFS(Пр.10!I$10:I$1274,Пр.10!$D$10:$D$1274,$C56)</f>
        <v>0</v>
      </c>
      <c r="G56" s="680">
        <f>SUMIFS(Пр.10!J$10:J$1274,Пр.10!$D$10:$D$1274,$C56)</f>
        <v>0</v>
      </c>
      <c r="H56" s="680">
        <f>SUMIFS(Пр.10!K$10:K$1274,Пр.10!$D$10:$D$1274,$C56)</f>
        <v>0</v>
      </c>
      <c r="I56" s="680">
        <f>SUMIFS(Пр.10!L$10:L$1274,Пр.10!$D$10:$D$1274,$C56)</f>
        <v>0</v>
      </c>
    </row>
    <row r="57" spans="1:9" ht="31.2" hidden="1">
      <c r="B57" s="546" t="str">
        <f>IF(C57&gt;0,VLOOKUP(C57,Программа!A$2:B$5063,2))</f>
        <v>Проведение комплекса работ по ремонту, замене и реконструкции объектов теплоснабжения</v>
      </c>
      <c r="C57" s="578" t="s">
        <v>2772</v>
      </c>
      <c r="D57" s="680">
        <f>SUMIFS(Пр.10!G$10:G$1274,Пр.10!$D$10:$D$1274,$C57)</f>
        <v>0</v>
      </c>
      <c r="E57" s="680">
        <f>SUMIFS(Пр.10!H$10:H$1274,Пр.10!$D$10:$D$1274,$C57)</f>
        <v>0</v>
      </c>
      <c r="F57" s="680">
        <f>SUMIFS(Пр.10!I$10:I$1274,Пр.10!$D$10:$D$1274,$C57)</f>
        <v>0</v>
      </c>
      <c r="G57" s="680">
        <f>SUMIFS(Пр.10!J$10:J$1274,Пр.10!$D$10:$D$1274,$C57)</f>
        <v>0</v>
      </c>
      <c r="H57" s="680">
        <f>SUMIFS(Пр.10!K$10:K$1274,Пр.10!$D$10:$D$1274,$C57)</f>
        <v>0</v>
      </c>
      <c r="I57" s="680">
        <f>SUMIFS(Пр.10!L$10:L$1274,Пр.10!$D$10:$D$1274,$C57)</f>
        <v>0</v>
      </c>
    </row>
    <row r="58" spans="1:9" ht="46.8" hidden="1">
      <c r="B58" s="546" t="str">
        <f>IF(C58&gt;0,VLOOKUP(C58,Программа!A$2:B$5063,2))</f>
        <v>Проведение комплекса работ по ремонту, замене и реконструкции объектов водоснабжения, водоотведения и очистки сточных вод</v>
      </c>
      <c r="C58" s="578" t="s">
        <v>2774</v>
      </c>
      <c r="D58" s="680">
        <f>SUMIFS(Пр.10!G$10:G$1274,Пр.10!$D$10:$D$1274,$C58)</f>
        <v>0</v>
      </c>
      <c r="E58" s="680">
        <f>SUMIFS(Пр.10!H$10:H$1274,Пр.10!$D$10:$D$1274,$C58)</f>
        <v>0</v>
      </c>
      <c r="F58" s="680">
        <f>SUMIFS(Пр.10!I$10:I$1274,Пр.10!$D$10:$D$1274,$C58)</f>
        <v>0</v>
      </c>
      <c r="G58" s="680">
        <f>SUMIFS(Пр.10!J$10:J$1274,Пр.10!$D$10:$D$1274,$C58)</f>
        <v>0</v>
      </c>
      <c r="H58" s="680">
        <f>SUMIFS(Пр.10!K$10:K$1274,Пр.10!$D$10:$D$1274,$C58)</f>
        <v>0</v>
      </c>
      <c r="I58" s="680">
        <f>SUMIFS(Пр.10!L$10:L$1274,Пр.10!$D$10:$D$1274,$C58)</f>
        <v>0</v>
      </c>
    </row>
    <row r="59" spans="1:9" ht="31.8" hidden="1" thickBot="1">
      <c r="B59" s="552" t="str">
        <f>IF(C59&gt;0,VLOOKUP(C59,Программа!A$2:B$5063,2))</f>
        <v>Проведение комплекса работ по ремонту, замене и реконструкции объектов газоснабжения</v>
      </c>
      <c r="C59" s="579" t="s">
        <v>2776</v>
      </c>
      <c r="D59" s="681">
        <f>SUMIFS(Пр.10!G$10:G$1274,Пр.10!$D$10:$D$1274,$C59)</f>
        <v>0</v>
      </c>
      <c r="E59" s="681">
        <f>SUMIFS(Пр.10!H$10:H$1274,Пр.10!$D$10:$D$1274,$C59)</f>
        <v>0</v>
      </c>
      <c r="F59" s="681">
        <f>SUMIFS(Пр.10!I$10:I$1274,Пр.10!$D$10:$D$1274,$C59)</f>
        <v>0</v>
      </c>
      <c r="G59" s="681">
        <f>SUMIFS(Пр.10!J$10:J$1274,Пр.10!$D$10:$D$1274,$C59)</f>
        <v>0</v>
      </c>
      <c r="H59" s="681">
        <f>SUMIFS(Пр.10!K$10:K$1274,Пр.10!$D$10:$D$1274,$C59)</f>
        <v>0</v>
      </c>
      <c r="I59" s="681">
        <f>SUMIFS(Пр.10!L$10:L$1274,Пр.10!$D$10:$D$1274,$C59)</f>
        <v>0</v>
      </c>
    </row>
    <row r="60" spans="1:9" ht="47.4" thickBot="1">
      <c r="B60" s="549" t="str">
        <f>IF(C60&gt;0,VLOOKUP(C60,Программа!A$2:B$5063,2))</f>
        <v>Муниципальная  программа "Об энергосбережении и повышении энергетической эффективности Тутаевского муниципального района"</v>
      </c>
      <c r="C60" s="576" t="s">
        <v>2778</v>
      </c>
      <c r="D60" s="686">
        <f>SUMIFS(Пр.10!G$10:G$1274,Пр.10!$D$10:$D$1274,$C60)</f>
        <v>900000</v>
      </c>
      <c r="E60" s="686">
        <f>SUMIFS(Пр.10!H$10:H$1274,Пр.10!$D$10:$D$1274,$C60)</f>
        <v>0</v>
      </c>
      <c r="F60" s="686">
        <f>SUMIFS(Пр.10!I$10:I$1274,Пр.10!$D$10:$D$1274,$C60)</f>
        <v>900000</v>
      </c>
      <c r="G60" s="686">
        <f>SUMIFS(Пр.10!J$10:J$1274,Пр.10!$D$10:$D$1274,$C60)</f>
        <v>0</v>
      </c>
      <c r="H60" s="686">
        <f>SUMIFS(Пр.10!K$10:K$1274,Пр.10!$D$10:$D$1274,$C60)</f>
        <v>0</v>
      </c>
      <c r="I60" s="689">
        <f>SUMIFS(Пр.10!L$10:L$1274,Пр.10!$D$10:$D$1274,$C60)</f>
        <v>0</v>
      </c>
    </row>
    <row r="61" spans="1:9" ht="63" thickBot="1">
      <c r="B61" s="553" t="str">
        <f>IF(C61&gt;0,VLOOKUP(C61,Программа!A$2:B$5063,2))</f>
        <v>Обеспечение рационального использования топливно- энергетических ресурсов при их производстве, передаче и потреблении и создание условий повышения энергетической эффективности</v>
      </c>
      <c r="C61" s="581" t="s">
        <v>2836</v>
      </c>
      <c r="D61" s="690">
        <f>SUMIFS(Пр.10!G$10:G$1274,Пр.10!$D$10:$D$1274,$C61)</f>
        <v>900000</v>
      </c>
      <c r="E61" s="690">
        <f>SUMIFS(Пр.10!H$10:H$1274,Пр.10!$D$10:$D$1274,$C61)</f>
        <v>0</v>
      </c>
      <c r="F61" s="690">
        <f>SUMIFS(Пр.10!I$10:I$1274,Пр.10!$D$10:$D$1274,$C61)</f>
        <v>900000</v>
      </c>
      <c r="G61" s="690">
        <f>SUMIFS(Пр.10!J$10:J$1274,Пр.10!$D$10:$D$1274,$C61)</f>
        <v>0</v>
      </c>
      <c r="H61" s="690">
        <f>SUMIFS(Пр.10!K$10:K$1274,Пр.10!$D$10:$D$1274,$C61)</f>
        <v>0</v>
      </c>
      <c r="I61" s="690">
        <f>SUMIFS(Пр.10!L$10:L$1274,Пр.10!$D$10:$D$1274,$C61)</f>
        <v>0</v>
      </c>
    </row>
    <row r="62" spans="1:9" s="527" customFormat="1" ht="47.4" thickBot="1">
      <c r="B62" s="549" t="str">
        <f>IF(C62&gt;0,VLOOKUP(C62,Программа!A$2:B$5063,2))</f>
        <v>Муниципальная программа "Развитие дорожного хозяйства и транспорта в Тутаевском муниципальном районе"</v>
      </c>
      <c r="C62" s="576" t="s">
        <v>2821</v>
      </c>
      <c r="D62" s="686">
        <f>SUMIFS(Пр.10!G$10:G$1274,Пр.10!$D$10:$D$1274,$C62)</f>
        <v>62606303</v>
      </c>
      <c r="E62" s="686">
        <f>SUMIFS(Пр.10!H$10:H$1274,Пр.10!$D$10:$D$1274,$C62)</f>
        <v>5631697</v>
      </c>
      <c r="F62" s="686">
        <f>SUMIFS(Пр.10!I$10:I$1274,Пр.10!$D$10:$D$1274,$C62)</f>
        <v>68238000</v>
      </c>
      <c r="G62" s="686">
        <f>SUMIFS(Пр.10!J$10:J$1274,Пр.10!$D$10:$D$1274,$C62)</f>
        <v>31713000</v>
      </c>
      <c r="H62" s="686">
        <f>SUMIFS(Пр.10!K$10:K$1274,Пр.10!$D$10:$D$1274,$C62)</f>
        <v>0</v>
      </c>
      <c r="I62" s="689">
        <f>SUMIFS(Пр.10!L$10:L$1274,Пр.10!$D$10:$D$1274,$C62)</f>
        <v>31713000</v>
      </c>
    </row>
    <row r="63" spans="1:9" ht="46.8">
      <c r="B63" s="547" t="str">
        <f>IF(C63&gt;0,VLOOKUP(C63,Программа!A$2:B$5063,2))</f>
        <v>Муниципальная целевая программа «Повышение безопасности дорожного движения на территории Тутаевского муниципального района»</v>
      </c>
      <c r="C63" s="580" t="s">
        <v>2823</v>
      </c>
      <c r="D63" s="682">
        <f>SUMIFS(Пр.10!G$10:G$1274,Пр.10!$D$10:$D$1274,$C63)</f>
        <v>5900000</v>
      </c>
      <c r="E63" s="682">
        <f>SUMIFS(Пр.10!H$10:H$1274,Пр.10!$D$10:$D$1274,$C63)</f>
        <v>0</v>
      </c>
      <c r="F63" s="682">
        <f>SUMIFS(Пр.10!I$10:I$1274,Пр.10!$D$10:$D$1274,$C63)</f>
        <v>5900000</v>
      </c>
      <c r="G63" s="682">
        <f>SUMIFS(Пр.10!J$10:J$1274,Пр.10!$D$10:$D$1274,$C63)</f>
        <v>800000</v>
      </c>
      <c r="H63" s="682">
        <f>SUMIFS(Пр.10!K$10:K$1274,Пр.10!$D$10:$D$1274,$C63)</f>
        <v>0</v>
      </c>
      <c r="I63" s="682">
        <f>SUMIFS(Пр.10!L$10:L$1274,Пр.10!$D$10:$D$1274,$C63)</f>
        <v>800000</v>
      </c>
    </row>
    <row r="64" spans="1:9" ht="31.2">
      <c r="B64" s="546" t="str">
        <f>IF(C64&gt;0,VLOOKUP(C64,Программа!A$2:B$5063,2))</f>
        <v>Повышение безопасности дорожного движения на автомобильных дорогах</v>
      </c>
      <c r="C64" s="578" t="s">
        <v>2824</v>
      </c>
      <c r="D64" s="680">
        <f>SUMIFS(Пр.10!G$10:G$1274,Пр.10!$D$10:$D$1274,$C64)</f>
        <v>5900000</v>
      </c>
      <c r="E64" s="680">
        <f>SUMIFS(Пр.10!H$10:H$1274,Пр.10!$D$10:$D$1274,$C64)</f>
        <v>0</v>
      </c>
      <c r="F64" s="680">
        <f>SUMIFS(Пр.10!I$10:I$1274,Пр.10!$D$10:$D$1274,$C64)</f>
        <v>5900000</v>
      </c>
      <c r="G64" s="680">
        <f>SUMIFS(Пр.10!J$10:J$1274,Пр.10!$D$10:$D$1274,$C64)</f>
        <v>800000</v>
      </c>
      <c r="H64" s="680">
        <f>SUMIFS(Пр.10!K$10:K$1274,Пр.10!$D$10:$D$1274,$C64)</f>
        <v>0</v>
      </c>
      <c r="I64" s="680">
        <f>SUMIFS(Пр.10!L$10:L$1274,Пр.10!$D$10:$D$1274,$C64)</f>
        <v>800000</v>
      </c>
    </row>
    <row r="65" spans="2:9" ht="46.8">
      <c r="B65" s="545" t="str">
        <f>IF(C65&gt;0,VLOOKUP(C65,Программа!A$2:B$5063,2))</f>
        <v>Муниципальная целевая программа «Сохранность автомобильных дорог общего пользования Тутаевского муниципального района»</v>
      </c>
      <c r="C65" s="577" t="s">
        <v>2825</v>
      </c>
      <c r="D65" s="680">
        <f>SUMIFS(Пр.10!G$10:G$1274,Пр.10!$D$10:$D$1274,$C65)</f>
        <v>56706303</v>
      </c>
      <c r="E65" s="680">
        <f>SUMIFS(Пр.10!H$10:H$1274,Пр.10!$D$10:$D$1274,$C65)</f>
        <v>5631697</v>
      </c>
      <c r="F65" s="680">
        <f>SUMIFS(Пр.10!I$10:I$1274,Пр.10!$D$10:$D$1274,$C65)</f>
        <v>62338000</v>
      </c>
      <c r="G65" s="680">
        <f>SUMIFS(Пр.10!J$10:J$1274,Пр.10!$D$10:$D$1274,$C65)</f>
        <v>30913000</v>
      </c>
      <c r="H65" s="680">
        <f>SUMIFS(Пр.10!K$10:K$1274,Пр.10!$D$10:$D$1274,$C65)</f>
        <v>0</v>
      </c>
      <c r="I65" s="680">
        <f>SUMIFS(Пр.10!L$10:L$1274,Пр.10!$D$10:$D$1274,$C65)</f>
        <v>30913000</v>
      </c>
    </row>
    <row r="66" spans="2:9" ht="31.8" thickBot="1">
      <c r="B66" s="552" t="str">
        <f>IF(C66&gt;0,VLOOKUP(C66,Программа!A$2:B$5063,2))</f>
        <v>Приведение  в нормативное состояние автомобильных дорог общего пользования</v>
      </c>
      <c r="C66" s="579" t="s">
        <v>2826</v>
      </c>
      <c r="D66" s="681">
        <f>SUMIFS(Пр.10!G$10:G$1274,Пр.10!$D$10:$D$1274,$C66)</f>
        <v>56706303</v>
      </c>
      <c r="E66" s="681">
        <f>SUMIFS(Пр.10!H$10:H$1274,Пр.10!$D$10:$D$1274,$C66)</f>
        <v>5631697</v>
      </c>
      <c r="F66" s="681">
        <f>SUMIFS(Пр.10!I$10:I$1274,Пр.10!$D$10:$D$1274,$C66)</f>
        <v>62338000</v>
      </c>
      <c r="G66" s="681">
        <f>SUMIFS(Пр.10!J$10:J$1274,Пр.10!$D$10:$D$1274,$C66)</f>
        <v>30913000</v>
      </c>
      <c r="H66" s="681">
        <f>SUMIFS(Пр.10!K$10:K$1274,Пр.10!$D$10:$D$1274,$C66)</f>
        <v>0</v>
      </c>
      <c r="I66" s="681">
        <f>SUMIFS(Пр.10!L$10:L$1274,Пр.10!$D$10:$D$1274,$C66)</f>
        <v>30913000</v>
      </c>
    </row>
    <row r="67" spans="2:9" ht="47.4" thickBot="1">
      <c r="B67" s="549" t="str">
        <f>IF(C67&gt;0,VLOOKUP(C67,Программа!A$2:B$5063,2))</f>
        <v>Муниципальная программа "Стимулирование развития жилищного строительства в Тутаевском муниципальном  районе Ярославской области"</v>
      </c>
      <c r="C67" s="576" t="s">
        <v>2780</v>
      </c>
      <c r="D67" s="686">
        <f>SUMIFS(Пр.10!G$10:G$1274,Пр.10!$D$10:$D$1274,$C67)</f>
        <v>6182560</v>
      </c>
      <c r="E67" s="686">
        <f>SUMIFS(Пр.10!H$10:H$1274,Пр.10!$D$10:$D$1274,$C67)</f>
        <v>0</v>
      </c>
      <c r="F67" s="686">
        <f>SUMIFS(Пр.10!I$10:I$1274,Пр.10!$D$10:$D$1274,$C67)</f>
        <v>6182560</v>
      </c>
      <c r="G67" s="686">
        <f>SUMIFS(Пр.10!J$10:J$1274,Пр.10!$D$10:$D$1274,$C67)</f>
        <v>0</v>
      </c>
      <c r="H67" s="686">
        <f>SUMIFS(Пр.10!K$10:K$1274,Пр.10!$D$10:$D$1274,$C67)</f>
        <v>0</v>
      </c>
      <c r="I67" s="689">
        <f>SUMIFS(Пр.10!L$10:L$1274,Пр.10!$D$10:$D$1274,$C67)</f>
        <v>0</v>
      </c>
    </row>
    <row r="68" spans="2:9" ht="62.4" hidden="1">
      <c r="B68" s="547" t="str">
        <f>IF(C68&gt;0,VLOOKUP(C68,Программа!A$2:B$5063,2))</f>
        <v>Муниципальная целевая программа "Поддержка граждан, проживающих на территории Тутаевского муниципального района Ярославской области в сфере ипотечного жилищного кредитования"</v>
      </c>
      <c r="C68" s="580" t="s">
        <v>2781</v>
      </c>
      <c r="D68" s="682">
        <f>SUMIFS(Пр.10!G$10:G$1274,Пр.10!$D$10:$D$1274,$C68)</f>
        <v>0</v>
      </c>
      <c r="E68" s="682">
        <v>1000000</v>
      </c>
      <c r="F68" s="682">
        <f>SUMIFS(Пр.10!I$10:I$1274,Пр.10!$D$10:$D$1274,$C68)</f>
        <v>0</v>
      </c>
      <c r="G68" s="682">
        <f>SUMIFS(Пр.10!J$10:J$1274,Пр.10!$D$10:$D$1274,$C68)</f>
        <v>0</v>
      </c>
      <c r="H68" s="682">
        <f>SUMIFS(Пр.10!K$10:K$1274,Пр.10!$D$10:$D$1274,$C68)</f>
        <v>0</v>
      </c>
      <c r="I68" s="682">
        <f>SUMIFS(Пр.10!L$10:L$1274,Пр.10!$D$10:$D$1274,$C68)</f>
        <v>0</v>
      </c>
    </row>
    <row r="69" spans="2:9" ht="78" hidden="1">
      <c r="B69" s="546" t="str">
        <f>IF(C69&gt;0,VLOOKUP(C69,Программа!A$2:B$5063,2))</f>
        <v>Обеспечение доступности жилья в соответствии с  уровнем платежеспособности спроса граждан, путем оказания поддержки гражданам, проживающим на территории Тутаевского муниципального района, в сфере ипотечного жилищного кредитования и займа</v>
      </c>
      <c r="C69" s="578" t="s">
        <v>2782</v>
      </c>
      <c r="D69" s="680">
        <f>SUMIFS(Пр.10!G$10:G$1274,Пр.10!$D$10:$D$1274,$C69)</f>
        <v>0</v>
      </c>
      <c r="E69" s="680">
        <v>1000000</v>
      </c>
      <c r="F69" s="680">
        <f>SUMIFS(Пр.10!I$10:I$1274,Пр.10!$D$10:$D$1274,$C69)</f>
        <v>0</v>
      </c>
      <c r="G69" s="680">
        <f>SUMIFS(Пр.10!J$10:J$1274,Пр.10!$D$10:$D$1274,$C69)</f>
        <v>0</v>
      </c>
      <c r="H69" s="680">
        <f>SUMIFS(Пр.10!K$10:K$1274,Пр.10!$D$10:$D$1274,$C69)</f>
        <v>0</v>
      </c>
      <c r="I69" s="680">
        <f>SUMIFS(Пр.10!L$10:L$1274,Пр.10!$D$10:$D$1274,$C69)</f>
        <v>0</v>
      </c>
    </row>
    <row r="70" spans="2:9" ht="46.8" hidden="1">
      <c r="B70" s="545" t="str">
        <f>IF(C70&gt;0,VLOOKUP(C70,Программа!A$2:B$5063,2))</f>
        <v>Муниципальная целевая программа "Переселение граждан из аварийного жилищного фонда в Тутаевском муниципальном районе"</v>
      </c>
      <c r="C70" s="577" t="s">
        <v>2783</v>
      </c>
      <c r="D70" s="680">
        <f>SUMIFS(Пр.10!G$10:G$1274,Пр.10!$D$10:$D$1274,$C70)</f>
        <v>0</v>
      </c>
      <c r="E70" s="680">
        <f>SUMIFS(Пр.10!H$10:H$1274,Пр.10!$D$10:$D$1274,$C70)</f>
        <v>0</v>
      </c>
      <c r="F70" s="680">
        <f>SUMIFS(Пр.10!I$10:I$1274,Пр.10!$D$10:$D$1274,$C70)</f>
        <v>0</v>
      </c>
      <c r="G70" s="680">
        <f>SUMIFS(Пр.10!J$10:J$1274,Пр.10!$D$10:$D$1274,$C70)</f>
        <v>0</v>
      </c>
      <c r="H70" s="680">
        <f>SUMIFS(Пр.10!K$10:K$1274,Пр.10!$D$10:$D$1274,$C70)</f>
        <v>0</v>
      </c>
      <c r="I70" s="680">
        <f>SUMIFS(Пр.10!L$10:L$1274,Пр.10!$D$10:$D$1274,$C70)</f>
        <v>0</v>
      </c>
    </row>
    <row r="71" spans="2:9" ht="62.4" hidden="1">
      <c r="B71" s="546" t="str">
        <f>IF(C71&gt;0,VLOOKUP(C71,Программа!A$2:B$5063,2))</f>
        <v>Финансовое и организационное обеспечение переселения граждан из аварийных многоквартирных домов на территории Тутаевского муниципального района</v>
      </c>
      <c r="C71" s="578" t="s">
        <v>2784</v>
      </c>
      <c r="D71" s="680">
        <f>SUMIFS(Пр.10!G$10:G$1274,Пр.10!$D$10:$D$1274,$C71)</f>
        <v>0</v>
      </c>
      <c r="E71" s="680">
        <f>SUMIFS(Пр.10!H$10:H$1274,Пр.10!$D$10:$D$1274,$C71)</f>
        <v>0</v>
      </c>
      <c r="F71" s="680">
        <f>SUMIFS(Пр.10!I$10:I$1274,Пр.10!$D$10:$D$1274,$C71)</f>
        <v>0</v>
      </c>
      <c r="G71" s="680">
        <f>SUMIFS(Пр.10!J$10:J$1274,Пр.10!$D$10:$D$1274,$C71)</f>
        <v>0</v>
      </c>
      <c r="H71" s="680">
        <f>SUMIFS(Пр.10!K$10:K$1274,Пр.10!$D$10:$D$1274,$C71)</f>
        <v>0</v>
      </c>
      <c r="I71" s="680">
        <f>SUMIFS(Пр.10!L$10:L$1274,Пр.10!$D$10:$D$1274,$C71)</f>
        <v>0</v>
      </c>
    </row>
    <row r="72" spans="2:9" ht="78">
      <c r="B72" s="545" t="str">
        <f>IF(C72&gt;0,VLOOKUP(C72,Программа!A$2:B$5063,2))</f>
        <v>Муниципальная целевая программа "Переселение граждан из  жилищного фонда, признанного непригодным для проживания, и (или) жилищного фонда с высоким уровнем износа на территории Тутаевского муниципального района"</v>
      </c>
      <c r="C72" s="577" t="s">
        <v>2785</v>
      </c>
      <c r="D72" s="680">
        <f>SUMIFS(Пр.10!G$10:G$1274,Пр.10!$D$10:$D$1274,$C72)</f>
        <v>6182560</v>
      </c>
      <c r="E72" s="680">
        <f>SUMIFS(Пр.10!H$10:H$1274,Пр.10!$D$10:$D$1274,$C72)</f>
        <v>0</v>
      </c>
      <c r="F72" s="680">
        <f>SUMIFS(Пр.10!I$10:I$1274,Пр.10!$D$10:$D$1274,$C72)</f>
        <v>6182560</v>
      </c>
      <c r="G72" s="680">
        <f>SUMIFS(Пр.10!J$10:J$1274,Пр.10!$D$10:$D$1274,$C72)</f>
        <v>0</v>
      </c>
      <c r="H72" s="680">
        <f>SUMIFS(Пр.10!K$10:K$1274,Пр.10!$D$10:$D$1274,$C72)</f>
        <v>0</v>
      </c>
      <c r="I72" s="680">
        <f>SUMIFS(Пр.10!L$10:L$1274,Пр.10!$D$10:$D$1274,$C72)</f>
        <v>0</v>
      </c>
    </row>
    <row r="73" spans="2:9" ht="47.4" thickBot="1">
      <c r="B73" s="546" t="str">
        <f>IF(C73&gt;0,VLOOKUP(C73,Программа!A$2:B$5063,2))</f>
        <v>Финансовое и организационное обеспечение переселения граждан из непригодного для проживания жилищного фонда с высоким уровнем износа</v>
      </c>
      <c r="C73" s="578" t="s">
        <v>2786</v>
      </c>
      <c r="D73" s="680">
        <f>SUMIFS(Пр.10!G$10:G$1274,Пр.10!$D$10:$D$1274,$C73)</f>
        <v>6182560</v>
      </c>
      <c r="E73" s="680">
        <f>SUMIFS(Пр.10!H$10:H$1274,Пр.10!$D$10:$D$1274,$C73)</f>
        <v>0</v>
      </c>
      <c r="F73" s="680">
        <f>SUMIFS(Пр.10!I$10:I$1274,Пр.10!$D$10:$D$1274,$C73)</f>
        <v>6182560</v>
      </c>
      <c r="G73" s="680">
        <f>SUMIFS(Пр.10!J$10:J$1274,Пр.10!$D$10:$D$1274,$C73)</f>
        <v>0</v>
      </c>
      <c r="H73" s="680">
        <f>SUMIFS(Пр.10!K$10:K$1274,Пр.10!$D$10:$D$1274,$C73)</f>
        <v>0</v>
      </c>
      <c r="I73" s="680">
        <f>SUMIFS(Пр.10!L$10:L$1274,Пр.10!$D$10:$D$1274,$C73)</f>
        <v>0</v>
      </c>
    </row>
    <row r="74" spans="2:9" ht="46.8" hidden="1">
      <c r="B74" s="545" t="str">
        <f>IF(C74&gt;0,VLOOKUP(C74,Программа!A$2:B$5063,2))</f>
        <v>Муниципальная целевая программа "Предоставление молодым семьям социальных выплат на приобретение(строительство) жилья"</v>
      </c>
      <c r="C74" s="577" t="s">
        <v>2787</v>
      </c>
      <c r="D74" s="680">
        <f>SUMIFS(Пр.10!G$10:G$1274,Пр.10!$D$10:$D$1274,$C74)</f>
        <v>0</v>
      </c>
      <c r="E74" s="680">
        <f>SUMIFS(Пр.10!H$10:H$1274,Пр.10!$D$10:$D$1274,$C74)</f>
        <v>0</v>
      </c>
      <c r="F74" s="680">
        <f>SUMIFS(Пр.10!I$10:I$1274,Пр.10!$D$10:$D$1274,$C74)</f>
        <v>0</v>
      </c>
      <c r="G74" s="680">
        <f>SUMIFS(Пр.10!J$10:J$1274,Пр.10!$D$10:$D$1274,$C74)</f>
        <v>0</v>
      </c>
      <c r="H74" s="680">
        <f>SUMIFS(Пр.10!K$10:K$1274,Пр.10!$D$10:$D$1274,$C74)</f>
        <v>0</v>
      </c>
      <c r="I74" s="680">
        <f>SUMIFS(Пр.10!L$10:L$1274,Пр.10!$D$10:$D$1274,$C74)</f>
        <v>0</v>
      </c>
    </row>
    <row r="75" spans="2:9" ht="31.8" hidden="1" thickBot="1">
      <c r="B75" s="552" t="str">
        <f>IF(C75&gt;0,VLOOKUP(C75,Программа!A$2:B$5063,2))</f>
        <v>Создание условий для поддержки  молодых семей в приобретении (строительстве) жилья</v>
      </c>
      <c r="C75" s="579" t="s">
        <v>2788</v>
      </c>
      <c r="D75" s="681">
        <f>SUMIFS(Пр.10!G$10:G$1274,Пр.10!$D$10:$D$1274,$C75)</f>
        <v>0</v>
      </c>
      <c r="E75" s="681">
        <f>SUMIFS(Пр.10!H$10:H$1274,Пр.10!$D$10:$D$1274,$C75)</f>
        <v>0</v>
      </c>
      <c r="F75" s="681">
        <f>SUMIFS(Пр.10!I$10:I$1274,Пр.10!$D$10:$D$1274,$C75)</f>
        <v>0</v>
      </c>
      <c r="G75" s="681">
        <f>SUMIFS(Пр.10!J$10:J$1274,Пр.10!$D$10:$D$1274,$C75)</f>
        <v>0</v>
      </c>
      <c r="H75" s="681">
        <f>SUMIFS(Пр.10!K$10:K$1274,Пр.10!$D$10:$D$1274,$C75)</f>
        <v>0</v>
      </c>
      <c r="I75" s="681">
        <f>SUMIFS(Пр.10!L$10:L$1274,Пр.10!$D$10:$D$1274,$C75)</f>
        <v>0</v>
      </c>
    </row>
    <row r="76" spans="2:9" s="527" customFormat="1" ht="63" thickBot="1">
      <c r="B76" s="549" t="str">
        <f>IF(C76&gt;0,VLOOKUP(C76,Программа!A$2:B$5063,2))</f>
        <v>Муниципальная программа "Экономическое развитие и инновационная экономика, развитие предпринимательства и сельского хозяйства в Тутаевском муниципальном районе"</v>
      </c>
      <c r="C76" s="576" t="s">
        <v>2813</v>
      </c>
      <c r="D76" s="686">
        <f>SUMIFS(Пр.10!G$10:G$1274,Пр.10!$D$10:$D$1274,$C76)</f>
        <v>5100</v>
      </c>
      <c r="E76" s="686">
        <f>SUMIFS(Пр.10!H$10:H$1274,Пр.10!$D$10:$D$1274,$C76)</f>
        <v>0</v>
      </c>
      <c r="F76" s="686">
        <f>SUMIFS(Пр.10!I$10:I$1274,Пр.10!$D$10:$D$1274,$C76)</f>
        <v>5100</v>
      </c>
      <c r="G76" s="686">
        <f>SUMIFS(Пр.10!J$10:J$1274,Пр.10!$D$10:$D$1274,$C76)</f>
        <v>5100</v>
      </c>
      <c r="H76" s="686">
        <f>SUMIFS(Пр.10!K$10:K$1274,Пр.10!$D$10:$D$1274,$C76)</f>
        <v>0</v>
      </c>
      <c r="I76" s="689">
        <f>SUMIFS(Пр.10!L$10:L$1274,Пр.10!$D$10:$D$1274,$C76)</f>
        <v>5100</v>
      </c>
    </row>
    <row r="77" spans="2:9" ht="46.8" hidden="1">
      <c r="B77" s="547" t="str">
        <f>IF(C77&gt;0,VLOOKUP(C77,Программа!A$2:B$5063,2))</f>
        <v>Муниципальная целевая программа «Развитие субъектов малого и среднего предпринимательства Тутаевского муниципального района»</v>
      </c>
      <c r="C77" s="582" t="s">
        <v>2830</v>
      </c>
      <c r="D77" s="682">
        <f>SUMIFS(Пр.10!G$10:G$1274,Пр.10!$D$10:$D$1274,$C77)</f>
        <v>0</v>
      </c>
      <c r="E77" s="682">
        <f>SUMIFS(Пр.10!H$10:H$1274,Пр.10!$D$10:$D$1274,$C77)</f>
        <v>0</v>
      </c>
      <c r="F77" s="682">
        <f>SUMIFS(Пр.10!I$10:I$1274,Пр.10!$D$10:$D$1274,$C77)</f>
        <v>0</v>
      </c>
      <c r="G77" s="682">
        <f>SUMIFS(Пр.10!J$10:J$1274,Пр.10!$D$10:$D$1274,$C77)</f>
        <v>0</v>
      </c>
      <c r="H77" s="682">
        <f>SUMIFS(Пр.10!K$10:K$1274,Пр.10!$D$10:$D$1274,$C77)</f>
        <v>0</v>
      </c>
      <c r="I77" s="682">
        <f>SUMIFS(Пр.10!L$10:L$1274,Пр.10!$D$10:$D$1274,$C77)</f>
        <v>0</v>
      </c>
    </row>
    <row r="78" spans="2:9" ht="62.4" hidden="1">
      <c r="B78" s="546" t="str">
        <f>IF(C78&gt;0,VLOOKUP(C78,Программа!A$2:B$5063,2))</f>
        <v>Популяризация роли предпринимательства, информационная, консультационная и организационная поддержка субъектов малого и среднего предпринимательства</v>
      </c>
      <c r="C78" s="583" t="s">
        <v>2831</v>
      </c>
      <c r="D78" s="680">
        <f>SUMIFS(Пр.10!G$10:G$1274,Пр.10!$D$10:$D$1274,$C78)</f>
        <v>0</v>
      </c>
      <c r="E78" s="680">
        <f>SUMIFS(Пр.10!H$10:H$1274,Пр.10!$D$10:$D$1274,$C78)</f>
        <v>0</v>
      </c>
      <c r="F78" s="680">
        <f>SUMIFS(Пр.10!I$10:I$1274,Пр.10!$D$10:$D$1274,$C78)</f>
        <v>0</v>
      </c>
      <c r="G78" s="680">
        <f>SUMIFS(Пр.10!J$10:J$1274,Пр.10!$D$10:$D$1274,$C78)</f>
        <v>0</v>
      </c>
      <c r="H78" s="680">
        <f>SUMIFS(Пр.10!K$10:K$1274,Пр.10!$D$10:$D$1274,$C78)</f>
        <v>0</v>
      </c>
      <c r="I78" s="680">
        <f>SUMIFS(Пр.10!L$10:L$1274,Пр.10!$D$10:$D$1274,$C78)</f>
        <v>0</v>
      </c>
    </row>
    <row r="79" spans="2:9" ht="31.2" hidden="1">
      <c r="B79" s="546" t="str">
        <f>IF(C79&gt;0,VLOOKUP(C79,Программа!A$2:B$5063,2))</f>
        <v>Развитие системы финансовой поддержки субъектов малого и среднего предпринимательства</v>
      </c>
      <c r="C79" s="583" t="s">
        <v>2833</v>
      </c>
      <c r="D79" s="680">
        <f>SUMIFS(Пр.10!G$10:G$1274,Пр.10!$D$10:$D$1274,$C79)</f>
        <v>0</v>
      </c>
      <c r="E79" s="680">
        <f>SUMIFS(Пр.10!H$10:H$1274,Пр.10!$D$10:$D$1274,$C79)</f>
        <v>0</v>
      </c>
      <c r="F79" s="680">
        <f>SUMIFS(Пр.10!I$10:I$1274,Пр.10!$D$10:$D$1274,$C79)</f>
        <v>0</v>
      </c>
      <c r="G79" s="680">
        <f>SUMIFS(Пр.10!J$10:J$1274,Пр.10!$D$10:$D$1274,$C79)</f>
        <v>0</v>
      </c>
      <c r="H79" s="680">
        <f>SUMIFS(Пр.10!K$10:K$1274,Пр.10!$D$10:$D$1274,$C79)</f>
        <v>0</v>
      </c>
      <c r="I79" s="680">
        <f>SUMIFS(Пр.10!L$10:L$1274,Пр.10!$D$10:$D$1274,$C79)</f>
        <v>0</v>
      </c>
    </row>
    <row r="80" spans="2:9" ht="46.8" hidden="1">
      <c r="B80" s="545" t="str">
        <f>IF(C80&gt;0,VLOOKUP(C80,Программа!A$2:B$5063,2))</f>
        <v>Муниципальная целевая программа "Развитие потребительского рынка Тутаевского муниципального района "</v>
      </c>
      <c r="C80" s="584" t="s">
        <v>2814</v>
      </c>
      <c r="D80" s="680">
        <f>SUMIFS(Пр.10!G$10:G$1274,Пр.10!$D$10:$D$1274,$C80)</f>
        <v>0</v>
      </c>
      <c r="E80" s="680">
        <f>SUMIFS(Пр.10!H$10:H$1274,Пр.10!$D$10:$D$1274,$C80)</f>
        <v>0</v>
      </c>
      <c r="F80" s="680">
        <f>SUMIFS(Пр.10!I$10:I$1274,Пр.10!$D$10:$D$1274,$C80)</f>
        <v>0</v>
      </c>
      <c r="G80" s="680">
        <f>SUMIFS(Пр.10!J$10:J$1274,Пр.10!$D$10:$D$1274,$C80)</f>
        <v>0</v>
      </c>
      <c r="H80" s="680">
        <f>SUMIFS(Пр.10!K$10:K$1274,Пр.10!$D$10:$D$1274,$C80)</f>
        <v>0</v>
      </c>
      <c r="I80" s="680">
        <f>SUMIFS(Пр.10!L$10:L$1274,Пр.10!$D$10:$D$1274,$C80)</f>
        <v>0</v>
      </c>
    </row>
    <row r="81" spans="2:9" ht="31.2" hidden="1">
      <c r="B81" s="546" t="str">
        <f>IF(C81&gt;0,VLOOKUP(C81,Программа!A$2:B$5063,2))</f>
        <v>Обеспечение доступности товаров для сельского населения путем оказания государственной поддержки</v>
      </c>
      <c r="C81" s="583" t="s">
        <v>2815</v>
      </c>
      <c r="D81" s="680">
        <f>SUMIFS(Пр.10!G$10:G$1274,Пр.10!$D$10:$D$1274,$C81)</f>
        <v>0</v>
      </c>
      <c r="E81" s="680">
        <f>SUMIFS(Пр.10!H$10:H$1274,Пр.10!$D$10:$D$1274,$C81)</f>
        <v>0</v>
      </c>
      <c r="F81" s="680">
        <f>SUMIFS(Пр.10!I$10:I$1274,Пр.10!$D$10:$D$1274,$C81)</f>
        <v>0</v>
      </c>
      <c r="G81" s="680">
        <f>SUMIFS(Пр.10!J$10:J$1274,Пр.10!$D$10:$D$1274,$C81)</f>
        <v>0</v>
      </c>
      <c r="H81" s="680">
        <f>SUMIFS(Пр.10!K$10:K$1274,Пр.10!$D$10:$D$1274,$C81)</f>
        <v>0</v>
      </c>
      <c r="I81" s="680">
        <f>SUMIFS(Пр.10!L$10:L$1274,Пр.10!$D$10:$D$1274,$C81)</f>
        <v>0</v>
      </c>
    </row>
    <row r="82" spans="2:9" ht="46.8">
      <c r="B82" s="545" t="str">
        <f>IF(C82&gt;0,VLOOKUP(C82,Программа!A$2:B$5063,2))</f>
        <v>Муниципальная целевая программа "Развитие агропромышленного комплекса и сельских территорий Тутаевского муниципального района"</v>
      </c>
      <c r="C82" s="584" t="s">
        <v>2817</v>
      </c>
      <c r="D82" s="680">
        <f>SUMIFS(Пр.10!G$10:G$1274,Пр.10!$D$10:$D$1274,$C82)</f>
        <v>5100</v>
      </c>
      <c r="E82" s="680">
        <f>SUMIFS(Пр.10!H$10:H$1274,Пр.10!$D$10:$D$1274,$C82)</f>
        <v>0</v>
      </c>
      <c r="F82" s="680">
        <f>SUMIFS(Пр.10!I$10:I$1274,Пр.10!$D$10:$D$1274,$C82)</f>
        <v>5100</v>
      </c>
      <c r="G82" s="680">
        <f>SUMIFS(Пр.10!J$10:J$1274,Пр.10!$D$10:$D$1274,$C82)</f>
        <v>5100</v>
      </c>
      <c r="H82" s="680">
        <f>SUMIFS(Пр.10!K$10:K$1274,Пр.10!$D$10:$D$1274,$C82)</f>
        <v>0</v>
      </c>
      <c r="I82" s="680">
        <f>SUMIFS(Пр.10!L$10:L$1274,Пр.10!$D$10:$D$1274,$C82)</f>
        <v>5100</v>
      </c>
    </row>
    <row r="83" spans="2:9" ht="47.4" thickBot="1">
      <c r="B83" s="546" t="str">
        <f>IF(C83&gt;0,VLOOKUP(C83,Программа!A$2:B$5063,2))</f>
        <v>Поддержка сельскохозяйственного производства в рамках субсидирования  (молоко, овцеводство) сельскохозяйственных товаропроизводителей</v>
      </c>
      <c r="C83" s="583" t="s">
        <v>2818</v>
      </c>
      <c r="D83" s="680">
        <f>SUMIFS(Пр.10!G$10:G$1274,Пр.10!$D$10:$D$1274,$C83)</f>
        <v>5100</v>
      </c>
      <c r="E83" s="680">
        <f>SUMIFS(Пр.10!H$10:H$1274,Пр.10!$D$10:$D$1274,$C83)</f>
        <v>0</v>
      </c>
      <c r="F83" s="680">
        <f>SUMIFS(Пр.10!I$10:I$1274,Пр.10!$D$10:$D$1274,$C83)</f>
        <v>5100</v>
      </c>
      <c r="G83" s="680">
        <f>SUMIFS(Пр.10!J$10:J$1274,Пр.10!$D$10:$D$1274,$C83)</f>
        <v>5100</v>
      </c>
      <c r="H83" s="680">
        <f>SUMIFS(Пр.10!K$10:K$1274,Пр.10!$D$10:$D$1274,$C83)</f>
        <v>0</v>
      </c>
      <c r="I83" s="680">
        <f>SUMIFS(Пр.10!L$10:L$1274,Пр.10!$D$10:$D$1274,$C83)</f>
        <v>5100</v>
      </c>
    </row>
    <row r="84" spans="2:9" ht="15.6" hidden="1">
      <c r="B84" s="546" t="str">
        <f>IF(C84&gt;0,VLOOKUP(C84,Программа!A$2:B$5063,2))</f>
        <v xml:space="preserve">Кадровое обеспечение агропромышленного комплекса </v>
      </c>
      <c r="C84" s="583" t="s">
        <v>2847</v>
      </c>
      <c r="D84" s="680">
        <f>SUMIFS(Пр.10!G$10:G$1274,Пр.10!$D$10:$D$1274,$C84)</f>
        <v>0</v>
      </c>
      <c r="E84" s="680">
        <f>SUMIFS(Пр.10!H$10:H$1274,Пр.10!$D$10:$D$1274,$C84)</f>
        <v>0</v>
      </c>
      <c r="F84" s="680">
        <f>SUMIFS(Пр.10!I$10:I$1274,Пр.10!$D$10:$D$1274,$C84)</f>
        <v>0</v>
      </c>
      <c r="G84" s="680">
        <f>SUMIFS(Пр.10!J$10:J$1274,Пр.10!$D$10:$D$1274,$C84)</f>
        <v>0</v>
      </c>
      <c r="H84" s="680">
        <f>SUMIFS(Пр.10!K$10:K$1274,Пр.10!$D$10:$D$1274,$C84)</f>
        <v>0</v>
      </c>
      <c r="I84" s="680">
        <f>SUMIFS(Пр.10!L$10:L$1274,Пр.10!$D$10:$D$1274,$C84)</f>
        <v>0</v>
      </c>
    </row>
    <row r="85" spans="2:9" ht="63" hidden="1" thickBot="1">
      <c r="B85" s="552" t="str">
        <f>IF(C85&gt;0,VLOOKUP(C85,Программа!A$2:B$5063,2))</f>
        <v>Повышение стимула роста профессионального мастерства, привлечение овцеводов и туристов для популяризации бренда романовской овцы, поощрение передовиков сельскохозяйственного  производства</v>
      </c>
      <c r="C85" s="585" t="s">
        <v>2849</v>
      </c>
      <c r="D85" s="681">
        <f>SUMIFS(Пр.10!G$10:G$1274,Пр.10!$D$10:$D$1274,$C85)</f>
        <v>0</v>
      </c>
      <c r="E85" s="681">
        <f>SUMIFS(Пр.10!H$10:H$1274,Пр.10!$D$10:$D$1274,$C85)</f>
        <v>0</v>
      </c>
      <c r="F85" s="681">
        <f>SUMIFS(Пр.10!I$10:I$1274,Пр.10!$D$10:$D$1274,$C85)</f>
        <v>0</v>
      </c>
      <c r="G85" s="681">
        <f>SUMIFS(Пр.10!J$10:J$1274,Пр.10!$D$10:$D$1274,$C85)</f>
        <v>0</v>
      </c>
      <c r="H85" s="681">
        <f>SUMIFS(Пр.10!K$10:K$1274,Пр.10!$D$10:$D$1274,$C85)</f>
        <v>0</v>
      </c>
      <c r="I85" s="681">
        <f>SUMIFS(Пр.10!L$10:L$1274,Пр.10!$D$10:$D$1274,$C85)</f>
        <v>0</v>
      </c>
    </row>
    <row r="86" spans="2:9" s="527" customFormat="1" ht="47.4" thickBot="1">
      <c r="B86" s="549" t="str">
        <f>IF(C86&gt;0,VLOOKUP(C86,Программа!A$2:B$5063,2))</f>
        <v>Муниципальная программа "Повышение эффективности управления муниципальными финансами"</v>
      </c>
      <c r="C86" s="576" t="s">
        <v>2839</v>
      </c>
      <c r="D86" s="686">
        <f>SUMIFS(Пр.10!G$10:G$1274,Пр.10!$D$10:$D$1274,$C86)</f>
        <v>27688740</v>
      </c>
      <c r="E86" s="686">
        <f>SUMIFS(Пр.10!H$10:H$1274,Пр.10!$D$10:$D$1274,$C86)</f>
        <v>0</v>
      </c>
      <c r="F86" s="686">
        <f>SUMIFS(Пр.10!I$10:I$1274,Пр.10!$D$10:$D$1274,$C86)</f>
        <v>27688740</v>
      </c>
      <c r="G86" s="686">
        <f>SUMIFS(Пр.10!J$10:J$1274,Пр.10!$D$10:$D$1274,$C86)</f>
        <v>24486784</v>
      </c>
      <c r="H86" s="686">
        <f>SUMIFS(Пр.10!K$10:K$1274,Пр.10!$D$10:$D$1274,$C86)</f>
        <v>0</v>
      </c>
      <c r="I86" s="689">
        <f>SUMIFS(Пр.10!L$10:L$1274,Пр.10!$D$10:$D$1274,$C86)</f>
        <v>24486784</v>
      </c>
    </row>
    <row r="87" spans="2:9" s="528" customFormat="1" ht="15.6">
      <c r="B87" s="547" t="str">
        <f>IF(C87&gt;0,VLOOKUP(C87,Программа!A$2:B$5063,2))</f>
        <v>Совершенствование межбюджетных отношений</v>
      </c>
      <c r="C87" s="582" t="s">
        <v>2840</v>
      </c>
      <c r="D87" s="682">
        <f>SUMIFS(Пр.10!G$10:G$1274,Пр.10!$D$10:$D$1274,$C87)</f>
        <v>10866000</v>
      </c>
      <c r="E87" s="682">
        <f>SUMIFS(Пр.10!H$10:H$1274,Пр.10!$D$10:$D$1274,$C87)</f>
        <v>0</v>
      </c>
      <c r="F87" s="682">
        <f>SUMIFS(Пр.10!I$10:I$1274,Пр.10!$D$10:$D$1274,$C87)</f>
        <v>10866000</v>
      </c>
      <c r="G87" s="682">
        <f>SUMIFS(Пр.10!J$10:J$1274,Пр.10!$D$10:$D$1274,$C87)</f>
        <v>10080000</v>
      </c>
      <c r="H87" s="682">
        <f>SUMIFS(Пр.10!K$10:K$1274,Пр.10!$D$10:$D$1274,$C87)</f>
        <v>0</v>
      </c>
      <c r="I87" s="682">
        <f>SUMIFS(Пр.10!L$10:L$1274,Пр.10!$D$10:$D$1274,$C87)</f>
        <v>10080000</v>
      </c>
    </row>
    <row r="88" spans="2:9" s="528" customFormat="1" ht="31.2">
      <c r="B88" s="545" t="str">
        <f>IF(C88&gt;0,VLOOKUP(C88,Программа!A$2:B$5063,2))</f>
        <v xml:space="preserve">Повышение эффективности управления муниципальным долгом </v>
      </c>
      <c r="C88" s="584" t="s">
        <v>2842</v>
      </c>
      <c r="D88" s="680">
        <f>SUMIFS(Пр.10!G$10:G$1274,Пр.10!$D$10:$D$1274,$C88)</f>
        <v>2000000</v>
      </c>
      <c r="E88" s="680">
        <f>SUMIFS(Пр.10!H$10:H$1274,Пр.10!$D$10:$D$1274,$C88)</f>
        <v>0</v>
      </c>
      <c r="F88" s="680">
        <f>SUMIFS(Пр.10!I$10:I$1274,Пр.10!$D$10:$D$1274,$C88)</f>
        <v>2000000</v>
      </c>
      <c r="G88" s="680">
        <f>SUMIFS(Пр.10!J$10:J$1274,Пр.10!$D$10:$D$1274,$C88)</f>
        <v>2000000</v>
      </c>
      <c r="H88" s="680">
        <f>SUMIFS(Пр.10!K$10:K$1274,Пр.10!$D$10:$D$1274,$C88)</f>
        <v>0</v>
      </c>
      <c r="I88" s="680">
        <f>SUMIFS(Пр.10!L$10:L$1274,Пр.10!$D$10:$D$1274,$C88)</f>
        <v>2000000</v>
      </c>
    </row>
    <row r="89" spans="2:9" ht="46.8">
      <c r="B89" s="545" t="str">
        <f>IF(C89&gt;0,VLOOKUP(C89,Программа!A$2:B$5063,2))</f>
        <v>Ведомственная целевая программа департамента финансов администрации Тутаевского муниципального района</v>
      </c>
      <c r="C89" s="584" t="s">
        <v>2844</v>
      </c>
      <c r="D89" s="680">
        <f>SUMIFS(Пр.10!G$10:G$1274,Пр.10!$D$10:$D$1274,$C89)</f>
        <v>14822740</v>
      </c>
      <c r="E89" s="680">
        <f>SUMIFS(Пр.10!H$10:H$1274,Пр.10!$D$10:$D$1274,$C89)</f>
        <v>0</v>
      </c>
      <c r="F89" s="680">
        <f>SUMIFS(Пр.10!I$10:I$1274,Пр.10!$D$10:$D$1274,$C89)</f>
        <v>14822740</v>
      </c>
      <c r="G89" s="680">
        <f>SUMIFS(Пр.10!J$10:J$1274,Пр.10!$D$10:$D$1274,$C89)</f>
        <v>12406784</v>
      </c>
      <c r="H89" s="680">
        <f>SUMIFS(Пр.10!K$10:K$1274,Пр.10!$D$10:$D$1274,$C89)</f>
        <v>0</v>
      </c>
      <c r="I89" s="680">
        <f>SUMIFS(Пр.10!L$10:L$1274,Пр.10!$D$10:$D$1274,$C89)</f>
        <v>12406784</v>
      </c>
    </row>
    <row r="90" spans="2:9" ht="16.2" thickBot="1">
      <c r="B90" s="546" t="str">
        <f>IF(C90&gt;0,VLOOKUP(C90,Программа!A$2:B$5063,2))</f>
        <v>Обеспечение деятельности финансового органа</v>
      </c>
      <c r="C90" s="583" t="s">
        <v>2873</v>
      </c>
      <c r="D90" s="680">
        <f>SUMIFS(Пр.10!G$10:G$1274,Пр.10!$D$10:$D$1274,$C90)</f>
        <v>14822740</v>
      </c>
      <c r="E90" s="680">
        <f>SUMIFS(Пр.10!H$10:H$1274,Пр.10!$D$10:$D$1274,$C90)</f>
        <v>0</v>
      </c>
      <c r="F90" s="680">
        <f>SUMIFS(Пр.10!I$10:I$1274,Пр.10!$D$10:$D$1274,$C90)</f>
        <v>14822740</v>
      </c>
      <c r="G90" s="680">
        <f>SUMIFS(Пр.10!J$10:J$1274,Пр.10!$D$10:$D$1274,$C90)</f>
        <v>12406784</v>
      </c>
      <c r="H90" s="680">
        <f>SUMIFS(Пр.10!K$10:K$1274,Пр.10!$D$10:$D$1274,$C90)</f>
        <v>0</v>
      </c>
      <c r="I90" s="680">
        <f>SUMIFS(Пр.10!L$10:L$1274,Пр.10!$D$10:$D$1274,$C90)</f>
        <v>12406784</v>
      </c>
    </row>
    <row r="91" spans="2:9" ht="46.8" hidden="1">
      <c r="B91" s="545" t="str">
        <f>IF(C91&gt;0,VLOOKUP(C91,Программа!A$2:B$5063,2))</f>
        <v>Муниципальная целевая программа "Развитие системы муниципальных закупок в Тутаевском муниципальном районе"</v>
      </c>
      <c r="C91" s="584" t="s">
        <v>2845</v>
      </c>
      <c r="D91" s="680">
        <f>SUMIFS(Пр.10!G$10:G$1274,Пр.10!$D$10:$D$1274,$C91)</f>
        <v>0</v>
      </c>
      <c r="E91" s="680">
        <f>SUMIFS(Пр.10!H$10:H$1274,Пр.10!$D$10:$D$1274,$C91)</f>
        <v>0</v>
      </c>
      <c r="F91" s="680">
        <f>SUMIFS(Пр.10!I$10:I$1274,Пр.10!$D$10:$D$1274,$C91)</f>
        <v>0</v>
      </c>
      <c r="G91" s="680">
        <f>SUMIFS(Пр.10!J$10:J$1274,Пр.10!$D$10:$D$1274,$C91)</f>
        <v>0</v>
      </c>
      <c r="H91" s="680">
        <f>SUMIFS(Пр.10!K$10:K$1274,Пр.10!$D$10:$D$1274,$C91)</f>
        <v>0</v>
      </c>
      <c r="I91" s="680">
        <f>SUMIFS(Пр.10!L$10:L$1274,Пр.10!$D$10:$D$1274,$C91)</f>
        <v>0</v>
      </c>
    </row>
    <row r="92" spans="2:9" ht="47.4" hidden="1" thickBot="1">
      <c r="B92" s="552" t="str">
        <f>IF(C92&gt;0,VLOOKUP(C92,Программа!A$2:B$5063,2))</f>
        <v xml:space="preserve">Организация системы подготовки, планирования, сопровождения и осуществления муниципальных закупок </v>
      </c>
      <c r="C92" s="585" t="s">
        <v>2874</v>
      </c>
      <c r="D92" s="681">
        <f>SUMIFS(Пр.10!G$10:G$1274,Пр.10!$D$10:$D$1274,$C92)</f>
        <v>0</v>
      </c>
      <c r="E92" s="681">
        <f>SUMIFS(Пр.10!H$10:H$1274,Пр.10!$D$10:$D$1274,$C92)</f>
        <v>0</v>
      </c>
      <c r="F92" s="681">
        <f>SUMIFS(Пр.10!I$10:I$1274,Пр.10!$D$10:$D$1274,$C92)</f>
        <v>0</v>
      </c>
      <c r="G92" s="681">
        <f>SUMIFS(Пр.10!J$10:J$1274,Пр.10!$D$10:$D$1274,$C92)</f>
        <v>0</v>
      </c>
      <c r="H92" s="681">
        <f>SUMIFS(Пр.10!K$10:K$1274,Пр.10!$D$10:$D$1274,$C92)</f>
        <v>0</v>
      </c>
      <c r="I92" s="681">
        <f>SUMIFS(Пр.10!L$10:L$1274,Пр.10!$D$10:$D$1274,$C92)</f>
        <v>0</v>
      </c>
    </row>
    <row r="93" spans="2:9" ht="31.8" hidden="1" thickBot="1">
      <c r="B93" s="549" t="str">
        <f>IF(C93&gt;0,VLOOKUP(C93,Программа!A$2:B$5063,2))</f>
        <v>Программа развития муниципальной службы в Тутаевском муниципальном районе</v>
      </c>
      <c r="C93" s="587" t="s">
        <v>2880</v>
      </c>
      <c r="D93" s="686">
        <f>SUMIFS(Пр.10!G$10:G$1274,Пр.10!$D$10:$D$1274,$C93)</f>
        <v>0</v>
      </c>
      <c r="E93" s="686">
        <f>SUMIFS(Пр.10!H$10:H$1274,Пр.10!$D$10:$D$1274,$C93)</f>
        <v>0</v>
      </c>
      <c r="F93" s="686">
        <f>SUMIFS(Пр.10!I$10:I$1274,Пр.10!$D$10:$D$1274,$C93)</f>
        <v>0</v>
      </c>
      <c r="G93" s="686">
        <f>SUMIFS(Пр.10!J$10:J$1274,Пр.10!$D$10:$D$1274,$C93)</f>
        <v>0</v>
      </c>
      <c r="H93" s="686">
        <f>SUMIFS(Пр.10!K$10:K$1274,Пр.10!$D$10:$D$1274,$C93)</f>
        <v>0</v>
      </c>
      <c r="I93" s="689">
        <f>SUMIFS(Пр.10!L$10:L$1274,Пр.10!$D$10:$D$1274,$C93)</f>
        <v>0</v>
      </c>
    </row>
    <row r="94" spans="2:9" ht="31.8" hidden="1" thickBot="1">
      <c r="B94" s="553" t="str">
        <f>IF(C94&gt;0,VLOOKUP(C94,Программа!A$2:B$5063,2))</f>
        <v>Мероприятия по повышению квалификации  муниципальных служащих</v>
      </c>
      <c r="C94" s="588" t="s">
        <v>2881</v>
      </c>
      <c r="D94" s="690">
        <f>SUMIFS(Пр.10!G$10:G$1274,Пр.10!$D$10:$D$1274,$C94)</f>
        <v>0</v>
      </c>
      <c r="E94" s="690">
        <f>SUMIFS(Пр.10!H$10:H$1274,Пр.10!$D$10:$D$1274,$C94)</f>
        <v>0</v>
      </c>
      <c r="F94" s="690">
        <f>SUMIFS(Пр.10!I$10:I$1274,Пр.10!$D$10:$D$1274,$C94)</f>
        <v>0</v>
      </c>
      <c r="G94" s="690">
        <f>SUMIFS(Пр.10!J$10:J$1274,Пр.10!$D$10:$D$1274,$C94)</f>
        <v>0</v>
      </c>
      <c r="H94" s="690">
        <f>SUMIFS(Пр.10!K$10:K$1274,Пр.10!$D$10:$D$1274,$C94)</f>
        <v>0</v>
      </c>
      <c r="I94" s="690">
        <f>SUMIFS(Пр.10!L$10:L$1274,Пр.10!$D$10:$D$1274,$C94)</f>
        <v>0</v>
      </c>
    </row>
    <row r="95" spans="2:9" ht="47.4" hidden="1" thickBot="1">
      <c r="B95" s="549" t="str">
        <f>IF(C95&gt;0,VLOOKUP(C95,Программа!A$2:B$5063,2))</f>
        <v>Муниципальная программа "Информатизация управленческой деятельности Администрации Тутаевского муниципального района"</v>
      </c>
      <c r="C95" s="587" t="s">
        <v>2882</v>
      </c>
      <c r="D95" s="686">
        <f>SUMIFS(Пр.10!G$10:G$1274,Пр.10!$D$10:$D$1274,$C95)</f>
        <v>0</v>
      </c>
      <c r="E95" s="686">
        <f>SUMIFS(Пр.10!H$10:H$1274,Пр.10!$D$10:$D$1274,$C95)</f>
        <v>0</v>
      </c>
      <c r="F95" s="686">
        <f>SUMIFS(Пр.10!I$10:I$1274,Пр.10!$D$10:$D$1274,$C95)</f>
        <v>0</v>
      </c>
      <c r="G95" s="686">
        <f>SUMIFS(Пр.10!J$10:J$1274,Пр.10!$D$10:$D$1274,$C95)</f>
        <v>0</v>
      </c>
      <c r="H95" s="686">
        <f>SUMIFS(Пр.10!K$10:K$1274,Пр.10!$D$10:$D$1274,$C95)</f>
        <v>0</v>
      </c>
      <c r="I95" s="689">
        <f>SUMIFS(Пр.10!L$10:L$1274,Пр.10!$D$10:$D$1274,$C95)</f>
        <v>0</v>
      </c>
    </row>
    <row r="96" spans="2:9" ht="31.2" hidden="1">
      <c r="B96" s="551" t="str">
        <f>IF(C96&gt;0,VLOOKUP(C96,Программа!A$2:B$5063,2))</f>
        <v>Обеспечение бесперебойного функционирования  программного обеспечения</v>
      </c>
      <c r="C96" s="586" t="s">
        <v>2883</v>
      </c>
      <c r="D96" s="682">
        <f>SUMIFS(Пр.10!G$10:G$1274,Пр.10!$D$10:$D$1274,$C96)</f>
        <v>0</v>
      </c>
      <c r="E96" s="682">
        <f>SUMIFS(Пр.10!H$10:H$1274,Пр.10!$D$10:$D$1274,$C96)</f>
        <v>0</v>
      </c>
      <c r="F96" s="682">
        <f>SUMIFS(Пр.10!I$10:I$1274,Пр.10!$D$10:$D$1274,$C96)</f>
        <v>0</v>
      </c>
      <c r="G96" s="682">
        <f>SUMIFS(Пр.10!J$10:J$1274,Пр.10!$D$10:$D$1274,$C96)</f>
        <v>0</v>
      </c>
      <c r="H96" s="682">
        <f>SUMIFS(Пр.10!K$10:K$1274,Пр.10!$D$10:$D$1274,$C96)</f>
        <v>0</v>
      </c>
      <c r="I96" s="682">
        <f>SUMIFS(Пр.10!L$10:L$1274,Пр.10!$D$10:$D$1274,$C96)</f>
        <v>0</v>
      </c>
    </row>
    <row r="97" spans="2:9" ht="47.4" hidden="1" thickBot="1">
      <c r="B97" s="552" t="str">
        <f>IF(C97&gt;0,VLOOKUP(C97,Программа!A$2:B$5063,2))</f>
        <v>Закупка компьютерного оборудования  и оргтехники для бесперебойного обеспечения деятельности органов местного самоуправления</v>
      </c>
      <c r="C97" s="585" t="s">
        <v>2891</v>
      </c>
      <c r="D97" s="681">
        <f>SUMIFS(Пр.10!G$10:G$1274,Пр.10!$D$10:$D$1274,$C97)</f>
        <v>0</v>
      </c>
      <c r="E97" s="681">
        <f>SUMIFS(Пр.10!H$10:H$1274,Пр.10!$D$10:$D$1274,$C97)</f>
        <v>0</v>
      </c>
      <c r="F97" s="681">
        <f>SUMIFS(Пр.10!I$10:I$1274,Пр.10!$D$10:$D$1274,$C97)</f>
        <v>0</v>
      </c>
      <c r="G97" s="681">
        <f>SUMIFS(Пр.10!J$10:J$1274,Пр.10!$D$10:$D$1274,$C97)</f>
        <v>0</v>
      </c>
      <c r="H97" s="681">
        <f>SUMIFS(Пр.10!K$10:K$1274,Пр.10!$D$10:$D$1274,$C97)</f>
        <v>0</v>
      </c>
      <c r="I97" s="681">
        <f>SUMIFS(Пр.10!L$10:L$1274,Пр.10!$D$10:$D$1274,$C97)</f>
        <v>0</v>
      </c>
    </row>
    <row r="98" spans="2:9" ht="66.75" customHeight="1" thickBot="1">
      <c r="B98" s="549" t="str">
        <f>IF(C98&gt;0,VLOOKUP(C98,Программа!A$2:B$5063,2))</f>
        <v>Муниципальная программа "Поддержки социально ориентированных некоммерческих организаций и территориального общественного самоуправления Тутаевского муниципального района"</v>
      </c>
      <c r="C98" s="587" t="s">
        <v>2884</v>
      </c>
      <c r="D98" s="686">
        <f>SUMIFS(Пр.10!G$10:G$1274,Пр.10!$D$10:$D$1274,$C98)</f>
        <v>500000</v>
      </c>
      <c r="E98" s="686">
        <f>SUMIFS(Пр.10!H$10:H$1274,Пр.10!$D$10:$D$1274,$C98)</f>
        <v>0</v>
      </c>
      <c r="F98" s="686">
        <f>SUMIFS(Пр.10!I$10:I$1274,Пр.10!$D$10:$D$1274,$C98)</f>
        <v>500000</v>
      </c>
      <c r="G98" s="686">
        <f>SUMIFS(Пр.10!J$10:J$1274,Пр.10!$D$10:$D$1274,$C98)</f>
        <v>0</v>
      </c>
      <c r="H98" s="686">
        <f>SUMIFS(Пр.10!K$10:K$1274,Пр.10!$D$10:$D$1274,$C98)</f>
        <v>0</v>
      </c>
      <c r="I98" s="689">
        <f>SUMIFS(Пр.10!L$10:L$1274,Пр.10!$D$10:$D$1274,$C98)</f>
        <v>0</v>
      </c>
    </row>
    <row r="99" spans="2:9" ht="47.4" thickBot="1">
      <c r="B99" s="551" t="str">
        <f>IF(C99&gt;0,VLOOKUP(C99,Программа!A$2:B$5063,2))</f>
        <v>Размещение форм поддержки деятельности социально ориентированных некоммерческих организаций в средствах массовой информации</v>
      </c>
      <c r="C99" s="586" t="s">
        <v>2885</v>
      </c>
      <c r="D99" s="682">
        <f>SUMIFS(Пр.10!G$10:G$1274,Пр.10!$D$10:$D$1274,$C99)</f>
        <v>500000</v>
      </c>
      <c r="E99" s="682">
        <f>SUMIFS(Пр.10!H$10:H$1274,Пр.10!$D$10:$D$1274,$C99)</f>
        <v>0</v>
      </c>
      <c r="F99" s="682">
        <f>SUMIFS(Пр.10!I$10:I$1274,Пр.10!$D$10:$D$1274,$C99)</f>
        <v>500000</v>
      </c>
      <c r="G99" s="682">
        <f>SUMIFS(Пр.10!J$10:J$1274,Пр.10!$D$10:$D$1274,$C99)</f>
        <v>0</v>
      </c>
      <c r="H99" s="682">
        <f>SUMIFS(Пр.10!K$10:K$1274,Пр.10!$D$10:$D$1274,$C99)</f>
        <v>0</v>
      </c>
      <c r="I99" s="682">
        <f>SUMIFS(Пр.10!L$10:L$1274,Пр.10!$D$10:$D$1274,$C99)</f>
        <v>0</v>
      </c>
    </row>
    <row r="100" spans="2:9" ht="31.8" hidden="1" thickBot="1">
      <c r="B100" s="552" t="str">
        <f>IF(C100&gt;0,VLOOKUP(C100,Программа!A$2:B$5063,2))</f>
        <v xml:space="preserve">Стимулирование развития деятельности социально ориентированных некоммерческих организаций </v>
      </c>
      <c r="C100" s="585" t="s">
        <v>2888</v>
      </c>
      <c r="D100" s="681">
        <f>SUMIFS(Пр.10!G$10:G$1274,Пр.10!$D$10:$D$1274,$C100)</f>
        <v>0</v>
      </c>
      <c r="E100" s="681">
        <f>SUMIFS(Пр.10!H$10:H$1274,Пр.10!$D$10:$D$1274,$C100)</f>
        <v>0</v>
      </c>
      <c r="F100" s="681">
        <f>SUMIFS(Пр.10!I$10:I$1274,Пр.10!$D$10:$D$1274,$C100)</f>
        <v>0</v>
      </c>
      <c r="G100" s="681">
        <f>SUMIFS(Пр.10!J$10:J$1274,Пр.10!$D$10:$D$1274,$C100)</f>
        <v>0</v>
      </c>
      <c r="H100" s="681">
        <f>SUMIFS(Пр.10!K$10:K$1274,Пр.10!$D$10:$D$1274,$C100)</f>
        <v>0</v>
      </c>
      <c r="I100" s="681">
        <f>SUMIFS(Пр.10!L$10:L$1274,Пр.10!$D$10:$D$1274,$C100)</f>
        <v>0</v>
      </c>
    </row>
    <row r="101" spans="2:9" ht="63" thickBot="1">
      <c r="B101" s="549" t="str">
        <f>IF(C101&gt;0,VLOOKUP(C101,Программа!A$2:B$5063,2))</f>
        <v>Муниципальная программа "Профилактика правонарушений и усиление борьбы с преступностью в Тутаевском муниципальном районе"</v>
      </c>
      <c r="C101" s="587" t="s">
        <v>2877</v>
      </c>
      <c r="D101" s="686">
        <f>SUMIFS(Пр.10!G$10:G$1274,Пр.10!$D$10:$D$1274,$C101)</f>
        <v>150000</v>
      </c>
      <c r="E101" s="686">
        <f>SUMIFS(Пр.10!H$10:H$1274,Пр.10!$D$10:$D$1274,$C101)</f>
        <v>0</v>
      </c>
      <c r="F101" s="686">
        <f>SUMIFS(Пр.10!I$10:I$1274,Пр.10!$D$10:$D$1274,$C101)</f>
        <v>150000</v>
      </c>
      <c r="G101" s="686">
        <f>SUMIFS(Пр.10!J$10:J$1274,Пр.10!$D$10:$D$1274,$C101)</f>
        <v>0</v>
      </c>
      <c r="H101" s="686">
        <f>SUMIFS(Пр.10!K$10:K$1274,Пр.10!$D$10:$D$1274,$C101)</f>
        <v>0</v>
      </c>
      <c r="I101" s="689">
        <f>SUMIFS(Пр.10!L$10:L$1274,Пр.10!$D$10:$D$1274,$C101)</f>
        <v>0</v>
      </c>
    </row>
    <row r="102" spans="2:9" ht="31.8" hidden="1" thickBot="1">
      <c r="B102" s="553" t="str">
        <f>IF(C102&gt;0,VLOOKUP(C102,Программа!A$2:B$5063,2))</f>
        <v>Реализация мероприятий по профилактике правонарушений</v>
      </c>
      <c r="C102" s="588" t="s">
        <v>2879</v>
      </c>
      <c r="D102" s="682">
        <f>SUMIFS(Пр.10!G$10:G$1274,Пр.10!$D$10:$D$1274,$C102)</f>
        <v>0</v>
      </c>
      <c r="E102" s="682">
        <f>SUMIFS(Пр.10!H$10:H$1274,Пр.10!$D$10:$D$1274,$C102)</f>
        <v>0</v>
      </c>
      <c r="F102" s="682">
        <f>SUMIFS(Пр.10!I$10:I$1274,Пр.10!$D$10:$D$1274,$C102)</f>
        <v>0</v>
      </c>
      <c r="G102" s="682">
        <f>SUMIFS(Пр.10!J$10:J$1274,Пр.10!$D$10:$D$1274,$C102)</f>
        <v>0</v>
      </c>
      <c r="H102" s="682">
        <f>SUMIFS(Пр.10!K$10:K$1274,Пр.10!$D$10:$D$1274,$C102)</f>
        <v>0</v>
      </c>
      <c r="I102" s="682">
        <f>SUMIFS(Пр.10!L$10:L$1274,Пр.10!$D$10:$D$1274,$C102)</f>
        <v>0</v>
      </c>
    </row>
    <row r="103" spans="2:9" ht="31.8" thickBot="1">
      <c r="B103" s="691" t="str">
        <f>IF(C103&gt;0,VLOOKUP(C103,Программа!A$2:B$5063,2))</f>
        <v>Реализация мероприятий по деятельности народных дружин</v>
      </c>
      <c r="C103" s="692" t="s">
        <v>3064</v>
      </c>
      <c r="D103" s="681">
        <f>SUMIFS(Пр.10!G$10:G$1274,Пр.10!$D$10:$D$1274,$C103)</f>
        <v>150000</v>
      </c>
      <c r="E103" s="681">
        <f>SUMIFS(Пр.10!H$10:H$1274,Пр.10!$D$10:$D$1274,$C103)</f>
        <v>0</v>
      </c>
      <c r="F103" s="681">
        <f>SUMIFS(Пр.10!I$10:I$1274,Пр.10!$D$10:$D$1274,$C103)</f>
        <v>150000</v>
      </c>
      <c r="G103" s="681">
        <f>SUMIFS(Пр.10!J$10:J$1274,Пр.10!$D$10:$D$1274,$C103)</f>
        <v>0</v>
      </c>
      <c r="H103" s="681">
        <f>SUMIFS(Пр.10!K$10:K$1274,Пр.10!$D$10:$D$1274,$C103)</f>
        <v>0</v>
      </c>
      <c r="I103" s="681">
        <f>SUMIFS(Пр.10!L$10:L$1274,Пр.10!$D$10:$D$1274,$C103)</f>
        <v>0</v>
      </c>
    </row>
    <row r="104" spans="2:9" s="527" customFormat="1" ht="49.5" customHeight="1" thickBot="1">
      <c r="B104" s="549" t="str">
        <f>IF(C104&gt;0,VLOOKUP(C104,Программа!A$2:B$5063,2))</f>
        <v>Муниципальная программа  "Организация перевозок автомобильным и речным транспортом на территории Тутаевского муниципального района"</v>
      </c>
      <c r="C104" s="587" t="s">
        <v>2910</v>
      </c>
      <c r="D104" s="686">
        <f>SUMIFS(Пр.10!G$10:G$1274,Пр.10!$D$10:$D$1274,$C104)</f>
        <v>8422000</v>
      </c>
      <c r="E104" s="686">
        <f>SUMIFS(Пр.10!H$10:H$1274,Пр.10!$D$10:$D$1274,$C104)</f>
        <v>0</v>
      </c>
      <c r="F104" s="686">
        <f>SUMIFS(Пр.10!I$10:I$1274,Пр.10!$D$10:$D$1274,$C104)</f>
        <v>8422000</v>
      </c>
      <c r="G104" s="686">
        <f>SUMIFS(Пр.10!J$10:J$1274,Пр.10!$D$10:$D$1274,$C104)</f>
        <v>166000</v>
      </c>
      <c r="H104" s="686">
        <f>SUMIFS(Пр.10!K$10:K$1274,Пр.10!$D$10:$D$1274,$C104)</f>
        <v>0</v>
      </c>
      <c r="I104" s="689">
        <f>SUMIFS(Пр.10!L$10:L$1274,Пр.10!$D$10:$D$1274,$C104)</f>
        <v>166000</v>
      </c>
    </row>
    <row r="105" spans="2:9" ht="62.4">
      <c r="B105" s="693" t="str">
        <f>IF(C105&gt;0,VLOOKUP(C105,Программа!A$2:B$5063,2))</f>
        <v>Предоставление социальных услуг лицам, находящимся под диспансерным наблюдением в связи с туберкулезом, и больных туберкулезом  при проезде в транспорте общего пользования</v>
      </c>
      <c r="C105" s="586" t="s">
        <v>2911</v>
      </c>
      <c r="D105" s="682">
        <f>SUMIFS(Пр.10!G$10:G$1274,Пр.10!$D$10:$D$1274,$C105)</f>
        <v>40000</v>
      </c>
      <c r="E105" s="682">
        <f>SUMIFS(Пр.10!H$10:H$1274,Пр.10!$D$10:$D$1274,$C105)</f>
        <v>0</v>
      </c>
      <c r="F105" s="682">
        <f>SUMIFS(Пр.10!I$10:I$1274,Пр.10!$D$10:$D$1274,$C105)</f>
        <v>40000</v>
      </c>
      <c r="G105" s="682">
        <f>SUMIFS(Пр.10!J$10:J$1274,Пр.10!$D$10:$D$1274,$C105)</f>
        <v>40000</v>
      </c>
      <c r="H105" s="682">
        <f>SUMIFS(Пр.10!K$10:K$1274,Пр.10!$D$10:$D$1274,$C105)</f>
        <v>0</v>
      </c>
      <c r="I105" s="682">
        <f>SUMIFS(Пр.10!L$10:L$1274,Пр.10!$D$10:$D$1274,$C105)</f>
        <v>40000</v>
      </c>
    </row>
    <row r="106" spans="2:9" ht="62.4">
      <c r="B106" s="626" t="str">
        <f>IF(C106&gt;0,VLOOKUP(C106,Программа!A$2:B$5063,2))</f>
        <v>Предоставление социальных услуг детям из многодетных семей, обучающихся в общеобразовательных организациях  при проезде в транспорте общего пользования</v>
      </c>
      <c r="C106" s="583" t="s">
        <v>2912</v>
      </c>
      <c r="D106" s="680">
        <f>SUMIFS(Пр.10!G$10:G$1274,Пр.10!$D$10:$D$1274,$C106)</f>
        <v>126000</v>
      </c>
      <c r="E106" s="680">
        <f>SUMIFS(Пр.10!H$10:H$1274,Пр.10!$D$10:$D$1274,$C106)</f>
        <v>0</v>
      </c>
      <c r="F106" s="680">
        <f>SUMIFS(Пр.10!I$10:I$1274,Пр.10!$D$10:$D$1274,$C106)</f>
        <v>126000</v>
      </c>
      <c r="G106" s="680">
        <f>SUMIFS(Пр.10!J$10:J$1274,Пр.10!$D$10:$D$1274,$C106)</f>
        <v>126000</v>
      </c>
      <c r="H106" s="680">
        <f>SUMIFS(Пр.10!K$10:K$1274,Пр.10!$D$10:$D$1274,$C106)</f>
        <v>0</v>
      </c>
      <c r="I106" s="680">
        <f>SUMIFS(Пр.10!L$10:L$1274,Пр.10!$D$10:$D$1274,$C106)</f>
        <v>126000</v>
      </c>
    </row>
    <row r="107" spans="2:9" ht="46.8">
      <c r="B107" s="626" t="str">
        <f>IF(C107&gt;0,VLOOKUP(C107,Программа!A$2:B$5063,2))</f>
        <v>Организация предоставления транспортных услуг по перевозке пассажиров автомобильным транспортом, транспортом общего пользования</v>
      </c>
      <c r="C107" s="499" t="s">
        <v>2913</v>
      </c>
      <c r="D107" s="680">
        <f>SUMIFS(Пр.10!G$10:G$1274,Пр.10!$D$10:$D$1274,$C107)</f>
        <v>781000</v>
      </c>
      <c r="E107" s="680">
        <f>SUMIFS(Пр.10!H$10:H$1274,Пр.10!$D$10:$D$1274,$C107)</f>
        <v>0</v>
      </c>
      <c r="F107" s="680">
        <f>SUMIFS(Пр.10!I$10:I$1274,Пр.10!$D$10:$D$1274,$C107)</f>
        <v>781000</v>
      </c>
      <c r="G107" s="680">
        <f>SUMIFS(Пр.10!J$10:J$1274,Пр.10!$D$10:$D$1274,$C107)</f>
        <v>0</v>
      </c>
      <c r="H107" s="680">
        <f>SUMIFS(Пр.10!K$10:K$1274,Пр.10!$D$10:$D$1274,$C107)</f>
        <v>0</v>
      </c>
      <c r="I107" s="680">
        <f>SUMIFS(Пр.10!L$10:L$1274,Пр.10!$D$10:$D$1274,$C107)</f>
        <v>0</v>
      </c>
    </row>
    <row r="108" spans="2:9" ht="37.5" customHeight="1" thickBot="1">
      <c r="B108" s="654" t="str">
        <f>IF(C108&gt;0,VLOOKUP(C108,Программа!A$2:B$5063,2))</f>
        <v>Обеспечение мероприятий по осуществлению грузопассажирских перевозок на речном транспорте</v>
      </c>
      <c r="C108" s="694" t="s">
        <v>3070</v>
      </c>
      <c r="D108" s="681">
        <f>SUMIFS(Пр.10!G$10:G$1274,Пр.10!$D$10:$D$1274,$C108)</f>
        <v>7475000</v>
      </c>
      <c r="E108" s="681">
        <f>SUMIFS(Пр.10!H$10:H$1274,Пр.10!$D$10:$D$1274,$C108)</f>
        <v>0</v>
      </c>
      <c r="F108" s="681">
        <f>SUMIFS(Пр.10!I$10:I$1274,Пр.10!$D$10:$D$1274,$C108)</f>
        <v>7475000</v>
      </c>
      <c r="G108" s="681">
        <f>SUMIFS(Пр.10!J$10:J$1274,Пр.10!$D$10:$D$1274,$C108)</f>
        <v>0</v>
      </c>
      <c r="H108" s="681">
        <f>SUMIFS(Пр.10!K$10:K$1274,Пр.10!$D$10:$D$1274,$C108)</f>
        <v>0</v>
      </c>
      <c r="I108" s="681">
        <f>SUMIFS(Пр.10!L$10:L$1274,Пр.10!$D$10:$D$1274,$C108)</f>
        <v>0</v>
      </c>
    </row>
    <row r="109" spans="2:9" ht="31.8" thickBot="1">
      <c r="B109" s="549" t="str">
        <f>IF(C109&gt;0,VLOOKUP(C109,Программа!A$2:B$5063,2))</f>
        <v>Муниципальная программа  "Развитие жилищного хозяйства Тутаевского муниципального района"</v>
      </c>
      <c r="C109" s="556" t="s">
        <v>2790</v>
      </c>
      <c r="D109" s="686">
        <f>SUMIFS(Пр.10!G$10:G$1274,Пр.10!$D$10:$D$1274,$C109)</f>
        <v>7100000</v>
      </c>
      <c r="E109" s="686">
        <f>SUMIFS(Пр.10!H$10:H$1274,Пр.10!$D$10:$D$1274,$C109)</f>
        <v>0</v>
      </c>
      <c r="F109" s="686">
        <f>SUMIFS(Пр.10!I$10:I$1274,Пр.10!$D$10:$D$1274,$C109)</f>
        <v>7100000</v>
      </c>
      <c r="G109" s="686">
        <f>SUMIFS(Пр.10!J$10:J$1274,Пр.10!$D$10:$D$1274,$C109)</f>
        <v>0</v>
      </c>
      <c r="H109" s="686">
        <f>SUMIFS(Пр.10!K$10:K$1274,Пр.10!$D$10:$D$1274,$C109)</f>
        <v>0</v>
      </c>
      <c r="I109" s="689">
        <f>SUMIFS(Пр.10!L$10:L$1274,Пр.10!$D$10:$D$1274,$C109)</f>
        <v>0</v>
      </c>
    </row>
    <row r="110" spans="2:9" ht="62.4">
      <c r="B110" s="547" t="str">
        <f>IF(C110&gt;0,VLOOKUP(C110,Программа!A$2:B$5063,2))</f>
        <v>Муниципальная целевая программа "Развитие  лифтового хозяйства на территории городского поселения Тутаев Тутаевского муниципального района"</v>
      </c>
      <c r="C110" s="555" t="s">
        <v>2792</v>
      </c>
      <c r="D110" s="682">
        <f>SUMIFS(Пр.10!G$10:G$1274,Пр.10!$D$10:$D$1274,$C110)</f>
        <v>4800000</v>
      </c>
      <c r="E110" s="682">
        <f>SUMIFS(Пр.10!H$10:H$1274,Пр.10!$D$10:$D$1274,$C110)</f>
        <v>0</v>
      </c>
      <c r="F110" s="682">
        <f>SUMIFS(Пр.10!I$10:I$1274,Пр.10!$D$10:$D$1274,$C110)</f>
        <v>4800000</v>
      </c>
      <c r="G110" s="682">
        <f>SUMIFS(Пр.10!J$10:J$1274,Пр.10!$D$10:$D$1274,$C110)</f>
        <v>0</v>
      </c>
      <c r="H110" s="682">
        <f>SUMIFS(Пр.10!K$10:K$1274,Пр.10!$D$10:$D$1274,$C110)</f>
        <v>0</v>
      </c>
      <c r="I110" s="682">
        <f>SUMIFS(Пр.10!L$10:L$1274,Пр.10!$D$10:$D$1274,$C110)</f>
        <v>0</v>
      </c>
    </row>
    <row r="111" spans="2:9" ht="31.2">
      <c r="B111" s="546" t="str">
        <f>IF(C111&gt;0,VLOOKUP(C111,Программа!A$2:B$5063,2))</f>
        <v>Обеспечение мероприятий по восстановлению лифтового хозяйства многоквартирных домов</v>
      </c>
      <c r="C111" s="509" t="s">
        <v>2804</v>
      </c>
      <c r="D111" s="680">
        <f>SUMIFS(Пр.10!G$10:G$1274,Пр.10!$D$10:$D$1274,$C111)</f>
        <v>4800000</v>
      </c>
      <c r="E111" s="680">
        <f>SUMIFS(Пр.10!H$10:H$1274,Пр.10!$D$10:$D$1274,$C111)</f>
        <v>0</v>
      </c>
      <c r="F111" s="680">
        <f>SUMIFS(Пр.10!I$10:I$1274,Пр.10!$D$10:$D$1274,$C111)</f>
        <v>4800000</v>
      </c>
      <c r="G111" s="680">
        <f>SUMIFS(Пр.10!J$10:J$1274,Пр.10!$D$10:$D$1274,$C111)</f>
        <v>0</v>
      </c>
      <c r="H111" s="680">
        <f>SUMIFS(Пр.10!K$10:K$1274,Пр.10!$D$10:$D$1274,$C111)</f>
        <v>0</v>
      </c>
      <c r="I111" s="680">
        <f>SUMIFS(Пр.10!L$10:L$1274,Пр.10!$D$10:$D$1274,$C111)</f>
        <v>0</v>
      </c>
    </row>
    <row r="112" spans="2:9" ht="46.8">
      <c r="B112" s="545" t="str">
        <f>IF(C112&gt;0,VLOOKUP(C112,Программа!A$2:B$5063,2))</f>
        <v>Муниципальная целевая программа "Ремонт и содержание муниципального жилищного фонда   Тутаевского муниципального района"</v>
      </c>
      <c r="C112" s="544" t="s">
        <v>2914</v>
      </c>
      <c r="D112" s="680">
        <f>SUMIFS(Пр.10!G$10:G$1274,Пр.10!$D$10:$D$1274,$C112)</f>
        <v>2300000</v>
      </c>
      <c r="E112" s="680">
        <f>SUMIFS(Пр.10!H$10:H$1274,Пр.10!$D$10:$D$1274,$C112)</f>
        <v>0</v>
      </c>
      <c r="F112" s="680">
        <f>SUMIFS(Пр.10!I$10:I$1274,Пр.10!$D$10:$D$1274,$C112)</f>
        <v>2300000</v>
      </c>
      <c r="G112" s="680">
        <f>SUMIFS(Пр.10!J$10:J$1274,Пр.10!$D$10:$D$1274,$C112)</f>
        <v>0</v>
      </c>
      <c r="H112" s="680">
        <f>SUMIFS(Пр.10!K$10:K$1274,Пр.10!$D$10:$D$1274,$C112)</f>
        <v>0</v>
      </c>
      <c r="I112" s="680">
        <f>SUMIFS(Пр.10!L$10:L$1274,Пр.10!$D$10:$D$1274,$C112)</f>
        <v>0</v>
      </c>
    </row>
    <row r="113" spans="2:9" ht="31.2">
      <c r="B113" s="546" t="str">
        <f>IF(C113&gt;0,VLOOKUP(C113,Программа!A$2:B$5063,2))</f>
        <v>Обеспечение мероприятий по замене приборов учета в муниципальном жилищном фонде</v>
      </c>
      <c r="C113" s="509" t="s">
        <v>2915</v>
      </c>
      <c r="D113" s="680">
        <f>SUMIFS(Пр.10!G$10:G$1274,Пр.10!$D$10:$D$1274,$C113)</f>
        <v>300000</v>
      </c>
      <c r="E113" s="680">
        <f>SUMIFS(Пр.10!H$10:H$1274,Пр.10!$D$10:$D$1274,$C113)</f>
        <v>0</v>
      </c>
      <c r="F113" s="680">
        <f>SUMIFS(Пр.10!I$10:I$1274,Пр.10!$D$10:$D$1274,$C113)</f>
        <v>300000</v>
      </c>
      <c r="G113" s="680">
        <f>SUMIFS(Пр.10!J$10:J$1274,Пр.10!$D$10:$D$1274,$C113)</f>
        <v>0</v>
      </c>
      <c r="H113" s="680">
        <f>SUMIFS(Пр.10!K$10:K$1274,Пр.10!$D$10:$D$1274,$C113)</f>
        <v>0</v>
      </c>
      <c r="I113" s="680">
        <f>SUMIFS(Пр.10!L$10:L$1274,Пр.10!$D$10:$D$1274,$C113)</f>
        <v>0</v>
      </c>
    </row>
    <row r="114" spans="2:9" ht="31.2">
      <c r="B114" s="546" t="str">
        <f>IF(C114&gt;0,VLOOKUP(C114,Программа!A$2:B$5063,2))</f>
        <v>Обеспечение мероприятий по ремонту общедомового имущества</v>
      </c>
      <c r="C114" s="509" t="s">
        <v>2916</v>
      </c>
      <c r="D114" s="680">
        <f>SUMIFS(Пр.10!G$10:G$1274,Пр.10!$D$10:$D$1274,$C114)</f>
        <v>1900000</v>
      </c>
      <c r="E114" s="680">
        <f>SUMIFS(Пр.10!H$10:H$1274,Пр.10!$D$10:$D$1274,$C114)</f>
        <v>0</v>
      </c>
      <c r="F114" s="680">
        <f>SUMIFS(Пр.10!I$10:I$1274,Пр.10!$D$10:$D$1274,$C114)</f>
        <v>1900000</v>
      </c>
      <c r="G114" s="680">
        <f>SUMIFS(Пр.10!J$10:J$1274,Пр.10!$D$10:$D$1274,$C114)</f>
        <v>0</v>
      </c>
      <c r="H114" s="680">
        <f>SUMIFS(Пр.10!K$10:K$1274,Пр.10!$D$10:$D$1274,$C114)</f>
        <v>0</v>
      </c>
      <c r="I114" s="680">
        <f>SUMIFS(Пр.10!L$10:L$1274,Пр.10!$D$10:$D$1274,$C114)</f>
        <v>0</v>
      </c>
    </row>
    <row r="115" spans="2:9" ht="31.8" thickBot="1">
      <c r="B115" s="552" t="str">
        <f>IF(C115&gt;0,VLOOKUP(C115,Программа!A$2:B$5063,2))</f>
        <v>Обеспечение мероприятий по ремонту муниципавльных квартир</v>
      </c>
      <c r="C115" s="516" t="s">
        <v>2917</v>
      </c>
      <c r="D115" s="681">
        <f>SUMIFS(Пр.10!G$10:G$1274,Пр.10!$D$10:$D$1274,$C115)</f>
        <v>100000</v>
      </c>
      <c r="E115" s="681">
        <f>SUMIFS(Пр.10!H$10:H$1274,Пр.10!$D$10:$D$1274,$C115)</f>
        <v>0</v>
      </c>
      <c r="F115" s="681">
        <f>SUMIFS(Пр.10!I$10:I$1274,Пр.10!$D$10:$D$1274,$C115)</f>
        <v>100000</v>
      </c>
      <c r="G115" s="681">
        <f>SUMIFS(Пр.10!J$10:J$1274,Пр.10!$D$10:$D$1274,$C115)</f>
        <v>0</v>
      </c>
      <c r="H115" s="681">
        <f>SUMIFS(Пр.10!K$10:K$1274,Пр.10!$D$10:$D$1274,$C115)</f>
        <v>0</v>
      </c>
      <c r="I115" s="681">
        <f>SUMIFS(Пр.10!L$10:L$1274,Пр.10!$D$10:$D$1274,$C115)</f>
        <v>0</v>
      </c>
    </row>
    <row r="116" spans="2:9" ht="47.4" thickBot="1">
      <c r="B116" s="549" t="str">
        <f>IF(C116&gt;0,VLOOKUP(C116,Программа!A$2:B$5063,2))</f>
        <v>Муниципальная программа "Благоустройство  и санитарно-эпидемиологическая безопасность  Тутаевского муниципального района</v>
      </c>
      <c r="C116" s="556" t="s">
        <v>2794</v>
      </c>
      <c r="D116" s="686">
        <f>SUMIFS(Пр.10!G$10:G$1274,Пр.10!$D$10:$D$1274,$C116)</f>
        <v>16633370</v>
      </c>
      <c r="E116" s="686">
        <f>SUMIFS(Пр.10!H$10:H$1274,Пр.10!$D$10:$D$1274,$C116)</f>
        <v>0</v>
      </c>
      <c r="F116" s="686">
        <f>SUMIFS(Пр.10!I$10:I$1274,Пр.10!$D$10:$D$1274,$C116)</f>
        <v>16633370</v>
      </c>
      <c r="G116" s="686">
        <f>SUMIFS(Пр.10!J$10:J$1274,Пр.10!$D$10:$D$1274,$C116)</f>
        <v>0</v>
      </c>
      <c r="H116" s="686">
        <f>SUMIFS(Пр.10!K$10:K$1274,Пр.10!$D$10:$D$1274,$C116)</f>
        <v>0</v>
      </c>
      <c r="I116" s="689">
        <f>SUMIFS(Пр.10!L$10:L$1274,Пр.10!$D$10:$D$1274,$C116)</f>
        <v>0</v>
      </c>
    </row>
    <row r="117" spans="2:9" ht="46.8">
      <c r="B117" s="547" t="str">
        <f>IF(C117&gt;0,VLOOKUP(C117,Программа!A$2:B$5063,2))</f>
        <v>Муниципальная целевая программа "Организация и развитие ритуальных услуг и мест захоронения в Тутаевском муниципальном районе"</v>
      </c>
      <c r="C117" s="555" t="s">
        <v>2795</v>
      </c>
      <c r="D117" s="682">
        <f>SUMIFS(Пр.10!G$10:G$1274,Пр.10!$D$10:$D$1274,$C117)</f>
        <v>1100000</v>
      </c>
      <c r="E117" s="682">
        <f>SUMIFS(Пр.10!H$10:H$1274,Пр.10!$D$10:$D$1274,$C117)</f>
        <v>0</v>
      </c>
      <c r="F117" s="682">
        <f>SUMIFS(Пр.10!I$10:I$1274,Пр.10!$D$10:$D$1274,$C117)</f>
        <v>1100000</v>
      </c>
      <c r="G117" s="682">
        <f>SUMIFS(Пр.10!J$10:J$1274,Пр.10!$D$10:$D$1274,$C117)</f>
        <v>0</v>
      </c>
      <c r="H117" s="682">
        <f>SUMIFS(Пр.10!K$10:K$1274,Пр.10!$D$10:$D$1274,$C117)</f>
        <v>0</v>
      </c>
      <c r="I117" s="682">
        <f>SUMIFS(Пр.10!L$10:L$1274,Пр.10!$D$10:$D$1274,$C117)</f>
        <v>0</v>
      </c>
    </row>
    <row r="118" spans="2:9" ht="31.2" hidden="1">
      <c r="B118" s="546" t="str">
        <f>IF(C118&gt;0,VLOOKUP(C118,Программа!A$2:B$5063,2))</f>
        <v>Обеспечение комплекса работ по повышению уровня благоустройства мест погребений</v>
      </c>
      <c r="C118" s="509" t="s">
        <v>2797</v>
      </c>
      <c r="D118" s="680">
        <f>SUMIFS(Пр.10!G$10:G$1274,Пр.10!$D$10:$D$1274,$C118)</f>
        <v>0</v>
      </c>
      <c r="E118" s="680">
        <f>SUMIFS(Пр.10!H$10:H$1274,Пр.10!$D$10:$D$1274,$C118)</f>
        <v>0</v>
      </c>
      <c r="F118" s="680">
        <f>SUMIFS(Пр.10!I$10:I$1274,Пр.10!$D$10:$D$1274,$C118)</f>
        <v>0</v>
      </c>
      <c r="G118" s="680">
        <f>SUMIFS(Пр.10!J$10:J$1274,Пр.10!$D$10:$D$1274,$C118)</f>
        <v>0</v>
      </c>
      <c r="H118" s="680">
        <f>SUMIFS(Пр.10!K$10:K$1274,Пр.10!$D$10:$D$1274,$C118)</f>
        <v>0</v>
      </c>
      <c r="I118" s="680">
        <f>SUMIFS(Пр.10!L$10:L$1274,Пр.10!$D$10:$D$1274,$C118)</f>
        <v>0</v>
      </c>
    </row>
    <row r="119" spans="2:9" ht="46.8">
      <c r="B119" s="545" t="str">
        <f>IF(C119&gt;0,VLOOKUP(C119,Программа!A$2:B$5063,2))</f>
        <v>Муниципальная целевая программа "Благоустройство и озеленение территории  в Тутаевского муниципального  района"</v>
      </c>
      <c r="C119" s="544" t="s">
        <v>2798</v>
      </c>
      <c r="D119" s="680">
        <f>SUMIFS(Пр.10!G$10:G$1274,Пр.10!$D$10:$D$1274,$C119)</f>
        <v>15533370</v>
      </c>
      <c r="E119" s="680">
        <f>SUMIFS(Пр.10!H$10:H$1274,Пр.10!$D$10:$D$1274,$C119)</f>
        <v>0</v>
      </c>
      <c r="F119" s="680">
        <f>SUMIFS(Пр.10!I$10:I$1274,Пр.10!$D$10:$D$1274,$C119)</f>
        <v>15533370</v>
      </c>
      <c r="G119" s="680">
        <f>SUMIFS(Пр.10!J$10:J$1274,Пр.10!$D$10:$D$1274,$C119)</f>
        <v>0</v>
      </c>
      <c r="H119" s="680">
        <f>SUMIFS(Пр.10!K$10:K$1274,Пр.10!$D$10:$D$1274,$C119)</f>
        <v>0</v>
      </c>
      <c r="I119" s="680">
        <f>SUMIFS(Пр.10!L$10:L$1274,Пр.10!$D$10:$D$1274,$C119)</f>
        <v>0</v>
      </c>
    </row>
    <row r="120" spans="2:9" ht="46.8">
      <c r="B120" s="546" t="str">
        <f>IF(C120&gt;0,VLOOKUP(C120,Программа!A$2:B$5063,2))</f>
        <v>Улучшение уровня внешнего благоустройства и санитарного  состояния территорий Тутаевского муниципального района</v>
      </c>
      <c r="C120" s="509" t="s">
        <v>2799</v>
      </c>
      <c r="D120" s="680">
        <f>SUMIFS(Пр.10!G$10:G$1274,Пр.10!$D$10:$D$1274,$C120)</f>
        <v>14033370</v>
      </c>
      <c r="E120" s="680">
        <f>SUMIFS(Пр.10!H$10:H$1274,Пр.10!$D$10:$D$1274,$C120)</f>
        <v>0</v>
      </c>
      <c r="F120" s="680">
        <f>SUMIFS(Пр.10!I$10:I$1274,Пр.10!$D$10:$D$1274,$C120)</f>
        <v>14033370</v>
      </c>
      <c r="G120" s="680">
        <f>SUMIFS(Пр.10!J$10:J$1274,Пр.10!$D$10:$D$1274,$C120)</f>
        <v>0</v>
      </c>
      <c r="H120" s="680">
        <f>SUMIFS(Пр.10!K$10:K$1274,Пр.10!$D$10:$D$1274,$C120)</f>
        <v>0</v>
      </c>
      <c r="I120" s="680">
        <f>SUMIFS(Пр.10!L$10:L$1274,Пр.10!$D$10:$D$1274,$C120)</f>
        <v>0</v>
      </c>
    </row>
    <row r="121" spans="2:9" ht="31.2" hidden="1">
      <c r="B121" s="546" t="str">
        <f>IF(C121&gt;0,VLOOKUP(C121,Программа!A$2:B$5063,2))</f>
        <v xml:space="preserve">Обеспечение мероприятий по совершенствованию  эстетического  состояния территорий </v>
      </c>
      <c r="C121" s="509" t="s">
        <v>2801</v>
      </c>
      <c r="D121" s="680">
        <f>SUMIFS(Пр.10!G$10:G$1274,Пр.10!$D$10:$D$1274,$C121)</f>
        <v>0</v>
      </c>
      <c r="E121" s="680">
        <f>SUMIFS(Пр.10!H$10:H$1274,Пр.10!$D$10:$D$1274,$C121)</f>
        <v>0</v>
      </c>
      <c r="F121" s="680">
        <f>SUMIFS(Пр.10!I$10:I$1274,Пр.10!$D$10:$D$1274,$C121)</f>
        <v>0</v>
      </c>
      <c r="G121" s="680">
        <f>SUMIFS(Пр.10!J$10:J$1274,Пр.10!$D$10:$D$1274,$C121)</f>
        <v>0</v>
      </c>
      <c r="H121" s="680">
        <f>SUMIFS(Пр.10!K$10:K$1274,Пр.10!$D$10:$D$1274,$C121)</f>
        <v>0</v>
      </c>
      <c r="I121" s="680">
        <f>SUMIFS(Пр.10!L$10:L$1274,Пр.10!$D$10:$D$1274,$C121)</f>
        <v>0</v>
      </c>
    </row>
    <row r="122" spans="2:9" ht="31.8" thickBot="1">
      <c r="B122" s="552" t="str">
        <f>IF(C122&gt;0,VLOOKUP(C122,Программа!A$2:B$5063,2))</f>
        <v>Обеспечение мероприятий по благоустройству мест массового отдыха населения</v>
      </c>
      <c r="C122" s="516" t="s">
        <v>2802</v>
      </c>
      <c r="D122" s="681">
        <f>SUMIFS(Пр.10!G$10:G$1274,Пр.10!$D$10:$D$1274,$C122)</f>
        <v>1500000</v>
      </c>
      <c r="E122" s="681">
        <f>SUMIFS(Пр.10!H$10:H$1274,Пр.10!$D$10:$D$1274,$C122)</f>
        <v>0</v>
      </c>
      <c r="F122" s="681">
        <f>SUMIFS(Пр.10!I$10:I$1274,Пр.10!$D$10:$D$1274,$C122)</f>
        <v>1500000</v>
      </c>
      <c r="G122" s="681">
        <f>SUMIFS(Пр.10!J$10:J$1274,Пр.10!$D$10:$D$1274,$C122)</f>
        <v>0</v>
      </c>
      <c r="H122" s="681">
        <f>SUMIFS(Пр.10!K$10:K$1274,Пр.10!$D$10:$D$1274,$C122)</f>
        <v>0</v>
      </c>
      <c r="I122" s="681">
        <f>SUMIFS(Пр.10!L$10:L$1274,Пр.10!$D$10:$D$1274,$C122)</f>
        <v>0</v>
      </c>
    </row>
    <row r="123" spans="2:9" ht="47.4" thickBot="1">
      <c r="B123" s="549" t="str">
        <f>IF(C123&gt;0,VLOOKUP(C123,Программа!A$2:B$5063,2))</f>
        <v>Муниципальная программа "Обеспечение населения Тутаевского муниципального района банными услугами"</v>
      </c>
      <c r="C123" s="554" t="s">
        <v>2921</v>
      </c>
      <c r="D123" s="686">
        <f>SUMIFS(Пр.10!G$10:G$1274,Пр.10!$D$10:$D$1274,$C123)</f>
        <v>7590000</v>
      </c>
      <c r="E123" s="686">
        <f>SUMIFS(Пр.10!H$10:H$1274,Пр.10!$D$10:$D$1274,$C123)</f>
        <v>0</v>
      </c>
      <c r="F123" s="686">
        <f>SUMIFS(Пр.10!I$10:I$1274,Пр.10!$D$10:$D$1274,$C123)</f>
        <v>7590000</v>
      </c>
      <c r="G123" s="686">
        <f>SUMIFS(Пр.10!J$10:J$1274,Пр.10!$D$10:$D$1274,$C123)</f>
        <v>0</v>
      </c>
      <c r="H123" s="686">
        <f>SUMIFS(Пр.10!K$10:K$1274,Пр.10!$D$10:$D$1274,$C123)</f>
        <v>0</v>
      </c>
      <c r="I123" s="689">
        <f>SUMIFS(Пр.10!L$10:L$1274,Пр.10!$D$10:$D$1274,$C123)</f>
        <v>0</v>
      </c>
    </row>
    <row r="124" spans="2:9" ht="31.8" thickBot="1">
      <c r="B124" s="553" t="str">
        <f>IF(C124&gt;0,VLOOKUP(C124,Программа!A$2:B$5063,2))</f>
        <v>Обеспечение населения Тутаевского муниципального района банными услугами</v>
      </c>
      <c r="C124" s="695" t="s">
        <v>2922</v>
      </c>
      <c r="D124" s="682">
        <f>SUMIFS(Пр.10!G$10:G$1274,Пр.10!$D$10:$D$1274,$C124)</f>
        <v>7590000</v>
      </c>
      <c r="E124" s="682">
        <f>SUMIFS(Пр.10!H$10:H$1274,Пр.10!$D$10:$D$1274,$C124)</f>
        <v>0</v>
      </c>
      <c r="F124" s="682">
        <f>SUMIFS(Пр.10!I$10:I$1274,Пр.10!$D$10:$D$1274,$C124)</f>
        <v>7590000</v>
      </c>
      <c r="G124" s="682">
        <f>SUMIFS(Пр.10!J$10:J$1274,Пр.10!$D$10:$D$1274,$C124)</f>
        <v>0</v>
      </c>
      <c r="H124" s="682">
        <f>SUMIFS(Пр.10!K$10:K$1274,Пр.10!$D$10:$D$1274,$C124)</f>
        <v>0</v>
      </c>
      <c r="I124" s="682">
        <f>SUMIFS(Пр.10!L$10:L$1274,Пр.10!$D$10:$D$1274,$C124)</f>
        <v>0</v>
      </c>
    </row>
    <row r="125" spans="2:9" s="527" customFormat="1" ht="16.2" thickBot="1">
      <c r="B125" s="572" t="s">
        <v>1148</v>
      </c>
      <c r="C125" s="573"/>
      <c r="D125" s="683">
        <f>D123+D116+D109+D104+D101+D98+D95+D93+D86+D76+D67+D62+D60+D46+D44+D37+D24+D10</f>
        <v>1268710144</v>
      </c>
      <c r="E125" s="684">
        <f t="shared" ref="E125:F125" si="0">E123+E116+E109+E104+E101+E98+E95+E93+E86+E76+E67+E62+E60+E46+E44+E37+E24+E10</f>
        <v>5631697</v>
      </c>
      <c r="F125" s="683">
        <f t="shared" si="0"/>
        <v>1274341841</v>
      </c>
      <c r="G125" s="685">
        <f>G123+G116+G109+G104+G101+G98+G95+G93+G86+G76+G67+G62+G60+G46+G44+G37+G24+G10</f>
        <v>1168905077</v>
      </c>
      <c r="H125" s="685">
        <f t="shared" ref="H125:I125" si="1">H123+H116+H109+H104+H101+H98+H95+H93+H86+H76+H67+H62+H60+H46+H44+H37+H24+H10</f>
        <v>0</v>
      </c>
      <c r="I125" s="685">
        <f t="shared" si="1"/>
        <v>1168905077</v>
      </c>
    </row>
    <row r="126" spans="2:9" ht="16.2" thickBot="1">
      <c r="B126" s="549" t="str">
        <f>IF(C126&gt;0,VLOOKUP(C126,Программа!A$2:B$5063,2))</f>
        <v>Непрограммные расходы бюджета</v>
      </c>
      <c r="C126" s="550" t="s">
        <v>2852</v>
      </c>
      <c r="D126" s="686">
        <f>SUMIFS(Пр.10!G$10:G$1274,Пр.10!$D$10:$D$1274,$C126)</f>
        <v>80065059</v>
      </c>
      <c r="E126" s="686">
        <f>SUMIFS(Пр.10!H$10:H$1274,Пр.10!$D$10:$D$1274,$C126)</f>
        <v>0</v>
      </c>
      <c r="F126" s="686">
        <f>SUMIFS(Пр.10!I$10:I$1274,Пр.10!$D$10:$D$1274,$C126)</f>
        <v>80065059</v>
      </c>
      <c r="G126" s="686">
        <f>SUMIFS(Пр.10!J$10:J$1274,Пр.10!$D$10:$D$1274,$C126)</f>
        <v>62960243</v>
      </c>
      <c r="H126" s="686">
        <f>SUMIFS(Пр.10!K$10:K$1274,Пр.10!$D$10:$D$1274,$C126)</f>
        <v>0</v>
      </c>
      <c r="I126" s="686">
        <f>SUMIFS(Пр.10!L$10:L$1274,Пр.10!$D$10:$D$1274,$C126)</f>
        <v>62960243</v>
      </c>
    </row>
    <row r="127" spans="2:9" ht="16.2" thickBot="1">
      <c r="B127" s="549" t="str">
        <f>IF(C127&gt;0,VLOOKUP(C127,Программа!A$2:B$5063,2))</f>
        <v>Межбюджетные трансферты  поселениям района</v>
      </c>
      <c r="C127" s="550" t="s">
        <v>2853</v>
      </c>
      <c r="D127" s="686">
        <f>SUMIFS(Пр.10!G$10:G$1274,Пр.10!$D$10:$D$1274,$C127)</f>
        <v>16365382</v>
      </c>
      <c r="E127" s="686">
        <f>SUMIFS(Пр.10!H$10:H$1274,Пр.10!$D$10:$D$1274,$C127)</f>
        <v>11479870</v>
      </c>
      <c r="F127" s="686">
        <f>SUMIFS(Пр.10!I$10:I$1274,Пр.10!$D$10:$D$1274,$C127)</f>
        <v>27845252</v>
      </c>
      <c r="G127" s="686">
        <f>SUMIFS(Пр.10!J$10:J$1274,Пр.10!$D$10:$D$1274,$C127)</f>
        <v>11683000</v>
      </c>
      <c r="H127" s="686">
        <f>SUMIFS(Пр.10!K$10:K$1274,Пр.10!$D$10:$D$1274,$C127)</f>
        <v>0</v>
      </c>
      <c r="I127" s="686">
        <f>SUMIFS(Пр.10!L$10:L$1274,Пр.10!$D$10:$D$1274,$C127)</f>
        <v>11683000</v>
      </c>
    </row>
    <row r="128" spans="2:9" ht="16.2" thickBot="1">
      <c r="B128" s="574" t="s">
        <v>2457</v>
      </c>
      <c r="C128" s="575"/>
      <c r="D128" s="687">
        <f>D125+D126+D127</f>
        <v>1365140585</v>
      </c>
      <c r="E128" s="687">
        <f t="shared" ref="E128:F128" si="2">E125+E126+E127</f>
        <v>17111567</v>
      </c>
      <c r="F128" s="687">
        <f t="shared" si="2"/>
        <v>1382252152</v>
      </c>
      <c r="G128" s="688">
        <f>G125+G126+G127</f>
        <v>1243548320</v>
      </c>
      <c r="H128" s="688">
        <f t="shared" ref="H128:I128" si="3">H125+H126+H127</f>
        <v>0</v>
      </c>
      <c r="I128" s="688">
        <f t="shared" si="3"/>
        <v>1243548320</v>
      </c>
    </row>
  </sheetData>
  <mergeCells count="14">
    <mergeCell ref="H8:H9"/>
    <mergeCell ref="I8:I9"/>
    <mergeCell ref="A1:I1"/>
    <mergeCell ref="A2:I2"/>
    <mergeCell ref="A3:I3"/>
    <mergeCell ref="A4:I4"/>
    <mergeCell ref="A5:I6"/>
    <mergeCell ref="D8:D9"/>
    <mergeCell ref="G8:G9"/>
    <mergeCell ref="A8:A9"/>
    <mergeCell ref="B8:B9"/>
    <mergeCell ref="C8:C9"/>
    <mergeCell ref="E8:E9"/>
    <mergeCell ref="F8:F9"/>
  </mergeCells>
  <pageMargins left="0.70866141732283472" right="0.70866141732283472" top="0.74803149606299213" bottom="0.74803149606299213" header="0.31496062992125984" footer="0.31496062992125984"/>
  <pageSetup paperSize="9" scale="91" fitToHeight="0" orientation="portrait" r:id="rId1"/>
  <headerFooter alignWithMargins="0">
    <oddFooter>&amp;C&amp;P</oddFooter>
  </headerFooter>
</worksheet>
</file>

<file path=xl/worksheets/sheet22.xml><?xml version="1.0" encoding="utf-8"?>
<worksheet xmlns="http://schemas.openxmlformats.org/spreadsheetml/2006/main" xmlns:r="http://schemas.openxmlformats.org/officeDocument/2006/relationships">
  <sheetPr codeName="Лист37"/>
  <dimension ref="A1:D23"/>
  <sheetViews>
    <sheetView showGridLines="0" workbookViewId="0">
      <selection sqref="A1:D1"/>
    </sheetView>
  </sheetViews>
  <sheetFormatPr defaultColWidth="9.109375" defaultRowHeight="13.2"/>
  <cols>
    <col min="1" max="1" width="50.44140625" style="157" customWidth="1"/>
    <col min="2" max="2" width="18" style="157" customWidth="1"/>
    <col min="3" max="3" width="18.5546875" style="157" customWidth="1"/>
    <col min="4" max="4" width="0.33203125" style="157" customWidth="1"/>
    <col min="5" max="16384" width="9.109375" style="157"/>
  </cols>
  <sheetData>
    <row r="1" spans="1:4" ht="15.6">
      <c r="A1" s="892" t="s">
        <v>2493</v>
      </c>
      <c r="B1" s="892"/>
      <c r="C1" s="892"/>
      <c r="D1" s="892"/>
    </row>
    <row r="2" spans="1:4" ht="15.6">
      <c r="A2" s="892" t="s">
        <v>1069</v>
      </c>
      <c r="B2" s="892"/>
      <c r="C2" s="892"/>
      <c r="D2" s="892"/>
    </row>
    <row r="3" spans="1:4" ht="15.6">
      <c r="A3" s="892" t="s">
        <v>720</v>
      </c>
      <c r="B3" s="892"/>
      <c r="C3" s="892"/>
      <c r="D3" s="892"/>
    </row>
    <row r="4" spans="1:4" ht="15.6">
      <c r="A4" s="892" t="s">
        <v>2496</v>
      </c>
      <c r="B4" s="892"/>
      <c r="C4" s="892"/>
      <c r="D4" s="892"/>
    </row>
    <row r="5" spans="1:4" ht="15.6">
      <c r="A5" s="403"/>
      <c r="B5" s="403"/>
      <c r="C5" s="403"/>
      <c r="D5" s="284"/>
    </row>
    <row r="6" spans="1:4" ht="15.6">
      <c r="A6" s="284"/>
      <c r="B6" s="284"/>
      <c r="C6" s="284"/>
      <c r="D6" s="284"/>
    </row>
    <row r="7" spans="1:4" ht="38.25" customHeight="1">
      <c r="A7" s="901" t="s">
        <v>2286</v>
      </c>
      <c r="B7" s="901"/>
      <c r="C7" s="901"/>
      <c r="D7" s="901"/>
    </row>
    <row r="8" spans="1:4" ht="15.6">
      <c r="A8" s="404"/>
      <c r="B8" s="404"/>
      <c r="C8" s="404"/>
      <c r="D8" s="404"/>
    </row>
    <row r="9" spans="1:4" ht="34.5" customHeight="1">
      <c r="A9" s="902" t="s">
        <v>1644</v>
      </c>
      <c r="B9" s="902"/>
      <c r="C9" s="902"/>
      <c r="D9" s="903"/>
    </row>
    <row r="10" spans="1:4" ht="78">
      <c r="A10" s="402" t="s">
        <v>1645</v>
      </c>
      <c r="B10" s="402" t="s">
        <v>2110</v>
      </c>
      <c r="C10" s="402" t="s">
        <v>2111</v>
      </c>
      <c r="D10" s="405"/>
    </row>
    <row r="11" spans="1:4" ht="15.6">
      <c r="A11" s="286" t="s">
        <v>1395</v>
      </c>
      <c r="B11" s="287">
        <f>1670000+C11</f>
        <v>1830000</v>
      </c>
      <c r="C11" s="283">
        <v>160000</v>
      </c>
      <c r="D11" s="288"/>
    </row>
    <row r="12" spans="1:4" ht="15.6">
      <c r="A12" s="286" t="s">
        <v>655</v>
      </c>
      <c r="B12" s="287">
        <f>1810000+C12</f>
        <v>2184000</v>
      </c>
      <c r="C12" s="283">
        <v>374000</v>
      </c>
      <c r="D12" s="288"/>
    </row>
    <row r="13" spans="1:4" ht="15.6">
      <c r="A13" s="289" t="s">
        <v>1148</v>
      </c>
      <c r="B13" s="290">
        <f>SUM(B11:B12)</f>
        <v>4014000</v>
      </c>
      <c r="C13" s="290">
        <f>SUM(C11:C12)</f>
        <v>534000</v>
      </c>
      <c r="D13" s="291"/>
    </row>
    <row r="14" spans="1:4" ht="15.6">
      <c r="A14" s="408"/>
      <c r="B14" s="291"/>
      <c r="C14" s="291"/>
      <c r="D14" s="291"/>
    </row>
    <row r="15" spans="1:4" ht="61.5" customHeight="1">
      <c r="A15" s="902" t="s">
        <v>2508</v>
      </c>
      <c r="B15" s="902"/>
      <c r="C15" s="902"/>
      <c r="D15" s="903"/>
    </row>
    <row r="16" spans="1:4" ht="15.6">
      <c r="A16" s="406" t="s">
        <v>1645</v>
      </c>
      <c r="B16" s="907" t="s">
        <v>2110</v>
      </c>
      <c r="C16" s="908"/>
      <c r="D16" s="407"/>
    </row>
    <row r="17" spans="1:4" ht="15.6">
      <c r="A17" s="286" t="s">
        <v>2497</v>
      </c>
      <c r="B17" s="916">
        <v>335000</v>
      </c>
      <c r="C17" s="917"/>
      <c r="D17" s="288"/>
    </row>
    <row r="18" spans="1:4" ht="15.6">
      <c r="A18" s="286" t="s">
        <v>2498</v>
      </c>
      <c r="B18" s="916">
        <v>1462000</v>
      </c>
      <c r="C18" s="917"/>
      <c r="D18" s="288"/>
    </row>
    <row r="19" spans="1:4" ht="15.6">
      <c r="A19" s="289" t="s">
        <v>1148</v>
      </c>
      <c r="B19" s="918">
        <f>SUM(B17:C18)</f>
        <v>1797000</v>
      </c>
      <c r="C19" s="919"/>
      <c r="D19" s="291"/>
    </row>
    <row r="20" spans="1:4" ht="15.6">
      <c r="A20" s="408"/>
      <c r="B20" s="291"/>
      <c r="C20" s="291"/>
      <c r="D20" s="291"/>
    </row>
    <row r="21" spans="1:4" ht="0.75" customHeight="1">
      <c r="A21" s="408"/>
      <c r="B21" s="291"/>
      <c r="C21" s="291"/>
      <c r="D21" s="291"/>
    </row>
    <row r="22" spans="1:4" ht="15.6" hidden="1">
      <c r="A22" s="408"/>
      <c r="B22" s="291"/>
      <c r="C22" s="291"/>
      <c r="D22" s="291"/>
    </row>
    <row r="23" spans="1:4" ht="15.6" hidden="1">
      <c r="A23" s="284"/>
      <c r="B23" s="284"/>
      <c r="C23" s="284"/>
      <c r="D23" s="284"/>
    </row>
  </sheetData>
  <mergeCells count="11">
    <mergeCell ref="B16:C16"/>
    <mergeCell ref="B17:C17"/>
    <mergeCell ref="B18:C18"/>
    <mergeCell ref="B19:C19"/>
    <mergeCell ref="A9:D9"/>
    <mergeCell ref="A15:D15"/>
    <mergeCell ref="A1:D1"/>
    <mergeCell ref="A2:D2"/>
    <mergeCell ref="A3:D3"/>
    <mergeCell ref="A4:D4"/>
    <mergeCell ref="A7:D7"/>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sheetPr codeName="Лист17"/>
  <dimension ref="A1:D31"/>
  <sheetViews>
    <sheetView showGridLines="0" view="pageBreakPreview" zoomScaleSheetLayoutView="100" workbookViewId="0">
      <selection activeCell="B4" sqref="B4:D4"/>
    </sheetView>
  </sheetViews>
  <sheetFormatPr defaultColWidth="9.109375" defaultRowHeight="15.6"/>
  <cols>
    <col min="1" max="1" width="4.109375" style="309" customWidth="1"/>
    <col min="2" max="2" width="55.109375" style="309" customWidth="1"/>
    <col min="3" max="4" width="13.5546875" style="309" customWidth="1"/>
    <col min="5" max="7" width="9.109375" style="309"/>
    <col min="8" max="8" width="43.44140625" style="309" customWidth="1"/>
    <col min="9" max="16384" width="9.109375" style="309"/>
  </cols>
  <sheetData>
    <row r="1" spans="1:4">
      <c r="A1" s="284"/>
      <c r="B1" s="892" t="s">
        <v>2055</v>
      </c>
      <c r="C1" s="892"/>
      <c r="D1" s="809"/>
    </row>
    <row r="2" spans="1:4">
      <c r="A2" s="284"/>
      <c r="B2" s="892" t="s">
        <v>1069</v>
      </c>
      <c r="C2" s="892"/>
      <c r="D2" s="809"/>
    </row>
    <row r="3" spans="1:4">
      <c r="A3" s="284"/>
      <c r="B3" s="892" t="s">
        <v>720</v>
      </c>
      <c r="C3" s="892"/>
      <c r="D3" s="809"/>
    </row>
    <row r="4" spans="1:4">
      <c r="A4" s="284"/>
      <c r="B4" s="892" t="s">
        <v>2479</v>
      </c>
      <c r="C4" s="892"/>
      <c r="D4" s="809"/>
    </row>
    <row r="5" spans="1:4" ht="6.75" customHeight="1">
      <c r="A5" s="284"/>
      <c r="B5" s="303"/>
      <c r="C5" s="284"/>
      <c r="D5" s="284"/>
    </row>
    <row r="6" spans="1:4" hidden="1">
      <c r="A6" s="284"/>
      <c r="B6" s="284"/>
      <c r="C6" s="284"/>
      <c r="D6" s="284"/>
    </row>
    <row r="7" spans="1:4" ht="48.75" customHeight="1">
      <c r="A7" s="901" t="s">
        <v>2456</v>
      </c>
      <c r="B7" s="901"/>
      <c r="C7" s="901"/>
      <c r="D7" s="813"/>
    </row>
    <row r="8" spans="1:4" ht="60" customHeight="1">
      <c r="A8" s="902" t="s">
        <v>2123</v>
      </c>
      <c r="B8" s="902"/>
      <c r="C8" s="902"/>
      <c r="D8" s="902"/>
    </row>
    <row r="9" spans="1:4" ht="31.2">
      <c r="A9" s="781" t="s">
        <v>1645</v>
      </c>
      <c r="B9" s="781"/>
      <c r="C9" s="324" t="s">
        <v>2414</v>
      </c>
      <c r="D9" s="324" t="s">
        <v>2415</v>
      </c>
    </row>
    <row r="10" spans="1:4">
      <c r="A10" s="921" t="s">
        <v>9</v>
      </c>
      <c r="B10" s="922"/>
      <c r="C10" s="287">
        <v>10400000</v>
      </c>
      <c r="D10" s="287">
        <v>6200000</v>
      </c>
    </row>
    <row r="11" spans="1:4">
      <c r="A11" s="923" t="s">
        <v>1148</v>
      </c>
      <c r="B11" s="924"/>
      <c r="C11" s="310">
        <f>C10</f>
        <v>10400000</v>
      </c>
      <c r="D11" s="310">
        <f>D10</f>
        <v>6200000</v>
      </c>
    </row>
    <row r="12" spans="1:4" ht="12.75" customHeight="1">
      <c r="A12" s="925" t="s">
        <v>2400</v>
      </c>
      <c r="B12" s="925"/>
      <c r="C12" s="925"/>
      <c r="D12" s="925"/>
    </row>
    <row r="13" spans="1:4" ht="27.75" customHeight="1">
      <c r="A13" s="902"/>
      <c r="B13" s="902"/>
      <c r="C13" s="902"/>
      <c r="D13" s="902"/>
    </row>
    <row r="14" spans="1:4" ht="31.2">
      <c r="A14" s="781" t="s">
        <v>1645</v>
      </c>
      <c r="B14" s="781"/>
      <c r="C14" s="324" t="s">
        <v>2414</v>
      </c>
      <c r="D14" s="324" t="s">
        <v>2415</v>
      </c>
    </row>
    <row r="15" spans="1:4">
      <c r="A15" s="921" t="s">
        <v>2190</v>
      </c>
      <c r="B15" s="922"/>
      <c r="C15" s="311">
        <v>1000000</v>
      </c>
      <c r="D15" s="311">
        <v>1500000</v>
      </c>
    </row>
    <row r="16" spans="1:4">
      <c r="A16" s="921" t="s">
        <v>8</v>
      </c>
      <c r="B16" s="922"/>
      <c r="C16" s="311">
        <v>500000</v>
      </c>
      <c r="D16" s="311">
        <v>500000</v>
      </c>
    </row>
    <row r="17" spans="1:4">
      <c r="A17" s="921" t="s">
        <v>2191</v>
      </c>
      <c r="B17" s="922"/>
      <c r="C17" s="287">
        <v>1500000</v>
      </c>
      <c r="D17" s="287">
        <v>1500000</v>
      </c>
    </row>
    <row r="18" spans="1:4">
      <c r="A18" s="921" t="s">
        <v>9</v>
      </c>
      <c r="B18" s="922"/>
      <c r="C18" s="287">
        <v>18000000</v>
      </c>
      <c r="D18" s="287">
        <v>19500000</v>
      </c>
    </row>
    <row r="19" spans="1:4">
      <c r="A19" s="920" t="s">
        <v>1148</v>
      </c>
      <c r="B19" s="920"/>
      <c r="C19" s="81">
        <f>SUM(C15:C18)</f>
        <v>21000000</v>
      </c>
      <c r="D19" s="81">
        <f>SUM(D15:D18)</f>
        <v>23000000</v>
      </c>
    </row>
    <row r="20" spans="1:4">
      <c r="A20" s="925"/>
      <c r="B20" s="925"/>
      <c r="C20" s="925"/>
      <c r="D20" s="926"/>
    </row>
    <row r="21" spans="1:4" ht="51" customHeight="1">
      <c r="A21" s="902" t="s">
        <v>2403</v>
      </c>
      <c r="B21" s="902"/>
      <c r="C21" s="902"/>
      <c r="D21" s="902"/>
    </row>
    <row r="22" spans="1:4" ht="31.2">
      <c r="A22" s="781" t="s">
        <v>1645</v>
      </c>
      <c r="B22" s="781"/>
      <c r="C22" s="324" t="s">
        <v>2414</v>
      </c>
      <c r="D22" s="324" t="s">
        <v>2415</v>
      </c>
    </row>
    <row r="23" spans="1:4">
      <c r="A23" s="921" t="s">
        <v>9</v>
      </c>
      <c r="B23" s="922"/>
      <c r="C23" s="287">
        <v>1000000</v>
      </c>
      <c r="D23" s="287">
        <v>2793765</v>
      </c>
    </row>
    <row r="24" spans="1:4">
      <c r="A24" s="923" t="s">
        <v>1148</v>
      </c>
      <c r="B24" s="924"/>
      <c r="C24" s="310">
        <f>C23</f>
        <v>1000000</v>
      </c>
      <c r="D24" s="310">
        <f>D23</f>
        <v>2793765</v>
      </c>
    </row>
    <row r="25" spans="1:4">
      <c r="A25" s="308"/>
      <c r="B25" s="308"/>
      <c r="C25" s="308"/>
      <c r="D25" s="312"/>
    </row>
    <row r="26" spans="1:4">
      <c r="A26" s="925" t="s">
        <v>2404</v>
      </c>
      <c r="B26" s="925"/>
      <c r="C26" s="925"/>
      <c r="D26" s="925"/>
    </row>
    <row r="27" spans="1:4" ht="54.75" customHeight="1">
      <c r="A27" s="902"/>
      <c r="B27" s="902"/>
      <c r="C27" s="902"/>
      <c r="D27" s="902"/>
    </row>
    <row r="28" spans="1:4" ht="31.2">
      <c r="A28" s="781" t="s">
        <v>1645</v>
      </c>
      <c r="B28" s="781"/>
      <c r="C28" s="324" t="s">
        <v>2414</v>
      </c>
      <c r="D28" s="324" t="s">
        <v>2415</v>
      </c>
    </row>
    <row r="29" spans="1:4">
      <c r="A29" s="921" t="s">
        <v>1395</v>
      </c>
      <c r="B29" s="922"/>
      <c r="C29" s="311">
        <v>1424800</v>
      </c>
      <c r="D29" s="311">
        <v>0</v>
      </c>
    </row>
    <row r="30" spans="1:4">
      <c r="A30" s="920" t="s">
        <v>1148</v>
      </c>
      <c r="B30" s="920"/>
      <c r="C30" s="81">
        <f>SUM(C29:C29)</f>
        <v>1424800</v>
      </c>
      <c r="D30" s="81">
        <f>SUM(D29:D29)</f>
        <v>0</v>
      </c>
    </row>
    <row r="31" spans="1:4" ht="15.75" customHeight="1">
      <c r="A31" s="920" t="s">
        <v>2203</v>
      </c>
      <c r="B31" s="920"/>
      <c r="C31" s="380">
        <f>C11+C19+C24+C30</f>
        <v>33824800</v>
      </c>
      <c r="D31" s="380">
        <f>D11+D19+D24+D30</f>
        <v>31993765</v>
      </c>
    </row>
  </sheetData>
  <mergeCells count="26">
    <mergeCell ref="A8:D8"/>
    <mergeCell ref="A14:B14"/>
    <mergeCell ref="A9:B9"/>
    <mergeCell ref="A20:D20"/>
    <mergeCell ref="A19:B19"/>
    <mergeCell ref="A10:B10"/>
    <mergeCell ref="A12:D13"/>
    <mergeCell ref="A15:B15"/>
    <mergeCell ref="A16:B16"/>
    <mergeCell ref="A18:B18"/>
    <mergeCell ref="A11:B11"/>
    <mergeCell ref="A17:B17"/>
    <mergeCell ref="B1:D1"/>
    <mergeCell ref="B2:D2"/>
    <mergeCell ref="B3:D3"/>
    <mergeCell ref="B4:D4"/>
    <mergeCell ref="A7:D7"/>
    <mergeCell ref="A31:B31"/>
    <mergeCell ref="A22:B22"/>
    <mergeCell ref="A23:B23"/>
    <mergeCell ref="A24:B24"/>
    <mergeCell ref="A21:D21"/>
    <mergeCell ref="A30:B30"/>
    <mergeCell ref="A26:D27"/>
    <mergeCell ref="A28:B28"/>
    <mergeCell ref="A29:B29"/>
  </mergeCells>
  <phoneticPr fontId="36" type="noConversion"/>
  <pageMargins left="0.70866141732283472" right="0.70866141732283472" top="0.74803149606299213" bottom="0.74803149606299213" header="0.31496062992125984" footer="0.31496062992125984"/>
  <pageSetup paperSize="9" orientation="portrait" r:id="rId1"/>
  <headerFooter alignWithMargins="0">
    <oddFooter>&amp;C&amp;P</oddFooter>
  </headerFooter>
</worksheet>
</file>

<file path=xl/worksheets/sheet24.xml><?xml version="1.0" encoding="utf-8"?>
<worksheet xmlns="http://schemas.openxmlformats.org/spreadsheetml/2006/main" xmlns:r="http://schemas.openxmlformats.org/officeDocument/2006/relationships">
  <sheetPr codeName="Лист18"/>
  <dimension ref="A1:D17"/>
  <sheetViews>
    <sheetView view="pageBreakPreview" zoomScaleSheetLayoutView="100" workbookViewId="0">
      <selection activeCell="A4" sqref="A4:D4"/>
    </sheetView>
  </sheetViews>
  <sheetFormatPr defaultRowHeight="13.2" outlineLevelCol="1"/>
  <cols>
    <col min="1" max="1" width="64" customWidth="1"/>
    <col min="2" max="2" width="12.88671875" hidden="1" customWidth="1" outlineLevel="1"/>
    <col min="3" max="3" width="13.33203125" hidden="1" customWidth="1" outlineLevel="1"/>
    <col min="4" max="4" width="18" customWidth="1" collapsed="1"/>
    <col min="8" max="8" width="43.44140625" customWidth="1"/>
  </cols>
  <sheetData>
    <row r="1" spans="1:4" ht="15.6">
      <c r="A1" s="782" t="s">
        <v>2054</v>
      </c>
      <c r="B1" s="782"/>
      <c r="C1" s="782"/>
      <c r="D1" s="782"/>
    </row>
    <row r="2" spans="1:4" ht="15.6">
      <c r="A2" s="782" t="s">
        <v>1069</v>
      </c>
      <c r="B2" s="782"/>
      <c r="C2" s="782"/>
      <c r="D2" s="782"/>
    </row>
    <row r="3" spans="1:4" ht="15.6">
      <c r="A3" s="782" t="s">
        <v>720</v>
      </c>
      <c r="B3" s="782"/>
      <c r="C3" s="782"/>
      <c r="D3" s="782"/>
    </row>
    <row r="4" spans="1:4" ht="15.6">
      <c r="A4" s="782" t="s">
        <v>2479</v>
      </c>
      <c r="B4" s="782"/>
      <c r="C4" s="782"/>
      <c r="D4" s="782"/>
    </row>
    <row r="5" spans="1:4">
      <c r="A5" s="113"/>
      <c r="B5" s="113"/>
      <c r="C5" s="113"/>
    </row>
    <row r="7" spans="1:4" ht="49.5" customHeight="1">
      <c r="A7" s="783" t="s">
        <v>2402</v>
      </c>
      <c r="B7" s="783"/>
      <c r="C7" s="783"/>
      <c r="D7" s="783"/>
    </row>
    <row r="8" spans="1:4" ht="49.5" customHeight="1">
      <c r="A8" s="6"/>
      <c r="B8" s="6"/>
      <c r="C8" s="6"/>
    </row>
    <row r="9" spans="1:4" ht="38.25" customHeight="1">
      <c r="A9" s="783" t="s">
        <v>739</v>
      </c>
      <c r="B9" s="783"/>
      <c r="C9" s="783"/>
      <c r="D9" s="783"/>
    </row>
    <row r="10" spans="1:4" ht="17.399999999999999">
      <c r="A10" s="23"/>
      <c r="B10" s="23"/>
      <c r="C10" s="23"/>
    </row>
    <row r="11" spans="1:4" ht="18" thickBot="1">
      <c r="A11" s="23"/>
      <c r="B11" s="23"/>
      <c r="C11" s="23"/>
    </row>
    <row r="12" spans="1:4" ht="31.2">
      <c r="A12" s="147" t="s">
        <v>1645</v>
      </c>
      <c r="B12" s="148" t="s">
        <v>2458</v>
      </c>
      <c r="C12" s="148" t="s">
        <v>636</v>
      </c>
      <c r="D12" s="324" t="s">
        <v>2413</v>
      </c>
    </row>
    <row r="13" spans="1:4" ht="15.6">
      <c r="A13" s="149" t="s">
        <v>1395</v>
      </c>
      <c r="B13" s="254">
        <v>59000</v>
      </c>
      <c r="C13" s="254"/>
      <c r="D13" s="252">
        <f>B13+C13</f>
        <v>59000</v>
      </c>
    </row>
    <row r="14" spans="1:4" ht="15.6">
      <c r="A14" s="149" t="s">
        <v>654</v>
      </c>
      <c r="B14" s="254">
        <v>59000</v>
      </c>
      <c r="C14" s="254"/>
      <c r="D14" s="252">
        <f t="shared" ref="D14:D17" si="0">B14+C14</f>
        <v>59000</v>
      </c>
    </row>
    <row r="15" spans="1:4" ht="15.6">
      <c r="A15" s="149" t="s">
        <v>8</v>
      </c>
      <c r="B15" s="254">
        <v>388000</v>
      </c>
      <c r="C15" s="254"/>
      <c r="D15" s="252">
        <f t="shared" si="0"/>
        <v>388000</v>
      </c>
    </row>
    <row r="16" spans="1:4" ht="15.6">
      <c r="A16" s="149" t="s">
        <v>655</v>
      </c>
      <c r="B16" s="254">
        <v>194000</v>
      </c>
      <c r="C16" s="254"/>
      <c r="D16" s="252">
        <f t="shared" si="0"/>
        <v>194000</v>
      </c>
    </row>
    <row r="17" spans="1:4" ht="16.2" thickBot="1">
      <c r="A17" s="150" t="s">
        <v>1148</v>
      </c>
      <c r="B17" s="253">
        <v>700000</v>
      </c>
      <c r="C17" s="253">
        <f>SUM(C13:C16)</f>
        <v>0</v>
      </c>
      <c r="D17" s="386">
        <f t="shared" si="0"/>
        <v>700000</v>
      </c>
    </row>
  </sheetData>
  <mergeCells count="6">
    <mergeCell ref="A7:D7"/>
    <mergeCell ref="A9:D9"/>
    <mergeCell ref="A1:D1"/>
    <mergeCell ref="A2:D2"/>
    <mergeCell ref="A3:D3"/>
    <mergeCell ref="A4:D4"/>
  </mergeCells>
  <phoneticPr fontId="36" type="noConversion"/>
  <pageMargins left="0.70866141732283472" right="0.70866141732283472" top="0.74803149606299213" bottom="0.74803149606299213" header="0.31496062992125984" footer="0.31496062992125984"/>
  <pageSetup paperSize="9" scale="82" orientation="portrait" r:id="rId1"/>
  <headerFooter alignWithMargins="0">
    <oddFooter>&amp;C&amp;P</oddFooter>
  </headerFooter>
</worksheet>
</file>

<file path=xl/worksheets/sheet25.xml><?xml version="1.0" encoding="utf-8"?>
<worksheet xmlns="http://schemas.openxmlformats.org/spreadsheetml/2006/main" xmlns:r="http://schemas.openxmlformats.org/officeDocument/2006/relationships">
  <sheetPr codeName="Лист19"/>
  <dimension ref="A1:E17"/>
  <sheetViews>
    <sheetView showGridLines="0" view="pageBreakPreview" zoomScale="115" zoomScaleSheetLayoutView="115" workbookViewId="0">
      <selection activeCell="A9" sqref="A9:E9"/>
    </sheetView>
  </sheetViews>
  <sheetFormatPr defaultColWidth="9.109375" defaultRowHeight="15.6"/>
  <cols>
    <col min="1" max="1" width="59" style="319" customWidth="1"/>
    <col min="2" max="3" width="0" style="319" hidden="1" customWidth="1"/>
    <col min="4" max="4" width="14.88671875" style="319" customWidth="1"/>
    <col min="5" max="5" width="14.44140625" style="319" customWidth="1"/>
    <col min="6" max="7" width="9.109375" style="319"/>
    <col min="8" max="8" width="43.44140625" style="319" customWidth="1"/>
    <col min="9" max="16384" width="9.109375" style="319"/>
  </cols>
  <sheetData>
    <row r="1" spans="1:5">
      <c r="A1" s="892" t="s">
        <v>2057</v>
      </c>
      <c r="B1" s="892"/>
      <c r="C1" s="892"/>
      <c r="D1" s="892"/>
      <c r="E1" s="809"/>
    </row>
    <row r="2" spans="1:5">
      <c r="A2" s="892" t="s">
        <v>1069</v>
      </c>
      <c r="B2" s="892"/>
      <c r="C2" s="892"/>
      <c r="D2" s="892"/>
      <c r="E2" s="809"/>
    </row>
    <row r="3" spans="1:5">
      <c r="A3" s="892" t="s">
        <v>720</v>
      </c>
      <c r="B3" s="892"/>
      <c r="C3" s="892"/>
      <c r="D3" s="892"/>
      <c r="E3" s="809"/>
    </row>
    <row r="4" spans="1:5">
      <c r="A4" s="892" t="s">
        <v>2479</v>
      </c>
      <c r="B4" s="892"/>
      <c r="C4" s="892"/>
      <c r="D4" s="892"/>
      <c r="E4" s="809"/>
    </row>
    <row r="5" spans="1:5">
      <c r="A5" s="303"/>
      <c r="B5" s="303"/>
      <c r="C5" s="303"/>
      <c r="D5" s="284"/>
      <c r="E5" s="298"/>
    </row>
    <row r="6" spans="1:5">
      <c r="A6" s="284"/>
      <c r="B6" s="284"/>
      <c r="C6" s="284"/>
      <c r="D6" s="284"/>
      <c r="E6" s="298"/>
    </row>
    <row r="7" spans="1:5" ht="42" customHeight="1">
      <c r="A7" s="901" t="s">
        <v>2401</v>
      </c>
      <c r="B7" s="901"/>
      <c r="C7" s="901"/>
      <c r="D7" s="901"/>
      <c r="E7" s="813"/>
    </row>
    <row r="8" spans="1:5">
      <c r="A8" s="304"/>
      <c r="B8" s="304"/>
      <c r="C8" s="304"/>
      <c r="D8" s="284"/>
      <c r="E8" s="298"/>
    </row>
    <row r="9" spans="1:5" ht="32.25" customHeight="1">
      <c r="A9" s="901" t="s">
        <v>739</v>
      </c>
      <c r="B9" s="901"/>
      <c r="C9" s="901"/>
      <c r="D9" s="901"/>
      <c r="E9" s="927"/>
    </row>
    <row r="10" spans="1:5" ht="16.2" thickBot="1">
      <c r="A10" s="320"/>
      <c r="B10" s="320"/>
      <c r="C10" s="320"/>
      <c r="D10" s="284"/>
      <c r="E10" s="298"/>
    </row>
    <row r="11" spans="1:5" ht="16.2" hidden="1" thickBot="1">
      <c r="A11" s="320"/>
      <c r="B11" s="320"/>
      <c r="C11" s="320"/>
      <c r="D11" s="284"/>
      <c r="E11" s="298"/>
    </row>
    <row r="12" spans="1:5" ht="46.8">
      <c r="A12" s="315" t="s">
        <v>1645</v>
      </c>
      <c r="B12" s="316" t="s">
        <v>1591</v>
      </c>
      <c r="C12" s="316" t="s">
        <v>636</v>
      </c>
      <c r="D12" s="324" t="s">
        <v>2414</v>
      </c>
      <c r="E12" s="324" t="s">
        <v>2415</v>
      </c>
    </row>
    <row r="13" spans="1:5">
      <c r="A13" s="317" t="s">
        <v>1395</v>
      </c>
      <c r="B13" s="114"/>
      <c r="C13" s="114"/>
      <c r="D13" s="321">
        <v>60000</v>
      </c>
      <c r="E13" s="321">
        <v>60000</v>
      </c>
    </row>
    <row r="14" spans="1:5">
      <c r="A14" s="317" t="s">
        <v>654</v>
      </c>
      <c r="B14" s="114"/>
      <c r="C14" s="114"/>
      <c r="D14" s="321">
        <v>60000</v>
      </c>
      <c r="E14" s="321">
        <v>60000</v>
      </c>
    </row>
    <row r="15" spans="1:5">
      <c r="A15" s="317" t="s">
        <v>8</v>
      </c>
      <c r="B15" s="114"/>
      <c r="C15" s="114"/>
      <c r="D15" s="321">
        <v>388000</v>
      </c>
      <c r="E15" s="321">
        <v>388000</v>
      </c>
    </row>
    <row r="16" spans="1:5">
      <c r="A16" s="317" t="s">
        <v>655</v>
      </c>
      <c r="B16" s="114"/>
      <c r="C16" s="114"/>
      <c r="D16" s="321">
        <v>194000</v>
      </c>
      <c r="E16" s="321">
        <v>194000</v>
      </c>
    </row>
    <row r="17" spans="1:5" ht="16.2" thickBot="1">
      <c r="A17" s="318" t="s">
        <v>1148</v>
      </c>
      <c r="B17" s="322">
        <f>SUM(B13:B16)</f>
        <v>0</v>
      </c>
      <c r="C17" s="322">
        <f>SUM(C13:C16)</f>
        <v>0</v>
      </c>
      <c r="D17" s="323">
        <f>SUM(D13:D16)</f>
        <v>702000</v>
      </c>
      <c r="E17" s="323">
        <f>SUM(E13:E16)</f>
        <v>702000</v>
      </c>
    </row>
  </sheetData>
  <mergeCells count="6">
    <mergeCell ref="A7:E7"/>
    <mergeCell ref="A9:E9"/>
    <mergeCell ref="A1:E1"/>
    <mergeCell ref="A2:E2"/>
    <mergeCell ref="A3:E3"/>
    <mergeCell ref="A4:E4"/>
  </mergeCells>
  <pageMargins left="0.70866141732283472" right="0.70866141732283472" top="0.74803149606299213" bottom="0.74803149606299213" header="0.31496062992125984" footer="0.31496062992125984"/>
  <pageSetup paperSize="9" orientation="portrait" r:id="rId1"/>
  <headerFooter alignWithMargins="0">
    <oddFooter>&amp;C&amp;P</oddFooter>
  </headerFooter>
</worksheet>
</file>

<file path=xl/worksheets/sheet26.xml><?xml version="1.0" encoding="utf-8"?>
<worksheet xmlns="http://schemas.openxmlformats.org/spreadsheetml/2006/main" xmlns:r="http://schemas.openxmlformats.org/officeDocument/2006/relationships">
  <sheetPr codeName="Лист20"/>
  <dimension ref="A1:E24"/>
  <sheetViews>
    <sheetView view="pageBreakPreview" zoomScaleSheetLayoutView="100" workbookViewId="0">
      <selection activeCell="A4" sqref="A4:E4"/>
    </sheetView>
  </sheetViews>
  <sheetFormatPr defaultColWidth="9.109375" defaultRowHeight="13.2" outlineLevelCol="1"/>
  <cols>
    <col min="1" max="1" width="4.44140625" style="157" customWidth="1"/>
    <col min="2" max="2" width="43.33203125" style="157" customWidth="1"/>
    <col min="3" max="3" width="11.6640625" style="157" hidden="1" customWidth="1" outlineLevel="1"/>
    <col min="4" max="4" width="12.6640625" style="157" hidden="1" customWidth="1" outlineLevel="1"/>
    <col min="5" max="5" width="17.5546875" style="157" customWidth="1" collapsed="1"/>
    <col min="6" max="16384" width="9.109375" style="157"/>
  </cols>
  <sheetData>
    <row r="1" spans="1:5" ht="18">
      <c r="A1" s="930" t="s">
        <v>2207</v>
      </c>
      <c r="B1" s="931"/>
      <c r="C1" s="931"/>
      <c r="D1" s="932"/>
      <c r="E1" s="932"/>
    </row>
    <row r="2" spans="1:5" ht="18">
      <c r="A2" s="930" t="s">
        <v>1069</v>
      </c>
      <c r="B2" s="931"/>
      <c r="C2" s="931"/>
      <c r="D2" s="932"/>
      <c r="E2" s="932"/>
    </row>
    <row r="3" spans="1:5" ht="18">
      <c r="A3" s="930" t="s">
        <v>720</v>
      </c>
      <c r="B3" s="931"/>
      <c r="C3" s="931"/>
      <c r="D3" s="932"/>
      <c r="E3" s="932"/>
    </row>
    <row r="4" spans="1:5" ht="18">
      <c r="A4" s="930" t="s">
        <v>2219</v>
      </c>
      <c r="B4" s="931"/>
      <c r="C4" s="931"/>
      <c r="D4" s="932"/>
      <c r="E4" s="932"/>
    </row>
    <row r="5" spans="1:5" ht="18">
      <c r="A5" s="160"/>
      <c r="B5"/>
      <c r="C5"/>
      <c r="D5" s="109"/>
      <c r="E5" s="109"/>
    </row>
    <row r="6" spans="1:5" ht="59.25" customHeight="1">
      <c r="A6" s="933" t="s">
        <v>2121</v>
      </c>
      <c r="B6" s="934"/>
      <c r="C6" s="934"/>
      <c r="D6" s="935"/>
      <c r="E6" s="935"/>
    </row>
    <row r="7" spans="1:5" ht="18.600000000000001" thickBot="1">
      <c r="A7" s="160"/>
      <c r="B7"/>
      <c r="C7"/>
      <c r="D7" s="109"/>
      <c r="E7" s="109"/>
    </row>
    <row r="8" spans="1:5" ht="12.75" customHeight="1">
      <c r="A8" s="936" t="s">
        <v>2061</v>
      </c>
      <c r="B8" s="938" t="s">
        <v>2062</v>
      </c>
      <c r="C8" s="928" t="s">
        <v>2063</v>
      </c>
      <c r="D8" s="928" t="s">
        <v>1140</v>
      </c>
      <c r="E8" s="928" t="s">
        <v>1103</v>
      </c>
    </row>
    <row r="9" spans="1:5" ht="13.5" customHeight="1" thickBot="1">
      <c r="A9" s="937"/>
      <c r="B9" s="939"/>
      <c r="C9" s="929"/>
      <c r="D9" s="929"/>
      <c r="E9" s="929"/>
    </row>
    <row r="10" spans="1:5" ht="47.25" customHeight="1">
      <c r="A10" s="209">
        <v>1</v>
      </c>
      <c r="B10" s="212" t="s">
        <v>2178</v>
      </c>
      <c r="C10" s="215">
        <f>605000+337500+45000+120400</f>
        <v>1107900</v>
      </c>
      <c r="D10" s="255"/>
      <c r="E10" s="215">
        <f>SUM(C10:D10)</f>
        <v>1107900</v>
      </c>
    </row>
    <row r="11" spans="1:5" ht="51.75" customHeight="1">
      <c r="A11" s="209">
        <v>2</v>
      </c>
      <c r="B11" s="212" t="s">
        <v>2195</v>
      </c>
      <c r="C11" s="215">
        <v>1386000</v>
      </c>
      <c r="D11" s="255"/>
      <c r="E11" s="215">
        <f t="shared" ref="E11:E23" si="0">SUM(C11:D11)</f>
        <v>1386000</v>
      </c>
    </row>
    <row r="12" spans="1:5" ht="49.5" customHeight="1">
      <c r="A12" s="209">
        <v>3</v>
      </c>
      <c r="B12" s="213" t="s">
        <v>2181</v>
      </c>
      <c r="C12" s="210">
        <f>8300+56000+24000</f>
        <v>88300</v>
      </c>
      <c r="D12" s="256"/>
      <c r="E12" s="215">
        <f t="shared" si="0"/>
        <v>88300</v>
      </c>
    </row>
    <row r="13" spans="1:5" ht="61.5" customHeight="1">
      <c r="A13" s="202">
        <v>4</v>
      </c>
      <c r="B13" s="53" t="s">
        <v>2163</v>
      </c>
      <c r="C13" s="216">
        <v>600000</v>
      </c>
      <c r="D13" s="256">
        <v>1200000</v>
      </c>
      <c r="E13" s="215">
        <f t="shared" si="0"/>
        <v>1800000</v>
      </c>
    </row>
    <row r="14" spans="1:5" ht="33" customHeight="1">
      <c r="A14" s="201">
        <v>5</v>
      </c>
      <c r="B14" s="53" t="s">
        <v>2164</v>
      </c>
      <c r="C14" s="210">
        <v>40503750</v>
      </c>
      <c r="D14" s="256">
        <v>1054000</v>
      </c>
      <c r="E14" s="215">
        <f t="shared" si="0"/>
        <v>41557750</v>
      </c>
    </row>
    <row r="15" spans="1:5" ht="48" customHeight="1">
      <c r="A15" s="201">
        <v>6</v>
      </c>
      <c r="B15" s="53" t="s">
        <v>2192</v>
      </c>
      <c r="C15" s="210">
        <v>300000</v>
      </c>
      <c r="D15" s="256"/>
      <c r="E15" s="215">
        <f t="shared" si="0"/>
        <v>300000</v>
      </c>
    </row>
    <row r="16" spans="1:5" ht="63.75" customHeight="1">
      <c r="A16" s="201">
        <v>7</v>
      </c>
      <c r="B16" s="53" t="s">
        <v>2175</v>
      </c>
      <c r="C16" s="210">
        <v>350000</v>
      </c>
      <c r="D16" s="256"/>
      <c r="E16" s="215">
        <f t="shared" si="0"/>
        <v>350000</v>
      </c>
    </row>
    <row r="17" spans="1:5" ht="36" customHeight="1">
      <c r="A17" s="201">
        <v>8</v>
      </c>
      <c r="B17" s="213" t="s">
        <v>2176</v>
      </c>
      <c r="C17" s="210">
        <f>723000+464500+2201390</f>
        <v>3388890</v>
      </c>
      <c r="D17" s="256"/>
      <c r="E17" s="215">
        <f t="shared" si="0"/>
        <v>3388890</v>
      </c>
    </row>
    <row r="18" spans="1:5" ht="53.25" customHeight="1">
      <c r="A18" s="201">
        <v>9</v>
      </c>
      <c r="B18" s="53" t="s">
        <v>2179</v>
      </c>
      <c r="C18" s="210">
        <v>700000</v>
      </c>
      <c r="D18" s="256"/>
      <c r="E18" s="215">
        <f t="shared" si="0"/>
        <v>700000</v>
      </c>
    </row>
    <row r="19" spans="1:5" ht="46.8">
      <c r="A19" s="201">
        <v>10</v>
      </c>
      <c r="B19" s="53" t="s">
        <v>2182</v>
      </c>
      <c r="C19" s="210">
        <v>400000</v>
      </c>
      <c r="D19" s="256"/>
      <c r="E19" s="215">
        <f t="shared" si="0"/>
        <v>400000</v>
      </c>
    </row>
    <row r="20" spans="1:5" ht="62.25" customHeight="1">
      <c r="A20" s="203">
        <v>11</v>
      </c>
      <c r="B20" s="213" t="s">
        <v>2183</v>
      </c>
      <c r="C20" s="210">
        <v>450000</v>
      </c>
      <c r="D20" s="256"/>
      <c r="E20" s="215">
        <f t="shared" si="0"/>
        <v>450000</v>
      </c>
    </row>
    <row r="21" spans="1:5" ht="33" customHeight="1">
      <c r="A21" s="201">
        <v>12</v>
      </c>
      <c r="B21" s="53" t="s">
        <v>2215</v>
      </c>
      <c r="C21" s="210">
        <v>11111</v>
      </c>
      <c r="D21" s="256"/>
      <c r="E21" s="215">
        <f t="shared" si="0"/>
        <v>11111</v>
      </c>
    </row>
    <row r="22" spans="1:5" ht="64.5" customHeight="1">
      <c r="A22" s="201">
        <v>13</v>
      </c>
      <c r="B22" s="213" t="s">
        <v>2214</v>
      </c>
      <c r="C22" s="210"/>
      <c r="D22" s="256">
        <v>1000000</v>
      </c>
      <c r="E22" s="215">
        <f t="shared" si="0"/>
        <v>1000000</v>
      </c>
    </row>
    <row r="23" spans="1:5" ht="0.75" customHeight="1" thickBot="1">
      <c r="A23" s="204"/>
      <c r="B23" s="205"/>
      <c r="C23" s="214"/>
      <c r="D23" s="257"/>
      <c r="E23" s="215">
        <f t="shared" si="0"/>
        <v>0</v>
      </c>
    </row>
    <row r="24" spans="1:5" ht="16.2" thickBot="1">
      <c r="A24" s="206"/>
      <c r="B24" s="207" t="s">
        <v>1148</v>
      </c>
      <c r="C24" s="208">
        <f>SUM(C10:C23)</f>
        <v>49285951</v>
      </c>
      <c r="D24" s="208">
        <f>SUM(D10:D23)</f>
        <v>3254000</v>
      </c>
      <c r="E24" s="208">
        <f>SUM(E10:E23)</f>
        <v>52539951</v>
      </c>
    </row>
  </sheetData>
  <mergeCells count="10">
    <mergeCell ref="D8:D9"/>
    <mergeCell ref="E8:E9"/>
    <mergeCell ref="A1:E1"/>
    <mergeCell ref="A2:E2"/>
    <mergeCell ref="A3:E3"/>
    <mergeCell ref="A4:E4"/>
    <mergeCell ref="A6:E6"/>
    <mergeCell ref="A8:A9"/>
    <mergeCell ref="B8:B9"/>
    <mergeCell ref="C8:C9"/>
  </mergeCells>
  <pageMargins left="0.70866141732283472" right="0.39370078740157483" top="0.74803149606299213" bottom="0.74803149606299213" header="0.31496062992125984" footer="0.31496062992125984"/>
  <pageSetup paperSize="9" orientation="portrait" r:id="rId1"/>
  <headerFooter alignWithMargins="0">
    <oddFooter>&amp;C&amp;P</oddFooter>
  </headerFooter>
</worksheet>
</file>

<file path=xl/worksheets/sheet27.xml><?xml version="1.0" encoding="utf-8"?>
<worksheet xmlns="http://schemas.openxmlformats.org/spreadsheetml/2006/main" xmlns:r="http://schemas.openxmlformats.org/officeDocument/2006/relationships">
  <sheetPr codeName="Лист21"/>
  <dimension ref="A1:D19"/>
  <sheetViews>
    <sheetView view="pageBreakPreview" zoomScale="115" zoomScaleSheetLayoutView="115" workbookViewId="0">
      <selection activeCell="A4" sqref="A4:D4"/>
    </sheetView>
  </sheetViews>
  <sheetFormatPr defaultColWidth="9.109375" defaultRowHeight="13.2"/>
  <cols>
    <col min="1" max="1" width="4.44140625" style="157" customWidth="1"/>
    <col min="2" max="2" width="49.5546875" style="157" customWidth="1"/>
    <col min="3" max="4" width="15" style="157" customWidth="1"/>
    <col min="5" max="16384" width="9.109375" style="157"/>
  </cols>
  <sheetData>
    <row r="1" spans="1:4" ht="18">
      <c r="A1" s="930" t="s">
        <v>2208</v>
      </c>
      <c r="B1" s="931"/>
      <c r="C1" s="931"/>
      <c r="D1" s="932"/>
    </row>
    <row r="2" spans="1:4" ht="18">
      <c r="A2" s="930" t="s">
        <v>1069</v>
      </c>
      <c r="B2" s="931"/>
      <c r="C2" s="931"/>
      <c r="D2" s="932"/>
    </row>
    <row r="3" spans="1:4" ht="18">
      <c r="A3" s="930" t="s">
        <v>720</v>
      </c>
      <c r="B3" s="931"/>
      <c r="C3" s="931"/>
      <c r="D3" s="932"/>
    </row>
    <row r="4" spans="1:4" ht="18">
      <c r="A4" s="930" t="s">
        <v>2220</v>
      </c>
      <c r="B4" s="931"/>
      <c r="C4" s="931"/>
      <c r="D4" s="932"/>
    </row>
    <row r="5" spans="1:4" ht="18">
      <c r="A5" s="160"/>
      <c r="B5"/>
      <c r="C5"/>
      <c r="D5"/>
    </row>
    <row r="6" spans="1:4" ht="40.5" customHeight="1">
      <c r="A6" s="933" t="s">
        <v>2118</v>
      </c>
      <c r="B6" s="934"/>
      <c r="C6" s="934"/>
      <c r="D6" s="935"/>
    </row>
    <row r="7" spans="1:4" ht="18.600000000000001" thickBot="1">
      <c r="A7" s="160"/>
      <c r="B7"/>
      <c r="C7"/>
      <c r="D7"/>
    </row>
    <row r="8" spans="1:4" ht="12.75" customHeight="1">
      <c r="A8" s="940" t="s">
        <v>2061</v>
      </c>
      <c r="B8" s="940" t="s">
        <v>2062</v>
      </c>
      <c r="C8" s="940" t="s">
        <v>2119</v>
      </c>
      <c r="D8" s="940" t="s">
        <v>2120</v>
      </c>
    </row>
    <row r="9" spans="1:4" ht="13.5" customHeight="1" thickBot="1">
      <c r="A9" s="941"/>
      <c r="B9" s="941"/>
      <c r="C9" s="941"/>
      <c r="D9" s="941"/>
    </row>
    <row r="10" spans="1:4" ht="31.2" hidden="1">
      <c r="A10" s="209">
        <v>1</v>
      </c>
      <c r="B10" s="212" t="s">
        <v>2178</v>
      </c>
      <c r="C10" s="215">
        <v>0</v>
      </c>
      <c r="D10" s="215">
        <v>0</v>
      </c>
    </row>
    <row r="11" spans="1:4" ht="46.8">
      <c r="A11" s="202">
        <v>1</v>
      </c>
      <c r="B11" s="212" t="s">
        <v>2195</v>
      </c>
      <c r="C11" s="216">
        <v>1386000</v>
      </c>
      <c r="D11" s="216">
        <v>1386000</v>
      </c>
    </row>
    <row r="12" spans="1:4" ht="46.8" hidden="1">
      <c r="A12" s="201">
        <v>3</v>
      </c>
      <c r="B12" s="213" t="s">
        <v>2181</v>
      </c>
      <c r="C12" s="210">
        <v>0</v>
      </c>
      <c r="D12" s="210">
        <v>0</v>
      </c>
    </row>
    <row r="13" spans="1:4" ht="31.2">
      <c r="A13" s="201">
        <v>2</v>
      </c>
      <c r="B13" s="53" t="s">
        <v>2192</v>
      </c>
      <c r="C13" s="210">
        <v>300000</v>
      </c>
      <c r="D13" s="210">
        <v>300000</v>
      </c>
    </row>
    <row r="14" spans="1:4" ht="46.8">
      <c r="A14" s="201">
        <v>3</v>
      </c>
      <c r="B14" s="53" t="s">
        <v>2175</v>
      </c>
      <c r="C14" s="210">
        <v>350000</v>
      </c>
      <c r="D14" s="210">
        <v>0</v>
      </c>
    </row>
    <row r="15" spans="1:4" ht="16.2" thickBot="1">
      <c r="A15" s="201">
        <v>4</v>
      </c>
      <c r="B15" s="213" t="s">
        <v>2176</v>
      </c>
      <c r="C15" s="210">
        <v>1696300</v>
      </c>
      <c r="D15" s="210">
        <v>611200</v>
      </c>
    </row>
    <row r="16" spans="1:4" ht="31.8" hidden="1" thickBot="1">
      <c r="A16" s="201">
        <v>8</v>
      </c>
      <c r="B16" s="53" t="s">
        <v>2179</v>
      </c>
      <c r="C16" s="210">
        <v>0</v>
      </c>
      <c r="D16" s="210">
        <v>0</v>
      </c>
    </row>
    <row r="17" spans="1:4" ht="46.8" hidden="1">
      <c r="A17" s="201">
        <v>9</v>
      </c>
      <c r="B17" s="53" t="s">
        <v>2182</v>
      </c>
      <c r="C17" s="210"/>
      <c r="D17" s="210"/>
    </row>
    <row r="18" spans="1:4" ht="47.4" hidden="1" thickBot="1">
      <c r="A18" s="203">
        <v>10</v>
      </c>
      <c r="B18" s="213" t="s">
        <v>2183</v>
      </c>
      <c r="C18" s="210"/>
      <c r="D18" s="210"/>
    </row>
    <row r="19" spans="1:4" ht="16.2" thickBot="1">
      <c r="A19" s="200"/>
      <c r="B19" s="211" t="s">
        <v>1148</v>
      </c>
      <c r="C19" s="172">
        <f>SUM(C10:C18)</f>
        <v>3732300</v>
      </c>
      <c r="D19" s="172">
        <f>SUM(D10:D18)</f>
        <v>2297200</v>
      </c>
    </row>
  </sheetData>
  <mergeCells count="9">
    <mergeCell ref="D8:D9"/>
    <mergeCell ref="A1:D1"/>
    <mergeCell ref="A2:D2"/>
    <mergeCell ref="A3:D3"/>
    <mergeCell ref="A4:D4"/>
    <mergeCell ref="A6:D6"/>
    <mergeCell ref="A8:A9"/>
    <mergeCell ref="B8:B9"/>
    <mergeCell ref="C8:C9"/>
  </mergeCells>
  <pageMargins left="0.70866141732283472" right="0.70866141732283472" top="0.74803149606299213" bottom="0.74803149606299213" header="0.31496062992125984" footer="0.31496062992125984"/>
  <pageSetup paperSize="9" orientation="portrait" r:id="rId1"/>
  <headerFooter alignWithMargins="0">
    <oddFooter>&amp;C&amp;P</oddFooter>
  </headerFooter>
</worksheet>
</file>

<file path=xl/worksheets/sheet28.xml><?xml version="1.0" encoding="utf-8"?>
<worksheet xmlns="http://schemas.openxmlformats.org/spreadsheetml/2006/main" xmlns:r="http://schemas.openxmlformats.org/officeDocument/2006/relationships">
  <sheetPr codeName="Лист22"/>
  <dimension ref="A1:C16"/>
  <sheetViews>
    <sheetView view="pageBreakPreview" zoomScaleSheetLayoutView="100" workbookViewId="0">
      <selection activeCell="C14" sqref="C14"/>
    </sheetView>
  </sheetViews>
  <sheetFormatPr defaultColWidth="9.109375" defaultRowHeight="13.2"/>
  <cols>
    <col min="1" max="1" width="17" style="162" bestFit="1" customWidth="1"/>
    <col min="2" max="2" width="45.6640625" style="162" customWidth="1"/>
    <col min="3" max="3" width="24" style="162" customWidth="1"/>
    <col min="4" max="16384" width="9.109375" style="162"/>
  </cols>
  <sheetData>
    <row r="1" spans="1:3" ht="18">
      <c r="A1" s="930" t="s">
        <v>2060</v>
      </c>
      <c r="B1" s="931"/>
      <c r="C1" s="931"/>
    </row>
    <row r="2" spans="1:3" ht="18">
      <c r="A2" s="930" t="s">
        <v>1069</v>
      </c>
      <c r="B2" s="931"/>
      <c r="C2" s="931"/>
    </row>
    <row r="3" spans="1:3" ht="18">
      <c r="A3" s="930" t="s">
        <v>720</v>
      </c>
      <c r="B3" s="931"/>
      <c r="C3" s="931"/>
    </row>
    <row r="4" spans="1:3" ht="18">
      <c r="A4" s="930" t="s">
        <v>2220</v>
      </c>
      <c r="B4" s="931"/>
      <c r="C4" s="931"/>
    </row>
    <row r="5" spans="1:3" ht="18">
      <c r="A5" s="160"/>
      <c r="B5"/>
      <c r="C5"/>
    </row>
    <row r="6" spans="1:3" ht="22.5" customHeight="1">
      <c r="A6" s="933" t="s">
        <v>2066</v>
      </c>
      <c r="B6" s="933"/>
      <c r="C6" s="933"/>
    </row>
    <row r="7" spans="1:3" ht="18.600000000000001" thickBot="1">
      <c r="A7" s="163"/>
      <c r="B7" s="164"/>
      <c r="C7" s="163"/>
    </row>
    <row r="8" spans="1:3" ht="45.75" customHeight="1" thickBot="1">
      <c r="A8" s="219" t="s">
        <v>2064</v>
      </c>
      <c r="B8" s="219" t="s">
        <v>970</v>
      </c>
      <c r="C8" s="219" t="s">
        <v>2202</v>
      </c>
    </row>
    <row r="9" spans="1:3" ht="31.8" thickBot="1">
      <c r="A9" s="219">
        <v>953</v>
      </c>
      <c r="B9" s="167" t="s">
        <v>1036</v>
      </c>
      <c r="C9" s="168">
        <f>C10</f>
        <v>758141021</v>
      </c>
    </row>
    <row r="10" spans="1:3" ht="65.25" customHeight="1" thickBot="1">
      <c r="A10" s="169"/>
      <c r="B10" s="220" t="s">
        <v>2199</v>
      </c>
      <c r="C10" s="170">
        <v>758141021</v>
      </c>
    </row>
    <row r="11" spans="1:3" ht="31.8" thickBot="1">
      <c r="A11" s="218">
        <v>954</v>
      </c>
      <c r="B11" s="171" t="s">
        <v>1208</v>
      </c>
      <c r="C11" s="172">
        <f>C12</f>
        <v>250641233</v>
      </c>
    </row>
    <row r="12" spans="1:3" ht="63" thickBot="1">
      <c r="A12" s="173"/>
      <c r="B12" s="174" t="s">
        <v>2200</v>
      </c>
      <c r="C12" s="175">
        <v>250641233</v>
      </c>
    </row>
    <row r="13" spans="1:3" ht="47.4" thickBot="1">
      <c r="A13" s="176">
        <v>956</v>
      </c>
      <c r="B13" s="177" t="s">
        <v>1256</v>
      </c>
      <c r="C13" s="161">
        <f>C14+C15</f>
        <v>115474108</v>
      </c>
    </row>
    <row r="14" spans="1:3" ht="63" thickBot="1">
      <c r="A14" s="173"/>
      <c r="B14" s="174" t="s">
        <v>2201</v>
      </c>
      <c r="C14" s="175">
        <f>-C15+115474108</f>
        <v>101822800</v>
      </c>
    </row>
    <row r="15" spans="1:3" ht="31.8" thickBot="1">
      <c r="A15" s="176"/>
      <c r="B15" s="174" t="s">
        <v>2198</v>
      </c>
      <c r="C15" s="175">
        <v>13651308</v>
      </c>
    </row>
    <row r="16" spans="1:3" s="221" customFormat="1" ht="16.2" thickBot="1">
      <c r="A16" s="942" t="s">
        <v>1148</v>
      </c>
      <c r="B16" s="943"/>
      <c r="C16" s="161">
        <f>C13+C11+C9</f>
        <v>1124256362</v>
      </c>
    </row>
  </sheetData>
  <mergeCells count="6">
    <mergeCell ref="A16:B16"/>
    <mergeCell ref="A6:C6"/>
    <mergeCell ref="A1:C1"/>
    <mergeCell ref="A2:C2"/>
    <mergeCell ref="A3:C3"/>
    <mergeCell ref="A4:C4"/>
  </mergeCells>
  <pageMargins left="0.70866141732283472" right="0.70866141732283472" top="0.74803149606299213" bottom="0.74803149606299213" header="0.31496062992125984" footer="0.31496062992125984"/>
  <pageSetup paperSize="9" orientation="portrait" r:id="rId1"/>
  <headerFooter alignWithMargins="0">
    <oddFooter>&amp;C&amp;P</oddFooter>
  </headerFooter>
</worksheet>
</file>

<file path=xl/worksheets/sheet29.xml><?xml version="1.0" encoding="utf-8"?>
<worksheet xmlns="http://schemas.openxmlformats.org/spreadsheetml/2006/main" xmlns:r="http://schemas.openxmlformats.org/officeDocument/2006/relationships">
  <sheetPr codeName="Лист23"/>
  <dimension ref="A1:D17"/>
  <sheetViews>
    <sheetView view="pageBreakPreview" topLeftCell="A10" zoomScaleSheetLayoutView="100" workbookViewId="0">
      <selection activeCell="C11" sqref="C11"/>
    </sheetView>
  </sheetViews>
  <sheetFormatPr defaultColWidth="9.109375" defaultRowHeight="13.2"/>
  <cols>
    <col min="1" max="1" width="18.33203125" style="157" customWidth="1"/>
    <col min="2" max="2" width="30.6640625" style="157" customWidth="1"/>
    <col min="3" max="3" width="20.33203125" style="157" customWidth="1"/>
    <col min="4" max="4" width="19.5546875" style="157" customWidth="1"/>
    <col min="5" max="16384" width="9.109375" style="157"/>
  </cols>
  <sheetData>
    <row r="1" spans="1:4" ht="18">
      <c r="A1" s="930" t="s">
        <v>2209</v>
      </c>
      <c r="B1" s="931"/>
      <c r="C1" s="931"/>
      <c r="D1" s="932"/>
    </row>
    <row r="2" spans="1:4" ht="18">
      <c r="A2" s="930" t="s">
        <v>1069</v>
      </c>
      <c r="B2" s="931"/>
      <c r="C2" s="931"/>
      <c r="D2" s="931"/>
    </row>
    <row r="3" spans="1:4" ht="18">
      <c r="A3" s="930" t="s">
        <v>720</v>
      </c>
      <c r="B3" s="931"/>
      <c r="C3" s="931"/>
      <c r="D3" s="932"/>
    </row>
    <row r="4" spans="1:4" ht="18">
      <c r="A4" s="930" t="s">
        <v>2221</v>
      </c>
      <c r="B4" s="931"/>
      <c r="C4" s="931"/>
      <c r="D4" s="932"/>
    </row>
    <row r="5" spans="1:4" ht="18">
      <c r="A5" s="160"/>
      <c r="B5"/>
      <c r="C5"/>
      <c r="D5"/>
    </row>
    <row r="6" spans="1:4" ht="36.75" customHeight="1">
      <c r="A6" s="933" t="s">
        <v>2067</v>
      </c>
      <c r="B6" s="933"/>
      <c r="C6" s="933"/>
      <c r="D6" s="932"/>
    </row>
    <row r="7" spans="1:4" ht="18.600000000000001" thickBot="1">
      <c r="A7" s="163"/>
      <c r="B7" s="164"/>
      <c r="C7" s="163"/>
      <c r="D7" s="163"/>
    </row>
    <row r="8" spans="1:4" ht="15.6">
      <c r="A8" s="944" t="s">
        <v>2064</v>
      </c>
      <c r="B8" s="944" t="s">
        <v>970</v>
      </c>
      <c r="C8" s="165" t="s">
        <v>47</v>
      </c>
      <c r="D8" s="165" t="s">
        <v>2068</v>
      </c>
    </row>
    <row r="9" spans="1:4" ht="30" customHeight="1" thickBot="1">
      <c r="A9" s="945"/>
      <c r="B9" s="945"/>
      <c r="C9" s="166" t="s">
        <v>2065</v>
      </c>
      <c r="D9" s="166" t="s">
        <v>2065</v>
      </c>
    </row>
    <row r="10" spans="1:4" ht="31.8" thickBot="1">
      <c r="A10" s="224">
        <v>953</v>
      </c>
      <c r="B10" s="167" t="s">
        <v>1036</v>
      </c>
      <c r="C10" s="168">
        <f>C11</f>
        <v>792137427</v>
      </c>
      <c r="D10" s="168">
        <f>D11</f>
        <v>854898899</v>
      </c>
    </row>
    <row r="11" spans="1:4" ht="78.599999999999994" thickBot="1">
      <c r="A11" s="169"/>
      <c r="B11" s="220" t="s">
        <v>2199</v>
      </c>
      <c r="C11" s="170">
        <v>792137427</v>
      </c>
      <c r="D11" s="170">
        <v>854898899</v>
      </c>
    </row>
    <row r="12" spans="1:4" ht="47.4" thickBot="1">
      <c r="A12" s="222">
        <v>954</v>
      </c>
      <c r="B12" s="171" t="s">
        <v>1208</v>
      </c>
      <c r="C12" s="172">
        <f>C13</f>
        <v>269632006</v>
      </c>
      <c r="D12" s="172">
        <f>D13</f>
        <v>289328704</v>
      </c>
    </row>
    <row r="13" spans="1:4" ht="78.599999999999994" thickBot="1">
      <c r="A13" s="173"/>
      <c r="B13" s="174" t="s">
        <v>2200</v>
      </c>
      <c r="C13" s="175">
        <v>269632006</v>
      </c>
      <c r="D13" s="175">
        <v>289328704</v>
      </c>
    </row>
    <row r="14" spans="1:4" ht="63" thickBot="1">
      <c r="A14" s="176">
        <v>956</v>
      </c>
      <c r="B14" s="177" t="s">
        <v>1256</v>
      </c>
      <c r="C14" s="161">
        <f>C15+C16</f>
        <v>116923463</v>
      </c>
      <c r="D14" s="161">
        <f>D15+D16</f>
        <v>108467532</v>
      </c>
    </row>
    <row r="15" spans="1:4" ht="78.599999999999994" thickBot="1">
      <c r="A15" s="173"/>
      <c r="B15" s="174" t="s">
        <v>2201</v>
      </c>
      <c r="C15" s="175">
        <v>103088178</v>
      </c>
      <c r="D15" s="175">
        <v>94368983</v>
      </c>
    </row>
    <row r="16" spans="1:4" ht="47.4" thickBot="1">
      <c r="A16" s="176"/>
      <c r="B16" s="174" t="s">
        <v>2198</v>
      </c>
      <c r="C16" s="175">
        <v>13835285</v>
      </c>
      <c r="D16" s="175">
        <v>14098549</v>
      </c>
    </row>
    <row r="17" spans="1:4" ht="16.2" thickBot="1">
      <c r="A17" s="942" t="s">
        <v>1148</v>
      </c>
      <c r="B17" s="943"/>
      <c r="C17" s="161">
        <f>C14+C12+C10</f>
        <v>1178692896</v>
      </c>
      <c r="D17" s="161">
        <f>D14+D12+D10</f>
        <v>1252695135</v>
      </c>
    </row>
  </sheetData>
  <mergeCells count="8">
    <mergeCell ref="A1:D1"/>
    <mergeCell ref="A2:D2"/>
    <mergeCell ref="A3:D3"/>
    <mergeCell ref="A17:B17"/>
    <mergeCell ref="A4:D4"/>
    <mergeCell ref="A6:D6"/>
    <mergeCell ref="A8:A9"/>
    <mergeCell ref="B8:B9"/>
  </mergeCells>
  <pageMargins left="0.70866141732283472" right="0.70866141732283472" top="0.74803149606299213" bottom="0.74803149606299213" header="0.31496062992125984" footer="0.31496062992125984"/>
  <pageSetup paperSize="9" orientation="portrait"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sheetPr codeName="Лист3">
    <pageSetUpPr fitToPage="1"/>
  </sheetPr>
  <dimension ref="A1:E122"/>
  <sheetViews>
    <sheetView showGridLines="0" view="pageBreakPreview" topLeftCell="A85" zoomScaleSheetLayoutView="100" workbookViewId="0">
      <selection activeCell="B5" sqref="B5"/>
    </sheetView>
  </sheetViews>
  <sheetFormatPr defaultColWidth="11.88671875" defaultRowHeight="15.6"/>
  <cols>
    <col min="1" max="1" width="10.6640625" style="14" customWidth="1"/>
    <col min="2" max="2" width="59.44140625" style="10" customWidth="1"/>
    <col min="3" max="3" width="20" style="4" hidden="1" customWidth="1"/>
    <col min="4" max="4" width="15.109375" style="4" hidden="1" customWidth="1"/>
    <col min="5" max="5" width="17.6640625" style="4" customWidth="1"/>
    <col min="6" max="6" width="43.44140625" style="4" customWidth="1"/>
    <col min="7" max="16384" width="11.88671875" style="4"/>
  </cols>
  <sheetData>
    <row r="1" spans="1:5" s="10" customFormat="1" ht="16.5" customHeight="1">
      <c r="A1" s="782" t="s">
        <v>3270</v>
      </c>
      <c r="B1" s="782"/>
      <c r="C1" s="782"/>
      <c r="D1" s="782"/>
      <c r="E1" s="782"/>
    </row>
    <row r="2" spans="1:5" s="10" customFormat="1" ht="16.5" customHeight="1">
      <c r="A2" s="782" t="s">
        <v>1069</v>
      </c>
      <c r="B2" s="782"/>
      <c r="C2" s="782"/>
      <c r="D2" s="782"/>
      <c r="E2" s="782"/>
    </row>
    <row r="3" spans="1:5" s="10" customFormat="1" ht="15" customHeight="1">
      <c r="A3" s="782" t="s">
        <v>720</v>
      </c>
      <c r="B3" s="782"/>
      <c r="C3" s="782"/>
      <c r="D3" s="782"/>
      <c r="E3" s="782"/>
    </row>
    <row r="4" spans="1:5" s="10" customFormat="1" ht="15" customHeight="1">
      <c r="A4" s="782" t="s">
        <v>3148</v>
      </c>
      <c r="B4" s="782"/>
      <c r="C4" s="782"/>
      <c r="D4" s="782"/>
      <c r="E4" s="782"/>
    </row>
    <row r="5" spans="1:5" s="10" customFormat="1">
      <c r="A5" s="11"/>
      <c r="B5" s="9"/>
    </row>
    <row r="6" spans="1:5" s="10" customFormat="1" ht="58.5" customHeight="1">
      <c r="A6" s="790" t="s">
        <v>2630</v>
      </c>
      <c r="B6" s="790"/>
      <c r="C6" s="790"/>
      <c r="D6" s="790"/>
      <c r="E6" s="790"/>
    </row>
    <row r="7" spans="1:5" s="10" customFormat="1" ht="16.2" thickBot="1">
      <c r="A7" s="12"/>
    </row>
    <row r="8" spans="1:5" s="13" customFormat="1" ht="16.2" thickBot="1">
      <c r="A8" s="330" t="s">
        <v>969</v>
      </c>
      <c r="B8" s="331" t="s">
        <v>970</v>
      </c>
      <c r="C8" s="331" t="s">
        <v>3235</v>
      </c>
      <c r="D8" s="331" t="s">
        <v>1140</v>
      </c>
      <c r="E8" s="331" t="s">
        <v>1103</v>
      </c>
    </row>
    <row r="9" spans="1:5" s="5" customFormat="1" ht="16.2" thickBot="1">
      <c r="A9" s="332">
        <v>100</v>
      </c>
      <c r="B9" s="333" t="s">
        <v>450</v>
      </c>
      <c r="C9" s="334">
        <f>C11+C13+C15+C20+C22+C14+C16</f>
        <v>118972510</v>
      </c>
      <c r="D9" s="334">
        <f t="shared" ref="D9:E9" si="0">D11+D13+D15+D20+D22+D14+D16</f>
        <v>70308</v>
      </c>
      <c r="E9" s="334">
        <f t="shared" si="0"/>
        <v>119042818</v>
      </c>
    </row>
    <row r="10" spans="1:5" s="5" customFormat="1" ht="15.75" hidden="1" customHeight="1" thickBot="1">
      <c r="A10" s="335">
        <v>101</v>
      </c>
      <c r="B10" s="336" t="s">
        <v>782</v>
      </c>
      <c r="C10" s="337">
        <f>SUMIF('Пр. 9'!C10:C1051,101,'Пр. 9'!G10:G1051)</f>
        <v>0</v>
      </c>
      <c r="D10" s="337">
        <f>SUMIF('Пр. 9'!D10:D1051,101,'Пр. 9'!H10:H1051)</f>
        <v>0</v>
      </c>
      <c r="E10" s="337">
        <f ca="1">SUMIF('Пр. 9'!E10:E1052,101,'Пр. 9'!I10:I1051)</f>
        <v>0</v>
      </c>
    </row>
    <row r="11" spans="1:5" s="5" customFormat="1" ht="31.8" thickBot="1">
      <c r="A11" s="335">
        <v>102</v>
      </c>
      <c r="B11" s="338" t="s">
        <v>752</v>
      </c>
      <c r="C11" s="337">
        <f>SUMIF('Пр. 9'!C7:C1072,102,'Пр. 9'!G7:G1072)</f>
        <v>845506</v>
      </c>
      <c r="D11" s="337">
        <f>SUMIF('Пр. 9'!C7:C1072,102,'Пр. 9'!H7:H1072)</f>
        <v>0</v>
      </c>
      <c r="E11" s="337">
        <f>SUMIF('Пр. 9'!C7:C1072,102,'Пр. 9'!I7:I1072)</f>
        <v>845506</v>
      </c>
    </row>
    <row r="12" spans="1:5" s="5" customFormat="1" ht="47.4" hidden="1" thickBot="1">
      <c r="A12" s="335">
        <v>103</v>
      </c>
      <c r="B12" s="338" t="s">
        <v>667</v>
      </c>
      <c r="C12" s="337">
        <f>SUMIF('Пр. 9'!C8:C1073,103,'Пр. 9'!G8:G1073)</f>
        <v>0</v>
      </c>
      <c r="D12" s="337">
        <f>SUMIF('Пр. 9'!C8:C1073,103,'Пр. 9'!H8:H1073)</f>
        <v>0</v>
      </c>
      <c r="E12" s="337">
        <f>SUMIF('Пр. 9'!C8:C1073,103,'Пр. 9'!I8:I1073)</f>
        <v>0</v>
      </c>
    </row>
    <row r="13" spans="1:5" ht="63" thickBot="1">
      <c r="A13" s="335">
        <v>104</v>
      </c>
      <c r="B13" s="338" t="s">
        <v>356</v>
      </c>
      <c r="C13" s="337">
        <f>SUMIF('Пр. 9'!C9:C1074,104,'Пр. 9'!G9:G1074)</f>
        <v>34635342</v>
      </c>
      <c r="D13" s="337">
        <f>SUMIF('Пр. 9'!C9:C1074,104,'Пр. 9'!H9:H1074)</f>
        <v>150000</v>
      </c>
      <c r="E13" s="337">
        <f>SUMIF('Пр. 9'!C9:C1074,104,'Пр. 9'!I9:I1074)</f>
        <v>34785342</v>
      </c>
    </row>
    <row r="14" spans="1:5" ht="16.2" thickBot="1">
      <c r="A14" s="335">
        <v>105</v>
      </c>
      <c r="B14" s="338" t="s">
        <v>1196</v>
      </c>
      <c r="C14" s="337">
        <f>SUMIF('Пр. 9'!C7:C1048,105,'Пр. 9'!G7:G1048)</f>
        <v>32650</v>
      </c>
      <c r="D14" s="337">
        <f>SUMIF('Пр. 9'!C7:C1048,105,'Пр. 9'!H7:H1048)</f>
        <v>0</v>
      </c>
      <c r="E14" s="337">
        <f>SUMIF('Пр. 9'!C7:C1048,105,'Пр. 9'!I7:I1048)</f>
        <v>32650</v>
      </c>
    </row>
    <row r="15" spans="1:5" ht="47.4" thickBot="1">
      <c r="A15" s="335">
        <v>106</v>
      </c>
      <c r="B15" s="338" t="s">
        <v>69</v>
      </c>
      <c r="C15" s="337">
        <f>SUMIF('Пр. 9'!C10:C1075,106,'Пр. 9'!G10:G1075)</f>
        <v>18800732</v>
      </c>
      <c r="D15" s="337">
        <f>SUMIF('Пр. 9'!C10:C1075,106,'Пр. 9'!H10:H1075)</f>
        <v>0</v>
      </c>
      <c r="E15" s="337">
        <f>SUMIF('Пр. 9'!C10:C1075,106,'Пр. 9'!I10:I1075)</f>
        <v>18800732</v>
      </c>
    </row>
    <row r="16" spans="1:5" ht="16.2" thickBot="1">
      <c r="A16" s="335">
        <v>107</v>
      </c>
      <c r="B16" s="338" t="s">
        <v>79</v>
      </c>
      <c r="C16" s="337">
        <f>SUMIF('Пр. 9'!C10:C1051,107,'Пр. 9'!G10:G1051)</f>
        <v>434662</v>
      </c>
      <c r="D16" s="337">
        <f>SUMIF('Пр. 9'!C10:C1051,107,'Пр. 9'!H10:H1051)</f>
        <v>0</v>
      </c>
      <c r="E16" s="337">
        <f>SUMIF('Пр. 9'!C10:C1051,107,'Пр. 9'!I10:I1051)</f>
        <v>434662</v>
      </c>
    </row>
    <row r="17" spans="1:5" s="5" customFormat="1" ht="31.8" hidden="1" thickBot="1">
      <c r="A17" s="335">
        <v>108</v>
      </c>
      <c r="B17" s="338" t="s">
        <v>1541</v>
      </c>
      <c r="C17" s="337">
        <f>SUMIF('Пр. 9'!C10:C1051,108,'Пр. 9'!G10:G1051)</f>
        <v>0</v>
      </c>
      <c r="D17" s="337">
        <f>SUMIF('Пр. 9'!C10:C1051,108,'Пр. 9'!H10:H1051)</f>
        <v>0</v>
      </c>
      <c r="E17" s="337">
        <f>SUMIF('Пр. 9'!C10:C1051,108,'Пр. 9'!I10:I1051)</f>
        <v>0</v>
      </c>
    </row>
    <row r="18" spans="1:5" ht="15.75" hidden="1" customHeight="1" thickBot="1">
      <c r="A18" s="335">
        <v>109</v>
      </c>
      <c r="B18" s="338" t="s">
        <v>842</v>
      </c>
      <c r="C18" s="337">
        <f>SUMIF('Пр. 9'!C10:C1051,109,'Пр. 9'!G10:G1051)</f>
        <v>0</v>
      </c>
      <c r="D18" s="337">
        <f>SUMIF('Пр. 9'!D10:D1051,109,'Пр. 9'!H10:H1051)</f>
        <v>0</v>
      </c>
      <c r="E18" s="337">
        <f>SUMIF('Пр. 9'!C10:C1051,109,'Пр. 9'!I10:I1051)</f>
        <v>0</v>
      </c>
    </row>
    <row r="19" spans="1:5" ht="16.2" hidden="1" thickBot="1">
      <c r="A19" s="335">
        <v>110</v>
      </c>
      <c r="B19" s="338" t="s">
        <v>843</v>
      </c>
      <c r="C19" s="337">
        <f>SUMIF('Пр. 9'!C10:C1051,110,'Пр. 9'!G10:G1051)</f>
        <v>0</v>
      </c>
      <c r="D19" s="337">
        <f>SUMIF('Пр. 9'!D10:D1051,110,'Пр. 9'!H10:H1051)</f>
        <v>0</v>
      </c>
      <c r="E19" s="337">
        <f>SUMIF('Пр. 9'!C10:C1051,110,'Пр. 9'!I10:I1051)</f>
        <v>0</v>
      </c>
    </row>
    <row r="20" spans="1:5" s="5" customFormat="1" ht="17.25" customHeight="1" thickBot="1">
      <c r="A20" s="335">
        <v>111</v>
      </c>
      <c r="B20" s="338" t="s">
        <v>838</v>
      </c>
      <c r="C20" s="337">
        <f>SUMIF('Пр. 9'!C10:C1051,111,'Пр. 9'!G10:G1051)</f>
        <v>1954764</v>
      </c>
      <c r="D20" s="337">
        <f>SUMIF('Пр. 9'!C10:C1051,111,'Пр. 9'!H10:H1051)</f>
        <v>-835946</v>
      </c>
      <c r="E20" s="337">
        <f>SUMIF('Пр. 9'!C10:C1051,111,'Пр. 9'!I10:I1051)</f>
        <v>1118818</v>
      </c>
    </row>
    <row r="21" spans="1:5" ht="31.8" hidden="1" thickBot="1">
      <c r="A21" s="335">
        <v>112</v>
      </c>
      <c r="B21" s="338" t="s">
        <v>1531</v>
      </c>
      <c r="C21" s="337">
        <f>SUMIF('Пр. 9'!C10:C1051,112,'Пр. 9'!G10:G1051)</f>
        <v>0</v>
      </c>
      <c r="D21" s="337">
        <f>SUMIF('Пр. 9'!C10:C1051,112,'Пр. 9'!H10:H1051)</f>
        <v>0</v>
      </c>
      <c r="E21" s="337">
        <f>SUMIF('Пр. 9'!C10:C1051,112,'Пр. 9'!I10:I1051)</f>
        <v>0</v>
      </c>
    </row>
    <row r="22" spans="1:5" ht="16.2" thickBot="1">
      <c r="A22" s="335">
        <v>113</v>
      </c>
      <c r="B22" s="338" t="s">
        <v>839</v>
      </c>
      <c r="C22" s="337">
        <f>SUMIF('Пр. 9'!C10:C1072,113,'Пр. 9'!G10:G1072)</f>
        <v>62268854</v>
      </c>
      <c r="D22" s="337">
        <f>SUMIF('Пр. 9'!C10:C1072,113,'Пр. 9'!H10:H1072)</f>
        <v>756254</v>
      </c>
      <c r="E22" s="337">
        <f>SUMIF('Пр. 9'!C10:C1072,113,'Пр. 9'!I10:I1072)</f>
        <v>63025108</v>
      </c>
    </row>
    <row r="23" spans="1:5" ht="16.2" thickBot="1">
      <c r="A23" s="332">
        <v>200</v>
      </c>
      <c r="B23" s="339" t="s">
        <v>70</v>
      </c>
      <c r="C23" s="334">
        <f>SUM(C24:C32)</f>
        <v>682902</v>
      </c>
      <c r="D23" s="334">
        <f t="shared" ref="D23:E23" si="1">SUM(D24:D32)</f>
        <v>0</v>
      </c>
      <c r="E23" s="334">
        <f t="shared" si="1"/>
        <v>682902</v>
      </c>
    </row>
    <row r="24" spans="1:5" ht="16.2" hidden="1" thickBot="1">
      <c r="A24" s="335">
        <v>201</v>
      </c>
      <c r="B24" s="338" t="s">
        <v>1121</v>
      </c>
      <c r="C24" s="337">
        <f>SUMIF('Пр. 9'!C10:C1051,201,'Пр. 9'!G10:G1051)</f>
        <v>0</v>
      </c>
      <c r="D24" s="337">
        <f>SUMIF('Пр. 9'!D10:D1051,201,'Пр. 9'!H10:H1051)</f>
        <v>0</v>
      </c>
      <c r="E24" s="337">
        <f>SUMIF('Пр. 9'!C10:C1051,201,'Пр. 9'!I10:I1051)</f>
        <v>0</v>
      </c>
    </row>
    <row r="25" spans="1:5" s="5" customFormat="1" ht="31.8" hidden="1" thickBot="1">
      <c r="A25" s="335">
        <v>202</v>
      </c>
      <c r="B25" s="338" t="s">
        <v>718</v>
      </c>
      <c r="C25" s="337">
        <f>SUMIF('Пр. 9'!C10:C1051,202,'Пр. 9'!G10:G1051)</f>
        <v>0</v>
      </c>
      <c r="D25" s="337">
        <f>SUMIF('Пр. 9'!D10:D1051,202,'Пр. 9'!H10:H1051)</f>
        <v>0</v>
      </c>
      <c r="E25" s="337">
        <f>SUMIF('Пр. 9'!C10:C1051,202,'Пр. 9'!I10:I1051)</f>
        <v>0</v>
      </c>
    </row>
    <row r="26" spans="1:5" s="5" customFormat="1" ht="16.2" thickBot="1">
      <c r="A26" s="335">
        <v>203</v>
      </c>
      <c r="B26" s="338" t="s">
        <v>156</v>
      </c>
      <c r="C26" s="337">
        <f>SUMIF('Пр. 9'!C10:C1051,203,'Пр. 9'!G10:G1051)</f>
        <v>682902</v>
      </c>
      <c r="D26" s="337">
        <f>SUMIF('Пр. 9'!C10:C1051,203,'Пр. 9'!H10:H1051)</f>
        <v>0</v>
      </c>
      <c r="E26" s="337">
        <f>SUMIF('Пр. 9'!C10:C1051,203,'Пр. 9'!I10:I1051)</f>
        <v>682902</v>
      </c>
    </row>
    <row r="27" spans="1:5" ht="16.2" hidden="1" thickBot="1">
      <c r="A27" s="335">
        <v>204</v>
      </c>
      <c r="B27" s="338" t="s">
        <v>258</v>
      </c>
      <c r="C27" s="337">
        <f>SUMIF('Пр. 9'!C10:C1051,204,'Пр. 9'!G10:G1051)</f>
        <v>0</v>
      </c>
      <c r="D27" s="337">
        <f>SUMIF('Пр. 9'!D10:D1051,204,'Пр. 9'!H10:H1051)</f>
        <v>0</v>
      </c>
      <c r="E27" s="337">
        <f>SUMIF('Пр. 9'!C10:C1051,204,'Пр. 9'!I10:I1051)</f>
        <v>0</v>
      </c>
    </row>
    <row r="28" spans="1:5" ht="31.8" hidden="1" thickBot="1">
      <c r="A28" s="335">
        <v>205</v>
      </c>
      <c r="B28" s="338" t="s">
        <v>801</v>
      </c>
      <c r="C28" s="337">
        <f>SUMIF('Пр. 9'!C10:C1051,205,'Пр. 9'!G10:G1051)</f>
        <v>0</v>
      </c>
      <c r="D28" s="337">
        <f>SUMIF('Пр. 9'!D10:D1051,205,'Пр. 9'!H10:H1051)</f>
        <v>0</v>
      </c>
      <c r="E28" s="337">
        <f>SUMIF('Пр. 9'!C10:C1051,205,'Пр. 9'!I10:I1051)</f>
        <v>0</v>
      </c>
    </row>
    <row r="29" spans="1:5" ht="16.2" hidden="1" thickBot="1">
      <c r="A29" s="335">
        <v>206</v>
      </c>
      <c r="B29" s="338" t="s">
        <v>1426</v>
      </c>
      <c r="C29" s="337">
        <f>SUMIF('Пр. 9'!C10:C1051,206,'Пр. 9'!G10:G1051)</f>
        <v>0</v>
      </c>
      <c r="D29" s="337">
        <f>SUMIF('Пр. 9'!D10:D1051,206,'Пр. 9'!H10:H1051)</f>
        <v>0</v>
      </c>
      <c r="E29" s="337">
        <f>SUMIF('Пр. 9'!C10:C1051,206,'Пр. 9'!I10:I1051)</f>
        <v>0</v>
      </c>
    </row>
    <row r="30" spans="1:5" s="5" customFormat="1" ht="31.8" hidden="1" thickBot="1">
      <c r="A30" s="335">
        <v>207</v>
      </c>
      <c r="B30" s="338" t="s">
        <v>929</v>
      </c>
      <c r="C30" s="337">
        <f>SUMIF('Пр. 9'!C10:C1051,207,'Пр. 9'!G10:G1051)</f>
        <v>0</v>
      </c>
      <c r="D30" s="337">
        <f>SUMIF('Пр. 9'!D10:D1051,207,'Пр. 9'!H10:H1051)</f>
        <v>0</v>
      </c>
      <c r="E30" s="337">
        <f>SUMIF('Пр. 9'!C10:C1051,207,'Пр. 9'!I10:I1051)</f>
        <v>0</v>
      </c>
    </row>
    <row r="31" spans="1:5" ht="31.8" hidden="1" thickBot="1">
      <c r="A31" s="335">
        <v>208</v>
      </c>
      <c r="B31" s="338" t="s">
        <v>348</v>
      </c>
      <c r="C31" s="337">
        <f>SUMIF('Пр. 9'!C10:C1051,208,'Пр. 9'!G10:G1051)</f>
        <v>0</v>
      </c>
      <c r="D31" s="337">
        <f>SUMIF('Пр. 9'!D10:D1051,208,'Пр. 9'!H10:H1051)</f>
        <v>0</v>
      </c>
      <c r="E31" s="337">
        <f>SUMIF('Пр. 9'!C10:C1051,208,'Пр. 9'!I10:I1051)</f>
        <v>0</v>
      </c>
    </row>
    <row r="32" spans="1:5" ht="16.2" hidden="1" thickBot="1">
      <c r="A32" s="335">
        <v>209</v>
      </c>
      <c r="B32" s="338" t="s">
        <v>349</v>
      </c>
      <c r="C32" s="337">
        <f>SUMIF('Пр. 9'!C10:C1051,209,'Пр. 9'!G10:G1051)</f>
        <v>0</v>
      </c>
      <c r="D32" s="337">
        <f>SUMIF('Пр. 9'!D10:D1051,209,'Пр. 9'!H10:H1051)</f>
        <v>0</v>
      </c>
      <c r="E32" s="337">
        <f>SUMIF('Пр. 9'!C10:C1051,209,'Пр. 9'!I10:I1051)</f>
        <v>0</v>
      </c>
    </row>
    <row r="33" spans="1:5" ht="31.8" thickBot="1">
      <c r="A33" s="332">
        <v>300</v>
      </c>
      <c r="B33" s="339" t="s">
        <v>1</v>
      </c>
      <c r="C33" s="340">
        <f>SUM(C34:C45)</f>
        <v>2233892</v>
      </c>
      <c r="D33" s="340">
        <f t="shared" ref="D33:E33" si="2">SUM(D34:D45)</f>
        <v>675946</v>
      </c>
      <c r="E33" s="340">
        <f t="shared" si="2"/>
        <v>2909838</v>
      </c>
    </row>
    <row r="34" spans="1:5" ht="16.2" hidden="1" thickBot="1">
      <c r="A34" s="335">
        <v>303</v>
      </c>
      <c r="B34" s="338" t="s">
        <v>351</v>
      </c>
      <c r="C34" s="337">
        <f>SUMIF('Пр. 9'!C10:C1051,303,'Пр. 9'!G10:G1051)</f>
        <v>0</v>
      </c>
      <c r="D34" s="337">
        <f>SUMIF('Пр. 9'!D10:D1051,303,'Пр. 9'!H10:H1051)</f>
        <v>0</v>
      </c>
      <c r="E34" s="337">
        <f>SUMIF('Пр. 9'!C10:C1051,303,'Пр. 9'!I10:I1051)</f>
        <v>0</v>
      </c>
    </row>
    <row r="35" spans="1:5" s="5" customFormat="1" ht="16.2" hidden="1" thickBot="1">
      <c r="A35" s="335">
        <v>304</v>
      </c>
      <c r="B35" s="338" t="s">
        <v>160</v>
      </c>
      <c r="C35" s="337">
        <f>SUMIF('Пр. 9'!C10:C1051,304,'Пр. 9'!G10:G1051)</f>
        <v>0</v>
      </c>
      <c r="D35" s="337">
        <f>SUMIF('Пр. 9'!D10:D1051,304,'Пр. 9'!H10:H1051)</f>
        <v>0</v>
      </c>
      <c r="E35" s="337">
        <f>SUMIF('Пр. 9'!C10:C1051,304,'Пр. 9'!I10:I1051)</f>
        <v>0</v>
      </c>
    </row>
    <row r="36" spans="1:5" ht="16.2" hidden="1" thickBot="1">
      <c r="A36" s="335">
        <v>305</v>
      </c>
      <c r="B36" s="338" t="s">
        <v>1554</v>
      </c>
      <c r="C36" s="337">
        <f>SUMIF('Пр. 9'!C10:C1051,305,'Пр. 9'!G10:G1051)</f>
        <v>0</v>
      </c>
      <c r="D36" s="337">
        <f>SUMIF('Пр. 9'!D10:D1051,305,'Пр. 9'!H10:H1051)</f>
        <v>0</v>
      </c>
      <c r="E36" s="337">
        <f>SUMIF('Пр. 9'!C10:C1051,305,'Пр. 9'!I10:I1051)</f>
        <v>0</v>
      </c>
    </row>
    <row r="37" spans="1:5" ht="16.2" hidden="1" thickBot="1">
      <c r="A37" s="335">
        <v>306</v>
      </c>
      <c r="B37" s="338" t="s">
        <v>1632</v>
      </c>
      <c r="C37" s="337">
        <f>SUMIF('Пр. 9'!C10:C1051,306,'Пр. 9'!G10:G1051)</f>
        <v>0</v>
      </c>
      <c r="D37" s="337">
        <f>SUMIF('Пр. 9'!D10:D1051,306,'Пр. 9'!H10:H1051)</f>
        <v>0</v>
      </c>
      <c r="E37" s="337">
        <f>SUMIF('Пр. 9'!C10:C1051,306,'Пр. 9'!I10:I1051)</f>
        <v>0</v>
      </c>
    </row>
    <row r="38" spans="1:5" ht="16.2" hidden="1" thickBot="1">
      <c r="A38" s="335">
        <v>307</v>
      </c>
      <c r="B38" s="338" t="s">
        <v>1633</v>
      </c>
      <c r="C38" s="337">
        <f>SUMIF('Пр. 9'!C10:C1051,307,'Пр. 9'!G10:G1051)</f>
        <v>0</v>
      </c>
      <c r="D38" s="337">
        <f>SUMIF('Пр. 9'!D10:D1051,307,'Пр. 9'!H10:H1051)</f>
        <v>0</v>
      </c>
      <c r="E38" s="337">
        <f>SUMIF('Пр. 9'!C10:C1051,307,'Пр. 9'!I10:I1051)</f>
        <v>0</v>
      </c>
    </row>
    <row r="39" spans="1:5" s="5" customFormat="1" ht="31.8" hidden="1" thickBot="1">
      <c r="A39" s="335">
        <v>308</v>
      </c>
      <c r="B39" s="338" t="s">
        <v>1528</v>
      </c>
      <c r="C39" s="337">
        <f>SUMIF('Пр. 9'!C10:C1051,308,'Пр. 9'!G10:G1051)</f>
        <v>0</v>
      </c>
      <c r="D39" s="337">
        <f>SUMIF('Пр. 9'!D10:D1051,308,'Пр. 9'!H10:H1051)</f>
        <v>0</v>
      </c>
      <c r="E39" s="337">
        <f>SUMIF('Пр. 9'!C10:C1051,308,'Пр. 9'!I10:I1051)</f>
        <v>0</v>
      </c>
    </row>
    <row r="40" spans="1:5" ht="47.4" thickBot="1">
      <c r="A40" s="335">
        <v>309</v>
      </c>
      <c r="B40" s="338" t="s">
        <v>396</v>
      </c>
      <c r="C40" s="337">
        <f>SUMIF('Пр. 9'!C10:C1051,309,'Пр. 9'!G10:G1051)</f>
        <v>2083892</v>
      </c>
      <c r="D40" s="337">
        <f>SUMIF('Пр. 9'!C36:C1100,309,'Пр. 9'!H36:H1100)</f>
        <v>675946</v>
      </c>
      <c r="E40" s="337">
        <f>SUMIF('Пр. 9'!C10:C1051,309,'Пр. 9'!I10:I1051)</f>
        <v>2759838</v>
      </c>
    </row>
    <row r="41" spans="1:5" ht="16.2" hidden="1" thickBot="1">
      <c r="A41" s="335">
        <v>310</v>
      </c>
      <c r="B41" s="338" t="s">
        <v>397</v>
      </c>
      <c r="C41" s="337">
        <f>SUMIF('Пр. 9'!C10:C1051,310,'Пр. 9'!G10:G1051)</f>
        <v>0</v>
      </c>
      <c r="D41" s="337">
        <f>SUMIF('Пр. 9'!D10:D1051,310,'Пр. 9'!H10:H1051)</f>
        <v>0</v>
      </c>
      <c r="E41" s="337">
        <f>SUMIF('Пр. 9'!C10:C1051,310,'Пр. 9'!I10:I1051)</f>
        <v>0</v>
      </c>
    </row>
    <row r="42" spans="1:5" ht="16.2" hidden="1" thickBot="1">
      <c r="A42" s="335">
        <v>311</v>
      </c>
      <c r="B42" s="338" t="s">
        <v>796</v>
      </c>
      <c r="C42" s="337">
        <f>SUMIF('Пр. 9'!C10:C1051,311,'Пр. 9'!G10:G1051)</f>
        <v>0</v>
      </c>
      <c r="D42" s="337">
        <f>SUMIF('Пр. 9'!D10:D1051,311,'Пр. 9'!H10:H1051)</f>
        <v>0</v>
      </c>
      <c r="E42" s="337">
        <f>SUMIF('Пр. 9'!C10:C1051,311,'Пр. 9'!I10:I1051)</f>
        <v>0</v>
      </c>
    </row>
    <row r="43" spans="1:5" ht="31.8" hidden="1" thickBot="1">
      <c r="A43" s="335">
        <v>312</v>
      </c>
      <c r="B43" s="338" t="s">
        <v>398</v>
      </c>
      <c r="C43" s="337">
        <f>SUMIF('Пр. 9'!C10:C1051,312,'Пр. 9'!G10:G1051)</f>
        <v>0</v>
      </c>
      <c r="D43" s="337">
        <f>SUMIF('Пр. 9'!D10:D1051,312,'Пр. 9'!H10:H1051)</f>
        <v>0</v>
      </c>
      <c r="E43" s="337">
        <f>SUMIF('Пр. 9'!C10:C1051,312,'Пр. 9'!I10:I1051)</f>
        <v>0</v>
      </c>
    </row>
    <row r="44" spans="1:5" ht="47.4" hidden="1" thickBot="1">
      <c r="A44" s="335">
        <v>313</v>
      </c>
      <c r="B44" s="338" t="s">
        <v>797</v>
      </c>
      <c r="C44" s="337">
        <f>SUMIF('Пр. 9'!C10:C1051,313,'Пр. 9'!G10:G1051)</f>
        <v>0</v>
      </c>
      <c r="D44" s="337">
        <f>SUMIF('Пр. 9'!D10:D1051,313,'Пр. 9'!H10:H1051)</f>
        <v>0</v>
      </c>
      <c r="E44" s="337">
        <f>SUMIF('Пр. 9'!C10:C1051,313,'Пр. 9'!I10:I1051)</f>
        <v>0</v>
      </c>
    </row>
    <row r="45" spans="1:5" ht="31.8" thickBot="1">
      <c r="A45" s="335">
        <v>314</v>
      </c>
      <c r="B45" s="338" t="s">
        <v>878</v>
      </c>
      <c r="C45" s="337">
        <f>SUMIF('Пр. 9'!C10:C1051,314,'Пр. 9'!G10:G1051)</f>
        <v>150000</v>
      </c>
      <c r="D45" s="337">
        <f>SUMIF('Пр. 9'!C41:C1105,314,'Пр. 9'!H41:H1105)</f>
        <v>0</v>
      </c>
      <c r="E45" s="337">
        <f>SUMIF('Пр. 9'!C10:C1051,314,'Пр. 9'!I10:I1051)</f>
        <v>150000</v>
      </c>
    </row>
    <row r="46" spans="1:5" ht="16.2" thickBot="1">
      <c r="A46" s="332">
        <v>400</v>
      </c>
      <c r="B46" s="339" t="s">
        <v>399</v>
      </c>
      <c r="C46" s="340">
        <f>C48+C51+C54+C55+C58</f>
        <v>193685682</v>
      </c>
      <c r="D46" s="340">
        <f t="shared" ref="D46:E46" si="3">D48+D51+D54+D55+D58</f>
        <v>-271729</v>
      </c>
      <c r="E46" s="340">
        <f t="shared" si="3"/>
        <v>193413953</v>
      </c>
    </row>
    <row r="47" spans="1:5" ht="16.2" hidden="1" thickBot="1">
      <c r="A47" s="335">
        <v>401</v>
      </c>
      <c r="B47" s="341" t="s">
        <v>1682</v>
      </c>
      <c r="C47" s="337">
        <f>SUMIF('Пр. 9'!C10:C1051,401,'Пр. 9'!G10:G1051)</f>
        <v>0</v>
      </c>
      <c r="D47" s="337">
        <f>SUMIF('Пр. 9'!D10:D1051,401,'Пр. 9'!H10:H1051)</f>
        <v>0</v>
      </c>
      <c r="E47" s="337">
        <f>SUMIF('Пр. 9'!C10:C1051,401,'Пр. 9'!I10:I1051)</f>
        <v>0</v>
      </c>
    </row>
    <row r="48" spans="1:5" ht="16.2" thickBot="1">
      <c r="A48" s="335">
        <v>402</v>
      </c>
      <c r="B48" s="336" t="s">
        <v>247</v>
      </c>
      <c r="C48" s="342">
        <f>SUMIF('Пр. 9'!C10:C1051,402,'Пр. 9'!G10:G1051)</f>
        <v>3372433</v>
      </c>
      <c r="D48" s="342">
        <f>SUMIF('Пр. 9'!C10:C1051,402,'Пр. 9'!H10:H1051)</f>
        <v>0</v>
      </c>
      <c r="E48" s="342">
        <f>SUMIF('Пр. 9'!C10:C1051,402,'Пр. 9'!I10:I1051)</f>
        <v>3372433</v>
      </c>
    </row>
    <row r="49" spans="1:5" ht="16.2" hidden="1" thickBot="1">
      <c r="A49" s="335">
        <v>403</v>
      </c>
      <c r="B49" s="338" t="s">
        <v>1418</v>
      </c>
      <c r="C49" s="342">
        <f>SUMIF('Пр. 9'!C10:C1051,403,'Пр. 9'!G10:G1051)</f>
        <v>0</v>
      </c>
      <c r="D49" s="342">
        <f>SUMIF('Пр. 9'!C10:C1051,403,'Пр. 9'!H10:H1051)</f>
        <v>0</v>
      </c>
      <c r="E49" s="342">
        <f>SUMIF('Пр. 9'!C10:C1051,403,'Пр. 9'!I10:I1051)</f>
        <v>0</v>
      </c>
    </row>
    <row r="50" spans="1:5" ht="16.2" hidden="1" thickBot="1">
      <c r="A50" s="335">
        <v>404</v>
      </c>
      <c r="B50" s="338" t="s">
        <v>1419</v>
      </c>
      <c r="C50" s="342">
        <f>SUMIF('Пр. 9'!C10:C1051,404,'Пр. 9'!G10:G1051)</f>
        <v>0</v>
      </c>
      <c r="D50" s="342">
        <f>SUMIF('Пр. 9'!C10:C1051,404,'Пр. 9'!H10:H1051)</f>
        <v>0</v>
      </c>
      <c r="E50" s="342">
        <f>SUMIF('Пр. 9'!C10:C1051,404,'Пр. 9'!I10:I1051)</f>
        <v>0</v>
      </c>
    </row>
    <row r="51" spans="1:5" ht="16.2" thickBot="1">
      <c r="A51" s="335">
        <v>405</v>
      </c>
      <c r="B51" s="338" t="s">
        <v>1900</v>
      </c>
      <c r="C51" s="342">
        <f>SUMIF('Пр. 9'!C10:C1051,405,'Пр. 9'!G10:G1051)</f>
        <v>2261150</v>
      </c>
      <c r="D51" s="342">
        <f>SUMIF('Пр. 9'!C10:C1051,405,'Пр. 9'!H10:H1051)</f>
        <v>0</v>
      </c>
      <c r="E51" s="342">
        <f>SUMIF('Пр. 9'!C10:C1051,405,'Пр. 9'!I10:I1051)</f>
        <v>2261150</v>
      </c>
    </row>
    <row r="52" spans="1:5" ht="16.2" hidden="1" thickBot="1">
      <c r="A52" s="335">
        <v>406</v>
      </c>
      <c r="B52" s="338" t="s">
        <v>1420</v>
      </c>
      <c r="C52" s="342">
        <f>SUMIF('Пр. 9'!C10:C1051,406,'Пр. 9'!G10:G1051)</f>
        <v>0</v>
      </c>
      <c r="D52" s="342">
        <f>SUMIF('Пр. 9'!C10:C1051,406,'Пр. 9'!H10:H1051)</f>
        <v>0</v>
      </c>
      <c r="E52" s="342">
        <f>SUMIF('Пр. 9'!C10:C1051,406,'Пр. 9'!I10:I1051)</f>
        <v>0</v>
      </c>
    </row>
    <row r="53" spans="1:5" ht="16.2" hidden="1" thickBot="1">
      <c r="A53" s="335">
        <v>407</v>
      </c>
      <c r="B53" s="338" t="s">
        <v>1421</v>
      </c>
      <c r="C53" s="342">
        <f>SUMIF('Пр. 9'!C10:C1051,407,'Пр. 9'!G10:G1051)</f>
        <v>0</v>
      </c>
      <c r="D53" s="342">
        <f>SUMIF('Пр. 9'!C10:C1051,407,'Пр. 9'!H10:H1051)</f>
        <v>0</v>
      </c>
      <c r="E53" s="342">
        <f>SUMIF('Пр. 9'!C10:C1051,407,'Пр. 9'!I10:I1051)</f>
        <v>0</v>
      </c>
    </row>
    <row r="54" spans="1:5" ht="16.2" thickBot="1">
      <c r="A54" s="335">
        <v>408</v>
      </c>
      <c r="B54" s="338" t="s">
        <v>1901</v>
      </c>
      <c r="C54" s="342">
        <f>SUMIF('Пр. 9'!C10:C1051,408,'Пр. 9'!G10:G1051)</f>
        <v>26883000</v>
      </c>
      <c r="D54" s="342">
        <f>SUMIF('Пр. 9'!C10:C1051,408,'Пр. 9'!H10:H1051)</f>
        <v>-200000</v>
      </c>
      <c r="E54" s="342">
        <f>SUMIF('Пр. 9'!C10:C1051,408,'Пр. 9'!I10:I1051)</f>
        <v>26683000</v>
      </c>
    </row>
    <row r="55" spans="1:5" ht="16.2" thickBot="1">
      <c r="A55" s="335">
        <v>409</v>
      </c>
      <c r="B55" s="338" t="s">
        <v>387</v>
      </c>
      <c r="C55" s="342">
        <f>SUMIF('Пр. 9'!C10:C1051,409,'Пр. 9'!G10:G1051)</f>
        <v>159097152</v>
      </c>
      <c r="D55" s="342">
        <f>SUMIF('Пр. 9'!C10:C1051,409,'Пр. 9'!H10:H1051)</f>
        <v>-304929</v>
      </c>
      <c r="E55" s="342">
        <f>SUMIF('Пр. 9'!C10:C1051,409,'Пр. 9'!I10:I1051)</f>
        <v>158792223</v>
      </c>
    </row>
    <row r="56" spans="1:5" ht="16.2" hidden="1" thickBot="1">
      <c r="A56" s="335">
        <v>410</v>
      </c>
      <c r="B56" s="338" t="s">
        <v>464</v>
      </c>
      <c r="C56" s="342">
        <f>SUMIF('Пр. 9'!C10:C1051,410,'Пр. 9'!G10:G1051)</f>
        <v>0</v>
      </c>
      <c r="D56" s="342">
        <f>SUMIF('Пр. 9'!C10:C1051,410,'Пр. 9'!H10:H1051)</f>
        <v>0</v>
      </c>
      <c r="E56" s="342">
        <f>SUMIF('Пр. 9'!C10:C1051,410,'Пр. 9'!I10:I1051)</f>
        <v>0</v>
      </c>
    </row>
    <row r="57" spans="1:5" ht="31.8" hidden="1" thickBot="1">
      <c r="A57" s="335">
        <v>411</v>
      </c>
      <c r="B57" s="338" t="s">
        <v>1422</v>
      </c>
      <c r="C57" s="342">
        <f>SUMIF('Пр. 9'!C10:C1051,411,'Пр. 9'!G10:G1051)</f>
        <v>0</v>
      </c>
      <c r="D57" s="342">
        <f>SUMIF('Пр. 9'!D10:D1051,411,'Пр. 9'!H10:H1051)</f>
        <v>0</v>
      </c>
      <c r="E57" s="342">
        <f>SUMIF('Пр. 9'!C10:C1051,411,'Пр. 9'!I10:I1051)</f>
        <v>0</v>
      </c>
    </row>
    <row r="58" spans="1:5" ht="16.2" thickBot="1">
      <c r="A58" s="335">
        <v>412</v>
      </c>
      <c r="B58" s="338" t="s">
        <v>880</v>
      </c>
      <c r="C58" s="342">
        <f>SUMIF('Пр. 9'!C10:C1051,412,'Пр. 9'!G10:G1051)</f>
        <v>2071947</v>
      </c>
      <c r="D58" s="342">
        <f>SUMIF('Пр. 9'!C10:C1051,412,'Пр. 9'!H10:H1051)</f>
        <v>233200</v>
      </c>
      <c r="E58" s="342">
        <f>SUMIF('Пр. 9'!C10:C1051,412,'Пр. 9'!I10:I1051)</f>
        <v>2305147</v>
      </c>
    </row>
    <row r="59" spans="1:5" ht="16.2" thickBot="1">
      <c r="A59" s="332">
        <v>500</v>
      </c>
      <c r="B59" s="339" t="s">
        <v>845</v>
      </c>
      <c r="C59" s="340">
        <f>C60+C61+C62+C63+C64</f>
        <v>192336179.14999998</v>
      </c>
      <c r="D59" s="340">
        <f>D60+D61+D62+D63+D64</f>
        <v>47196696.299999997</v>
      </c>
      <c r="E59" s="340">
        <f t="shared" ref="E59" si="4">E60+E61+E62+E63+E64</f>
        <v>239532874.94999999</v>
      </c>
    </row>
    <row r="60" spans="1:5" ht="16.2" thickBot="1">
      <c r="A60" s="335">
        <v>501</v>
      </c>
      <c r="B60" s="338" t="s">
        <v>577</v>
      </c>
      <c r="C60" s="342">
        <f>SUMIF('Пр. 9'!C10:C1051,501,'Пр. 9'!G10:G1051)</f>
        <v>88339286.539999992</v>
      </c>
      <c r="D60" s="342">
        <f>SUMIF('Пр. 9'!C10:C1051,501,'Пр. 9'!H10:H1051)</f>
        <v>15163719.4</v>
      </c>
      <c r="E60" s="342">
        <f>SUMIF('Пр. 9'!C10:C1051,501,'Пр. 9'!I10:I1051)</f>
        <v>103503005.94</v>
      </c>
    </row>
    <row r="61" spans="1:5" ht="16.2" thickBot="1">
      <c r="A61" s="335">
        <v>502</v>
      </c>
      <c r="B61" s="338" t="s">
        <v>578</v>
      </c>
      <c r="C61" s="342">
        <f>SUMIF('Пр. 9'!C10:C1051,502,'Пр. 9'!G10:G1051)</f>
        <v>51787865.310000002</v>
      </c>
      <c r="D61" s="342">
        <f>SUMIF('Пр. 9'!C10:C1051,502,'Пр. 9'!H10:H1051)</f>
        <v>33395166</v>
      </c>
      <c r="E61" s="342">
        <f>SUMIF('Пр. 9'!C10:C1051,502,'Пр. 9'!I10:I1051)</f>
        <v>85183031.310000002</v>
      </c>
    </row>
    <row r="62" spans="1:5" ht="16.2" thickBot="1">
      <c r="A62" s="335">
        <v>503</v>
      </c>
      <c r="B62" s="336" t="s">
        <v>352</v>
      </c>
      <c r="C62" s="342">
        <f>SUMIF('Пр. 9'!C10:C1051,503,'Пр. 9'!G10:G1051)</f>
        <v>37005398.299999997</v>
      </c>
      <c r="D62" s="342">
        <f>SUMIF('Пр. 9'!C10:C1051,503,'Пр. 9'!H10:H1051)</f>
        <v>-1062189.1000000001</v>
      </c>
      <c r="E62" s="342">
        <f>SUMIF('Пр. 9'!C10:C1051,503,'Пр. 9'!I10:I1051)-1</f>
        <v>35943208.700000003</v>
      </c>
    </row>
    <row r="63" spans="1:5" ht="31.8" hidden="1" thickBot="1">
      <c r="A63" s="335">
        <v>504</v>
      </c>
      <c r="B63" s="338" t="s">
        <v>722</v>
      </c>
      <c r="C63" s="342">
        <f>SUMIF('Пр. 9'!C10:C1051,504,'Пр. 9'!G10:G1051)</f>
        <v>0</v>
      </c>
      <c r="D63" s="342">
        <f>SUMIF('Пр. 9'!C10:C1051,504,'Пр. 9'!H10:H1051)</f>
        <v>0</v>
      </c>
      <c r="E63" s="342">
        <f>SUMIF('Пр. 9'!C10:C1051,504,'Пр. 9'!I10:I1051)</f>
        <v>0</v>
      </c>
    </row>
    <row r="64" spans="1:5" ht="32.25" customHeight="1" thickBot="1">
      <c r="A64" s="335">
        <v>505</v>
      </c>
      <c r="B64" s="338" t="s">
        <v>784</v>
      </c>
      <c r="C64" s="342">
        <f>SUMIF('Пр. 9'!C10:C1051,505,'Пр. 9'!G10:G1051)</f>
        <v>15203629</v>
      </c>
      <c r="D64" s="342">
        <f>SUMIF('Пр. 9'!C10:C1051,505,'Пр. 9'!H10:H1051)</f>
        <v>-300000</v>
      </c>
      <c r="E64" s="342">
        <f>SUMIF('Пр. 9'!C10:C1051,505,'Пр. 9'!I10:I1051)</f>
        <v>14903629</v>
      </c>
    </row>
    <row r="65" spans="1:5" ht="16.2" thickBot="1">
      <c r="A65" s="332">
        <v>600</v>
      </c>
      <c r="B65" s="343" t="s">
        <v>588</v>
      </c>
      <c r="C65" s="340">
        <f>SUM(C66:C70)</f>
        <v>10000</v>
      </c>
      <c r="D65" s="340">
        <f t="shared" ref="D65:E65" si="5">SUM(D66:D70)</f>
        <v>6000</v>
      </c>
      <c r="E65" s="340">
        <f t="shared" si="5"/>
        <v>16000</v>
      </c>
    </row>
    <row r="66" spans="1:5" ht="16.2" hidden="1" thickBot="1">
      <c r="A66" s="335">
        <v>601</v>
      </c>
      <c r="B66" s="336" t="s">
        <v>589</v>
      </c>
      <c r="C66" s="342">
        <f>SUMIF('Пр. 9'!C10:C1051,601,'Пр. 9'!G10:G1051)</f>
        <v>0</v>
      </c>
      <c r="D66" s="342">
        <f>SUMIF('Пр. 9'!D10:D1051,601,'Пр. 9'!H10:H1051)</f>
        <v>0</v>
      </c>
      <c r="E66" s="342">
        <f>SUMIF('Пр. 9'!C10:C1051,601,'Пр. 9'!I10:I1051)</f>
        <v>0</v>
      </c>
    </row>
    <row r="67" spans="1:5" ht="16.2" hidden="1" thickBot="1">
      <c r="A67" s="335">
        <v>602</v>
      </c>
      <c r="B67" s="338" t="s">
        <v>1698</v>
      </c>
      <c r="C67" s="342">
        <f>SUMIF('Пр. 9'!C10:C1051,602,'Пр. 9'!G10:G1051)</f>
        <v>0</v>
      </c>
      <c r="D67" s="342">
        <f>SUMIF('Пр. 9'!D10:D1051,602,'Пр. 9'!H10:H1051)</f>
        <v>0</v>
      </c>
      <c r="E67" s="342">
        <f>SUMIF('Пр. 9'!C10:C1051,602,'Пр. 9'!I10:I1051)</f>
        <v>0</v>
      </c>
    </row>
    <row r="68" spans="1:5" ht="31.8" hidden="1" thickBot="1">
      <c r="A68" s="335">
        <v>603</v>
      </c>
      <c r="B68" s="338" t="s">
        <v>1699</v>
      </c>
      <c r="C68" s="342">
        <f>SUMIF('Пр. 9'!C10:C1051,603,'Пр. 9'!G10:G1051)</f>
        <v>0</v>
      </c>
      <c r="D68" s="342">
        <f>SUMIF('Пр. 9'!D10:D1051,603,'Пр. 9'!H10:H1051)</f>
        <v>0</v>
      </c>
      <c r="E68" s="342">
        <f>SUMIF('Пр. 9'!C10:C1051,603,'Пр. 9'!I10:I1051)</f>
        <v>0</v>
      </c>
    </row>
    <row r="69" spans="1:5" ht="31.8" hidden="1" thickBot="1">
      <c r="A69" s="335">
        <v>604</v>
      </c>
      <c r="B69" s="338" t="s">
        <v>1906</v>
      </c>
      <c r="C69" s="342">
        <f>SUMIF('Пр. 9'!C10:C1051,604,'Пр. 9'!G10:G1051)</f>
        <v>0</v>
      </c>
      <c r="D69" s="342">
        <f>SUMIF('Пр. 9'!D10:D1051,604,'Пр. 9'!H10:H1051)</f>
        <v>0</v>
      </c>
      <c r="E69" s="342">
        <f>SUMIF('Пр. 9'!C10:C1051,604,'Пр. 9'!I10:I1051)</f>
        <v>0</v>
      </c>
    </row>
    <row r="70" spans="1:5" ht="16.2" thickBot="1">
      <c r="A70" s="335">
        <v>605</v>
      </c>
      <c r="B70" s="338" t="s">
        <v>530</v>
      </c>
      <c r="C70" s="342">
        <f>SUMIF('Пр. 9'!C10:C1051,605,'Пр. 9'!G10:G1051)</f>
        <v>10000</v>
      </c>
      <c r="D70" s="342">
        <f>SUMIF('Пр. 9'!C10:C1051,605,'Пр. 9'!H10:H1051)</f>
        <v>6000</v>
      </c>
      <c r="E70" s="342">
        <f>SUMIF('Пр. 9'!C10:C1051,605,'Пр. 9'!I10:I1051)</f>
        <v>16000</v>
      </c>
    </row>
    <row r="71" spans="1:5" ht="16.2" thickBot="1">
      <c r="A71" s="332">
        <v>700</v>
      </c>
      <c r="B71" s="343" t="s">
        <v>1700</v>
      </c>
      <c r="C71" s="340">
        <f>C72+C73+C78+C80</f>
        <v>858492037</v>
      </c>
      <c r="D71" s="340">
        <f t="shared" ref="D71:E71" si="6">D72+D73+D78+D80</f>
        <v>7987275</v>
      </c>
      <c r="E71" s="340">
        <f t="shared" si="6"/>
        <v>866479312</v>
      </c>
    </row>
    <row r="72" spans="1:5" ht="16.2" thickBot="1">
      <c r="A72" s="335">
        <v>701</v>
      </c>
      <c r="B72" s="338" t="s">
        <v>62</v>
      </c>
      <c r="C72" s="342">
        <f>SUMIF('Пр. 9'!C10:C1051,701,'Пр. 9'!G10:G1051)</f>
        <v>292376655</v>
      </c>
      <c r="D72" s="342">
        <f>SUMIF('Пр. 9'!C10:C1051,701,'Пр. 9'!H10:H1051)</f>
        <v>-479508</v>
      </c>
      <c r="E72" s="342">
        <f>SUMIF('Пр. 9'!C10:C1051,701,'Пр. 9'!I10:I1051)</f>
        <v>291897147</v>
      </c>
    </row>
    <row r="73" spans="1:5" ht="16.2" thickBot="1">
      <c r="A73" s="335">
        <v>702</v>
      </c>
      <c r="B73" s="338" t="s">
        <v>109</v>
      </c>
      <c r="C73" s="342">
        <f>SUMIF('Пр. 9'!C10:C1051,702,'Пр. 9'!G10:G1051)</f>
        <v>489446615</v>
      </c>
      <c r="D73" s="342">
        <f>SUMIF('Пр. 9'!C10:C1051,702,'Пр. 9'!H10:H1051)</f>
        <v>7126113</v>
      </c>
      <c r="E73" s="342">
        <f>SUMIF('Пр. 9'!C10:C1051,702,'Пр. 9'!I10:I1051)</f>
        <v>496572728</v>
      </c>
    </row>
    <row r="74" spans="1:5" ht="16.2" hidden="1" thickBot="1">
      <c r="A74" s="335">
        <v>703</v>
      </c>
      <c r="B74" s="338" t="s">
        <v>1907</v>
      </c>
      <c r="C74" s="342">
        <f>SUMIF('Пр. 9'!C10:C1051,703,'Пр. 9'!G10:G1051)</f>
        <v>0</v>
      </c>
      <c r="D74" s="342">
        <f>SUMIF('Пр. 9'!C10:C1051,703,'Пр. 9'!H10:H1051)</f>
        <v>0</v>
      </c>
      <c r="E74" s="342">
        <f>SUMIF('Пр. 9'!C10:C1051,703,'Пр. 9'!I10:I1051)</f>
        <v>0</v>
      </c>
    </row>
    <row r="75" spans="1:5" ht="16.2" hidden="1" thickBot="1">
      <c r="A75" s="335">
        <v>704</v>
      </c>
      <c r="B75" s="338" t="s">
        <v>394</v>
      </c>
      <c r="C75" s="342">
        <f>SUMIF('Пр. 9'!C10:C1051,704,'Пр. 9'!G10:G1051)</f>
        <v>0</v>
      </c>
      <c r="D75" s="342">
        <f>SUMIF('Пр. 9'!C10:C1051,704,'Пр. 9'!H10:H1051)</f>
        <v>0</v>
      </c>
      <c r="E75" s="342">
        <f>SUMIF('Пр. 9'!C10:C1051,704,'Пр. 9'!I10:I1051)</f>
        <v>0</v>
      </c>
    </row>
    <row r="76" spans="1:5" ht="31.8" hidden="1" thickBot="1">
      <c r="A76" s="335">
        <v>705</v>
      </c>
      <c r="B76" s="338" t="s">
        <v>1065</v>
      </c>
      <c r="C76" s="342">
        <f>SUMIF('Пр. 9'!C10:C1051,705,'Пр. 9'!G10:G1051)</f>
        <v>0</v>
      </c>
      <c r="D76" s="342">
        <f>SUMIF('Пр. 9'!C10:C1051,705,'Пр. 9'!H10:H1051)</f>
        <v>0</v>
      </c>
      <c r="E76" s="342">
        <f>SUMIF('Пр. 9'!C10:C1051,705,'Пр. 9'!I10:I1051)</f>
        <v>0</v>
      </c>
    </row>
    <row r="77" spans="1:5" ht="16.2" hidden="1" thickBot="1">
      <c r="A77" s="344">
        <v>706</v>
      </c>
      <c r="B77" s="345" t="s">
        <v>1066</v>
      </c>
      <c r="C77" s="342">
        <f>SUMIF('Пр. 9'!C10:C1051,706,'Пр. 9'!G10:G1051)</f>
        <v>0</v>
      </c>
      <c r="D77" s="342">
        <f>SUMIF('Пр. 9'!C10:C1051,706,'Пр. 9'!H10:H1051)</f>
        <v>0</v>
      </c>
      <c r="E77" s="342">
        <f>SUMIF('Пр. 9'!C10:C1051,706,'Пр. 9'!I10:I1051)</f>
        <v>0</v>
      </c>
    </row>
    <row r="78" spans="1:5" ht="16.2" thickBot="1">
      <c r="A78" s="335">
        <v>707</v>
      </c>
      <c r="B78" s="338" t="s">
        <v>827</v>
      </c>
      <c r="C78" s="342">
        <f>SUMIF('Пр. 9'!C10:C1051,707,'Пр. 9'!G10:G1051)</f>
        <v>19424179</v>
      </c>
      <c r="D78" s="342">
        <f>SUMIF('Пр. 9'!C10:C1051,707,'Пр. 9'!H10:H1051)</f>
        <v>216475</v>
      </c>
      <c r="E78" s="342">
        <f>SUMIF('Пр. 9'!C10:C1051,707,'Пр. 9'!I10:I1051)</f>
        <v>19640654</v>
      </c>
    </row>
    <row r="79" spans="1:5" ht="16.2" hidden="1" thickBot="1">
      <c r="A79" s="335">
        <v>708</v>
      </c>
      <c r="B79" s="338" t="s">
        <v>593</v>
      </c>
      <c r="C79" s="342">
        <f>SUMIF('Пр. 9'!C10:C1051,708,'Пр. 9'!G10:G1051)</f>
        <v>0</v>
      </c>
      <c r="D79" s="342">
        <f>SUMIF('Пр. 9'!C10:C1051,708,'Пр. 9'!H10:H1051)</f>
        <v>0</v>
      </c>
      <c r="E79" s="342">
        <f>SUMIF('Пр. 9'!C10:C1051,708,'Пр. 9'!I10:I1051)</f>
        <v>0</v>
      </c>
    </row>
    <row r="80" spans="1:5" ht="16.2" thickBot="1">
      <c r="A80" s="335">
        <v>709</v>
      </c>
      <c r="B80" s="338" t="s">
        <v>82</v>
      </c>
      <c r="C80" s="342">
        <f>SUMIF('Пр. 9'!C10:C1051,709,'Пр. 9'!G10:G1051)</f>
        <v>57244588</v>
      </c>
      <c r="D80" s="342">
        <f>SUMIF('Пр. 9'!C10:C1051,709,'Пр. 9'!H10:H1051)</f>
        <v>1124195</v>
      </c>
      <c r="E80" s="342">
        <f>SUMIF('Пр. 9'!C10:C1051,709,'Пр. 9'!I10:I1051)</f>
        <v>58368783</v>
      </c>
    </row>
    <row r="81" spans="1:5" ht="16.2" thickBot="1">
      <c r="A81" s="332">
        <v>800</v>
      </c>
      <c r="B81" s="343" t="s">
        <v>1317</v>
      </c>
      <c r="C81" s="340">
        <f>C82+C85</f>
        <v>130190835</v>
      </c>
      <c r="D81" s="340">
        <f t="shared" ref="D81:E81" si="7">D82+D85</f>
        <v>370369</v>
      </c>
      <c r="E81" s="340">
        <f t="shared" si="7"/>
        <v>130561204</v>
      </c>
    </row>
    <row r="82" spans="1:5" ht="16.2" thickBot="1">
      <c r="A82" s="335">
        <v>801</v>
      </c>
      <c r="B82" s="338" t="s">
        <v>410</v>
      </c>
      <c r="C82" s="342">
        <f>SUMIF('Пр. 9'!C10:C1051,801,'Пр. 9'!G10:G1051)</f>
        <v>119523462</v>
      </c>
      <c r="D82" s="342">
        <f>SUMIF('Пр. 9'!C10:C1051,801,'Пр. 9'!H10:H1051)</f>
        <v>370369</v>
      </c>
      <c r="E82" s="342">
        <f>SUMIF('Пр. 9'!C10:C1051,801,'Пр. 9'!I10:I1051)</f>
        <v>119893831</v>
      </c>
    </row>
    <row r="83" spans="1:5" ht="16.2" hidden="1" thickBot="1">
      <c r="A83" s="335">
        <v>802</v>
      </c>
      <c r="B83" s="338" t="s">
        <v>357</v>
      </c>
      <c r="C83" s="342">
        <f>SUMIF('Пр. 9'!C10:C1051,802,'Пр. 9'!G10:G1051)</f>
        <v>0</v>
      </c>
      <c r="D83" s="342">
        <f>SUMIF('Пр. 9'!C10:C1051,802,'Пр. 9'!H10:H1051)</f>
        <v>0</v>
      </c>
      <c r="E83" s="342">
        <f>SUMIF('Пр. 9'!C10:C1051,802,'Пр. 9'!I10:I1051)</f>
        <v>0</v>
      </c>
    </row>
    <row r="84" spans="1:5" ht="31.8" hidden="1" thickBot="1">
      <c r="A84" s="335">
        <v>803</v>
      </c>
      <c r="B84" s="338" t="s">
        <v>1318</v>
      </c>
      <c r="C84" s="342">
        <f>SUMIF('Пр. 9'!C10:C1051,803,'Пр. 9'!G10:G1051)</f>
        <v>0</v>
      </c>
      <c r="D84" s="342">
        <f>SUMIF('Пр. 9'!C10:C1051,803,'Пр. 9'!H10:H1051)</f>
        <v>0</v>
      </c>
      <c r="E84" s="342">
        <f>SUMIF('Пр. 9'!C10:C1051,803,'Пр. 9'!I10:I1051)</f>
        <v>0</v>
      </c>
    </row>
    <row r="85" spans="1:5" ht="16.2" thickBot="1">
      <c r="A85" s="335">
        <v>804</v>
      </c>
      <c r="B85" s="338" t="s">
        <v>1337</v>
      </c>
      <c r="C85" s="342">
        <f>SUMIF('Пр. 9'!C10:C1051,804,'Пр. 9'!G10:G1051)</f>
        <v>10667373</v>
      </c>
      <c r="D85" s="342">
        <f>SUMIF('Пр. 9'!C10:C1051,804,'Пр. 9'!H10:H1051)</f>
        <v>0</v>
      </c>
      <c r="E85" s="342">
        <f>SUMIF('Пр. 9'!C10:C1051,804,'Пр. 9'!I10:I1051)</f>
        <v>10667373</v>
      </c>
    </row>
    <row r="86" spans="1:5" ht="16.2" hidden="1" thickBot="1">
      <c r="A86" s="332">
        <v>900</v>
      </c>
      <c r="B86" s="343" t="s">
        <v>1338</v>
      </c>
      <c r="C86" s="340">
        <f>SUM(C87:C95)</f>
        <v>0</v>
      </c>
      <c r="D86" s="340">
        <f t="shared" ref="D86:E86" si="8">SUM(D87:D95)</f>
        <v>0</v>
      </c>
      <c r="E86" s="340">
        <f t="shared" si="8"/>
        <v>0</v>
      </c>
    </row>
    <row r="87" spans="1:5" ht="16.2" hidden="1" thickBot="1">
      <c r="A87" s="335">
        <v>901</v>
      </c>
      <c r="B87" s="338" t="s">
        <v>269</v>
      </c>
      <c r="C87" s="342">
        <f>SUMIF('Пр. 9'!C10:C1051,901,'Пр. 9'!G10:G1051)</f>
        <v>0</v>
      </c>
      <c r="D87" s="342">
        <f>SUMIF('Пр. 9'!D10:D1051,901,'Пр. 9'!H10:H1051)</f>
        <v>0</v>
      </c>
      <c r="E87" s="342">
        <f>SUMIF('Пр. 9'!C10:C1051,901,'Пр. 9'!I10:I1051)</f>
        <v>0</v>
      </c>
    </row>
    <row r="88" spans="1:5" ht="16.2" hidden="1" thickBot="1">
      <c r="A88" s="335">
        <v>902</v>
      </c>
      <c r="B88" s="338" t="s">
        <v>270</v>
      </c>
      <c r="C88" s="342">
        <f>SUMIF('Пр. 9'!C10:C1051,902,'Пр. 9'!G10:G1051)</f>
        <v>0</v>
      </c>
      <c r="D88" s="342">
        <f>SUMIF('Пр. 9'!D10:D1051,902,'Пр. 9'!H10:H1051)</f>
        <v>0</v>
      </c>
      <c r="E88" s="342">
        <f>SUMIF('Пр. 9'!C10:C1051,902,'Пр. 9'!I10:I1051)</f>
        <v>0</v>
      </c>
    </row>
    <row r="89" spans="1:5" ht="16.2" hidden="1" thickBot="1">
      <c r="A89" s="335">
        <v>903</v>
      </c>
      <c r="B89" s="338" t="s">
        <v>222</v>
      </c>
      <c r="C89" s="342">
        <f>SUMIF('Пр. 9'!C10:C1051,903,'Пр. 9'!G10:G1051)</f>
        <v>0</v>
      </c>
      <c r="D89" s="342">
        <f>SUMIF('Пр. 9'!D10:D1051,903,'Пр. 9'!H10:H1051)</f>
        <v>0</v>
      </c>
      <c r="E89" s="342">
        <f>SUMIF('Пр. 9'!C10:C1051,903,'Пр. 9'!I10:I1051)</f>
        <v>0</v>
      </c>
    </row>
    <row r="90" spans="1:5" ht="16.2" hidden="1" thickBot="1">
      <c r="A90" s="335">
        <v>904</v>
      </c>
      <c r="B90" s="338" t="s">
        <v>259</v>
      </c>
      <c r="C90" s="342">
        <f>SUMIF('Пр. 9'!C10:C1051,904,'Пр. 9'!G10:G1051)</f>
        <v>0</v>
      </c>
      <c r="D90" s="342">
        <f>SUMIF('Пр. 9'!D10:D1051,904,'Пр. 9'!H10:H1051)</f>
        <v>0</v>
      </c>
      <c r="E90" s="342">
        <f>SUMIF('Пр. 9'!C10:C1051,904,'Пр. 9'!I10:I1051)</f>
        <v>0</v>
      </c>
    </row>
    <row r="91" spans="1:5" ht="16.2" hidden="1" thickBot="1">
      <c r="A91" s="335">
        <v>905</v>
      </c>
      <c r="B91" s="346" t="s">
        <v>87</v>
      </c>
      <c r="C91" s="342">
        <f>SUMIF('Пр. 9'!C10:C1051,905,'Пр. 9'!G10:G1051)</f>
        <v>0</v>
      </c>
      <c r="D91" s="342">
        <f>SUMIF('Пр. 9'!D10:D1051,905,'Пр. 9'!H10:H1051)</f>
        <v>0</v>
      </c>
      <c r="E91" s="342">
        <f>SUMIF('Пр. 9'!C10:C1051,905,'Пр. 9'!I10:I1051)</f>
        <v>0</v>
      </c>
    </row>
    <row r="92" spans="1:5" ht="31.8" hidden="1" thickBot="1">
      <c r="A92" s="335">
        <v>906</v>
      </c>
      <c r="B92" s="346" t="s">
        <v>931</v>
      </c>
      <c r="C92" s="342">
        <f>SUMIF('Пр. 9'!C10:C1051,906,'Пр. 9'!G10:G1051)</f>
        <v>0</v>
      </c>
      <c r="D92" s="342">
        <f>SUMIF('Пр. 9'!D10:D1051,906,'Пр. 9'!H10:H1051)</f>
        <v>0</v>
      </c>
      <c r="E92" s="342">
        <f>SUMIF('Пр. 9'!C10:C1051,906,'Пр. 9'!I10:I1051)</f>
        <v>0</v>
      </c>
    </row>
    <row r="93" spans="1:5" ht="16.2" hidden="1" thickBot="1">
      <c r="A93" s="335">
        <v>907</v>
      </c>
      <c r="B93" s="338" t="s">
        <v>932</v>
      </c>
      <c r="C93" s="342">
        <f>SUMIF('Пр. 9'!C10:C1051,907,'Пр. 9'!G10:G1051)</f>
        <v>0</v>
      </c>
      <c r="D93" s="342">
        <f>SUMIF('Пр. 9'!D10:D1051,907,'Пр. 9'!H10:H1051)</f>
        <v>0</v>
      </c>
      <c r="E93" s="342">
        <f>SUMIF('Пр. 9'!C10:C1051,907,'Пр. 9'!I10:I1051)</f>
        <v>0</v>
      </c>
    </row>
    <row r="94" spans="1:5" ht="31.8" hidden="1" thickBot="1">
      <c r="A94" s="335">
        <v>908</v>
      </c>
      <c r="B94" s="336" t="s">
        <v>1339</v>
      </c>
      <c r="C94" s="342">
        <f>SUMIF('Пр. 9'!C10:C1051,908,'Пр. 9'!G10:G1051)</f>
        <v>0</v>
      </c>
      <c r="D94" s="342">
        <f>SUMIF('Пр. 9'!D10:D1051,908,'Пр. 9'!H10:H1051)</f>
        <v>0</v>
      </c>
      <c r="E94" s="342">
        <f>SUMIF('Пр. 9'!C10:C1051,908,'Пр. 9'!I10:I1051)</f>
        <v>0</v>
      </c>
    </row>
    <row r="95" spans="1:5" ht="16.2" hidden="1" thickBot="1">
      <c r="A95" s="335">
        <v>909</v>
      </c>
      <c r="B95" s="338" t="s">
        <v>1340</v>
      </c>
      <c r="C95" s="342">
        <f>SUMIF('Пр. 9'!C10:C1051,909,'Пр. 9'!G10:G1051)</f>
        <v>0</v>
      </c>
      <c r="D95" s="342">
        <f>SUMIF('Пр. 9'!D10:D1051,909,'Пр. 9'!H10:H1051)</f>
        <v>0</v>
      </c>
      <c r="E95" s="342">
        <f>SUMIF('Пр. 9'!C10:C1051,909,'Пр. 9'!I10:I1051)</f>
        <v>0</v>
      </c>
    </row>
    <row r="96" spans="1:5" ht="16.2" thickBot="1">
      <c r="A96" s="332">
        <v>1000</v>
      </c>
      <c r="B96" s="343" t="s">
        <v>1048</v>
      </c>
      <c r="C96" s="340">
        <f>C97+C98+C99+C100+C102</f>
        <v>359964707.52999997</v>
      </c>
      <c r="D96" s="340">
        <f t="shared" ref="D96:E96" si="9">D97+D98+D99+D100+D102</f>
        <v>16210793</v>
      </c>
      <c r="E96" s="340">
        <f t="shared" si="9"/>
        <v>376175500.52999997</v>
      </c>
    </row>
    <row r="97" spans="1:5" ht="16.2" thickBot="1">
      <c r="A97" s="335">
        <v>1001</v>
      </c>
      <c r="B97" s="338" t="s">
        <v>448</v>
      </c>
      <c r="C97" s="342">
        <f>SUMIF('Пр. 9'!C10:C1051,1001,'Пр. 9'!G10:G1051)</f>
        <v>3000000</v>
      </c>
      <c r="D97" s="342">
        <f>SUMIF('Пр. 9'!C10:C1051,1001,'Пр. 9'!H10:H1051)</f>
        <v>0</v>
      </c>
      <c r="E97" s="342">
        <f>SUMIF('Пр. 9'!C10:C1051,1001,'Пр. 9'!I10:I1051)</f>
        <v>3000000</v>
      </c>
    </row>
    <row r="98" spans="1:5" ht="16.2" thickBot="1">
      <c r="A98" s="335">
        <v>1002</v>
      </c>
      <c r="B98" s="338" t="s">
        <v>105</v>
      </c>
      <c r="C98" s="342">
        <f>SUMIF('Пр. 9'!C10:C1051,1002,'Пр. 9'!G10:G1051)</f>
        <v>46187913</v>
      </c>
      <c r="D98" s="342">
        <f>SUMIF('Пр. 9'!C10:C1051,1002,'Пр. 9'!H10:H1051)</f>
        <v>-49500</v>
      </c>
      <c r="E98" s="342">
        <f>SUMIF('Пр. 9'!C10:C1051,1002,'Пр. 9'!I10:I1051)</f>
        <v>46138413</v>
      </c>
    </row>
    <row r="99" spans="1:5" ht="16.2" thickBot="1">
      <c r="A99" s="335">
        <v>1003</v>
      </c>
      <c r="B99" s="338" t="s">
        <v>374</v>
      </c>
      <c r="C99" s="342">
        <f>SUMIF('Пр. 9'!C10:C1051,1003,'Пр. 9'!G10:G1051)</f>
        <v>211608525.53</v>
      </c>
      <c r="D99" s="342">
        <f>SUMIF('Пр. 9'!C10:C1051,1003,'Пр. 9'!H10:H1051)</f>
        <v>13836589</v>
      </c>
      <c r="E99" s="342">
        <f>SUMIF('Пр. 9'!C10:C1051,1003,'Пр. 9'!I10:I1051)</f>
        <v>225445114.53</v>
      </c>
    </row>
    <row r="100" spans="1:5" ht="16.2" thickBot="1">
      <c r="A100" s="335">
        <v>1004</v>
      </c>
      <c r="B100" s="336" t="s">
        <v>1049</v>
      </c>
      <c r="C100" s="342">
        <f>SUMIF('Пр. 9'!C10:C1051,1004,'Пр. 9'!G10:G1051)</f>
        <v>86446413</v>
      </c>
      <c r="D100" s="342">
        <f>SUMIF('Пр. 9'!C10:C1051,1004,'Пр. 9'!H10:H1051)</f>
        <v>2423704</v>
      </c>
      <c r="E100" s="342">
        <f>SUMIF('Пр. 9'!C10:C1051,1004,'Пр. 9'!I10:I1051)</f>
        <v>88870117</v>
      </c>
    </row>
    <row r="101" spans="1:5" ht="31.8" hidden="1" thickBot="1">
      <c r="A101" s="335">
        <v>1005</v>
      </c>
      <c r="B101" s="338" t="s">
        <v>1052</v>
      </c>
      <c r="C101" s="342">
        <f>SUMIF('Пр. 9'!C10:C1051,1005,'Пр. 9'!G10:G1051)</f>
        <v>0</v>
      </c>
      <c r="D101" s="342">
        <f>SUMIF('Пр. 9'!C10:C1051,1005,'Пр. 9'!H10:H1051)</f>
        <v>0</v>
      </c>
      <c r="E101" s="342">
        <f>SUMIF('Пр. 9'!C10:C1051,1005,'Пр. 9'!I10:I1051)</f>
        <v>0</v>
      </c>
    </row>
    <row r="102" spans="1:5" ht="16.2" thickBot="1">
      <c r="A102" s="335">
        <v>1006</v>
      </c>
      <c r="B102" s="338" t="s">
        <v>106</v>
      </c>
      <c r="C102" s="342">
        <f>SUMIF('Пр. 9'!C10:C1051,1006,'Пр. 9'!G10:G1051)</f>
        <v>12721856</v>
      </c>
      <c r="D102" s="342">
        <f>SUMIF('Пр. 9'!C10:C1051,1006,'Пр. 9'!H10:H1051)</f>
        <v>0</v>
      </c>
      <c r="E102" s="342">
        <f>SUMIF('Пр. 9'!C10:C1051,1006,'Пр. 9'!I10:I1051)</f>
        <v>12721856</v>
      </c>
    </row>
    <row r="103" spans="1:5" ht="16.2" thickBot="1">
      <c r="A103" s="332">
        <v>1100</v>
      </c>
      <c r="B103" s="343" t="s">
        <v>1341</v>
      </c>
      <c r="C103" s="340">
        <f>SUM(C104:C108)</f>
        <v>19564760</v>
      </c>
      <c r="D103" s="340">
        <f t="shared" ref="D103:E103" si="10">SUM(D104:D108)</f>
        <v>-30000</v>
      </c>
      <c r="E103" s="340">
        <f t="shared" si="10"/>
        <v>19534760</v>
      </c>
    </row>
    <row r="104" spans="1:5" ht="16.2" thickBot="1">
      <c r="A104" s="335">
        <v>1101</v>
      </c>
      <c r="B104" s="338" t="s">
        <v>1342</v>
      </c>
      <c r="C104" s="342">
        <f>SUMIF('Пр. 9'!C10:C1051,1101,'Пр. 9'!G10:G1051)</f>
        <v>200000</v>
      </c>
      <c r="D104" s="342">
        <f>SUMIF('Пр. 9'!C9:C1050,1101,'Пр. 9'!H9:H1050)</f>
        <v>0</v>
      </c>
      <c r="E104" s="342">
        <f>SUMIF('Пр. 9'!C10:C1051,1101,'Пр. 9'!I10:I1051)</f>
        <v>200000</v>
      </c>
    </row>
    <row r="105" spans="1:5" ht="16.2" thickBot="1">
      <c r="A105" s="335">
        <v>1102</v>
      </c>
      <c r="B105" s="346" t="s">
        <v>1343</v>
      </c>
      <c r="C105" s="342">
        <f>SUMIF('Пр. 9'!C10:C1051,1102,'Пр. 9'!G10:G1051)</f>
        <v>19364760</v>
      </c>
      <c r="D105" s="342">
        <f>SUMIF('Пр. 9'!C10:C1051,1102,'Пр. 9'!H10:H1051)</f>
        <v>-30000</v>
      </c>
      <c r="E105" s="342">
        <f>SUMIF('Пр. 9'!C10:C1051,1102,'Пр. 9'!I10:I1051)</f>
        <v>19334760</v>
      </c>
    </row>
    <row r="106" spans="1:5" ht="16.2" hidden="1" thickBot="1">
      <c r="A106" s="335">
        <v>1103</v>
      </c>
      <c r="B106" s="338" t="s">
        <v>1344</v>
      </c>
      <c r="C106" s="342">
        <f>SUMIF('Пр. 9'!C10:C1051,1103,'Пр. 9'!G10:G1051)</f>
        <v>0</v>
      </c>
      <c r="D106" s="342">
        <f>SUMIF('Пр. 9'!D10:D1051,1103,'Пр. 9'!H10:H1051)</f>
        <v>0</v>
      </c>
      <c r="E106" s="342">
        <f>SUMIF('Пр. 9'!C10:C1051,1103,'Пр. 9'!I10:I1051)</f>
        <v>0</v>
      </c>
    </row>
    <row r="107" spans="1:5" ht="31.8" hidden="1" thickBot="1">
      <c r="A107" s="335">
        <v>1104</v>
      </c>
      <c r="B107" s="338" t="s">
        <v>1345</v>
      </c>
      <c r="C107" s="342">
        <f>SUMIF('Пр. 9'!C10:C1051,1104,'Пр. 9'!G10:G1051)</f>
        <v>0</v>
      </c>
      <c r="D107" s="342">
        <f>SUMIF('Пр. 9'!D10:D1051,1104,'Пр. 9'!H10:H1051)</f>
        <v>0</v>
      </c>
      <c r="E107" s="342">
        <f>SUMIF('Пр. 9'!C10:C1051,1104,'Пр. 9'!I10:I1051)</f>
        <v>0</v>
      </c>
    </row>
    <row r="108" spans="1:5" ht="16.2" hidden="1" thickBot="1">
      <c r="A108" s="335">
        <v>1105</v>
      </c>
      <c r="B108" s="338" t="s">
        <v>1346</v>
      </c>
      <c r="C108" s="342">
        <f>SUMIF('Пр. 9'!C10:C1051,1105,'Пр. 9'!G10:G1051)</f>
        <v>0</v>
      </c>
      <c r="D108" s="342">
        <f>SUMIF('Пр. 9'!D10:D1051,1105,'Пр. 9'!H10:H1051)</f>
        <v>0</v>
      </c>
      <c r="E108" s="342">
        <f>SUMIF('Пр. 9'!C10:C1051,1105,'Пр. 9'!I10:I1051)</f>
        <v>0</v>
      </c>
    </row>
    <row r="109" spans="1:5" ht="16.2" thickBot="1">
      <c r="A109" s="332">
        <v>1200</v>
      </c>
      <c r="B109" s="343" t="s">
        <v>1347</v>
      </c>
      <c r="C109" s="340">
        <f>SUM(C110:C113)</f>
        <v>4210000</v>
      </c>
      <c r="D109" s="340">
        <f t="shared" ref="D109:E109" si="11">SUM(D110:D113)</f>
        <v>0</v>
      </c>
      <c r="E109" s="340">
        <f t="shared" si="11"/>
        <v>4210000</v>
      </c>
    </row>
    <row r="110" spans="1:5" ht="16.2" hidden="1" thickBot="1">
      <c r="A110" s="335">
        <v>1201</v>
      </c>
      <c r="B110" s="338" t="s">
        <v>358</v>
      </c>
      <c r="C110" s="342">
        <f>SUMIF('Пр. 9'!C10:C1051,1201,'Пр. 9'!G10:G1051)</f>
        <v>0</v>
      </c>
      <c r="D110" s="342">
        <f>SUMIF('Пр. 9'!D10:D1051,1201,'Пр. 9'!H10:H1051)</f>
        <v>0</v>
      </c>
      <c r="E110" s="342">
        <f>SUMIF('Пр. 9'!C10:C1051,1201,'Пр. 9'!I10:I1051)</f>
        <v>0</v>
      </c>
    </row>
    <row r="111" spans="1:5" ht="16.2" thickBot="1">
      <c r="A111" s="335">
        <v>1202</v>
      </c>
      <c r="B111" s="338" t="s">
        <v>215</v>
      </c>
      <c r="C111" s="342">
        <f>SUMIF('Пр. 9'!C10:C1051,1202,'Пр. 9'!G10:G1051)</f>
        <v>4210000</v>
      </c>
      <c r="D111" s="342">
        <f>SUMIF('Пр. 9'!C10:C1051,1202,'Пр. 9'!H10:H1051)</f>
        <v>0</v>
      </c>
      <c r="E111" s="342">
        <f>SUMIF('Пр. 9'!C10:C1051,1202,'Пр. 9'!I10:I1051)</f>
        <v>4210000</v>
      </c>
    </row>
    <row r="112" spans="1:5" ht="31.8" hidden="1" thickBot="1">
      <c r="A112" s="335">
        <v>1203</v>
      </c>
      <c r="B112" s="338" t="s">
        <v>1348</v>
      </c>
      <c r="C112" s="342">
        <f>SUMIF('Пр. 9'!C10:C1051,1203,'Пр. 9'!G10:G1051)</f>
        <v>0</v>
      </c>
      <c r="D112" s="342">
        <f>SUMIF('Пр. 9'!C10:C1051,1203,'Пр. 9'!H10:H1051)</f>
        <v>0</v>
      </c>
      <c r="E112" s="342">
        <f>SUMIF('Пр. 9'!C10:C1051,1203,'Пр. 9'!I10:I1051)</f>
        <v>0</v>
      </c>
    </row>
    <row r="113" spans="1:5" ht="16.2" hidden="1" thickBot="1">
      <c r="A113" s="335">
        <v>1204</v>
      </c>
      <c r="B113" s="338" t="s">
        <v>1349</v>
      </c>
      <c r="C113" s="342">
        <f>SUMIF('Пр. 9'!C10:C1051,1204,'Пр. 9'!G10:G1051)</f>
        <v>0</v>
      </c>
      <c r="D113" s="342">
        <f>SUMIF('Пр. 9'!C10:C1051,1204,'Пр. 9'!H10:H1051)</f>
        <v>0</v>
      </c>
      <c r="E113" s="342">
        <f>SUMIF('Пр. 9'!C10:C1051,1204,'Пр. 9'!I10:I1051)</f>
        <v>0</v>
      </c>
    </row>
    <row r="114" spans="1:5" ht="31.8" thickBot="1">
      <c r="A114" s="332">
        <v>1300</v>
      </c>
      <c r="B114" s="343" t="s">
        <v>1350</v>
      </c>
      <c r="C114" s="340">
        <f>SUM(C115:C116)</f>
        <v>2000000</v>
      </c>
      <c r="D114" s="340">
        <f t="shared" ref="D114:E114" si="12">SUM(D115:D116)</f>
        <v>-200000</v>
      </c>
      <c r="E114" s="340">
        <f t="shared" si="12"/>
        <v>1800000</v>
      </c>
    </row>
    <row r="115" spans="1:5" ht="31.8" thickBot="1">
      <c r="A115" s="335">
        <v>1301</v>
      </c>
      <c r="B115" s="338" t="s">
        <v>531</v>
      </c>
      <c r="C115" s="342">
        <f>SUMIF('Пр. 9'!C10:C1051,1301,'Пр. 9'!G10:G1051)</f>
        <v>2000000</v>
      </c>
      <c r="D115" s="342">
        <f>SUMIF('Пр. 9'!C10:C1051,1301,'Пр. 9'!H10:H1051)</f>
        <v>-200000</v>
      </c>
      <c r="E115" s="342">
        <f>SUMIF('Пр. 9'!C10:C1051,1301,'Пр. 9'!I10:I1051)</f>
        <v>1800000</v>
      </c>
    </row>
    <row r="116" spans="1:5" ht="16.2" hidden="1" thickBot="1">
      <c r="A116" s="335">
        <v>1302</v>
      </c>
      <c r="B116" s="338" t="s">
        <v>879</v>
      </c>
      <c r="C116" s="342">
        <f>SUMIF('Пр. 9'!C10:C1051,1302,'Пр. 9'!G10:G1051)</f>
        <v>0</v>
      </c>
      <c r="D116" s="342">
        <f>SUMIF('Пр. 9'!C10:C1051,1302,'Пр. 9'!H10:H1051)</f>
        <v>0</v>
      </c>
      <c r="E116" s="342">
        <f>SUMIF('Пр. 9'!C10:C1051,1302,'Пр. 9'!I10:I1051)</f>
        <v>0</v>
      </c>
    </row>
    <row r="117" spans="1:5" ht="63" thickBot="1">
      <c r="A117" s="332">
        <v>1400</v>
      </c>
      <c r="B117" s="343" t="s">
        <v>893</v>
      </c>
      <c r="C117" s="340">
        <f>SUM(C118:C120)</f>
        <v>20748000</v>
      </c>
      <c r="D117" s="340">
        <f t="shared" ref="D117:E117" si="13">SUM(D118:D120)</f>
        <v>0</v>
      </c>
      <c r="E117" s="340">
        <f t="shared" si="13"/>
        <v>20748000</v>
      </c>
    </row>
    <row r="118" spans="1:5" ht="47.4" thickBot="1">
      <c r="A118" s="335">
        <v>1401</v>
      </c>
      <c r="B118" s="338" t="s">
        <v>894</v>
      </c>
      <c r="C118" s="342">
        <f>SUMIF('Пр. 9'!C10:C1051,1401,'Пр. 9'!G10:G1051)</f>
        <v>20748000</v>
      </c>
      <c r="D118" s="342">
        <f>SUMIF('Пр. 9'!C10:C1051,1401,'Пр. 9'!H10:H1051)</f>
        <v>0</v>
      </c>
      <c r="E118" s="342">
        <f>SUMIF('Пр. 9'!C10:C1051,1401,'Пр. 9'!I10:I1051)</f>
        <v>20748000</v>
      </c>
    </row>
    <row r="119" spans="1:5" ht="16.2" hidden="1" thickBot="1">
      <c r="A119" s="335">
        <v>1402</v>
      </c>
      <c r="B119" s="338" t="s">
        <v>895</v>
      </c>
      <c r="C119" s="342">
        <f>SUMIF('Пр. 9'!C10:C1051,1402,'Пр. 9'!G10:G1051)</f>
        <v>0</v>
      </c>
      <c r="D119" s="342">
        <f>SUMIF('Пр. 9'!C10:C1051,1402,'Пр. 9'!H10:H1051)</f>
        <v>0</v>
      </c>
      <c r="E119" s="342">
        <f>SUMIF('Пр. 9'!C10:C1051,1402,'Пр. 9'!I10:I1051)</f>
        <v>0</v>
      </c>
    </row>
    <row r="120" spans="1:5" ht="47.4" hidden="1" thickBot="1">
      <c r="A120" s="335">
        <v>1403</v>
      </c>
      <c r="B120" s="338" t="s">
        <v>896</v>
      </c>
      <c r="C120" s="342">
        <f>SUMIF('Пр. 9'!C10:C1051,1403,'Пр. 9'!G10:G1051)</f>
        <v>0</v>
      </c>
      <c r="D120" s="342">
        <f>SUMIF('Пр. 9'!C10:C1051,1403,'Пр. 9'!H10:H1051)</f>
        <v>0</v>
      </c>
      <c r="E120" s="342">
        <f>SUMIF('Пр. 9'!C10:C1051,1403,'Пр. 9'!I10:I1051)</f>
        <v>0</v>
      </c>
    </row>
    <row r="121" spans="1:5" ht="16.2" thickBot="1">
      <c r="A121" s="789" t="s">
        <v>1148</v>
      </c>
      <c r="B121" s="789"/>
      <c r="C121" s="334">
        <f>C9+C23+C33+C46+C59+C65+C71+C81+C96+C103+C109+C114+C117</f>
        <v>1903091504.6800001</v>
      </c>
      <c r="D121" s="334">
        <f t="shared" ref="D121" si="14">D9+D23+D33+D46+D59+D65+D71+D81+D96+D103+D109+D114+D117</f>
        <v>72015658.299999997</v>
      </c>
      <c r="E121" s="334">
        <f>E9+E23+E33+E46+E59+E65+E71+E81+E96+E103+E109+E114+E117+1</f>
        <v>1975107163.48</v>
      </c>
    </row>
    <row r="122" spans="1:5" ht="16.2" thickBot="1">
      <c r="A122" s="789" t="s">
        <v>3068</v>
      </c>
      <c r="B122" s="789"/>
      <c r="C122" s="347">
        <f>Пр.1!J169-Пр.3!C121</f>
        <v>-15024656.860000134</v>
      </c>
      <c r="D122" s="347">
        <f>Пр.1!K169-Пр.3!D121</f>
        <v>-894331.04999999702</v>
      </c>
      <c r="E122" s="347">
        <f>Пр.1!L169-Пр.3!E121</f>
        <v>-15918988.410000086</v>
      </c>
    </row>
  </sheetData>
  <sheetProtection formatCells="0"/>
  <customSheetViews>
    <customSheetView guid="{91923F83-3A6B-4204-9891-178562AB34F1}" showPageBreaks="1" fitToPage="1" printArea="1" hiddenRows="1" hiddenColumns="1" showRuler="0" topLeftCell="A42">
      <selection activeCell="I47" sqref="I47"/>
      <rowBreaks count="1" manualBreakCount="1">
        <brk id="44" max="2" man="1"/>
      </rowBreaks>
      <pageMargins left="0.59055118110236227" right="0.19685039370078741" top="0.39370078740157483" bottom="0.78740157480314965" header="0.51181102362204722" footer="0.51181102362204722"/>
      <pageSetup paperSize="9" scale="77" orientation="portrait" r:id="rId1"/>
      <headerFooter alignWithMargins="0">
        <oddFooter>&amp;C&amp;P</oddFooter>
      </headerFooter>
    </customSheetView>
    <customSheetView guid="{66DBF0AC-E9A0-482F-9E41-1928B6CA83DC}" showPageBreaks="1" fitToPage="1" hiddenColumns="1" showRuler="0" topLeftCell="B43">
      <selection activeCell="H55" sqref="H55"/>
      <rowBreaks count="2" manualBreakCount="2">
        <brk id="44" max="2" man="1"/>
        <brk id="56" max="16383" man="1"/>
      </rowBreaks>
      <pageMargins left="0.59055118110236227" right="0.19685039370078741" top="0.39370078740157483" bottom="0.78740157480314965" header="0.51181102362204722" footer="0.51181102362204722"/>
      <pageSetup paperSize="9" scale="76" orientation="portrait" r:id="rId2"/>
      <headerFooter alignWithMargins="0">
        <oddFooter>&amp;C&amp;P</oddFooter>
      </headerFooter>
    </customSheetView>
    <customSheetView guid="{A5E41FC9-89B1-40D2-B587-57BC4C5E4715}" showPageBreaks="1" fitToPage="1" printArea="1" hiddenRows="1" hiddenColumns="1" showRuler="0" topLeftCell="A35">
      <selection activeCell="I47" sqref="I47"/>
      <rowBreaks count="1" manualBreakCount="1">
        <brk id="44" max="2" man="1"/>
      </rowBreaks>
      <pageMargins left="0.59055118110236227" right="0.19685039370078741" top="0.39370078740157483" bottom="0.78740157480314965" header="0.51181102362204722" footer="0.51181102362204722"/>
      <pageSetup paperSize="9" scale="77" orientation="portrait" r:id="rId3"/>
      <headerFooter alignWithMargins="0">
        <oddFooter>&amp;C&amp;P</oddFooter>
      </headerFooter>
    </customSheetView>
    <customSheetView guid="{F3607253-7816-4CF7-9CFD-2ADFFAD916F8}" fitToPage="1" hiddenRows="1" hiddenColumns="1" showRuler="0" topLeftCell="A17">
      <selection activeCell="I47" sqref="I47"/>
      <rowBreaks count="1" manualBreakCount="1">
        <brk id="44" max="2" man="1"/>
      </rowBreaks>
      <pageMargins left="0.59055118110236227" right="0.19685039370078741" top="0.39370078740157483" bottom="0.78740157480314965" header="0.51181102362204722" footer="0.51181102362204722"/>
      <pageSetup paperSize="9" scale="77" orientation="portrait" r:id="rId4"/>
      <headerFooter alignWithMargins="0">
        <oddFooter>&amp;C&amp;P</oddFooter>
      </headerFooter>
    </customSheetView>
    <customSheetView guid="{B3311466-F005-49F1-A579-3E6CECE305A8}" showPageBreaks="1" fitToPage="1" printArea="1" hiddenRows="1" hiddenColumns="1" showRuler="0" topLeftCell="A14">
      <selection activeCell="I47" sqref="I47"/>
      <rowBreaks count="1" manualBreakCount="1">
        <brk id="44" max="2" man="1"/>
      </rowBreaks>
      <pageMargins left="0.59055118110236227" right="0.19685039370078741" top="0.39370078740157483" bottom="0.78740157480314965" header="0.51181102362204722" footer="0.51181102362204722"/>
      <pageSetup paperSize="9" scale="77" orientation="portrait" r:id="rId5"/>
      <headerFooter alignWithMargins="0">
        <oddFooter>&amp;C&amp;P</oddFooter>
      </headerFooter>
    </customSheetView>
    <customSheetView guid="{E5662E33-D4B0-43EA-9B06-C8DA9DFDBEF6}" showPageBreaks="1" fitToPage="1" printArea="1" hiddenRows="1" hiddenColumns="1" showRuler="0">
      <selection activeCell="C56" sqref="C56"/>
      <rowBreaks count="1" manualBreakCount="1">
        <brk id="44" max="2" man="1"/>
      </rowBreaks>
      <pageMargins left="0.59055118110236227" right="0.19685039370078741" top="0.39370078740157483" bottom="0.78740157480314965" header="0.51181102362204722" footer="0.51181102362204722"/>
      <pageSetup paperSize="9" scale="77" orientation="portrait" r:id="rId6"/>
      <headerFooter alignWithMargins="0">
        <oddFooter>&amp;C&amp;P</oddFooter>
      </headerFooter>
    </customSheetView>
  </customSheetViews>
  <mergeCells count="7">
    <mergeCell ref="A122:B122"/>
    <mergeCell ref="A121:B121"/>
    <mergeCell ref="A1:E1"/>
    <mergeCell ref="A2:E2"/>
    <mergeCell ref="A3:E3"/>
    <mergeCell ref="A4:E4"/>
    <mergeCell ref="A6:E6"/>
  </mergeCells>
  <phoneticPr fontId="0" type="noConversion"/>
  <pageMargins left="0.70866141732283472" right="0.70866141732283472" top="0.74803149606299213" bottom="0.74803149606299213" header="0.31496062992125984" footer="0.31496062992125984"/>
  <pageSetup paperSize="9" fitToHeight="0" orientation="portrait" r:id="rId7"/>
  <headerFooter alignWithMargins="0">
    <oddFooter>&amp;C&amp;P</oddFooter>
  </headerFooter>
</worksheet>
</file>

<file path=xl/worksheets/sheet30.xml><?xml version="1.0" encoding="utf-8"?>
<worksheet xmlns="http://schemas.openxmlformats.org/spreadsheetml/2006/main" xmlns:r="http://schemas.openxmlformats.org/officeDocument/2006/relationships">
  <sheetPr codeName="Лист24">
    <pageSetUpPr fitToPage="1"/>
  </sheetPr>
  <dimension ref="A1:K148"/>
  <sheetViews>
    <sheetView view="pageBreakPreview" zoomScaleSheetLayoutView="100" workbookViewId="0">
      <selection activeCell="A10" sqref="A10:J10"/>
    </sheetView>
  </sheetViews>
  <sheetFormatPr defaultRowHeight="13.2"/>
  <cols>
    <col min="7" max="7" width="24.109375" customWidth="1"/>
    <col min="9" max="9" width="14.6640625" customWidth="1"/>
    <col min="10" max="10" width="9.109375" hidden="1" customWidth="1"/>
  </cols>
  <sheetData>
    <row r="1" spans="1:10" ht="15.6">
      <c r="A1" s="43"/>
      <c r="B1" s="43"/>
      <c r="C1" s="43"/>
      <c r="D1" s="43"/>
      <c r="E1" s="43"/>
      <c r="F1" s="43"/>
      <c r="G1" s="809" t="s">
        <v>1590</v>
      </c>
      <c r="H1" s="809"/>
      <c r="I1" s="809"/>
      <c r="J1" s="809"/>
    </row>
    <row r="2" spans="1:10" ht="15.6">
      <c r="A2" s="43"/>
      <c r="B2" s="43"/>
      <c r="C2" s="43"/>
      <c r="D2" s="43"/>
      <c r="E2" s="43"/>
      <c r="F2" s="43"/>
      <c r="G2" s="809" t="s">
        <v>195</v>
      </c>
      <c r="H2" s="809"/>
      <c r="I2" s="809"/>
      <c r="J2" s="809"/>
    </row>
    <row r="3" spans="1:10" ht="15.6">
      <c r="A3" s="43"/>
      <c r="B3" s="43"/>
      <c r="C3" s="43"/>
      <c r="D3" s="43"/>
      <c r="E3" s="43"/>
      <c r="F3" s="43"/>
      <c r="G3" s="809" t="s">
        <v>720</v>
      </c>
      <c r="H3" s="809"/>
      <c r="I3" s="809"/>
      <c r="J3" s="809"/>
    </row>
    <row r="4" spans="1:10" ht="15.6">
      <c r="A4" s="43"/>
      <c r="B4" s="43"/>
      <c r="C4" s="43"/>
      <c r="D4" s="43"/>
      <c r="E4" s="43"/>
      <c r="F4" s="43"/>
      <c r="G4" s="809" t="s">
        <v>1275</v>
      </c>
      <c r="H4" s="809"/>
      <c r="I4" s="809"/>
      <c r="J4" s="809"/>
    </row>
    <row r="5" spans="1:10" ht="15.6">
      <c r="A5" s="43"/>
      <c r="B5" s="43"/>
      <c r="C5" s="43"/>
      <c r="D5" s="43"/>
      <c r="E5" s="43"/>
      <c r="F5" s="43"/>
      <c r="G5" s="43"/>
      <c r="H5" s="43"/>
      <c r="I5" s="43"/>
      <c r="J5" s="115"/>
    </row>
    <row r="6" spans="1:10" ht="42" customHeight="1">
      <c r="A6" s="843" t="s">
        <v>21</v>
      </c>
      <c r="B6" s="843"/>
      <c r="C6" s="843"/>
      <c r="D6" s="843"/>
      <c r="E6" s="843"/>
      <c r="F6" s="843"/>
      <c r="G6" s="843"/>
      <c r="H6" s="843"/>
      <c r="I6" s="843"/>
      <c r="J6" s="843"/>
    </row>
    <row r="7" spans="1:10" ht="15.6">
      <c r="A7" s="116"/>
      <c r="B7" s="43"/>
      <c r="C7" s="43"/>
      <c r="D7" s="43"/>
      <c r="E7" s="43"/>
      <c r="F7" s="43"/>
      <c r="G7" s="43"/>
      <c r="H7" s="43"/>
      <c r="I7" s="43"/>
      <c r="J7" s="43"/>
    </row>
    <row r="8" spans="1:10" ht="45" customHeight="1">
      <c r="A8" s="947" t="s">
        <v>122</v>
      </c>
      <c r="B8" s="947"/>
      <c r="C8" s="947"/>
      <c r="D8" s="947"/>
      <c r="E8" s="947"/>
      <c r="F8" s="947"/>
      <c r="G8" s="947"/>
      <c r="H8" s="947"/>
      <c r="I8" s="947"/>
      <c r="J8" s="947"/>
    </row>
    <row r="9" spans="1:10" ht="45" customHeight="1">
      <c r="A9" s="948" t="s">
        <v>501</v>
      </c>
      <c r="B9" s="948"/>
      <c r="C9" s="948"/>
      <c r="D9" s="948"/>
      <c r="E9" s="948"/>
      <c r="F9" s="948"/>
      <c r="G9" s="948"/>
      <c r="H9" s="948"/>
      <c r="I9" s="948"/>
      <c r="J9" s="948"/>
    </row>
    <row r="10" spans="1:10" ht="71.25" customHeight="1">
      <c r="A10" s="947"/>
      <c r="B10" s="947"/>
      <c r="C10" s="947"/>
      <c r="D10" s="947"/>
      <c r="E10" s="947"/>
      <c r="F10" s="947"/>
      <c r="G10" s="947"/>
      <c r="H10" s="947"/>
      <c r="I10" s="947"/>
      <c r="J10" s="947"/>
    </row>
    <row r="11" spans="1:10" ht="46.5" hidden="1" customHeight="1">
      <c r="A11" s="948"/>
      <c r="B11" s="948"/>
      <c r="C11" s="948"/>
      <c r="D11" s="948"/>
      <c r="E11" s="948"/>
      <c r="F11" s="948"/>
      <c r="G11" s="948"/>
      <c r="H11" s="948"/>
      <c r="I11" s="948"/>
      <c r="J11" s="948"/>
    </row>
    <row r="12" spans="1:10" ht="41.25" hidden="1" customHeight="1">
      <c r="A12" s="947"/>
      <c r="B12" s="947"/>
      <c r="C12" s="947"/>
      <c r="D12" s="947"/>
      <c r="E12" s="947"/>
      <c r="F12" s="947"/>
      <c r="G12" s="947"/>
      <c r="H12" s="947"/>
      <c r="I12" s="947"/>
      <c r="J12" s="947"/>
    </row>
    <row r="13" spans="1:10" ht="18" hidden="1" customHeight="1">
      <c r="C13" s="43"/>
    </row>
    <row r="14" spans="1:10" ht="78.75" hidden="1" customHeight="1">
      <c r="A14" s="947"/>
      <c r="B14" s="947"/>
      <c r="C14" s="947"/>
      <c r="D14" s="947"/>
      <c r="E14" s="947"/>
      <c r="F14" s="947"/>
      <c r="G14" s="947"/>
      <c r="H14" s="947"/>
      <c r="I14" s="947"/>
      <c r="J14" s="947"/>
    </row>
    <row r="15" spans="1:10" ht="25.5" hidden="1" customHeight="1">
      <c r="C15" s="43"/>
    </row>
    <row r="16" spans="1:10" hidden="1"/>
    <row r="17" spans="1:11" ht="57.75" hidden="1" customHeight="1">
      <c r="A17" s="947"/>
      <c r="B17" s="947"/>
      <c r="C17" s="947"/>
      <c r="D17" s="947"/>
      <c r="E17" s="947"/>
      <c r="F17" s="947"/>
      <c r="G17" s="947"/>
      <c r="H17" s="947"/>
      <c r="I17" s="947"/>
      <c r="J17" s="947"/>
    </row>
    <row r="18" spans="1:11" hidden="1">
      <c r="C18" s="43"/>
    </row>
    <row r="19" spans="1:11" hidden="1"/>
    <row r="20" spans="1:11" ht="58.5" hidden="1" customHeight="1">
      <c r="A20" s="947"/>
      <c r="B20" s="947"/>
      <c r="C20" s="947"/>
      <c r="D20" s="947"/>
      <c r="E20" s="947"/>
      <c r="F20" s="947"/>
      <c r="G20" s="947"/>
      <c r="H20" s="947"/>
      <c r="I20" s="947"/>
      <c r="J20" s="947"/>
    </row>
    <row r="21" spans="1:11" hidden="1">
      <c r="C21" s="43"/>
    </row>
    <row r="22" spans="1:11" hidden="1"/>
    <row r="23" spans="1:11" hidden="1"/>
    <row r="24" spans="1:11" hidden="1"/>
    <row r="25" spans="1:11" hidden="1"/>
    <row r="26" spans="1:11" hidden="1"/>
    <row r="27" spans="1:11" hidden="1"/>
    <row r="28" spans="1:11" hidden="1"/>
    <row r="29" spans="1:11" hidden="1"/>
    <row r="30" spans="1:11" hidden="1">
      <c r="I30" s="100"/>
      <c r="K30" s="100"/>
    </row>
    <row r="31" spans="1:11" hidden="1">
      <c r="A31" s="141"/>
      <c r="B31" s="141"/>
      <c r="C31" s="141"/>
      <c r="D31" s="141"/>
      <c r="I31" s="100"/>
      <c r="J31" s="100"/>
      <c r="K31" s="100"/>
    </row>
    <row r="32" spans="1:11" hidden="1">
      <c r="A32" s="141"/>
      <c r="B32" s="141"/>
      <c r="C32" s="141"/>
      <c r="D32" s="141"/>
      <c r="I32" s="100"/>
      <c r="J32" s="100"/>
      <c r="K32" s="100"/>
    </row>
    <row r="33" spans="1:11" hidden="1">
      <c r="A33" s="141"/>
      <c r="B33" s="141"/>
      <c r="C33" s="141"/>
      <c r="D33" s="141"/>
    </row>
    <row r="34" spans="1:11" ht="15.6" hidden="1">
      <c r="A34" s="141"/>
      <c r="B34" s="144"/>
      <c r="C34" s="145"/>
      <c r="D34" s="145"/>
      <c r="K34" s="124"/>
    </row>
    <row r="35" spans="1:11" ht="15.6" hidden="1">
      <c r="A35" s="946"/>
      <c r="B35" s="946"/>
      <c r="C35" s="146"/>
      <c r="D35" s="146"/>
      <c r="K35" s="124"/>
    </row>
    <row r="36" spans="1:11" hidden="1"/>
    <row r="37" spans="1:11" hidden="1"/>
    <row r="38" spans="1:11" hidden="1"/>
    <row r="39" spans="1:11" hidden="1"/>
    <row r="40" spans="1:11" hidden="1"/>
    <row r="41" spans="1:11" hidden="1"/>
    <row r="42" spans="1:11" hidden="1"/>
    <row r="43" spans="1:11" hidden="1"/>
    <row r="44" spans="1:11" hidden="1"/>
    <row r="45" spans="1:11" hidden="1"/>
    <row r="46" spans="1:11" hidden="1"/>
    <row r="47" spans="1:11" hidden="1"/>
    <row r="48" spans="1:11"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sheetData>
  <mergeCells count="14">
    <mergeCell ref="G1:J1"/>
    <mergeCell ref="G2:J2"/>
    <mergeCell ref="G3:J3"/>
    <mergeCell ref="G4:J4"/>
    <mergeCell ref="A35:B35"/>
    <mergeCell ref="A6:J6"/>
    <mergeCell ref="A8:J8"/>
    <mergeCell ref="A20:J20"/>
    <mergeCell ref="A9:J9"/>
    <mergeCell ref="A10:J10"/>
    <mergeCell ref="A14:J14"/>
    <mergeCell ref="A17:J17"/>
    <mergeCell ref="A11:J11"/>
    <mergeCell ref="A12:J12"/>
  </mergeCells>
  <phoneticPr fontId="36" type="noConversion"/>
  <pageMargins left="0.78740157480314965" right="0.39370078740157483" top="0.39370078740157483" bottom="0.39370078740157483" header="0.19685039370078741" footer="0.19685039370078741"/>
  <pageSetup paperSize="9" scale="91" fitToHeight="0" orientation="portrait" r:id="rId1"/>
  <headerFooter alignWithMargins="0">
    <oddFooter>&amp;C&amp;P</oddFooter>
  </headerFooter>
</worksheet>
</file>

<file path=xl/worksheets/sheet31.xml><?xml version="1.0" encoding="utf-8"?>
<worksheet xmlns="http://schemas.openxmlformats.org/spreadsheetml/2006/main" xmlns:r="http://schemas.openxmlformats.org/officeDocument/2006/relationships">
  <sheetPr codeName="Лист25"/>
  <dimension ref="A1:B1167"/>
  <sheetViews>
    <sheetView view="pageBreakPreview" topLeftCell="A1156" workbookViewId="0">
      <selection activeCell="B1161" sqref="B1161"/>
    </sheetView>
  </sheetViews>
  <sheetFormatPr defaultRowHeight="13.2"/>
  <cols>
    <col min="1" max="1" width="6.5546875" style="46" customWidth="1"/>
    <col min="2" max="2" width="85.6640625" style="43" customWidth="1"/>
  </cols>
  <sheetData>
    <row r="1" spans="1:2" hidden="1">
      <c r="A1" s="46" t="s">
        <v>1145</v>
      </c>
      <c r="B1" s="43" t="s">
        <v>1146</v>
      </c>
    </row>
    <row r="2" spans="1:2" hidden="1">
      <c r="A2" s="47" t="s">
        <v>822</v>
      </c>
      <c r="B2" s="45" t="s">
        <v>253</v>
      </c>
    </row>
    <row r="3" spans="1:2" hidden="1"/>
    <row r="4" spans="1:2" hidden="1"/>
    <row r="5" spans="1:2" hidden="1"/>
    <row r="6" spans="1:2" hidden="1"/>
    <row r="7" spans="1:2" hidden="1"/>
    <row r="8" spans="1:2" hidden="1"/>
    <row r="9" spans="1:2" hidden="1"/>
    <row r="10" spans="1:2" hidden="1"/>
    <row r="11" spans="1:2" hidden="1"/>
    <row r="12" spans="1:2" hidden="1"/>
    <row r="13" spans="1:2" hidden="1"/>
    <row r="14" spans="1:2" hidden="1"/>
    <row r="15" spans="1:2" hidden="1"/>
    <row r="16" spans="1:2" hidden="1"/>
    <row r="17" hidden="1"/>
    <row r="18" hidden="1"/>
    <row r="19" hidden="1"/>
    <row r="20" hidden="1"/>
    <row r="21" hidden="1"/>
    <row r="22" hidden="1"/>
    <row r="23" hidden="1"/>
    <row r="24" hidden="1"/>
    <row r="25" hidden="1"/>
    <row r="26" hidden="1"/>
    <row r="27" hidden="1"/>
    <row r="28" hidden="1"/>
    <row r="29" hidden="1"/>
    <row r="30" hidden="1"/>
    <row r="31" hidden="1"/>
    <row r="32"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spans="2:2" hidden="1"/>
    <row r="162" spans="2:2" hidden="1"/>
    <row r="163" spans="2:2" hidden="1"/>
    <row r="164" spans="2:2" hidden="1"/>
    <row r="165" spans="2:2" hidden="1"/>
    <row r="166" spans="2:2" hidden="1"/>
    <row r="167" spans="2:2" hidden="1"/>
    <row r="168" spans="2:2" hidden="1"/>
    <row r="169" spans="2:2" hidden="1"/>
    <row r="170" spans="2:2" hidden="1">
      <c r="B170"/>
    </row>
    <row r="171" spans="2:2" hidden="1"/>
    <row r="172" spans="2:2" hidden="1"/>
    <row r="173" spans="2:2" hidden="1"/>
    <row r="174" spans="2:2" hidden="1"/>
    <row r="175" spans="2:2" hidden="1"/>
    <row r="176" spans="2:2"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spans="1:2" hidden="1"/>
    <row r="994" spans="1:2" hidden="1"/>
    <row r="995" spans="1:2" hidden="1"/>
    <row r="996" spans="1:2" hidden="1"/>
    <row r="997" spans="1:2" ht="13.5" hidden="1" customHeight="1"/>
    <row r="998" spans="1:2" hidden="1"/>
    <row r="999" spans="1:2" hidden="1"/>
    <row r="1000" spans="1:2">
      <c r="A1000" s="48">
        <v>0</v>
      </c>
      <c r="B1000" s="44" t="s">
        <v>286</v>
      </c>
    </row>
    <row r="1001" spans="1:2">
      <c r="A1001" s="48">
        <v>4</v>
      </c>
      <c r="B1001" s="44" t="s">
        <v>1142</v>
      </c>
    </row>
    <row r="1002" spans="1:2">
      <c r="A1002" s="48">
        <v>20</v>
      </c>
      <c r="B1002" s="44" t="s">
        <v>1609</v>
      </c>
    </row>
    <row r="1003" spans="1:2">
      <c r="A1003" s="48">
        <v>22</v>
      </c>
      <c r="B1003" s="44" t="s">
        <v>1610</v>
      </c>
    </row>
    <row r="1004" spans="1:2">
      <c r="A1004" s="48">
        <v>29</v>
      </c>
      <c r="B1004" s="44" t="s">
        <v>1611</v>
      </c>
    </row>
    <row r="1005" spans="1:2">
      <c r="A1005" s="48">
        <v>48</v>
      </c>
      <c r="B1005" s="44" t="s">
        <v>1143</v>
      </c>
    </row>
    <row r="1006" spans="1:2">
      <c r="A1006" s="48">
        <v>50</v>
      </c>
      <c r="B1006" s="44" t="s">
        <v>1249</v>
      </c>
    </row>
    <row r="1007" spans="1:2">
      <c r="A1007" s="48">
        <v>53</v>
      </c>
      <c r="B1007" s="44" t="s">
        <v>1144</v>
      </c>
    </row>
    <row r="1008" spans="1:2">
      <c r="A1008" s="48">
        <v>54</v>
      </c>
      <c r="B1008" s="44" t="s">
        <v>1250</v>
      </c>
    </row>
    <row r="1009" spans="1:2">
      <c r="A1009" s="48">
        <v>56</v>
      </c>
      <c r="B1009" s="44" t="s">
        <v>1251</v>
      </c>
    </row>
    <row r="1010" spans="1:2">
      <c r="A1010" s="48">
        <v>58</v>
      </c>
      <c r="B1010" s="44" t="s">
        <v>1617</v>
      </c>
    </row>
    <row r="1011" spans="1:2">
      <c r="A1011" s="48">
        <v>70</v>
      </c>
      <c r="B1011" s="44" t="s">
        <v>1618</v>
      </c>
    </row>
    <row r="1012" spans="1:2">
      <c r="A1012" s="48">
        <v>71</v>
      </c>
      <c r="B1012" s="44" t="s">
        <v>1051</v>
      </c>
    </row>
    <row r="1013" spans="1:2">
      <c r="A1013" s="48">
        <v>72</v>
      </c>
      <c r="B1013" s="44" t="s">
        <v>1904</v>
      </c>
    </row>
    <row r="1014" spans="1:2">
      <c r="A1014" s="48">
        <v>75</v>
      </c>
      <c r="B1014" s="44" t="s">
        <v>72</v>
      </c>
    </row>
    <row r="1015" spans="1:2">
      <c r="A1015" s="48">
        <v>76</v>
      </c>
      <c r="B1015" s="44" t="s">
        <v>1956</v>
      </c>
    </row>
    <row r="1016" spans="1:2">
      <c r="A1016" s="48">
        <v>78</v>
      </c>
      <c r="B1016" s="44" t="s">
        <v>1957</v>
      </c>
    </row>
    <row r="1017" spans="1:2">
      <c r="A1017" s="48">
        <v>81</v>
      </c>
      <c r="B1017" s="44" t="s">
        <v>1905</v>
      </c>
    </row>
    <row r="1018" spans="1:2">
      <c r="A1018" s="48">
        <v>82</v>
      </c>
      <c r="B1018" s="44" t="s">
        <v>285</v>
      </c>
    </row>
    <row r="1019" spans="1:2">
      <c r="A1019" s="48">
        <v>83</v>
      </c>
      <c r="B1019" s="44" t="s">
        <v>538</v>
      </c>
    </row>
    <row r="1020" spans="1:2">
      <c r="A1020" s="48">
        <v>85</v>
      </c>
      <c r="B1020" s="44" t="s">
        <v>658</v>
      </c>
    </row>
    <row r="1021" spans="1:2">
      <c r="A1021" s="48">
        <v>89</v>
      </c>
      <c r="B1021" s="44" t="s">
        <v>232</v>
      </c>
    </row>
    <row r="1022" spans="1:2">
      <c r="A1022" s="48">
        <v>92</v>
      </c>
      <c r="B1022" s="44" t="s">
        <v>73</v>
      </c>
    </row>
    <row r="1023" spans="1:2">
      <c r="A1023" s="48">
        <v>99</v>
      </c>
      <c r="B1023" s="44" t="s">
        <v>1327</v>
      </c>
    </row>
    <row r="1024" spans="1:2">
      <c r="A1024" s="48">
        <v>104</v>
      </c>
      <c r="B1024" s="44" t="s">
        <v>150</v>
      </c>
    </row>
    <row r="1025" spans="1:2">
      <c r="A1025" s="48">
        <v>125</v>
      </c>
      <c r="B1025" s="44" t="s">
        <v>496</v>
      </c>
    </row>
    <row r="1026" spans="1:2">
      <c r="A1026" s="48">
        <v>126</v>
      </c>
      <c r="B1026" s="44" t="s">
        <v>819</v>
      </c>
    </row>
    <row r="1027" spans="1:2">
      <c r="A1027" s="48">
        <v>128</v>
      </c>
      <c r="B1027" s="44" t="s">
        <v>820</v>
      </c>
    </row>
    <row r="1028" spans="1:2">
      <c r="A1028" s="48">
        <v>129</v>
      </c>
      <c r="B1028" s="44" t="s">
        <v>937</v>
      </c>
    </row>
    <row r="1029" spans="1:2" ht="26.4">
      <c r="A1029" s="48">
        <v>133</v>
      </c>
      <c r="B1029" s="44" t="s">
        <v>391</v>
      </c>
    </row>
    <row r="1030" spans="1:2" ht="26.4">
      <c r="A1030" s="48">
        <v>134</v>
      </c>
      <c r="B1030" s="44" t="s">
        <v>785</v>
      </c>
    </row>
    <row r="1031" spans="1:2">
      <c r="A1031" s="48">
        <v>136</v>
      </c>
      <c r="B1031" s="44" t="s">
        <v>659</v>
      </c>
    </row>
    <row r="1032" spans="1:2">
      <c r="A1032" s="48">
        <v>139</v>
      </c>
      <c r="B1032" s="44" t="s">
        <v>660</v>
      </c>
    </row>
    <row r="1033" spans="1:2">
      <c r="A1033" s="48">
        <v>140</v>
      </c>
      <c r="B1033" s="44" t="s">
        <v>243</v>
      </c>
    </row>
    <row r="1034" spans="1:2">
      <c r="A1034" s="48">
        <v>141</v>
      </c>
      <c r="B1034" s="44" t="s">
        <v>244</v>
      </c>
    </row>
    <row r="1035" spans="1:2">
      <c r="A1035" s="48">
        <v>142</v>
      </c>
      <c r="B1035" s="44" t="s">
        <v>846</v>
      </c>
    </row>
    <row r="1036" spans="1:2">
      <c r="A1036" s="48">
        <v>148</v>
      </c>
      <c r="B1036" s="44" t="s">
        <v>454</v>
      </c>
    </row>
    <row r="1037" spans="1:2">
      <c r="A1037" s="48">
        <v>149</v>
      </c>
      <c r="B1037" s="44" t="s">
        <v>455</v>
      </c>
    </row>
    <row r="1038" spans="1:2">
      <c r="A1038" s="48">
        <v>152</v>
      </c>
      <c r="B1038" s="44" t="s">
        <v>1264</v>
      </c>
    </row>
    <row r="1039" spans="1:2">
      <c r="A1039" s="48">
        <v>153</v>
      </c>
      <c r="B1039" s="44" t="s">
        <v>458</v>
      </c>
    </row>
    <row r="1040" spans="1:2">
      <c r="A1040" s="48">
        <v>154</v>
      </c>
      <c r="B1040" s="44" t="s">
        <v>1629</v>
      </c>
    </row>
    <row r="1041" spans="1:2">
      <c r="A1041" s="48">
        <v>156</v>
      </c>
      <c r="B1041" s="44" t="s">
        <v>1685</v>
      </c>
    </row>
    <row r="1042" spans="1:2">
      <c r="A1042" s="48">
        <v>157</v>
      </c>
      <c r="B1042" s="44" t="s">
        <v>1138</v>
      </c>
    </row>
    <row r="1043" spans="1:2">
      <c r="A1043" s="48">
        <v>158</v>
      </c>
      <c r="B1043" s="44" t="s">
        <v>541</v>
      </c>
    </row>
    <row r="1044" spans="1:2">
      <c r="A1044" s="48">
        <v>159</v>
      </c>
      <c r="B1044" s="44" t="s">
        <v>161</v>
      </c>
    </row>
    <row r="1045" spans="1:2">
      <c r="A1045" s="48">
        <v>160</v>
      </c>
      <c r="B1045" s="44" t="s">
        <v>1197</v>
      </c>
    </row>
    <row r="1046" spans="1:2">
      <c r="A1046" s="48">
        <v>162</v>
      </c>
      <c r="B1046" s="44" t="s">
        <v>1199</v>
      </c>
    </row>
    <row r="1047" spans="1:2">
      <c r="A1047" s="48">
        <v>163</v>
      </c>
      <c r="B1047" s="44" t="s">
        <v>1540</v>
      </c>
    </row>
    <row r="1048" spans="1:2">
      <c r="A1048" s="48">
        <v>164</v>
      </c>
      <c r="B1048" s="44" t="s">
        <v>795</v>
      </c>
    </row>
    <row r="1049" spans="1:2">
      <c r="A1049" s="48">
        <v>165</v>
      </c>
      <c r="B1049" s="44" t="s">
        <v>338</v>
      </c>
    </row>
    <row r="1050" spans="1:2" ht="26.4">
      <c r="A1050" s="48">
        <v>166</v>
      </c>
      <c r="B1050" s="44" t="s">
        <v>111</v>
      </c>
    </row>
    <row r="1051" spans="1:2" ht="26.4">
      <c r="A1051" s="48">
        <v>177</v>
      </c>
      <c r="B1051" s="44" t="s">
        <v>639</v>
      </c>
    </row>
    <row r="1052" spans="1:2">
      <c r="A1052" s="48">
        <v>181</v>
      </c>
      <c r="B1052" s="44" t="s">
        <v>640</v>
      </c>
    </row>
    <row r="1053" spans="1:2">
      <c r="A1053" s="48">
        <v>182</v>
      </c>
      <c r="B1053" s="44" t="s">
        <v>641</v>
      </c>
    </row>
    <row r="1054" spans="1:2">
      <c r="A1054" s="48">
        <v>184</v>
      </c>
      <c r="B1054" s="44" t="s">
        <v>1202</v>
      </c>
    </row>
    <row r="1055" spans="1:2">
      <c r="A1055" s="48">
        <v>186</v>
      </c>
      <c r="B1055" s="44" t="s">
        <v>1684</v>
      </c>
    </row>
    <row r="1056" spans="1:2">
      <c r="A1056" s="48">
        <v>187</v>
      </c>
      <c r="B1056" s="44" t="s">
        <v>836</v>
      </c>
    </row>
    <row r="1057" spans="1:2">
      <c r="A1057" s="48">
        <v>188</v>
      </c>
      <c r="B1057" s="44" t="s">
        <v>1058</v>
      </c>
    </row>
    <row r="1058" spans="1:2">
      <c r="A1058" s="48">
        <v>189</v>
      </c>
      <c r="B1058" s="44" t="s">
        <v>1059</v>
      </c>
    </row>
    <row r="1059" spans="1:2">
      <c r="A1059" s="48">
        <v>190</v>
      </c>
      <c r="B1059" s="44" t="s">
        <v>115</v>
      </c>
    </row>
    <row r="1060" spans="1:2">
      <c r="A1060" s="48">
        <v>192</v>
      </c>
      <c r="B1060" s="44" t="s">
        <v>116</v>
      </c>
    </row>
    <row r="1061" spans="1:2">
      <c r="A1061" s="48">
        <v>197</v>
      </c>
      <c r="B1061" s="44" t="s">
        <v>1619</v>
      </c>
    </row>
    <row r="1062" spans="1:2">
      <c r="A1062" s="48">
        <v>202</v>
      </c>
      <c r="B1062" s="44" t="s">
        <v>1620</v>
      </c>
    </row>
    <row r="1063" spans="1:2" ht="26.4">
      <c r="A1063" s="48">
        <v>206</v>
      </c>
      <c r="B1063" s="44" t="s">
        <v>1621</v>
      </c>
    </row>
    <row r="1064" spans="1:2">
      <c r="A1064" s="48">
        <v>207</v>
      </c>
      <c r="B1064" s="44" t="s">
        <v>586</v>
      </c>
    </row>
    <row r="1065" spans="1:2">
      <c r="A1065" s="48">
        <v>226</v>
      </c>
      <c r="B1065" s="44" t="s">
        <v>1269</v>
      </c>
    </row>
    <row r="1066" spans="1:2">
      <c r="A1066" s="48">
        <v>258</v>
      </c>
      <c r="B1066" s="44" t="s">
        <v>301</v>
      </c>
    </row>
    <row r="1067" spans="1:2">
      <c r="A1067" s="48">
        <v>262</v>
      </c>
      <c r="B1067" s="44" t="s">
        <v>419</v>
      </c>
    </row>
    <row r="1068" spans="1:2">
      <c r="A1068" s="48">
        <v>263</v>
      </c>
      <c r="B1068" s="44" t="s">
        <v>456</v>
      </c>
    </row>
    <row r="1069" spans="1:2">
      <c r="A1069" s="48">
        <v>279</v>
      </c>
      <c r="B1069" s="44" t="s">
        <v>1113</v>
      </c>
    </row>
    <row r="1070" spans="1:2">
      <c r="A1070" s="48">
        <v>302</v>
      </c>
      <c r="B1070" s="44" t="s">
        <v>1114</v>
      </c>
    </row>
    <row r="1071" spans="1:2">
      <c r="A1071" s="48">
        <v>303</v>
      </c>
      <c r="B1071" s="44" t="s">
        <v>381</v>
      </c>
    </row>
    <row r="1072" spans="1:2">
      <c r="A1072" s="48">
        <v>304</v>
      </c>
      <c r="B1072" s="44" t="s">
        <v>590</v>
      </c>
    </row>
    <row r="1073" spans="1:2">
      <c r="A1073" s="48">
        <v>305</v>
      </c>
      <c r="B1073" s="44" t="s">
        <v>828</v>
      </c>
    </row>
    <row r="1074" spans="1:2">
      <c r="A1074" s="48">
        <v>306</v>
      </c>
      <c r="B1074" s="44" t="s">
        <v>203</v>
      </c>
    </row>
    <row r="1075" spans="1:2">
      <c r="A1075" s="48">
        <v>308</v>
      </c>
      <c r="B1075" s="44" t="s">
        <v>204</v>
      </c>
    </row>
    <row r="1076" spans="1:2">
      <c r="A1076" s="48">
        <v>310</v>
      </c>
      <c r="B1076" s="44" t="s">
        <v>532</v>
      </c>
    </row>
    <row r="1077" spans="1:2">
      <c r="A1077" s="48">
        <v>316</v>
      </c>
      <c r="B1077" s="44" t="s">
        <v>1681</v>
      </c>
    </row>
    <row r="1078" spans="1:2">
      <c r="A1078" s="48">
        <v>318</v>
      </c>
      <c r="B1078" s="44" t="s">
        <v>945</v>
      </c>
    </row>
    <row r="1079" spans="1:2">
      <c r="A1079" s="48">
        <v>319</v>
      </c>
      <c r="B1079" s="44" t="s">
        <v>180</v>
      </c>
    </row>
    <row r="1080" spans="1:2">
      <c r="A1080" s="48">
        <v>320</v>
      </c>
      <c r="B1080" s="44" t="s">
        <v>181</v>
      </c>
    </row>
    <row r="1081" spans="1:2">
      <c r="A1081" s="48">
        <v>321</v>
      </c>
      <c r="B1081" s="44" t="s">
        <v>467</v>
      </c>
    </row>
    <row r="1082" spans="1:2">
      <c r="A1082" s="48">
        <v>322</v>
      </c>
      <c r="B1082" s="44" t="s">
        <v>1626</v>
      </c>
    </row>
    <row r="1083" spans="1:2">
      <c r="A1083" s="48">
        <v>330</v>
      </c>
      <c r="B1083" s="44" t="s">
        <v>649</v>
      </c>
    </row>
    <row r="1084" spans="1:2">
      <c r="A1084" s="48">
        <v>333</v>
      </c>
      <c r="B1084" s="44" t="s">
        <v>984</v>
      </c>
    </row>
    <row r="1085" spans="1:2">
      <c r="A1085" s="48">
        <v>352</v>
      </c>
      <c r="B1085" s="44" t="s">
        <v>985</v>
      </c>
    </row>
    <row r="1086" spans="1:2">
      <c r="A1086" s="48">
        <v>386</v>
      </c>
      <c r="B1086" s="44" t="s">
        <v>986</v>
      </c>
    </row>
    <row r="1087" spans="1:2" ht="26.4">
      <c r="A1087" s="48">
        <v>387</v>
      </c>
      <c r="B1087" s="44" t="s">
        <v>600</v>
      </c>
    </row>
    <row r="1088" spans="1:2">
      <c r="A1088" s="48">
        <v>392</v>
      </c>
      <c r="B1088" s="44" t="s">
        <v>601</v>
      </c>
    </row>
    <row r="1089" spans="1:2">
      <c r="A1089" s="48">
        <v>393</v>
      </c>
      <c r="B1089" s="44" t="s">
        <v>1833</v>
      </c>
    </row>
    <row r="1090" spans="1:2">
      <c r="A1090" s="48">
        <v>397</v>
      </c>
      <c r="B1090" s="44" t="s">
        <v>473</v>
      </c>
    </row>
    <row r="1091" spans="1:2">
      <c r="A1091" s="48">
        <v>401</v>
      </c>
      <c r="B1091" s="44" t="s">
        <v>475</v>
      </c>
    </row>
    <row r="1092" spans="1:2">
      <c r="A1092" s="48">
        <v>409</v>
      </c>
      <c r="B1092" s="44" t="s">
        <v>158</v>
      </c>
    </row>
    <row r="1093" spans="1:2">
      <c r="A1093" s="48">
        <v>415</v>
      </c>
      <c r="B1093" s="44" t="s">
        <v>159</v>
      </c>
    </row>
    <row r="1094" spans="1:2">
      <c r="A1094" s="48">
        <v>423</v>
      </c>
      <c r="B1094" s="44" t="s">
        <v>1117</v>
      </c>
    </row>
    <row r="1095" spans="1:2">
      <c r="A1095" s="48">
        <v>424</v>
      </c>
      <c r="B1095" s="44" t="s">
        <v>226</v>
      </c>
    </row>
    <row r="1096" spans="1:2">
      <c r="A1096" s="48">
        <v>425</v>
      </c>
      <c r="B1096" s="44" t="s">
        <v>1427</v>
      </c>
    </row>
    <row r="1097" spans="1:2">
      <c r="A1097" s="48">
        <v>434</v>
      </c>
      <c r="B1097" s="44" t="s">
        <v>460</v>
      </c>
    </row>
    <row r="1098" spans="1:2">
      <c r="A1098" s="48">
        <v>436</v>
      </c>
      <c r="B1098" s="44" t="s">
        <v>461</v>
      </c>
    </row>
    <row r="1099" spans="1:2">
      <c r="A1099" s="48">
        <v>437</v>
      </c>
      <c r="B1099" s="44" t="s">
        <v>1630</v>
      </c>
    </row>
    <row r="1100" spans="1:2">
      <c r="A1100" s="48">
        <v>438</v>
      </c>
      <c r="B1100" s="44" t="s">
        <v>1814</v>
      </c>
    </row>
    <row r="1101" spans="1:2">
      <c r="A1101" s="48">
        <v>464</v>
      </c>
      <c r="B1101" s="44" t="s">
        <v>1529</v>
      </c>
    </row>
    <row r="1102" spans="1:2">
      <c r="A1102" s="48">
        <v>486</v>
      </c>
      <c r="B1102" s="44" t="s">
        <v>1631</v>
      </c>
    </row>
    <row r="1103" spans="1:2">
      <c r="A1103" s="48">
        <v>494</v>
      </c>
      <c r="B1103" s="44" t="s">
        <v>847</v>
      </c>
    </row>
    <row r="1104" spans="1:2">
      <c r="A1104" s="48">
        <v>497</v>
      </c>
      <c r="B1104" s="44" t="s">
        <v>579</v>
      </c>
    </row>
    <row r="1105" spans="1:2">
      <c r="A1105" s="48">
        <v>498</v>
      </c>
      <c r="B1105" s="44" t="s">
        <v>580</v>
      </c>
    </row>
    <row r="1106" spans="1:2">
      <c r="A1106" s="48">
        <v>520</v>
      </c>
      <c r="B1106" s="44" t="s">
        <v>1245</v>
      </c>
    </row>
    <row r="1107" spans="1:2">
      <c r="A1107" s="48">
        <v>573</v>
      </c>
      <c r="B1107" s="44" t="s">
        <v>575</v>
      </c>
    </row>
    <row r="1108" spans="1:2">
      <c r="A1108" s="48">
        <v>588</v>
      </c>
      <c r="B1108" s="44" t="s">
        <v>1322</v>
      </c>
    </row>
    <row r="1109" spans="1:2">
      <c r="A1109" s="48">
        <v>589</v>
      </c>
      <c r="B1109" s="44" t="s">
        <v>1601</v>
      </c>
    </row>
    <row r="1110" spans="1:2">
      <c r="A1110" s="48">
        <v>591</v>
      </c>
      <c r="B1110" s="44" t="s">
        <v>1602</v>
      </c>
    </row>
    <row r="1111" spans="1:2">
      <c r="A1111" s="48">
        <v>597</v>
      </c>
      <c r="B1111" s="44" t="s">
        <v>731</v>
      </c>
    </row>
    <row r="1112" spans="1:2">
      <c r="A1112" s="48">
        <v>653</v>
      </c>
      <c r="B1112" s="44" t="s">
        <v>732</v>
      </c>
    </row>
    <row r="1113" spans="1:2">
      <c r="A1113" s="48">
        <v>665</v>
      </c>
      <c r="B1113" s="44" t="s">
        <v>733</v>
      </c>
    </row>
    <row r="1114" spans="1:2">
      <c r="A1114" s="48">
        <v>677</v>
      </c>
      <c r="B1114" s="44" t="s">
        <v>571</v>
      </c>
    </row>
    <row r="1115" spans="1:2">
      <c r="A1115" s="48">
        <v>693</v>
      </c>
      <c r="B1115" s="44" t="s">
        <v>572</v>
      </c>
    </row>
    <row r="1116" spans="1:2">
      <c r="A1116" s="48">
        <v>720</v>
      </c>
      <c r="B1116" s="44" t="s">
        <v>359</v>
      </c>
    </row>
    <row r="1117" spans="1:2">
      <c r="A1117" s="48">
        <v>721</v>
      </c>
      <c r="B1117" s="44" t="s">
        <v>1424</v>
      </c>
    </row>
    <row r="1118" spans="1:2" ht="26.4">
      <c r="A1118" s="48">
        <v>722</v>
      </c>
      <c r="B1118" s="44" t="s">
        <v>1425</v>
      </c>
    </row>
    <row r="1119" spans="1:2">
      <c r="A1119" s="48">
        <v>801</v>
      </c>
      <c r="B1119" s="44" t="s">
        <v>745</v>
      </c>
    </row>
    <row r="1120" spans="1:2">
      <c r="A1120" s="48">
        <v>804</v>
      </c>
      <c r="B1120" s="44" t="s">
        <v>746</v>
      </c>
    </row>
    <row r="1121" spans="1:2" ht="26.4">
      <c r="A1121" s="48">
        <v>807</v>
      </c>
      <c r="B1121" s="44" t="s">
        <v>11</v>
      </c>
    </row>
    <row r="1122" spans="1:2">
      <c r="A1122" s="48">
        <v>812</v>
      </c>
      <c r="B1122" s="44" t="s">
        <v>417</v>
      </c>
    </row>
    <row r="1123" spans="1:2">
      <c r="A1123" s="48">
        <v>905</v>
      </c>
      <c r="B1123" s="44" t="s">
        <v>213</v>
      </c>
    </row>
    <row r="1124" spans="1:2">
      <c r="A1124" s="48">
        <v>906</v>
      </c>
      <c r="B1124" s="44" t="s">
        <v>219</v>
      </c>
    </row>
    <row r="1125" spans="1:2">
      <c r="A1125" s="48">
        <v>914</v>
      </c>
      <c r="B1125" s="44" t="s">
        <v>220</v>
      </c>
    </row>
    <row r="1126" spans="1:2">
      <c r="A1126" s="48">
        <v>932</v>
      </c>
      <c r="B1126" s="44" t="s">
        <v>221</v>
      </c>
    </row>
    <row r="1127" spans="1:2">
      <c r="A1127" s="48">
        <v>950</v>
      </c>
      <c r="B1127" s="44" t="s">
        <v>807</v>
      </c>
    </row>
    <row r="1128" spans="1:2">
      <c r="A1128" s="48">
        <v>951</v>
      </c>
      <c r="B1128" s="44" t="s">
        <v>495</v>
      </c>
    </row>
    <row r="1129" spans="1:2">
      <c r="A1129" s="48">
        <v>952</v>
      </c>
      <c r="B1129" s="44" t="s">
        <v>1035</v>
      </c>
    </row>
    <row r="1130" spans="1:2">
      <c r="A1130" s="48">
        <v>953</v>
      </c>
      <c r="B1130" s="44" t="s">
        <v>1036</v>
      </c>
    </row>
    <row r="1131" spans="1:2">
      <c r="A1131" s="48">
        <v>954</v>
      </c>
      <c r="B1131" s="44" t="s">
        <v>812</v>
      </c>
    </row>
    <row r="1132" spans="1:2">
      <c r="A1132" s="48">
        <v>955</v>
      </c>
      <c r="B1132" s="44" t="s">
        <v>1701</v>
      </c>
    </row>
    <row r="1133" spans="1:2">
      <c r="A1133" s="48">
        <v>956</v>
      </c>
      <c r="B1133" s="44" t="s">
        <v>813</v>
      </c>
    </row>
    <row r="1134" spans="1:2">
      <c r="A1134" s="48">
        <v>957</v>
      </c>
      <c r="B1134" s="44" t="s">
        <v>814</v>
      </c>
    </row>
    <row r="1135" spans="1:2">
      <c r="A1135" s="48">
        <v>958</v>
      </c>
      <c r="B1135" s="44" t="s">
        <v>815</v>
      </c>
    </row>
    <row r="1136" spans="1:2">
      <c r="A1136" s="48">
        <v>959</v>
      </c>
      <c r="B1136" s="44" t="s">
        <v>1406</v>
      </c>
    </row>
    <row r="1137" spans="1:2">
      <c r="A1137" s="48">
        <v>960</v>
      </c>
      <c r="B1137" s="44" t="s">
        <v>459</v>
      </c>
    </row>
    <row r="1138" spans="1:2">
      <c r="A1138" s="48">
        <v>961</v>
      </c>
      <c r="B1138" s="44" t="s">
        <v>594</v>
      </c>
    </row>
    <row r="1139" spans="1:2">
      <c r="A1139" s="48">
        <v>962</v>
      </c>
      <c r="B1139" s="44" t="s">
        <v>1417</v>
      </c>
    </row>
    <row r="1140" spans="1:2">
      <c r="A1140" s="48">
        <v>963</v>
      </c>
      <c r="B1140" s="44" t="s">
        <v>420</v>
      </c>
    </row>
    <row r="1141" spans="1:2">
      <c r="A1141" s="48">
        <v>964</v>
      </c>
      <c r="B1141" s="44" t="s">
        <v>1683</v>
      </c>
    </row>
    <row r="1142" spans="1:2">
      <c r="A1142" s="48">
        <v>965</v>
      </c>
      <c r="B1142" s="44" t="s">
        <v>438</v>
      </c>
    </row>
    <row r="1143" spans="1:2">
      <c r="A1143" s="48">
        <v>966</v>
      </c>
      <c r="B1143" s="44" t="s">
        <v>540</v>
      </c>
    </row>
    <row r="1144" spans="1:2">
      <c r="A1144" s="48">
        <v>967</v>
      </c>
      <c r="B1144" s="44" t="s">
        <v>333</v>
      </c>
    </row>
    <row r="1145" spans="1:2">
      <c r="A1145" s="48">
        <v>968</v>
      </c>
      <c r="B1145" s="44" t="s">
        <v>525</v>
      </c>
    </row>
    <row r="1146" spans="1:2">
      <c r="A1146" s="48">
        <v>969</v>
      </c>
      <c r="B1146" s="44" t="s">
        <v>321</v>
      </c>
    </row>
    <row r="1147" spans="1:2">
      <c r="A1147" s="48">
        <v>970</v>
      </c>
      <c r="B1147" s="44" t="s">
        <v>311</v>
      </c>
    </row>
    <row r="1148" spans="1:2">
      <c r="A1148" s="48">
        <v>971</v>
      </c>
      <c r="B1148" s="44" t="s">
        <v>1839</v>
      </c>
    </row>
    <row r="1149" spans="1:2">
      <c r="A1149" s="48">
        <v>972</v>
      </c>
      <c r="B1149" s="44" t="s">
        <v>254</v>
      </c>
    </row>
    <row r="1150" spans="1:2">
      <c r="A1150" s="48">
        <v>973</v>
      </c>
      <c r="B1150" s="44" t="s">
        <v>1711</v>
      </c>
    </row>
    <row r="1151" spans="1:2">
      <c r="A1151" s="48">
        <v>974</v>
      </c>
      <c r="B1151" s="44" t="s">
        <v>1600</v>
      </c>
    </row>
    <row r="1152" spans="1:2">
      <c r="A1152" s="48">
        <v>975</v>
      </c>
      <c r="B1152" s="44" t="s">
        <v>432</v>
      </c>
    </row>
    <row r="1153" spans="1:2">
      <c r="A1153" s="48">
        <v>976</v>
      </c>
      <c r="B1153" s="44" t="s">
        <v>573</v>
      </c>
    </row>
    <row r="1154" spans="1:2">
      <c r="A1154" s="48">
        <v>977</v>
      </c>
      <c r="B1154" s="44" t="s">
        <v>1556</v>
      </c>
    </row>
    <row r="1155" spans="1:2">
      <c r="A1155" s="48">
        <v>978</v>
      </c>
      <c r="B1155" s="44" t="s">
        <v>1532</v>
      </c>
    </row>
    <row r="1156" spans="1:2">
      <c r="A1156" s="48">
        <v>979</v>
      </c>
      <c r="B1156" s="44" t="s">
        <v>1712</v>
      </c>
    </row>
    <row r="1157" spans="1:2">
      <c r="A1157" s="48">
        <v>980</v>
      </c>
      <c r="B1157" s="44" t="s">
        <v>1261</v>
      </c>
    </row>
    <row r="1158" spans="1:2">
      <c r="A1158" s="48">
        <v>981</v>
      </c>
      <c r="B1158" s="44" t="s">
        <v>1713</v>
      </c>
    </row>
    <row r="1159" spans="1:2">
      <c r="A1159" s="48">
        <v>982</v>
      </c>
      <c r="B1159" s="44" t="s">
        <v>1533</v>
      </c>
    </row>
    <row r="1160" spans="1:2">
      <c r="A1160" s="48">
        <v>983</v>
      </c>
      <c r="B1160" s="44" t="s">
        <v>335</v>
      </c>
    </row>
    <row r="1161" spans="1:2">
      <c r="A1161" s="48">
        <v>984</v>
      </c>
      <c r="B1161" s="44" t="s">
        <v>466</v>
      </c>
    </row>
    <row r="1162" spans="1:2">
      <c r="A1162" s="48">
        <v>985</v>
      </c>
      <c r="B1162" s="44" t="s">
        <v>435</v>
      </c>
    </row>
    <row r="1163" spans="1:2">
      <c r="A1163" s="48">
        <v>986</v>
      </c>
      <c r="B1163" s="44" t="s">
        <v>334</v>
      </c>
    </row>
    <row r="1164" spans="1:2">
      <c r="A1164" s="48">
        <v>987</v>
      </c>
      <c r="B1164" s="44" t="s">
        <v>1612</v>
      </c>
    </row>
    <row r="1165" spans="1:2">
      <c r="A1165" s="48">
        <v>988</v>
      </c>
      <c r="B1165" s="44" t="s">
        <v>1690</v>
      </c>
    </row>
    <row r="1166" spans="1:2">
      <c r="A1166" s="48">
        <v>989</v>
      </c>
      <c r="B1166" s="44" t="s">
        <v>1841</v>
      </c>
    </row>
    <row r="1167" spans="1:2">
      <c r="A1167" s="46">
        <v>995</v>
      </c>
      <c r="B1167" s="43" t="s">
        <v>334</v>
      </c>
    </row>
  </sheetData>
  <sheetProtection selectLockedCells="1" selectUnlockedCells="1"/>
  <phoneticPr fontId="0" type="noConversion"/>
  <pageMargins left="0.75" right="0.75" top="1" bottom="1" header="0.5" footer="0.5"/>
  <pageSetup paperSize="9" scale="94" orientation="portrait" r:id="rId1"/>
  <headerFooter alignWithMargins="0"/>
  <tableParts count="1">
    <tablePart r:id="rId2"/>
  </tableParts>
</worksheet>
</file>

<file path=xl/worksheets/sheet32.xml><?xml version="1.0" encoding="utf-8"?>
<worksheet xmlns="http://schemas.openxmlformats.org/spreadsheetml/2006/main" xmlns:r="http://schemas.openxmlformats.org/officeDocument/2006/relationships">
  <sheetPr codeName="Лист28"/>
  <dimension ref="A1:B1930"/>
  <sheetViews>
    <sheetView showGridLines="0" topLeftCell="A1820" zoomScaleSheetLayoutView="120" workbookViewId="0">
      <selection activeCell="B1835" sqref="B1835"/>
    </sheetView>
  </sheetViews>
  <sheetFormatPr defaultColWidth="9.109375" defaultRowHeight="13.2"/>
  <cols>
    <col min="1" max="1" width="7.109375" style="74" customWidth="1"/>
    <col min="2" max="2" width="128" style="119" customWidth="1"/>
    <col min="3" max="16384" width="9.109375" style="58"/>
  </cols>
  <sheetData>
    <row r="1" spans="2:2" hidden="1">
      <c r="B1" s="118"/>
    </row>
    <row r="2" spans="2:2" hidden="1"/>
    <row r="3" spans="2:2" hidden="1"/>
    <row r="4" spans="2:2" hidden="1"/>
    <row r="5" spans="2:2" hidden="1"/>
    <row r="6" spans="2:2" hidden="1"/>
    <row r="7" spans="2:2" hidden="1"/>
    <row r="8" spans="2:2" hidden="1"/>
    <row r="9" spans="2:2" hidden="1"/>
    <row r="10" spans="2:2" hidden="1"/>
    <row r="11" spans="2:2" hidden="1"/>
    <row r="12" spans="2:2" hidden="1"/>
    <row r="13" spans="2:2" hidden="1"/>
    <row r="14" spans="2:2" hidden="1"/>
    <row r="15" spans="2:2" hidden="1"/>
    <row r="16" spans="2:2" hidden="1"/>
    <row r="17" hidden="1"/>
    <row r="18" hidden="1"/>
    <row r="19" hidden="1"/>
    <row r="20" hidden="1"/>
    <row r="21" hidden="1"/>
    <row r="22" hidden="1"/>
    <row r="23" hidden="1"/>
    <row r="24" hidden="1"/>
    <row r="25" hidden="1"/>
    <row r="26" hidden="1"/>
    <row r="27" hidden="1"/>
    <row r="28" hidden="1"/>
    <row r="29" hidden="1"/>
    <row r="30" hidden="1"/>
    <row r="31" hidden="1"/>
    <row r="32"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hidden="1"/>
    <row r="1394" hidden="1"/>
    <row r="1395" hidden="1"/>
    <row r="1396" hidden="1"/>
    <row r="1397" hidden="1"/>
    <row r="1398" hidden="1"/>
    <row r="1399" hidden="1"/>
    <row r="1400" hidden="1"/>
    <row r="1401" hidden="1"/>
    <row r="1402" hidden="1"/>
    <row r="1403" hidden="1"/>
    <row r="1404" hidden="1"/>
    <row r="1405" hidden="1"/>
    <row r="1406" hidden="1"/>
    <row r="1407" hidden="1"/>
    <row r="1408" hidden="1"/>
    <row r="1409" hidden="1"/>
    <row r="1410" hidden="1"/>
    <row r="1411" hidden="1"/>
    <row r="1412" hidden="1"/>
    <row r="1413" hidden="1"/>
    <row r="1414" hidden="1"/>
    <row r="1415" hidden="1"/>
    <row r="1416" hidden="1"/>
    <row r="1417" hidden="1"/>
    <row r="1418" hidden="1"/>
    <row r="1419" hidden="1"/>
    <row r="1420" hidden="1"/>
    <row r="1421" hidden="1"/>
    <row r="1422" hidden="1"/>
    <row r="1423" hidden="1"/>
    <row r="1424"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row r="1513" hidden="1"/>
    <row r="1514" hidden="1"/>
    <row r="1515" hidden="1"/>
    <row r="1516" hidden="1"/>
    <row r="1517" hidden="1"/>
    <row r="1518" hidden="1"/>
    <row r="1519" hidden="1"/>
    <row r="1520" hidden="1"/>
    <row r="1521" hidden="1"/>
    <row r="1522" hidden="1"/>
    <row r="1523" hidden="1"/>
    <row r="1524" hidden="1"/>
    <row r="1525" hidden="1"/>
    <row r="1526" hidden="1"/>
    <row r="1527" hidden="1"/>
    <row r="1528" hidden="1"/>
    <row r="1529" hidden="1"/>
    <row r="1530" hidden="1"/>
    <row r="1531" hidden="1"/>
    <row r="1532" hidden="1"/>
    <row r="1533" hidden="1"/>
    <row r="1534" hidden="1"/>
    <row r="1535" hidden="1"/>
    <row r="1536" hidden="1"/>
    <row r="1537" hidden="1"/>
    <row r="1538" hidden="1"/>
    <row r="1539" hidden="1"/>
    <row r="1540" hidden="1"/>
    <row r="1541" hidden="1"/>
    <row r="1542" hidden="1"/>
    <row r="1543" hidden="1"/>
    <row r="1544" hidden="1"/>
    <row r="1545" hidden="1"/>
    <row r="1546" hidden="1"/>
    <row r="1547" hidden="1"/>
    <row r="1548" hidden="1"/>
    <row r="1549" hidden="1"/>
    <row r="1550" hidden="1"/>
    <row r="1551" hidden="1"/>
    <row r="1552" hidden="1"/>
    <row r="1553" hidden="1"/>
    <row r="1554" hidden="1"/>
    <row r="1555" hidden="1"/>
    <row r="1556" hidden="1"/>
    <row r="1557" hidden="1"/>
    <row r="1558" hidden="1"/>
    <row r="1559" hidden="1"/>
    <row r="1560" hidden="1"/>
    <row r="1561" hidden="1"/>
    <row r="1562" hidden="1"/>
    <row r="1563" hidden="1"/>
    <row r="1564" hidden="1"/>
    <row r="1565" hidden="1"/>
    <row r="1566" hidden="1"/>
    <row r="1567" hidden="1"/>
    <row r="1568" hidden="1"/>
    <row r="1569" hidden="1"/>
    <row r="1570" hidden="1"/>
    <row r="1571" hidden="1"/>
    <row r="1572" hidden="1"/>
    <row r="1573" hidden="1"/>
    <row r="1574" hidden="1"/>
    <row r="1575" hidden="1"/>
    <row r="1576" hidden="1"/>
    <row r="1577" hidden="1"/>
    <row r="1578" hidden="1"/>
    <row r="1579" hidden="1"/>
    <row r="1580" hidden="1"/>
    <row r="1581" hidden="1"/>
    <row r="1582" hidden="1"/>
    <row r="1583" hidden="1"/>
    <row r="1584" hidden="1"/>
    <row r="1585" hidden="1"/>
    <row r="1586" hidden="1"/>
    <row r="1587" hidden="1"/>
    <row r="1588" hidden="1"/>
    <row r="1589" hidden="1"/>
    <row r="1590" hidden="1"/>
    <row r="1591" hidden="1"/>
    <row r="1592" hidden="1"/>
    <row r="1593" hidden="1"/>
    <row r="1594" hidden="1"/>
    <row r="1595" hidden="1"/>
    <row r="1596" hidden="1"/>
    <row r="1597" hidden="1"/>
    <row r="1598" hidden="1"/>
    <row r="1599" hidden="1"/>
    <row r="1600" hidden="1"/>
    <row r="1601" hidden="1"/>
    <row r="1602" hidden="1"/>
    <row r="1603" hidden="1"/>
    <row r="1604" hidden="1"/>
    <row r="1605" hidden="1"/>
    <row r="1606" hidden="1"/>
    <row r="1607" hidden="1"/>
    <row r="1608" hidden="1"/>
    <row r="1609" hidden="1"/>
    <row r="1610" hidden="1"/>
    <row r="1611" hidden="1"/>
    <row r="1612" hidden="1"/>
    <row r="1613" hidden="1"/>
    <row r="1614" hidden="1"/>
    <row r="1615" hidden="1"/>
    <row r="1616" hidden="1"/>
    <row r="1617" hidden="1"/>
    <row r="1618" hidden="1"/>
    <row r="1619" hidden="1"/>
    <row r="1620" hidden="1"/>
    <row r="1621" hidden="1"/>
    <row r="1622" hidden="1"/>
    <row r="1623" hidden="1"/>
    <row r="1624" hidden="1"/>
    <row r="1625" hidden="1"/>
    <row r="1626" hidden="1"/>
    <row r="1627" hidden="1"/>
    <row r="1628" hidden="1"/>
    <row r="1629" hidden="1"/>
    <row r="1630" hidden="1"/>
    <row r="1631" hidden="1"/>
    <row r="1632" hidden="1"/>
    <row r="1633" hidden="1"/>
    <row r="1634" hidden="1"/>
    <row r="1635" hidden="1"/>
    <row r="1636" hidden="1"/>
    <row r="1637" hidden="1"/>
    <row r="1638" hidden="1"/>
    <row r="1639" hidden="1"/>
    <row r="1640" hidden="1"/>
    <row r="1641" hidden="1"/>
    <row r="1642" hidden="1"/>
    <row r="1643" hidden="1"/>
    <row r="1644" hidden="1"/>
    <row r="1645" hidden="1"/>
    <row r="1646" hidden="1"/>
    <row r="1647" hidden="1"/>
    <row r="1648" hidden="1"/>
    <row r="1649" hidden="1"/>
    <row r="1650" hidden="1"/>
    <row r="1651" hidden="1"/>
    <row r="1652" hidden="1"/>
    <row r="1653" hidden="1"/>
    <row r="1654" hidden="1"/>
    <row r="1655" hidden="1"/>
    <row r="1656" hidden="1"/>
    <row r="1657" hidden="1"/>
    <row r="1658" hidden="1"/>
    <row r="1659" hidden="1"/>
    <row r="1660" hidden="1"/>
    <row r="1661" hidden="1"/>
    <row r="1662" hidden="1"/>
    <row r="1663" hidden="1"/>
    <row r="1664" hidden="1"/>
    <row r="1665" hidden="1"/>
    <row r="1666" hidden="1"/>
    <row r="1667" hidden="1"/>
    <row r="1668" hidden="1"/>
    <row r="1669" hidden="1"/>
    <row r="1670" hidden="1"/>
    <row r="1671" hidden="1"/>
    <row r="1672" hidden="1"/>
    <row r="1673" hidden="1"/>
    <row r="1674" hidden="1"/>
    <row r="1675" hidden="1"/>
    <row r="1676" hidden="1"/>
    <row r="1677" hidden="1"/>
    <row r="1678" hidden="1"/>
    <row r="1679" hidden="1"/>
    <row r="1680" hidden="1"/>
    <row r="1681" hidden="1"/>
    <row r="1682" hidden="1"/>
    <row r="1683" hidden="1"/>
    <row r="1684" hidden="1"/>
    <row r="1685" hidden="1"/>
    <row r="1686" hidden="1"/>
    <row r="1687" hidden="1"/>
    <row r="1688" hidden="1"/>
    <row r="1689" hidden="1"/>
    <row r="1690" hidden="1"/>
    <row r="1691" hidden="1"/>
    <row r="1692" hidden="1"/>
    <row r="1693" hidden="1"/>
    <row r="1694" hidden="1"/>
    <row r="1695" hidden="1"/>
    <row r="1696" hidden="1"/>
    <row r="1697" hidden="1"/>
    <row r="1698" hidden="1"/>
    <row r="1699" hidden="1"/>
    <row r="1700" hidden="1"/>
    <row r="1701" hidden="1"/>
    <row r="1702" hidden="1"/>
    <row r="1703" hidden="1"/>
    <row r="1704" hidden="1"/>
    <row r="1705" hidden="1"/>
    <row r="1706" hidden="1"/>
    <row r="1707" hidden="1"/>
    <row r="1708" hidden="1"/>
    <row r="1709" hidden="1"/>
    <row r="1710" hidden="1"/>
    <row r="1711" hidden="1"/>
    <row r="1712" hidden="1"/>
    <row r="1713" hidden="1"/>
    <row r="1714" hidden="1"/>
    <row r="1715" hidden="1"/>
    <row r="1716" hidden="1"/>
    <row r="1717" hidden="1"/>
    <row r="1718" hidden="1"/>
    <row r="1719" hidden="1"/>
    <row r="1720" hidden="1"/>
    <row r="1721" hidden="1"/>
    <row r="1722" hidden="1"/>
    <row r="1723" hidden="1"/>
    <row r="1724" hidden="1"/>
    <row r="1725" hidden="1"/>
    <row r="1726" hidden="1"/>
    <row r="1727" hidden="1"/>
    <row r="1728" hidden="1"/>
    <row r="1729" hidden="1"/>
    <row r="1730" hidden="1"/>
    <row r="1731" hidden="1"/>
    <row r="1732" hidden="1"/>
    <row r="1733" hidden="1"/>
    <row r="1734" hidden="1"/>
    <row r="1735" hidden="1"/>
    <row r="1736" hidden="1"/>
    <row r="1737" hidden="1"/>
    <row r="1738" hidden="1"/>
    <row r="1739" hidden="1"/>
    <row r="1740" hidden="1"/>
    <row r="1741" hidden="1"/>
    <row r="1742" hidden="1"/>
    <row r="1743" hidden="1"/>
    <row r="1744" hidden="1"/>
    <row r="1745" hidden="1"/>
    <row r="1746" hidden="1"/>
    <row r="1747" hidden="1"/>
    <row r="1748" hidden="1"/>
    <row r="1749" hidden="1"/>
    <row r="1750" hidden="1"/>
    <row r="1751" hidden="1"/>
    <row r="1752" hidden="1"/>
    <row r="1753" hidden="1"/>
    <row r="1754" hidden="1"/>
    <row r="1755" hidden="1"/>
    <row r="1756" hidden="1"/>
    <row r="1757" hidden="1"/>
    <row r="1758" hidden="1"/>
    <row r="1759" hidden="1"/>
    <row r="1760" hidden="1"/>
    <row r="1761" hidden="1"/>
    <row r="1762" hidden="1"/>
    <row r="1763" hidden="1"/>
    <row r="1764" hidden="1"/>
    <row r="1765" hidden="1"/>
    <row r="1766" hidden="1"/>
    <row r="1767" hidden="1"/>
    <row r="1768" hidden="1"/>
    <row r="1769" hidden="1"/>
    <row r="1770" hidden="1"/>
    <row r="1771" hidden="1"/>
    <row r="1772" hidden="1"/>
    <row r="1773" hidden="1"/>
    <row r="1774" hidden="1"/>
    <row r="1775" hidden="1"/>
    <row r="1776" hidden="1"/>
    <row r="1777" hidden="1"/>
    <row r="1778" hidden="1"/>
    <row r="1779" hidden="1"/>
    <row r="1780" hidden="1"/>
    <row r="1781" hidden="1"/>
    <row r="1782" hidden="1"/>
    <row r="1783" hidden="1"/>
    <row r="1784" hidden="1"/>
    <row r="1785" hidden="1"/>
    <row r="1786" hidden="1"/>
    <row r="1787" hidden="1"/>
    <row r="1788" hidden="1"/>
    <row r="1789" hidden="1"/>
    <row r="1790" hidden="1"/>
    <row r="1791" hidden="1"/>
    <row r="1792" hidden="1"/>
    <row r="1793" hidden="1"/>
    <row r="1794" hidden="1"/>
    <row r="1795" hidden="1"/>
    <row r="1796" hidden="1"/>
    <row r="1797" hidden="1"/>
    <row r="1798" hidden="1"/>
    <row r="1799" hidden="1"/>
    <row r="1800" hidden="1"/>
    <row r="1801" hidden="1"/>
    <row r="1802" hidden="1"/>
    <row r="1803" hidden="1"/>
    <row r="1804" hidden="1"/>
    <row r="1805" ht="10.5" hidden="1" customHeight="1"/>
    <row r="1806" hidden="1"/>
    <row r="1807" hidden="1"/>
    <row r="1808" hidden="1"/>
    <row r="1809" spans="1:2" hidden="1"/>
    <row r="1810" spans="1:2" hidden="1"/>
    <row r="1811" spans="1:2" hidden="1"/>
    <row r="1812" spans="1:2" hidden="1"/>
    <row r="1813" spans="1:2" hidden="1"/>
    <row r="1814" spans="1:2" hidden="1"/>
    <row r="1815" spans="1:2" hidden="1"/>
    <row r="1816" spans="1:2" hidden="1"/>
    <row r="1817" spans="1:2" hidden="1"/>
    <row r="1818" spans="1:2" hidden="1"/>
    <row r="1819" spans="1:2" hidden="1"/>
    <row r="1820" spans="1:2" ht="26.4">
      <c r="A1820" s="117">
        <v>100</v>
      </c>
      <c r="B1820" s="120" t="s">
        <v>1156</v>
      </c>
    </row>
    <row r="1821" spans="1:2">
      <c r="A1821" s="117">
        <v>110</v>
      </c>
      <c r="B1821" s="120" t="s">
        <v>1157</v>
      </c>
    </row>
    <row r="1822" spans="1:2">
      <c r="A1822" s="117">
        <v>111</v>
      </c>
      <c r="B1822" s="120" t="s">
        <v>1158</v>
      </c>
    </row>
    <row r="1823" spans="1:2">
      <c r="A1823" s="117">
        <v>112</v>
      </c>
      <c r="B1823" s="120" t="s">
        <v>1159</v>
      </c>
    </row>
    <row r="1824" spans="1:2">
      <c r="A1824" s="117">
        <v>120</v>
      </c>
      <c r="B1824" s="120" t="s">
        <v>1160</v>
      </c>
    </row>
    <row r="1825" spans="1:2">
      <c r="A1825" s="117">
        <v>121</v>
      </c>
      <c r="B1825" s="120" t="s">
        <v>1158</v>
      </c>
    </row>
    <row r="1826" spans="1:2">
      <c r="A1826" s="117">
        <v>122</v>
      </c>
      <c r="B1826" s="120" t="s">
        <v>1159</v>
      </c>
    </row>
    <row r="1827" spans="1:2">
      <c r="A1827" s="117">
        <v>130</v>
      </c>
      <c r="B1827" s="120" t="s">
        <v>552</v>
      </c>
    </row>
    <row r="1828" spans="1:2">
      <c r="A1828" s="117">
        <v>131</v>
      </c>
      <c r="B1828" s="120" t="s">
        <v>553</v>
      </c>
    </row>
    <row r="1829" spans="1:2">
      <c r="A1829" s="117">
        <v>132</v>
      </c>
      <c r="B1829" s="120" t="s">
        <v>554</v>
      </c>
    </row>
    <row r="1830" spans="1:2">
      <c r="A1830" s="117">
        <v>133</v>
      </c>
      <c r="B1830" s="120" t="s">
        <v>555</v>
      </c>
    </row>
    <row r="1831" spans="1:2">
      <c r="A1831" s="117">
        <v>134</v>
      </c>
      <c r="B1831" s="120" t="s">
        <v>556</v>
      </c>
    </row>
    <row r="1832" spans="1:2">
      <c r="A1832" s="117">
        <v>140</v>
      </c>
      <c r="B1832" s="120" t="s">
        <v>557</v>
      </c>
    </row>
    <row r="1833" spans="1:2">
      <c r="A1833" s="117">
        <v>141</v>
      </c>
      <c r="B1833" s="120" t="s">
        <v>1158</v>
      </c>
    </row>
    <row r="1834" spans="1:2" ht="26.4">
      <c r="A1834" s="117">
        <v>142</v>
      </c>
      <c r="B1834" s="120" t="s">
        <v>558</v>
      </c>
    </row>
    <row r="1835" spans="1:2">
      <c r="A1835" s="117">
        <v>200</v>
      </c>
      <c r="B1835" s="120" t="s">
        <v>559</v>
      </c>
    </row>
    <row r="1836" spans="1:2">
      <c r="A1836" s="117">
        <v>210</v>
      </c>
      <c r="B1836" s="120" t="s">
        <v>560</v>
      </c>
    </row>
    <row r="1837" spans="1:2" ht="26.4">
      <c r="A1837" s="117">
        <v>211</v>
      </c>
      <c r="B1837" s="120" t="s">
        <v>561</v>
      </c>
    </row>
    <row r="1838" spans="1:2" ht="26.4">
      <c r="A1838" s="117">
        <v>212</v>
      </c>
      <c r="B1838" s="120" t="s">
        <v>562</v>
      </c>
    </row>
    <row r="1839" spans="1:2" ht="26.4">
      <c r="A1839" s="117">
        <v>213</v>
      </c>
      <c r="B1839" s="120" t="s">
        <v>563</v>
      </c>
    </row>
    <row r="1840" spans="1:2" ht="26.4">
      <c r="A1840" s="117">
        <v>214</v>
      </c>
      <c r="B1840" s="120" t="s">
        <v>564</v>
      </c>
    </row>
    <row r="1841" spans="1:2" ht="26.4">
      <c r="A1841" s="117">
        <v>215</v>
      </c>
      <c r="B1841" s="120" t="s">
        <v>565</v>
      </c>
    </row>
    <row r="1842" spans="1:2" ht="26.4">
      <c r="A1842" s="117">
        <v>216</v>
      </c>
      <c r="B1842" s="120" t="s">
        <v>1167</v>
      </c>
    </row>
    <row r="1843" spans="1:2" ht="26.4">
      <c r="A1843" s="117">
        <v>217</v>
      </c>
      <c r="B1843" s="120" t="s">
        <v>1168</v>
      </c>
    </row>
    <row r="1844" spans="1:2" ht="26.4">
      <c r="A1844" s="117">
        <v>218</v>
      </c>
      <c r="B1844" s="120" t="s">
        <v>1166</v>
      </c>
    </row>
    <row r="1845" spans="1:2">
      <c r="A1845" s="117">
        <v>219</v>
      </c>
      <c r="B1845" s="120" t="s">
        <v>1738</v>
      </c>
    </row>
    <row r="1846" spans="1:2" ht="26.4">
      <c r="A1846" s="117">
        <v>220</v>
      </c>
      <c r="B1846" s="120" t="s">
        <v>1739</v>
      </c>
    </row>
    <row r="1847" spans="1:2">
      <c r="A1847" s="117">
        <v>221</v>
      </c>
      <c r="B1847" s="120" t="s">
        <v>1740</v>
      </c>
    </row>
    <row r="1848" spans="1:2">
      <c r="A1848" s="117">
        <v>222</v>
      </c>
      <c r="B1848" s="120" t="s">
        <v>1741</v>
      </c>
    </row>
    <row r="1849" spans="1:2">
      <c r="A1849" s="117">
        <v>223</v>
      </c>
      <c r="B1849" s="120" t="s">
        <v>313</v>
      </c>
    </row>
    <row r="1850" spans="1:2">
      <c r="A1850" s="117">
        <v>224</v>
      </c>
      <c r="B1850" s="120" t="s">
        <v>197</v>
      </c>
    </row>
    <row r="1851" spans="1:2">
      <c r="A1851" s="117">
        <v>225</v>
      </c>
      <c r="B1851" s="120" t="s">
        <v>651</v>
      </c>
    </row>
    <row r="1852" spans="1:2">
      <c r="A1852" s="117">
        <v>226</v>
      </c>
      <c r="B1852" s="120" t="s">
        <v>652</v>
      </c>
    </row>
    <row r="1853" spans="1:2">
      <c r="A1853" s="117">
        <v>230</v>
      </c>
      <c r="B1853" s="120" t="s">
        <v>1742</v>
      </c>
    </row>
    <row r="1854" spans="1:2">
      <c r="A1854" s="117">
        <v>240</v>
      </c>
      <c r="B1854" s="120" t="s">
        <v>1743</v>
      </c>
    </row>
    <row r="1855" spans="1:2">
      <c r="A1855" s="117">
        <v>241</v>
      </c>
      <c r="B1855" s="120" t="s">
        <v>241</v>
      </c>
    </row>
    <row r="1856" spans="1:2">
      <c r="A1856" s="117">
        <v>242</v>
      </c>
      <c r="B1856" s="120" t="s">
        <v>1744</v>
      </c>
    </row>
    <row r="1857" spans="1:2">
      <c r="A1857" s="117">
        <v>243</v>
      </c>
      <c r="B1857" s="120" t="s">
        <v>1745</v>
      </c>
    </row>
    <row r="1858" spans="1:2">
      <c r="A1858" s="117">
        <v>244</v>
      </c>
      <c r="B1858" s="120" t="s">
        <v>1746</v>
      </c>
    </row>
    <row r="1859" spans="1:2">
      <c r="A1859" s="117">
        <v>300</v>
      </c>
      <c r="B1859" s="120" t="s">
        <v>1747</v>
      </c>
    </row>
    <row r="1860" spans="1:2">
      <c r="A1860" s="117">
        <v>310</v>
      </c>
      <c r="B1860" s="120" t="s">
        <v>1748</v>
      </c>
    </row>
    <row r="1861" spans="1:2">
      <c r="A1861" s="117">
        <v>311</v>
      </c>
      <c r="B1861" s="120" t="s">
        <v>1749</v>
      </c>
    </row>
    <row r="1862" spans="1:2">
      <c r="A1862" s="117">
        <v>312</v>
      </c>
      <c r="B1862" s="120" t="s">
        <v>1750</v>
      </c>
    </row>
    <row r="1863" spans="1:2">
      <c r="A1863" s="117">
        <v>313</v>
      </c>
      <c r="B1863" s="120" t="s">
        <v>1751</v>
      </c>
    </row>
    <row r="1864" spans="1:2">
      <c r="A1864" s="117">
        <v>314</v>
      </c>
      <c r="B1864" s="120" t="s">
        <v>1752</v>
      </c>
    </row>
    <row r="1865" spans="1:2">
      <c r="A1865" s="117">
        <v>320</v>
      </c>
      <c r="B1865" s="120" t="s">
        <v>1753</v>
      </c>
    </row>
    <row r="1866" spans="1:2">
      <c r="A1866" s="117">
        <v>321</v>
      </c>
      <c r="B1866" s="120" t="s">
        <v>1754</v>
      </c>
    </row>
    <row r="1867" spans="1:2">
      <c r="A1867" s="117">
        <v>322</v>
      </c>
      <c r="B1867" s="120" t="s">
        <v>1755</v>
      </c>
    </row>
    <row r="1868" spans="1:2">
      <c r="A1868" s="117">
        <v>323</v>
      </c>
      <c r="B1868" s="120" t="s">
        <v>1756</v>
      </c>
    </row>
    <row r="1869" spans="1:2">
      <c r="A1869" s="117">
        <v>330</v>
      </c>
      <c r="B1869" s="120" t="s">
        <v>1757</v>
      </c>
    </row>
    <row r="1870" spans="1:2">
      <c r="A1870" s="117">
        <v>340</v>
      </c>
      <c r="B1870" s="120" t="s">
        <v>1758</v>
      </c>
    </row>
    <row r="1871" spans="1:2">
      <c r="A1871" s="117">
        <v>350</v>
      </c>
      <c r="B1871" s="120" t="s">
        <v>1759</v>
      </c>
    </row>
    <row r="1872" spans="1:2">
      <c r="A1872" s="117">
        <v>360</v>
      </c>
      <c r="B1872" s="120" t="s">
        <v>1760</v>
      </c>
    </row>
    <row r="1873" spans="1:2" ht="12.75" customHeight="1">
      <c r="A1873" s="117">
        <v>400</v>
      </c>
      <c r="B1873" s="120" t="s">
        <v>1326</v>
      </c>
    </row>
    <row r="1874" spans="1:2">
      <c r="A1874" s="117">
        <v>410</v>
      </c>
      <c r="B1874" s="120" t="s">
        <v>1761</v>
      </c>
    </row>
    <row r="1875" spans="1:2">
      <c r="A1875" s="117">
        <v>411</v>
      </c>
      <c r="B1875" s="120" t="s">
        <v>1762</v>
      </c>
    </row>
    <row r="1876" spans="1:2">
      <c r="A1876" s="117">
        <v>412</v>
      </c>
      <c r="B1876" s="120" t="s">
        <v>1763</v>
      </c>
    </row>
    <row r="1877" spans="1:2">
      <c r="A1877" s="117">
        <v>413</v>
      </c>
      <c r="B1877" s="120" t="s">
        <v>162</v>
      </c>
    </row>
    <row r="1878" spans="1:2">
      <c r="A1878" s="117">
        <v>414</v>
      </c>
      <c r="B1878" s="120" t="s">
        <v>163</v>
      </c>
    </row>
    <row r="1879" spans="1:2">
      <c r="A1879" s="117">
        <v>415</v>
      </c>
      <c r="B1879" s="120" t="s">
        <v>164</v>
      </c>
    </row>
    <row r="1880" spans="1:2">
      <c r="A1880" s="117">
        <v>420</v>
      </c>
      <c r="B1880" s="120" t="s">
        <v>165</v>
      </c>
    </row>
    <row r="1881" spans="1:2" ht="26.4">
      <c r="A1881" s="117">
        <v>421</v>
      </c>
      <c r="B1881" s="120" t="s">
        <v>166</v>
      </c>
    </row>
    <row r="1882" spans="1:2" ht="26.4">
      <c r="A1882" s="117">
        <v>422</v>
      </c>
      <c r="B1882" s="120" t="s">
        <v>167</v>
      </c>
    </row>
    <row r="1883" spans="1:2">
      <c r="A1883" s="117">
        <v>430</v>
      </c>
      <c r="B1883" s="120" t="s">
        <v>168</v>
      </c>
    </row>
    <row r="1884" spans="1:2">
      <c r="A1884" s="117">
        <v>440</v>
      </c>
      <c r="B1884" s="197" t="s">
        <v>2399</v>
      </c>
    </row>
    <row r="1885" spans="1:2">
      <c r="A1885" s="117">
        <v>500</v>
      </c>
      <c r="B1885" s="120" t="s">
        <v>2398</v>
      </c>
    </row>
    <row r="1886" spans="1:2">
      <c r="A1886" s="117">
        <v>510</v>
      </c>
      <c r="B1886" s="120" t="s">
        <v>666</v>
      </c>
    </row>
    <row r="1887" spans="1:2">
      <c r="A1887" s="117">
        <v>511</v>
      </c>
      <c r="B1887" s="120" t="s">
        <v>169</v>
      </c>
    </row>
    <row r="1888" spans="1:2">
      <c r="A1888" s="117">
        <v>512</v>
      </c>
      <c r="B1888" s="120" t="s">
        <v>170</v>
      </c>
    </row>
    <row r="1889" spans="1:2" ht="26.4">
      <c r="A1889" s="117">
        <v>513</v>
      </c>
      <c r="B1889" s="120" t="s">
        <v>171</v>
      </c>
    </row>
    <row r="1890" spans="1:2">
      <c r="A1890" s="117">
        <v>514</v>
      </c>
      <c r="B1890" s="120" t="s">
        <v>172</v>
      </c>
    </row>
    <row r="1891" spans="1:2">
      <c r="A1891" s="117">
        <v>515</v>
      </c>
      <c r="B1891" s="197" t="s">
        <v>895</v>
      </c>
    </row>
    <row r="1892" spans="1:2">
      <c r="A1892" s="117">
        <v>520</v>
      </c>
      <c r="B1892" s="120" t="s">
        <v>1131</v>
      </c>
    </row>
    <row r="1893" spans="1:2" ht="26.4">
      <c r="A1893" s="117">
        <v>521</v>
      </c>
      <c r="B1893" s="120" t="s">
        <v>173</v>
      </c>
    </row>
    <row r="1894" spans="1:2">
      <c r="A1894" s="117">
        <v>522</v>
      </c>
      <c r="B1894" s="120" t="s">
        <v>174</v>
      </c>
    </row>
    <row r="1895" spans="1:2">
      <c r="A1895" s="117">
        <v>530</v>
      </c>
      <c r="B1895" s="120" t="s">
        <v>175</v>
      </c>
    </row>
    <row r="1896" spans="1:2">
      <c r="A1896" s="117">
        <v>540</v>
      </c>
      <c r="B1896" s="197" t="s">
        <v>2124</v>
      </c>
    </row>
    <row r="1897" spans="1:2">
      <c r="A1897" s="117">
        <v>560</v>
      </c>
      <c r="B1897" s="120" t="s">
        <v>176</v>
      </c>
    </row>
    <row r="1898" spans="1:2">
      <c r="A1898" s="117">
        <v>570</v>
      </c>
      <c r="B1898" s="120" t="s">
        <v>177</v>
      </c>
    </row>
    <row r="1899" spans="1:2">
      <c r="A1899" s="117">
        <v>580</v>
      </c>
      <c r="B1899" s="120" t="s">
        <v>178</v>
      </c>
    </row>
    <row r="1900" spans="1:2">
      <c r="A1900" s="117">
        <v>600</v>
      </c>
      <c r="B1900" s="197" t="s">
        <v>2410</v>
      </c>
    </row>
    <row r="1901" spans="1:2">
      <c r="A1901" s="117">
        <v>610</v>
      </c>
      <c r="B1901" s="120" t="s">
        <v>1169</v>
      </c>
    </row>
    <row r="1902" spans="1:2">
      <c r="A1902" s="117">
        <v>611</v>
      </c>
      <c r="B1902" s="120" t="s">
        <v>1170</v>
      </c>
    </row>
    <row r="1903" spans="1:2">
      <c r="A1903" s="117">
        <v>612</v>
      </c>
      <c r="B1903" s="120" t="s">
        <v>1171</v>
      </c>
    </row>
    <row r="1904" spans="1:2">
      <c r="A1904" s="117">
        <v>620</v>
      </c>
      <c r="B1904" s="120" t="s">
        <v>1172</v>
      </c>
    </row>
    <row r="1905" spans="1:2">
      <c r="A1905" s="117">
        <v>621</v>
      </c>
      <c r="B1905" s="120" t="s">
        <v>1173</v>
      </c>
    </row>
    <row r="1906" spans="1:2">
      <c r="A1906" s="117">
        <v>622</v>
      </c>
      <c r="B1906" s="197" t="s">
        <v>1174</v>
      </c>
    </row>
    <row r="1907" spans="1:2">
      <c r="A1907" s="117">
        <v>630</v>
      </c>
      <c r="B1907" s="197" t="s">
        <v>2196</v>
      </c>
    </row>
    <row r="1908" spans="1:2">
      <c r="A1908" s="117">
        <v>700</v>
      </c>
      <c r="B1908" s="120" t="s">
        <v>1175</v>
      </c>
    </row>
    <row r="1909" spans="1:2">
      <c r="A1909" s="117">
        <v>710</v>
      </c>
      <c r="B1909" s="120" t="s">
        <v>1175</v>
      </c>
    </row>
    <row r="1910" spans="1:2">
      <c r="A1910" s="117">
        <v>800</v>
      </c>
      <c r="B1910" s="120" t="s">
        <v>1176</v>
      </c>
    </row>
    <row r="1911" spans="1:2">
      <c r="A1911" s="117">
        <v>810</v>
      </c>
      <c r="B1911" s="120" t="s">
        <v>1177</v>
      </c>
    </row>
    <row r="1912" spans="1:2">
      <c r="A1912" s="117">
        <v>820</v>
      </c>
      <c r="B1912" s="120" t="s">
        <v>1178</v>
      </c>
    </row>
    <row r="1913" spans="1:2">
      <c r="A1913" s="117">
        <v>821</v>
      </c>
      <c r="B1913" s="120" t="s">
        <v>1179</v>
      </c>
    </row>
    <row r="1914" spans="1:2">
      <c r="A1914" s="117">
        <v>822</v>
      </c>
      <c r="B1914" s="120" t="s">
        <v>1180</v>
      </c>
    </row>
    <row r="1915" spans="1:2">
      <c r="A1915" s="117">
        <v>823</v>
      </c>
      <c r="B1915" s="120" t="s">
        <v>1181</v>
      </c>
    </row>
    <row r="1916" spans="1:2">
      <c r="A1916" s="117">
        <v>830</v>
      </c>
      <c r="B1916" s="120" t="s">
        <v>1232</v>
      </c>
    </row>
    <row r="1917" spans="1:2" ht="39.6">
      <c r="A1917" s="117">
        <v>831</v>
      </c>
      <c r="B1917" s="121" t="s">
        <v>1233</v>
      </c>
    </row>
    <row r="1918" spans="1:2" ht="52.8">
      <c r="A1918" s="117">
        <v>832</v>
      </c>
      <c r="B1918" s="121" t="s">
        <v>1234</v>
      </c>
    </row>
    <row r="1919" spans="1:2">
      <c r="A1919" s="117">
        <v>833</v>
      </c>
      <c r="B1919" s="120" t="s">
        <v>1235</v>
      </c>
    </row>
    <row r="1920" spans="1:2" ht="26.4">
      <c r="A1920" s="117">
        <v>840</v>
      </c>
      <c r="B1920" s="120" t="s">
        <v>1236</v>
      </c>
    </row>
    <row r="1921" spans="1:2">
      <c r="A1921" s="117">
        <v>841</v>
      </c>
      <c r="B1921" s="120" t="s">
        <v>1237</v>
      </c>
    </row>
    <row r="1922" spans="1:2">
      <c r="A1922" s="117">
        <v>850</v>
      </c>
      <c r="B1922" s="120" t="s">
        <v>1238</v>
      </c>
    </row>
    <row r="1923" spans="1:2">
      <c r="A1923" s="117">
        <v>851</v>
      </c>
      <c r="B1923" s="120" t="s">
        <v>1239</v>
      </c>
    </row>
    <row r="1924" spans="1:2" ht="12.75" customHeight="1">
      <c r="A1924" s="117">
        <v>852</v>
      </c>
      <c r="B1924" s="120" t="s">
        <v>1240</v>
      </c>
    </row>
    <row r="1925" spans="1:2">
      <c r="A1925" s="117">
        <v>860</v>
      </c>
      <c r="B1925" s="120" t="s">
        <v>1805</v>
      </c>
    </row>
    <row r="1926" spans="1:2">
      <c r="A1926" s="117">
        <v>861</v>
      </c>
      <c r="B1926" s="120" t="s">
        <v>1806</v>
      </c>
    </row>
    <row r="1927" spans="1:2">
      <c r="A1927" s="117">
        <v>862</v>
      </c>
      <c r="B1927" s="120" t="s">
        <v>1807</v>
      </c>
    </row>
    <row r="1928" spans="1:2">
      <c r="A1928" s="117">
        <v>863</v>
      </c>
      <c r="B1928" s="120" t="s">
        <v>1808</v>
      </c>
    </row>
    <row r="1929" spans="1:2">
      <c r="A1929" s="117">
        <v>870</v>
      </c>
      <c r="B1929" s="120" t="s">
        <v>1809</v>
      </c>
    </row>
    <row r="1930" spans="1:2">
      <c r="A1930" s="117">
        <v>880</v>
      </c>
      <c r="B1930" s="120" t="s">
        <v>1810</v>
      </c>
    </row>
  </sheetData>
  <sheetProtection selectLockedCells="1" selectUnlockedCells="1"/>
  <phoneticPr fontId="0" type="noConversion"/>
  <pageMargins left="0.75" right="0.75" top="1" bottom="1" header="0.5" footer="0.5"/>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sheetPr codeName="Лист29"/>
  <dimension ref="A1:E14"/>
  <sheetViews>
    <sheetView showGridLines="0" view="pageBreakPreview" zoomScaleSheetLayoutView="100" workbookViewId="0">
      <selection activeCell="A9" sqref="A9:E9"/>
    </sheetView>
  </sheetViews>
  <sheetFormatPr defaultColWidth="9.109375" defaultRowHeight="13.2"/>
  <cols>
    <col min="1" max="1" width="5.88671875" style="157" customWidth="1"/>
    <col min="2" max="2" width="54.44140625" style="157" customWidth="1"/>
    <col min="3" max="4" width="0" style="157" hidden="1" customWidth="1"/>
    <col min="5" max="5" width="13.5546875" style="157" customWidth="1"/>
    <col min="6" max="16384" width="9.109375" style="157"/>
  </cols>
  <sheetData>
    <row r="1" spans="1:5" ht="15.6">
      <c r="A1" s="782" t="s">
        <v>2057</v>
      </c>
      <c r="B1" s="931"/>
      <c r="C1" s="931"/>
      <c r="D1" s="931"/>
      <c r="E1" s="931"/>
    </row>
    <row r="2" spans="1:5" ht="15.6">
      <c r="A2"/>
      <c r="B2" s="782" t="s">
        <v>1069</v>
      </c>
      <c r="C2" s="782"/>
      <c r="D2" s="782"/>
      <c r="E2" s="782"/>
    </row>
    <row r="3" spans="1:5" ht="15.6">
      <c r="A3"/>
      <c r="B3" s="782" t="s">
        <v>720</v>
      </c>
      <c r="C3" s="782"/>
      <c r="D3" s="782"/>
      <c r="E3" s="782"/>
    </row>
    <row r="4" spans="1:5" ht="15.6">
      <c r="A4"/>
      <c r="B4" s="782" t="s">
        <v>1275</v>
      </c>
      <c r="C4" s="782"/>
      <c r="D4" s="782"/>
      <c r="E4" s="782"/>
    </row>
    <row r="5" spans="1:5">
      <c r="A5"/>
      <c r="B5" s="113"/>
      <c r="C5" s="113"/>
      <c r="D5" s="113"/>
      <c r="E5"/>
    </row>
    <row r="6" spans="1:5">
      <c r="A6"/>
      <c r="B6"/>
      <c r="C6"/>
      <c r="D6"/>
      <c r="E6"/>
    </row>
    <row r="7" spans="1:5" ht="63.75" customHeight="1">
      <c r="A7" s="786" t="s">
        <v>2058</v>
      </c>
      <c r="B7" s="786"/>
      <c r="C7" s="786"/>
      <c r="D7" s="786"/>
      <c r="E7" s="786"/>
    </row>
    <row r="8" spans="1:5" ht="17.399999999999999">
      <c r="A8" s="6"/>
      <c r="B8" s="6"/>
      <c r="C8" s="6"/>
      <c r="D8" s="6"/>
      <c r="E8" s="6"/>
    </row>
    <row r="9" spans="1:5" ht="53.25" customHeight="1">
      <c r="A9" s="954" t="s">
        <v>2113</v>
      </c>
      <c r="B9" s="954"/>
      <c r="C9" s="954"/>
      <c r="D9" s="954"/>
      <c r="E9" s="954"/>
    </row>
    <row r="10" spans="1:5" ht="46.8">
      <c r="A10" s="953" t="s">
        <v>7</v>
      </c>
      <c r="B10" s="953"/>
      <c r="C10" s="107" t="s">
        <v>2056</v>
      </c>
      <c r="D10" s="102" t="s">
        <v>636</v>
      </c>
      <c r="E10" s="108" t="s">
        <v>1103</v>
      </c>
    </row>
    <row r="11" spans="1:5" ht="15.6">
      <c r="A11" s="949" t="s">
        <v>1395</v>
      </c>
      <c r="B11" s="950"/>
      <c r="C11" s="142">
        <v>989000</v>
      </c>
      <c r="D11" s="142">
        <v>0</v>
      </c>
      <c r="E11" s="142"/>
    </row>
    <row r="12" spans="1:5" ht="15.6">
      <c r="A12" s="949" t="s">
        <v>654</v>
      </c>
      <c r="B12" s="950"/>
      <c r="C12" s="142">
        <v>892000</v>
      </c>
      <c r="D12" s="142">
        <v>0</v>
      </c>
      <c r="E12" s="142"/>
    </row>
    <row r="13" spans="1:5" ht="15.6">
      <c r="A13" s="949" t="s">
        <v>655</v>
      </c>
      <c r="B13" s="950"/>
      <c r="C13" s="142">
        <v>684000</v>
      </c>
      <c r="D13" s="142">
        <v>0</v>
      </c>
      <c r="E13" s="142"/>
    </row>
    <row r="14" spans="1:5" ht="15.75" customHeight="1">
      <c r="A14" s="951" t="s">
        <v>1148</v>
      </c>
      <c r="B14" s="952"/>
      <c r="C14" s="142"/>
      <c r="D14" s="142"/>
      <c r="E14" s="142"/>
    </row>
  </sheetData>
  <mergeCells count="11">
    <mergeCell ref="A9:E9"/>
    <mergeCell ref="A1:E1"/>
    <mergeCell ref="B2:E2"/>
    <mergeCell ref="B3:E3"/>
    <mergeCell ref="B4:E4"/>
    <mergeCell ref="A7:E7"/>
    <mergeCell ref="A11:B11"/>
    <mergeCell ref="A12:B12"/>
    <mergeCell ref="A13:B13"/>
    <mergeCell ref="A14:B14"/>
    <mergeCell ref="A10:B10"/>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sheetPr codeName="Лист30"/>
  <dimension ref="A1:F14"/>
  <sheetViews>
    <sheetView showGridLines="0" workbookViewId="0">
      <selection activeCell="A7" sqref="A7:F7"/>
    </sheetView>
  </sheetViews>
  <sheetFormatPr defaultColWidth="9.109375" defaultRowHeight="13.2"/>
  <cols>
    <col min="1" max="1" width="5.88671875" style="157" customWidth="1"/>
    <col min="2" max="2" width="54.44140625" style="157" customWidth="1"/>
    <col min="3" max="4" width="0" style="157" hidden="1" customWidth="1"/>
    <col min="5" max="5" width="13.5546875" style="157" customWidth="1"/>
    <col min="6" max="6" width="12.88671875" style="157" customWidth="1"/>
    <col min="7" max="16384" width="9.109375" style="157"/>
  </cols>
  <sheetData>
    <row r="1" spans="1:6" ht="15.6">
      <c r="A1" s="782" t="s">
        <v>2059</v>
      </c>
      <c r="B1" s="931"/>
      <c r="C1" s="931"/>
      <c r="D1" s="931"/>
      <c r="E1" s="931"/>
      <c r="F1" s="931"/>
    </row>
    <row r="2" spans="1:6" ht="15.6">
      <c r="A2"/>
      <c r="B2" s="782" t="s">
        <v>1069</v>
      </c>
      <c r="C2" s="782"/>
      <c r="D2" s="782"/>
      <c r="E2" s="782"/>
      <c r="F2" s="932"/>
    </row>
    <row r="3" spans="1:6" ht="15.6">
      <c r="A3"/>
      <c r="B3" s="782" t="s">
        <v>720</v>
      </c>
      <c r="C3" s="782"/>
      <c r="D3" s="782"/>
      <c r="E3" s="782"/>
      <c r="F3" s="932"/>
    </row>
    <row r="4" spans="1:6" ht="15.6">
      <c r="A4"/>
      <c r="B4" s="782" t="s">
        <v>1275</v>
      </c>
      <c r="C4" s="782"/>
      <c r="D4" s="782"/>
      <c r="E4" s="782"/>
      <c r="F4" s="932"/>
    </row>
    <row r="5" spans="1:6">
      <c r="A5"/>
      <c r="B5" s="113"/>
      <c r="C5" s="113"/>
      <c r="D5" s="113"/>
      <c r="E5"/>
      <c r="F5" s="158"/>
    </row>
    <row r="6" spans="1:6">
      <c r="A6"/>
      <c r="B6"/>
      <c r="C6"/>
      <c r="D6"/>
      <c r="E6"/>
      <c r="F6" s="158"/>
    </row>
    <row r="7" spans="1:6" ht="57" customHeight="1">
      <c r="A7" s="786" t="s">
        <v>2115</v>
      </c>
      <c r="B7" s="786"/>
      <c r="C7" s="786"/>
      <c r="D7" s="786"/>
      <c r="E7" s="786"/>
      <c r="F7" s="932"/>
    </row>
    <row r="8" spans="1:6" ht="17.399999999999999">
      <c r="A8" s="6"/>
      <c r="B8" s="6"/>
      <c r="C8" s="6"/>
      <c r="D8" s="6"/>
      <c r="E8" s="6"/>
      <c r="F8" s="158"/>
    </row>
    <row r="9" spans="1:6" ht="48.75" customHeight="1">
      <c r="A9" s="954" t="s">
        <v>2113</v>
      </c>
      <c r="B9" s="954"/>
      <c r="C9" s="954"/>
      <c r="D9" s="954"/>
      <c r="E9" s="954"/>
      <c r="F9" s="955"/>
    </row>
    <row r="10" spans="1:6" ht="46.8">
      <c r="A10" s="953" t="s">
        <v>7</v>
      </c>
      <c r="B10" s="953"/>
      <c r="C10" s="107" t="s">
        <v>2056</v>
      </c>
      <c r="D10" s="102" t="s">
        <v>636</v>
      </c>
      <c r="E10" s="193" t="s">
        <v>2112</v>
      </c>
      <c r="F10" s="193" t="s">
        <v>2114</v>
      </c>
    </row>
    <row r="11" spans="1:6" ht="15.6">
      <c r="A11" s="949" t="s">
        <v>1395</v>
      </c>
      <c r="B11" s="950"/>
      <c r="C11" s="142">
        <v>989000</v>
      </c>
      <c r="D11" s="142">
        <v>0</v>
      </c>
      <c r="E11" s="142"/>
      <c r="F11" s="142"/>
    </row>
    <row r="12" spans="1:6" ht="15.6">
      <c r="A12" s="949" t="s">
        <v>654</v>
      </c>
      <c r="B12" s="950"/>
      <c r="C12" s="142">
        <v>892000</v>
      </c>
      <c r="D12" s="142">
        <v>0</v>
      </c>
      <c r="E12" s="142"/>
      <c r="F12" s="142"/>
    </row>
    <row r="13" spans="1:6" ht="15.6">
      <c r="A13" s="949" t="s">
        <v>655</v>
      </c>
      <c r="B13" s="950"/>
      <c r="C13" s="142">
        <v>684000</v>
      </c>
      <c r="D13" s="142">
        <v>0</v>
      </c>
      <c r="E13" s="142"/>
      <c r="F13" s="142"/>
    </row>
    <row r="14" spans="1:6" ht="15.6">
      <c r="A14" s="951" t="s">
        <v>1148</v>
      </c>
      <c r="B14" s="951"/>
      <c r="C14" s="195"/>
      <c r="D14" s="142"/>
      <c r="E14" s="142"/>
      <c r="F14" s="142"/>
    </row>
  </sheetData>
  <mergeCells count="11">
    <mergeCell ref="A9:F9"/>
    <mergeCell ref="A1:F1"/>
    <mergeCell ref="B2:F2"/>
    <mergeCell ref="B3:F3"/>
    <mergeCell ref="B4:F4"/>
    <mergeCell ref="A7:F7"/>
    <mergeCell ref="A11:B11"/>
    <mergeCell ref="A12:B12"/>
    <mergeCell ref="A13:B13"/>
    <mergeCell ref="A14:B14"/>
    <mergeCell ref="A10:B10"/>
  </mergeCells>
  <pageMargins left="0.7" right="0.7" top="0.75" bottom="0.75" header="0.3" footer="0.3"/>
</worksheet>
</file>

<file path=xl/worksheets/sheet35.xml><?xml version="1.0" encoding="utf-8"?>
<worksheet xmlns="http://schemas.openxmlformats.org/spreadsheetml/2006/main" xmlns:r="http://schemas.openxmlformats.org/officeDocument/2006/relationships">
  <sheetPr codeName="Лист31"/>
  <dimension ref="A1:E10"/>
  <sheetViews>
    <sheetView showGridLines="0" workbookViewId="0">
      <selection activeCell="H34" sqref="H34"/>
    </sheetView>
  </sheetViews>
  <sheetFormatPr defaultColWidth="9.109375" defaultRowHeight="13.2"/>
  <cols>
    <col min="1" max="1" width="5.88671875" style="157" customWidth="1"/>
    <col min="2" max="2" width="54.44140625" style="157" customWidth="1"/>
    <col min="3" max="4" width="0" style="157" hidden="1" customWidth="1"/>
    <col min="5" max="5" width="13.5546875" style="157" customWidth="1"/>
    <col min="6" max="16384" width="9.109375" style="157"/>
  </cols>
  <sheetData>
    <row r="1" spans="1:5" ht="15.6">
      <c r="A1" s="782" t="s">
        <v>2060</v>
      </c>
      <c r="B1" s="931"/>
      <c r="C1" s="931"/>
      <c r="D1" s="931"/>
      <c r="E1" s="931"/>
    </row>
    <row r="2" spans="1:5" ht="15.6">
      <c r="A2"/>
      <c r="B2" s="782" t="s">
        <v>1069</v>
      </c>
      <c r="C2" s="782"/>
      <c r="D2" s="782"/>
      <c r="E2" s="782"/>
    </row>
    <row r="3" spans="1:5" ht="15.6">
      <c r="A3"/>
      <c r="B3" s="782" t="s">
        <v>720</v>
      </c>
      <c r="C3" s="782"/>
      <c r="D3" s="782"/>
      <c r="E3" s="782"/>
    </row>
    <row r="4" spans="1:5" ht="15.6">
      <c r="A4"/>
      <c r="B4" s="782" t="s">
        <v>1275</v>
      </c>
      <c r="C4" s="782"/>
      <c r="D4" s="782"/>
      <c r="E4" s="782"/>
    </row>
    <row r="5" spans="1:5">
      <c r="A5"/>
      <c r="B5" s="113"/>
      <c r="C5" s="113"/>
      <c r="D5" s="113"/>
      <c r="E5"/>
    </row>
    <row r="6" spans="1:5">
      <c r="A6"/>
      <c r="B6"/>
      <c r="C6"/>
      <c r="D6"/>
      <c r="E6"/>
    </row>
    <row r="7" spans="1:5" ht="66" customHeight="1">
      <c r="A7" s="786" t="s">
        <v>2116</v>
      </c>
      <c r="B7" s="786"/>
      <c r="C7" s="786"/>
      <c r="D7" s="786"/>
      <c r="E7" s="786"/>
    </row>
    <row r="8" spans="1:5" ht="17.399999999999999" hidden="1">
      <c r="A8" s="194"/>
      <c r="B8" s="194"/>
      <c r="C8" s="194"/>
      <c r="D8" s="194"/>
      <c r="E8" s="194"/>
    </row>
    <row r="9" spans="1:5" ht="67.5" customHeight="1">
      <c r="A9" s="954" t="s">
        <v>2117</v>
      </c>
      <c r="B9" s="954"/>
      <c r="C9" s="954"/>
      <c r="D9" s="954"/>
      <c r="E9" s="954"/>
    </row>
    <row r="10" spans="1:5" ht="55.5" customHeight="1">
      <c r="A10" s="141"/>
      <c r="B10" s="144"/>
      <c r="C10" s="159"/>
      <c r="D10" s="159"/>
      <c r="E10" s="159"/>
    </row>
  </sheetData>
  <mergeCells count="6">
    <mergeCell ref="A9:E9"/>
    <mergeCell ref="A1:E1"/>
    <mergeCell ref="B2:E2"/>
    <mergeCell ref="B3:E3"/>
    <mergeCell ref="B4:E4"/>
    <mergeCell ref="A7:E7"/>
  </mergeCells>
  <pageMargins left="0.7" right="0.7" top="0.75" bottom="0.75" header="0.3" footer="0.3"/>
</worksheet>
</file>

<file path=xl/worksheets/sheet36.xml><?xml version="1.0" encoding="utf-8"?>
<worksheet xmlns="http://schemas.openxmlformats.org/spreadsheetml/2006/main" xmlns:r="http://schemas.openxmlformats.org/officeDocument/2006/relationships">
  <sheetPr codeName="Лист32"/>
  <dimension ref="A1"/>
  <sheetViews>
    <sheetView workbookViewId="0">
      <selection activeCell="G29" sqref="G29"/>
    </sheetView>
  </sheetViews>
  <sheetFormatPr defaultRowHeight="13.2"/>
  <sheetData/>
  <pageMargins left="0.7" right="0.7" top="0.75" bottom="0.75" header="0.3" footer="0.3"/>
</worksheet>
</file>

<file path=xl/worksheets/sheet37.xml><?xml version="1.0" encoding="utf-8"?>
<worksheet xmlns="http://schemas.openxmlformats.org/spreadsheetml/2006/main" xmlns:r="http://schemas.openxmlformats.org/officeDocument/2006/relationships">
  <sheetPr codeName="Лист33"/>
  <dimension ref="A1"/>
  <sheetViews>
    <sheetView workbookViewId="0"/>
  </sheetViews>
  <sheetFormatPr defaultRowHeight="13.2"/>
  <sheetData/>
  <pageMargins left="0.7" right="0.7" top="0.75" bottom="0.75" header="0.3" footer="0.3"/>
</worksheet>
</file>

<file path=xl/worksheets/sheet38.xml><?xml version="1.0" encoding="utf-8"?>
<worksheet xmlns="http://schemas.openxmlformats.org/spreadsheetml/2006/main" xmlns:r="http://schemas.openxmlformats.org/officeDocument/2006/relationships">
  <sheetPr codeName="Лист39"/>
  <dimension ref="A1:D17"/>
  <sheetViews>
    <sheetView showGridLines="0" workbookViewId="0">
      <selection activeCell="G16" sqref="G16"/>
    </sheetView>
  </sheetViews>
  <sheetFormatPr defaultColWidth="9.109375" defaultRowHeight="13.2"/>
  <cols>
    <col min="1" max="1" width="64" style="157" customWidth="1"/>
    <col min="2" max="3" width="9.109375" style="157" customWidth="1"/>
    <col min="4" max="4" width="18" style="157" customWidth="1"/>
    <col min="5" max="7" width="9.109375" style="157"/>
    <col min="8" max="8" width="43.44140625" style="157" customWidth="1"/>
    <col min="9" max="16384" width="9.109375" style="157"/>
  </cols>
  <sheetData>
    <row r="1" spans="1:4" ht="15.6">
      <c r="A1" s="782" t="s">
        <v>2493</v>
      </c>
      <c r="B1" s="782"/>
      <c r="C1" s="782"/>
      <c r="D1" s="782"/>
    </row>
    <row r="2" spans="1:4" ht="15.6">
      <c r="A2" s="782" t="s">
        <v>1069</v>
      </c>
      <c r="B2" s="782"/>
      <c r="C2" s="782"/>
      <c r="D2" s="782"/>
    </row>
    <row r="3" spans="1:4" ht="15.6">
      <c r="A3" s="782" t="s">
        <v>720</v>
      </c>
      <c r="B3" s="782"/>
      <c r="C3" s="782"/>
      <c r="D3" s="782"/>
    </row>
    <row r="4" spans="1:4" ht="15.6">
      <c r="A4" s="782" t="s">
        <v>2479</v>
      </c>
      <c r="B4" s="782"/>
      <c r="C4" s="782"/>
      <c r="D4" s="782"/>
    </row>
    <row r="5" spans="1:4">
      <c r="A5" s="396"/>
      <c r="B5" s="396"/>
      <c r="C5" s="396"/>
      <c r="D5"/>
    </row>
    <row r="6" spans="1:4">
      <c r="A6"/>
      <c r="B6"/>
      <c r="C6"/>
      <c r="D6"/>
    </row>
    <row r="7" spans="1:4" ht="15.6">
      <c r="A7" s="783" t="s">
        <v>2402</v>
      </c>
      <c r="B7" s="783"/>
      <c r="C7" s="783"/>
      <c r="D7" s="783"/>
    </row>
    <row r="8" spans="1:4" ht="17.399999999999999">
      <c r="A8" s="395"/>
      <c r="B8" s="395"/>
      <c r="C8" s="395"/>
      <c r="D8"/>
    </row>
    <row r="9" spans="1:4" ht="15.6">
      <c r="A9" s="783" t="s">
        <v>739</v>
      </c>
      <c r="B9" s="783"/>
      <c r="C9" s="783"/>
      <c r="D9" s="783"/>
    </row>
    <row r="10" spans="1:4" ht="17.399999999999999">
      <c r="A10" s="23"/>
      <c r="B10" s="23"/>
      <c r="C10" s="23"/>
      <c r="D10"/>
    </row>
    <row r="11" spans="1:4" ht="18" thickBot="1">
      <c r="A11" s="23"/>
      <c r="B11" s="23"/>
      <c r="C11" s="23"/>
      <c r="D11"/>
    </row>
    <row r="12" spans="1:4" ht="46.8">
      <c r="A12" s="147" t="s">
        <v>1645</v>
      </c>
      <c r="B12" s="148" t="s">
        <v>2494</v>
      </c>
      <c r="C12" s="148" t="s">
        <v>636</v>
      </c>
      <c r="D12" s="394" t="s">
        <v>2413</v>
      </c>
    </row>
    <row r="13" spans="1:4" ht="15.6">
      <c r="A13" s="149" t="s">
        <v>1395</v>
      </c>
      <c r="B13" s="252">
        <v>58000</v>
      </c>
      <c r="C13" s="254"/>
      <c r="D13" s="252">
        <f>SUM(B13:C13)</f>
        <v>58000</v>
      </c>
    </row>
    <row r="14" spans="1:4" ht="15.6">
      <c r="A14" s="149" t="s">
        <v>654</v>
      </c>
      <c r="B14" s="252">
        <v>58000</v>
      </c>
      <c r="C14" s="254"/>
      <c r="D14" s="252">
        <f t="shared" ref="D14:D16" si="0">SUM(B14:C14)</f>
        <v>58000</v>
      </c>
    </row>
    <row r="15" spans="1:4" ht="15.6">
      <c r="A15" s="149" t="s">
        <v>8</v>
      </c>
      <c r="B15" s="252">
        <v>384000</v>
      </c>
      <c r="C15" s="254"/>
      <c r="D15" s="252">
        <f t="shared" si="0"/>
        <v>384000</v>
      </c>
    </row>
    <row r="16" spans="1:4" ht="15.6">
      <c r="A16" s="149" t="s">
        <v>655</v>
      </c>
      <c r="B16" s="252">
        <v>384000</v>
      </c>
      <c r="C16" s="254"/>
      <c r="D16" s="252">
        <f t="shared" si="0"/>
        <v>384000</v>
      </c>
    </row>
    <row r="17" spans="1:4" ht="16.2" thickBot="1">
      <c r="A17" s="150" t="s">
        <v>1148</v>
      </c>
      <c r="B17" s="399">
        <v>884000</v>
      </c>
      <c r="C17" s="253">
        <f>SUM(C13:C16)</f>
        <v>0</v>
      </c>
      <c r="D17" s="399">
        <f>SUM(D13:D16)</f>
        <v>884000</v>
      </c>
    </row>
  </sheetData>
  <mergeCells count="6">
    <mergeCell ref="A9:D9"/>
    <mergeCell ref="A1:D1"/>
    <mergeCell ref="A2:D2"/>
    <mergeCell ref="A3:D3"/>
    <mergeCell ref="A4:D4"/>
    <mergeCell ref="A7:D7"/>
  </mergeCell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sheetPr codeName="Лист40"/>
  <dimension ref="A1:G17"/>
  <sheetViews>
    <sheetView workbookViewId="0">
      <selection activeCell="J13" sqref="J13"/>
    </sheetView>
  </sheetViews>
  <sheetFormatPr defaultColWidth="9.109375" defaultRowHeight="15.6"/>
  <cols>
    <col min="1" max="1" width="59" style="319" customWidth="1"/>
    <col min="2" max="2" width="9.109375" style="319" customWidth="1"/>
    <col min="3" max="3" width="10.109375" style="319" customWidth="1"/>
    <col min="4" max="6" width="14.88671875" style="319" customWidth="1"/>
    <col min="7" max="7" width="14.44140625" style="319" customWidth="1"/>
    <col min="8" max="9" width="9.109375" style="319"/>
    <col min="10" max="10" width="43.44140625" style="319" customWidth="1"/>
    <col min="11" max="16384" width="9.109375" style="319"/>
  </cols>
  <sheetData>
    <row r="1" spans="1:7">
      <c r="A1" s="892" t="s">
        <v>2483</v>
      </c>
      <c r="B1" s="892"/>
      <c r="C1" s="892"/>
      <c r="D1" s="892"/>
      <c r="E1" s="892"/>
      <c r="F1" s="892"/>
      <c r="G1" s="809"/>
    </row>
    <row r="2" spans="1:7">
      <c r="A2" s="892" t="s">
        <v>1069</v>
      </c>
      <c r="B2" s="892"/>
      <c r="C2" s="892"/>
      <c r="D2" s="892"/>
      <c r="E2" s="892"/>
      <c r="F2" s="892"/>
      <c r="G2" s="809"/>
    </row>
    <row r="3" spans="1:7">
      <c r="A3" s="892" t="s">
        <v>720</v>
      </c>
      <c r="B3" s="892"/>
      <c r="C3" s="892"/>
      <c r="D3" s="892"/>
      <c r="E3" s="892"/>
      <c r="F3" s="892"/>
      <c r="G3" s="809"/>
    </row>
    <row r="4" spans="1:7">
      <c r="A4" s="892" t="s">
        <v>2479</v>
      </c>
      <c r="B4" s="892"/>
      <c r="C4" s="892"/>
      <c r="D4" s="892"/>
      <c r="E4" s="892"/>
      <c r="F4" s="892"/>
      <c r="G4" s="809"/>
    </row>
    <row r="5" spans="1:7">
      <c r="A5" s="397"/>
      <c r="B5" s="397"/>
      <c r="C5" s="397"/>
      <c r="D5" s="284"/>
      <c r="E5" s="284"/>
      <c r="F5" s="284"/>
      <c r="G5" s="298"/>
    </row>
    <row r="6" spans="1:7">
      <c r="A6" s="284"/>
      <c r="B6" s="284"/>
      <c r="C6" s="284"/>
      <c r="D6" s="284"/>
      <c r="E6" s="284"/>
      <c r="F6" s="284"/>
      <c r="G6" s="298"/>
    </row>
    <row r="7" spans="1:7" ht="42" customHeight="1">
      <c r="A7" s="901" t="s">
        <v>2401</v>
      </c>
      <c r="B7" s="901"/>
      <c r="C7" s="901"/>
      <c r="D7" s="901"/>
      <c r="E7" s="901"/>
      <c r="F7" s="901"/>
      <c r="G7" s="813"/>
    </row>
    <row r="8" spans="1:7">
      <c r="A8" s="398"/>
      <c r="B8" s="398"/>
      <c r="C8" s="398"/>
      <c r="D8" s="284"/>
      <c r="E8" s="284"/>
      <c r="F8" s="284"/>
      <c r="G8" s="298"/>
    </row>
    <row r="9" spans="1:7" ht="32.25" customHeight="1">
      <c r="A9" s="901" t="s">
        <v>739</v>
      </c>
      <c r="B9" s="901"/>
      <c r="C9" s="901"/>
      <c r="D9" s="901"/>
      <c r="E9" s="901"/>
      <c r="F9" s="901"/>
      <c r="G9" s="927"/>
    </row>
    <row r="10" spans="1:7" ht="16.2" thickBot="1">
      <c r="A10" s="320"/>
      <c r="B10" s="320"/>
      <c r="C10" s="320"/>
      <c r="D10" s="284"/>
      <c r="E10" s="284"/>
      <c r="F10" s="284"/>
      <c r="G10" s="298"/>
    </row>
    <row r="11" spans="1:7" ht="16.2" hidden="1" thickBot="1">
      <c r="A11" s="320"/>
      <c r="B11" s="320"/>
      <c r="C11" s="320"/>
      <c r="D11" s="284"/>
      <c r="E11" s="284"/>
      <c r="F11" s="284"/>
      <c r="G11" s="298"/>
    </row>
    <row r="12" spans="1:7" ht="46.8">
      <c r="A12" s="315" t="s">
        <v>1645</v>
      </c>
      <c r="B12" s="316" t="s">
        <v>2494</v>
      </c>
      <c r="C12" s="316" t="s">
        <v>636</v>
      </c>
      <c r="D12" s="394" t="s">
        <v>2414</v>
      </c>
      <c r="E12" s="316" t="s">
        <v>2494</v>
      </c>
      <c r="F12" s="316" t="s">
        <v>636</v>
      </c>
      <c r="G12" s="394" t="s">
        <v>2415</v>
      </c>
    </row>
    <row r="13" spans="1:7">
      <c r="A13" s="317" t="s">
        <v>1395</v>
      </c>
      <c r="B13" s="321">
        <v>59000</v>
      </c>
      <c r="C13" s="114"/>
      <c r="D13" s="321">
        <f>SUM(B13:C13)</f>
        <v>59000</v>
      </c>
      <c r="E13" s="321">
        <v>59000</v>
      </c>
      <c r="F13" s="114"/>
      <c r="G13" s="321">
        <f>SUM(E13:F13)</f>
        <v>59000</v>
      </c>
    </row>
    <row r="14" spans="1:7">
      <c r="A14" s="317" t="s">
        <v>654</v>
      </c>
      <c r="B14" s="321">
        <v>59000</v>
      </c>
      <c r="C14" s="114"/>
      <c r="D14" s="321">
        <f t="shared" ref="D14:D17" si="0">SUM(B14:C14)</f>
        <v>59000</v>
      </c>
      <c r="E14" s="321">
        <v>59000</v>
      </c>
      <c r="F14" s="114"/>
      <c r="G14" s="321">
        <f t="shared" ref="G14:G17" si="1">SUM(E14:F14)</f>
        <v>59000</v>
      </c>
    </row>
    <row r="15" spans="1:7">
      <c r="A15" s="317" t="s">
        <v>8</v>
      </c>
      <c r="B15" s="321">
        <v>384000</v>
      </c>
      <c r="C15" s="114"/>
      <c r="D15" s="321">
        <f t="shared" si="0"/>
        <v>384000</v>
      </c>
      <c r="E15" s="321">
        <v>384000</v>
      </c>
      <c r="F15" s="114"/>
      <c r="G15" s="321">
        <f t="shared" si="1"/>
        <v>384000</v>
      </c>
    </row>
    <row r="16" spans="1:7">
      <c r="A16" s="317" t="s">
        <v>655</v>
      </c>
      <c r="B16" s="321">
        <v>384000</v>
      </c>
      <c r="C16" s="114"/>
      <c r="D16" s="321">
        <f t="shared" si="0"/>
        <v>384000</v>
      </c>
      <c r="E16" s="321">
        <v>384000</v>
      </c>
      <c r="F16" s="114"/>
      <c r="G16" s="321">
        <f t="shared" si="1"/>
        <v>384000</v>
      </c>
    </row>
    <row r="17" spans="1:7" ht="16.2" thickBot="1">
      <c r="A17" s="318" t="s">
        <v>1148</v>
      </c>
      <c r="B17" s="323">
        <v>886000</v>
      </c>
      <c r="C17" s="322">
        <f>SUM(C13:C16)</f>
        <v>0</v>
      </c>
      <c r="D17" s="321">
        <f t="shared" si="0"/>
        <v>886000</v>
      </c>
      <c r="E17" s="323">
        <v>886000</v>
      </c>
      <c r="F17" s="322">
        <f>SUM(F13:F16)</f>
        <v>0</v>
      </c>
      <c r="G17" s="321">
        <f t="shared" si="1"/>
        <v>886000</v>
      </c>
    </row>
  </sheetData>
  <mergeCells count="6">
    <mergeCell ref="A9:G9"/>
    <mergeCell ref="A1:G1"/>
    <mergeCell ref="A2:G2"/>
    <mergeCell ref="A3:G3"/>
    <mergeCell ref="A4:G4"/>
    <mergeCell ref="A7:G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sheetPr codeName="Лист4">
    <pageSetUpPr fitToPage="1"/>
  </sheetPr>
  <dimension ref="A1:H123"/>
  <sheetViews>
    <sheetView showGridLines="0" view="pageBreakPreview" topLeftCell="A85" zoomScaleSheetLayoutView="100" workbookViewId="0">
      <selection activeCell="E97" sqref="E97"/>
    </sheetView>
  </sheetViews>
  <sheetFormatPr defaultColWidth="9.109375" defaultRowHeight="13.2"/>
  <cols>
    <col min="1" max="1" width="10.6640625" style="154" customWidth="1"/>
    <col min="2" max="2" width="50.5546875" style="154" customWidth="1"/>
    <col min="3" max="4" width="15" style="154" hidden="1" customWidth="1"/>
    <col min="5" max="5" width="14.33203125" style="154" bestFit="1" customWidth="1"/>
    <col min="6" max="6" width="15" style="154" hidden="1" customWidth="1"/>
    <col min="7" max="7" width="14.33203125" style="154" hidden="1" customWidth="1"/>
    <col min="8" max="8" width="14.33203125" style="154" bestFit="1" customWidth="1"/>
    <col min="9" max="16384" width="9.109375" style="154"/>
  </cols>
  <sheetData>
    <row r="1" spans="1:8" ht="15.6">
      <c r="A1" s="782" t="s">
        <v>6</v>
      </c>
      <c r="B1" s="782"/>
      <c r="C1" s="782"/>
      <c r="D1" s="782"/>
      <c r="E1" s="782"/>
      <c r="F1" s="782"/>
      <c r="G1" s="782"/>
      <c r="H1" s="782"/>
    </row>
    <row r="2" spans="1:8" ht="15.6">
      <c r="A2" s="782" t="s">
        <v>1069</v>
      </c>
      <c r="B2" s="782"/>
      <c r="C2" s="782"/>
      <c r="D2" s="782"/>
      <c r="E2" s="782"/>
      <c r="F2" s="782"/>
      <c r="G2" s="782"/>
      <c r="H2" s="782"/>
    </row>
    <row r="3" spans="1:8" ht="15.6">
      <c r="A3" s="782" t="s">
        <v>720</v>
      </c>
      <c r="B3" s="782"/>
      <c r="C3" s="782"/>
      <c r="D3" s="782"/>
      <c r="E3" s="782"/>
      <c r="F3" s="782"/>
      <c r="G3" s="782"/>
      <c r="H3" s="782"/>
    </row>
    <row r="4" spans="1:8" ht="15.6">
      <c r="A4" s="782" t="s">
        <v>3148</v>
      </c>
      <c r="B4" s="782"/>
      <c r="C4" s="782"/>
      <c r="D4" s="782"/>
      <c r="E4" s="782"/>
      <c r="F4" s="782"/>
      <c r="G4" s="782"/>
      <c r="H4" s="782"/>
    </row>
    <row r="5" spans="1:8" ht="15.6">
      <c r="A5" s="11"/>
      <c r="B5" s="9"/>
      <c r="C5" s="791"/>
      <c r="D5" s="791"/>
      <c r="E5" s="791"/>
      <c r="F5" s="791"/>
      <c r="G5" s="791"/>
      <c r="H5" s="791"/>
    </row>
    <row r="6" spans="1:8" ht="71.25" customHeight="1">
      <c r="A6" s="790" t="s">
        <v>2622</v>
      </c>
      <c r="B6" s="790"/>
      <c r="C6" s="790"/>
      <c r="D6" s="790"/>
      <c r="E6" s="790"/>
      <c r="F6" s="790"/>
      <c r="G6" s="790"/>
      <c r="H6" s="790"/>
    </row>
    <row r="7" spans="1:8" ht="16.2" thickBot="1">
      <c r="A7" s="12"/>
      <c r="B7" s="10"/>
      <c r="C7" s="792"/>
      <c r="D7" s="792"/>
      <c r="E7" s="792"/>
      <c r="F7" s="792"/>
      <c r="G7" s="792"/>
      <c r="H7" s="792"/>
    </row>
    <row r="8" spans="1:8" ht="47.4" thickBot="1">
      <c r="A8" s="330" t="s">
        <v>969</v>
      </c>
      <c r="B8" s="331" t="s">
        <v>970</v>
      </c>
      <c r="C8" s="331" t="s">
        <v>3230</v>
      </c>
      <c r="D8" s="331" t="s">
        <v>1140</v>
      </c>
      <c r="E8" s="331" t="s">
        <v>2524</v>
      </c>
      <c r="F8" s="331" t="s">
        <v>3232</v>
      </c>
      <c r="G8" s="331" t="s">
        <v>1140</v>
      </c>
      <c r="H8" s="331" t="s">
        <v>2617</v>
      </c>
    </row>
    <row r="9" spans="1:8" ht="16.2" thickBot="1">
      <c r="A9" s="332">
        <v>100</v>
      </c>
      <c r="B9" s="333" t="s">
        <v>450</v>
      </c>
      <c r="C9" s="334">
        <f>SUM(C10:C22)</f>
        <v>77787300</v>
      </c>
      <c r="D9" s="334">
        <f t="shared" ref="D9:H9" si="0">SUM(D10:D22)</f>
        <v>0</v>
      </c>
      <c r="E9" s="334">
        <f>SUM(E10:E22)</f>
        <v>77787300</v>
      </c>
      <c r="F9" s="334">
        <f t="shared" si="0"/>
        <v>67068385</v>
      </c>
      <c r="G9" s="334">
        <f t="shared" si="0"/>
        <v>0</v>
      </c>
      <c r="H9" s="334">
        <f t="shared" si="0"/>
        <v>67068385</v>
      </c>
    </row>
    <row r="10" spans="1:8" ht="31.8" hidden="1" thickBot="1">
      <c r="A10" s="335">
        <v>101</v>
      </c>
      <c r="B10" s="336" t="s">
        <v>782</v>
      </c>
      <c r="C10" s="337">
        <f>SUMIF(Пр.10!C$10:C$436,101,Пр.10!G$10:G$436)</f>
        <v>0</v>
      </c>
      <c r="D10" s="337">
        <f>SUMIF(Пр.10!D$10:D$436,101,Пр.10!H$10:H$436)</f>
        <v>0</v>
      </c>
      <c r="E10" s="337">
        <f>SUMIF(Пр.10!E$10:E$436,101,Пр.10!I$10:I$436)</f>
        <v>0</v>
      </c>
      <c r="F10" s="337">
        <f>SUMIF(Пр.10!F$10:F$436,101,Пр.10!J$10:J$436)</f>
        <v>0</v>
      </c>
      <c r="G10" s="337">
        <f>SUMIF(Пр.10!G$10:G$436,101,Пр.10!K$10:K$436)</f>
        <v>0</v>
      </c>
      <c r="H10" s="337">
        <f>SUMIF(Пр.10!H$10:H$436,101,Пр.10!L$10:L$436)</f>
        <v>0</v>
      </c>
    </row>
    <row r="11" spans="1:8" ht="47.4" thickBot="1">
      <c r="A11" s="335">
        <v>102</v>
      </c>
      <c r="B11" s="338" t="s">
        <v>752</v>
      </c>
      <c r="C11" s="337">
        <f>SUMIF(Пр.10!$C10:$C440,102,Пр.10!G$10:G440)</f>
        <v>1473723</v>
      </c>
      <c r="D11" s="337">
        <f>SUMIF(Пр.10!$C10:$C440,102,Пр.10!H$10:H440)</f>
        <v>0</v>
      </c>
      <c r="E11" s="337">
        <f>SUMIF(Пр.10!$C10:$C440,102,Пр.10!I$10:I440)</f>
        <v>1473723</v>
      </c>
      <c r="F11" s="337">
        <f>SUMIF(Пр.10!$C10:$C440,102,Пр.10!J$10:J440)</f>
        <v>1473723</v>
      </c>
      <c r="G11" s="337">
        <f>SUMIF(Пр.10!$C10:$C440,102,Пр.10!K$10:K440)</f>
        <v>0</v>
      </c>
      <c r="H11" s="337">
        <f>SUMIF(Пр.10!$C10:$C440,102,Пр.10!L$10:L440)</f>
        <v>1473723</v>
      </c>
    </row>
    <row r="12" spans="1:8" ht="63" hidden="1" thickBot="1">
      <c r="A12" s="335">
        <v>103</v>
      </c>
      <c r="B12" s="338" t="s">
        <v>667</v>
      </c>
      <c r="C12" s="337">
        <f>SUMIF(Пр.10!$C10:$C441,103,Пр.10!G$10:G441)</f>
        <v>0</v>
      </c>
      <c r="D12" s="337">
        <f>SUMIF(Пр.10!$C10:$C441,103,Пр.10!H$10:H441)</f>
        <v>0</v>
      </c>
      <c r="E12" s="337">
        <f>SUMIF(Пр.10!$C10:$C441,103,Пр.10!I$10:I441)</f>
        <v>0</v>
      </c>
      <c r="F12" s="337">
        <f>SUMIF(Пр.10!$C10:$C441,103,Пр.10!J$10:J441)</f>
        <v>0</v>
      </c>
      <c r="G12" s="337">
        <f>SUMIF(Пр.10!$C10:$C441,103,Пр.10!K$10:K441)</f>
        <v>0</v>
      </c>
      <c r="H12" s="337">
        <f>SUMIF(Пр.10!$C10:$C441,103,Пр.10!L$10:L441)</f>
        <v>0</v>
      </c>
    </row>
    <row r="13" spans="1:8" ht="63" thickBot="1">
      <c r="A13" s="335">
        <v>104</v>
      </c>
      <c r="B13" s="338" t="s">
        <v>356</v>
      </c>
      <c r="C13" s="337">
        <f>SUMIF(Пр.10!$C10:$C442,104,Пр.10!G$10:G442)</f>
        <v>33464069</v>
      </c>
      <c r="D13" s="337">
        <f>SUMIF(Пр.10!$C10:$C442,104,Пр.10!H$10:H442)</f>
        <v>0</v>
      </c>
      <c r="E13" s="337">
        <f>SUMIF(Пр.10!$C10:$C442,104,Пр.10!I$10:I442)</f>
        <v>33464069</v>
      </c>
      <c r="F13" s="337">
        <f>SUMIF(Пр.10!$C10:$C442,104,Пр.10!J$10:J442)</f>
        <v>27122183</v>
      </c>
      <c r="G13" s="337">
        <f>SUMIF(Пр.10!$C10:$C442,104,Пр.10!K$10:K442)</f>
        <v>0</v>
      </c>
      <c r="H13" s="337">
        <f>SUMIF(Пр.10!$C10:$C442,104,Пр.10!L$10:L442)</f>
        <v>27122183</v>
      </c>
    </row>
    <row r="14" spans="1:8" ht="16.2" hidden="1" thickBot="1">
      <c r="A14" s="335">
        <v>105</v>
      </c>
      <c r="B14" s="338" t="s">
        <v>1196</v>
      </c>
      <c r="C14" s="337">
        <f>SUMIF(Пр.10!C$10:C443,105,Пр.10!G$10:G443)</f>
        <v>0</v>
      </c>
      <c r="D14" s="337">
        <f>SUMIF(Пр.10!D$10:D443,105,Пр.10!H$10:H443)</f>
        <v>0</v>
      </c>
      <c r="E14" s="337">
        <f>SUMIF(Пр.10!E$10:E443,105,Пр.10!I$10:I443)</f>
        <v>0</v>
      </c>
      <c r="F14" s="337">
        <f>SUMIF(Пр.10!F$10:F443,105,Пр.10!J$10:J443)</f>
        <v>0</v>
      </c>
      <c r="G14" s="337">
        <f>SUMIF(Пр.10!G$10:G443,105,Пр.10!K$10:K443)</f>
        <v>0</v>
      </c>
      <c r="H14" s="337">
        <f>SUMIF(Пр.10!H$10:H443,105,Пр.10!L$10:L443)</f>
        <v>0</v>
      </c>
    </row>
    <row r="15" spans="1:8" ht="47.4" thickBot="1">
      <c r="A15" s="335">
        <v>106</v>
      </c>
      <c r="B15" s="338" t="s">
        <v>69</v>
      </c>
      <c r="C15" s="337">
        <f>SUMIF(Пр.10!$C10:$C444,106,Пр.10!G$10:G444)</f>
        <v>16686695</v>
      </c>
      <c r="D15" s="337">
        <f>SUMIF(Пр.10!$C10:$C444,106,Пр.10!H$10:H444)</f>
        <v>0</v>
      </c>
      <c r="E15" s="337">
        <f>SUMIF(Пр.10!$C10:$C444,106,Пр.10!I$10:I444)</f>
        <v>16686695</v>
      </c>
      <c r="F15" s="337">
        <f>SUMIF(Пр.10!$C10:$C444,106,Пр.10!J$10:J444)</f>
        <v>14217644</v>
      </c>
      <c r="G15" s="337">
        <f>SUMIF(Пр.10!$C10:$C444,106,Пр.10!K$10:K444)</f>
        <v>0</v>
      </c>
      <c r="H15" s="337">
        <f>SUMIF(Пр.10!$C10:$C444,106,Пр.10!L$10:L444)</f>
        <v>14217644</v>
      </c>
    </row>
    <row r="16" spans="1:8" ht="16.2" hidden="1" thickBot="1">
      <c r="A16" s="335">
        <v>107</v>
      </c>
      <c r="B16" s="338" t="s">
        <v>79</v>
      </c>
      <c r="C16" s="337">
        <f>SUMIF(Пр.10!C$10:C445,107,Пр.10!G$10:G445)</f>
        <v>0</v>
      </c>
      <c r="D16" s="337">
        <f>SUMIF(Пр.10!D$10:D445,107,Пр.10!H$10:H445)</f>
        <v>0</v>
      </c>
      <c r="E16" s="337">
        <f>SUMIF(Пр.10!E$10:E445,107,Пр.10!I$10:I445)</f>
        <v>0</v>
      </c>
      <c r="F16" s="337">
        <f>SUMIF(Пр.10!F$10:F445,107,Пр.10!J$10:J445)</f>
        <v>0</v>
      </c>
      <c r="G16" s="337">
        <f>SUMIF(Пр.10!G$10:G445,107,Пр.10!K$10:K445)</f>
        <v>0</v>
      </c>
      <c r="H16" s="337">
        <f>SUMIF(Пр.10!H$10:H445,107,Пр.10!L$10:L445)</f>
        <v>0</v>
      </c>
    </row>
    <row r="17" spans="1:8" ht="31.8" hidden="1" thickBot="1">
      <c r="A17" s="335">
        <v>108</v>
      </c>
      <c r="B17" s="338" t="s">
        <v>1541</v>
      </c>
      <c r="C17" s="337">
        <f>SUMIF(Пр.10!C$10:C446,108,Пр.10!G$10:G446)</f>
        <v>0</v>
      </c>
      <c r="D17" s="337">
        <f>SUMIF(Пр.10!D$10:D446,108,Пр.10!H$10:H446)</f>
        <v>0</v>
      </c>
      <c r="E17" s="337">
        <f>SUMIF(Пр.10!E$10:E446,108,Пр.10!I$10:I446)</f>
        <v>0</v>
      </c>
      <c r="F17" s="337">
        <f>SUMIF(Пр.10!F$10:F446,108,Пр.10!J$10:J446)</f>
        <v>0</v>
      </c>
      <c r="G17" s="337">
        <f>SUMIF(Пр.10!G$10:G446,108,Пр.10!K$10:K446)</f>
        <v>0</v>
      </c>
      <c r="H17" s="337">
        <f>SUMIF(Пр.10!H$10:H446,108,Пр.10!L$10:L446)</f>
        <v>0</v>
      </c>
    </row>
    <row r="18" spans="1:8" ht="16.2" hidden="1" thickBot="1">
      <c r="A18" s="335">
        <v>109</v>
      </c>
      <c r="B18" s="338" t="s">
        <v>842</v>
      </c>
      <c r="C18" s="337">
        <f>SUMIF(Пр.10!C$10:C447,109,Пр.10!G$10:G447)</f>
        <v>0</v>
      </c>
      <c r="D18" s="337">
        <f>SUMIF(Пр.10!D$10:D447,109,Пр.10!H$10:H447)</f>
        <v>0</v>
      </c>
      <c r="E18" s="337">
        <f>SUMIF(Пр.10!E$10:E447,109,Пр.10!I$10:I447)</f>
        <v>0</v>
      </c>
      <c r="F18" s="337">
        <f>SUMIF(Пр.10!F$10:F447,109,Пр.10!J$10:J447)</f>
        <v>0</v>
      </c>
      <c r="G18" s="337">
        <f>SUMIF(Пр.10!G$10:G447,109,Пр.10!K$10:K447)</f>
        <v>0</v>
      </c>
      <c r="H18" s="337">
        <f>SUMIF(Пр.10!H$10:H447,109,Пр.10!L$10:L447)</f>
        <v>0</v>
      </c>
    </row>
    <row r="19" spans="1:8" ht="16.2" hidden="1" thickBot="1">
      <c r="A19" s="335">
        <v>110</v>
      </c>
      <c r="B19" s="338" t="s">
        <v>843</v>
      </c>
      <c r="C19" s="337">
        <f>SUMIF(Пр.10!C$10:C448,110,Пр.10!G$10:G448)</f>
        <v>0</v>
      </c>
      <c r="D19" s="337">
        <f>SUMIF(Пр.10!D$10:D448,110,Пр.10!H$10:H448)</f>
        <v>0</v>
      </c>
      <c r="E19" s="337">
        <f>SUMIF(Пр.10!E$10:E448,110,Пр.10!I$10:I448)</f>
        <v>0</v>
      </c>
      <c r="F19" s="337">
        <f>SUMIF(Пр.10!F$10:F448,110,Пр.10!J$10:J448)</f>
        <v>0</v>
      </c>
      <c r="G19" s="337">
        <f>SUMIF(Пр.10!G$10:G448,110,Пр.10!K$10:K448)</f>
        <v>0</v>
      </c>
      <c r="H19" s="337">
        <f>SUMIF(Пр.10!H$10:H448,110,Пр.10!L$10:L448)</f>
        <v>0</v>
      </c>
    </row>
    <row r="20" spans="1:8" ht="16.2" thickBot="1">
      <c r="A20" s="335">
        <v>111</v>
      </c>
      <c r="B20" s="338" t="s">
        <v>838</v>
      </c>
      <c r="C20" s="337">
        <f>SUMIF(Пр.10!$C10:$C449,111,Пр.10!G$10:G449)</f>
        <v>3000000</v>
      </c>
      <c r="D20" s="337">
        <f>SUMIF(Пр.10!$C10:$C449,111,Пр.10!H$10:H449)</f>
        <v>0</v>
      </c>
      <c r="E20" s="337">
        <f>SUMIF(Пр.10!$C10:$C449,111,Пр.10!I$10:I449)</f>
        <v>3000000</v>
      </c>
      <c r="F20" s="337">
        <f>SUMIF(Пр.10!$C10:$C449,111,Пр.10!J$10:J449)</f>
        <v>3000000</v>
      </c>
      <c r="G20" s="337">
        <f>SUMIF(Пр.10!$C10:$C449,111,Пр.10!K$10:K449)</f>
        <v>0</v>
      </c>
      <c r="H20" s="337">
        <f>SUMIF(Пр.10!$C10:$C449,111,Пр.10!L$10:L449)</f>
        <v>3000000</v>
      </c>
    </row>
    <row r="21" spans="1:8" ht="31.8" hidden="1" thickBot="1">
      <c r="A21" s="335">
        <v>112</v>
      </c>
      <c r="B21" s="338" t="s">
        <v>1531</v>
      </c>
      <c r="C21" s="337">
        <f>SUMIF(Пр.10!$C10:$C450,112,Пр.10!G$10:G450)</f>
        <v>0</v>
      </c>
      <c r="D21" s="337">
        <f>SUMIF(Пр.10!D$10:D450,112,Пр.10!H$10:H450)</f>
        <v>0</v>
      </c>
      <c r="E21" s="337">
        <f>SUMIF(Пр.10!E$10:E450,112,Пр.10!I$10:I450)</f>
        <v>0</v>
      </c>
      <c r="F21" s="337">
        <f>SUMIF(Пр.10!F$10:F450,112,Пр.10!J$10:J450)</f>
        <v>0</v>
      </c>
      <c r="G21" s="337">
        <f>SUMIF(Пр.10!G$10:G450,112,Пр.10!K$10:K450)</f>
        <v>0</v>
      </c>
      <c r="H21" s="337">
        <f>SUMIF(Пр.10!H$10:H450,112,Пр.10!L$10:L450)</f>
        <v>0</v>
      </c>
    </row>
    <row r="22" spans="1:8" ht="15" customHeight="1" thickBot="1">
      <c r="A22" s="335">
        <v>113</v>
      </c>
      <c r="B22" s="338" t="s">
        <v>839</v>
      </c>
      <c r="C22" s="337">
        <f>SUMIF(Пр.10!$C10:$C451,113,Пр.10!G$10:G451)</f>
        <v>23162813</v>
      </c>
      <c r="D22" s="337">
        <f>SUMIF(Пр.10!$C10:$C451,113,Пр.10!H$10:H451)</f>
        <v>0</v>
      </c>
      <c r="E22" s="337">
        <f>SUMIF(Пр.10!$C10:$C451,113,Пр.10!I$10:I451)</f>
        <v>23162813</v>
      </c>
      <c r="F22" s="337">
        <f>SUMIF(Пр.10!$C10:$C451,113,Пр.10!J$10:J451)</f>
        <v>21254835</v>
      </c>
      <c r="G22" s="337">
        <f>SUMIF(Пр.10!$C10:$C451,113,Пр.10!K$10:K451)</f>
        <v>0</v>
      </c>
      <c r="H22" s="337">
        <f>SUMIF(Пр.10!$C10:$C451,113,Пр.10!L$10:L451)</f>
        <v>21254835</v>
      </c>
    </row>
    <row r="23" spans="1:8" ht="16.2" hidden="1" thickBot="1">
      <c r="A23" s="332">
        <v>200</v>
      </c>
      <c r="B23" s="339" t="s">
        <v>70</v>
      </c>
      <c r="C23" s="334">
        <f t="shared" ref="C23" ca="1" si="1">SUM(C24:C32)</f>
        <v>0</v>
      </c>
      <c r="D23" s="334">
        <f t="shared" ref="D23:H23" ca="1" si="2">SUM(D24:D32)</f>
        <v>0</v>
      </c>
      <c r="E23" s="337">
        <f>SUMIF(Пр.10!C31,102,Пр.10!C31)</f>
        <v>0</v>
      </c>
      <c r="F23" s="334">
        <f t="shared" ca="1" si="2"/>
        <v>0</v>
      </c>
      <c r="G23" s="334">
        <f t="shared" ca="1" si="2"/>
        <v>0</v>
      </c>
      <c r="H23" s="334">
        <f t="shared" ca="1" si="2"/>
        <v>0</v>
      </c>
    </row>
    <row r="24" spans="1:8" ht="16.2" hidden="1" thickBot="1">
      <c r="A24" s="335">
        <v>201</v>
      </c>
      <c r="B24" s="338" t="s">
        <v>1121</v>
      </c>
      <c r="C24" s="337">
        <f>SUMIF(Пр.10!$C10:$C436,201,Пр.10!G10:G436)</f>
        <v>0</v>
      </c>
      <c r="D24" s="337">
        <f>SUMIF(Пр.10!$C10:$C436,201,Пр.10!H10:H436)</f>
        <v>0</v>
      </c>
      <c r="E24" s="337">
        <f>SUMIF(Пр.10!C32,102,Пр.10!C32)</f>
        <v>0</v>
      </c>
      <c r="F24" s="337">
        <f>SUMIF(Пр.10!$C10:$C436,201,Пр.10!J10:J436)</f>
        <v>0</v>
      </c>
      <c r="G24" s="337">
        <f>SUMIF(Пр.10!$C10:$C436,201,Пр.10!K10:K436)</f>
        <v>0</v>
      </c>
      <c r="H24" s="337">
        <f>SUMIF(Пр.10!$C10:$C436,201,Пр.10!L10:L436)</f>
        <v>0</v>
      </c>
    </row>
    <row r="25" spans="1:8" ht="31.8" hidden="1" thickBot="1">
      <c r="A25" s="335">
        <v>202</v>
      </c>
      <c r="B25" s="338" t="s">
        <v>718</v>
      </c>
      <c r="C25" s="337">
        <f>SUMIF(Пр.10!$C10:$C436,202,Пр.10!G10:G436)</f>
        <v>0</v>
      </c>
      <c r="D25" s="337">
        <f>SUMIF(Пр.10!$C10:$C436,202,Пр.10!H10:H436)</f>
        <v>0</v>
      </c>
      <c r="E25" s="337">
        <f>SUMIF(Пр.10!C33,102,Пр.10!C33)</f>
        <v>0</v>
      </c>
      <c r="F25" s="337">
        <f>SUMIF(Пр.10!$C10:$C436,202,Пр.10!J10:J436)</f>
        <v>0</v>
      </c>
      <c r="G25" s="337">
        <f>SUMIF(Пр.10!$C10:$C436,202,Пр.10!K10:K436)</f>
        <v>0</v>
      </c>
      <c r="H25" s="337">
        <f>SUMIF(Пр.10!$C10:$C436,202,Пр.10!L10:L436)</f>
        <v>0</v>
      </c>
    </row>
    <row r="26" spans="1:8" ht="16.2" hidden="1" thickBot="1">
      <c r="A26" s="335">
        <v>203</v>
      </c>
      <c r="B26" s="338" t="s">
        <v>156</v>
      </c>
      <c r="C26" s="337">
        <f ca="1">SUMIF(Пр.10!$C10:$C440,203,Пр.10!G10:G436)</f>
        <v>0</v>
      </c>
      <c r="D26" s="337">
        <f ca="1">SUMIF(Пр.10!$C10:$C440,203,Пр.10!H10:H436)</f>
        <v>0</v>
      </c>
      <c r="E26" s="337">
        <f>SUMIF(Пр.10!C34,102,Пр.10!C34)</f>
        <v>0</v>
      </c>
      <c r="F26" s="337">
        <f ca="1">SUMIF(Пр.10!$C10:$C440,203,Пр.10!J10:J436)</f>
        <v>0</v>
      </c>
      <c r="G26" s="337">
        <f ca="1">SUMIF(Пр.10!$C10:$C440,203,Пр.10!K10:K436)</f>
        <v>0</v>
      </c>
      <c r="H26" s="337">
        <f ca="1">SUMIF(Пр.10!$C10:$C440,203,Пр.10!L10:L436)</f>
        <v>0</v>
      </c>
    </row>
    <row r="27" spans="1:8" ht="16.2" hidden="1" thickBot="1">
      <c r="A27" s="335">
        <v>204</v>
      </c>
      <c r="B27" s="338" t="s">
        <v>258</v>
      </c>
      <c r="C27" s="337">
        <f ca="1">SUMIF(Пр.10!$C14:$C441,204,Пр.10!G14:G436)</f>
        <v>0</v>
      </c>
      <c r="D27" s="337">
        <f ca="1">SUMIF(Пр.10!$C14:$C441,204,Пр.10!H14:H436)</f>
        <v>0</v>
      </c>
      <c r="E27" s="337">
        <f>SUMIF(Пр.10!C35,102,Пр.10!C35)</f>
        <v>0</v>
      </c>
      <c r="F27" s="337">
        <f ca="1">SUMIF(Пр.10!$C14:$C441,204,Пр.10!J14:J436)</f>
        <v>0</v>
      </c>
      <c r="G27" s="337">
        <f ca="1">SUMIF(Пр.10!$C14:$C441,204,Пр.10!K14:K436)</f>
        <v>0</v>
      </c>
      <c r="H27" s="337">
        <f ca="1">SUMIF(Пр.10!$C14:$C441,204,Пр.10!L14:L436)</f>
        <v>0</v>
      </c>
    </row>
    <row r="28" spans="1:8" ht="47.4" hidden="1" thickBot="1">
      <c r="A28" s="335">
        <v>205</v>
      </c>
      <c r="B28" s="338" t="s">
        <v>801</v>
      </c>
      <c r="C28" s="337">
        <f ca="1">SUMIF(Пр.10!$C15:$C442,205,Пр.10!G15:G436)</f>
        <v>0</v>
      </c>
      <c r="D28" s="337">
        <f ca="1">SUMIF(Пр.10!$C15:$C442,205,Пр.10!H15:H436)</f>
        <v>0</v>
      </c>
      <c r="E28" s="337">
        <f>SUMIF(Пр.10!C36,102,Пр.10!C36)</f>
        <v>0</v>
      </c>
      <c r="F28" s="337">
        <f ca="1">SUMIF(Пр.10!$C15:$C442,205,Пр.10!J15:J436)</f>
        <v>0</v>
      </c>
      <c r="G28" s="337">
        <f ca="1">SUMIF(Пр.10!$C15:$C442,205,Пр.10!K15:K436)</f>
        <v>0</v>
      </c>
      <c r="H28" s="337">
        <f ca="1">SUMIF(Пр.10!$C15:$C442,205,Пр.10!L15:L436)</f>
        <v>0</v>
      </c>
    </row>
    <row r="29" spans="1:8" ht="16.2" hidden="1" thickBot="1">
      <c r="A29" s="335">
        <v>206</v>
      </c>
      <c r="B29" s="338" t="s">
        <v>1426</v>
      </c>
      <c r="C29" s="337">
        <f ca="1">SUMIF(Пр.10!$C15:$C443,206,Пр.10!G15:G436)</f>
        <v>0</v>
      </c>
      <c r="D29" s="337">
        <f ca="1">SUMIF(Пр.10!$C15:$C443,206,Пр.10!H15:H436)</f>
        <v>0</v>
      </c>
      <c r="E29" s="337">
        <f>SUMIF(Пр.10!C37,102,Пр.10!C37)</f>
        <v>0</v>
      </c>
      <c r="F29" s="337">
        <f ca="1">SUMIF(Пр.10!$C15:$C443,206,Пр.10!J15:J436)</f>
        <v>0</v>
      </c>
      <c r="G29" s="337">
        <f ca="1">SUMIF(Пр.10!$C15:$C443,206,Пр.10!K15:K436)</f>
        <v>0</v>
      </c>
      <c r="H29" s="337">
        <f ca="1">SUMIF(Пр.10!$C15:$C443,206,Пр.10!L15:L436)</f>
        <v>0</v>
      </c>
    </row>
    <row r="30" spans="1:8" ht="31.8" hidden="1" thickBot="1">
      <c r="A30" s="335">
        <v>207</v>
      </c>
      <c r="B30" s="338" t="s">
        <v>929</v>
      </c>
      <c r="C30" s="337">
        <f ca="1">SUMIF(Пр.10!$C16:$C444,207,Пр.10!G16:G436)</f>
        <v>0</v>
      </c>
      <c r="D30" s="337">
        <f ca="1">SUMIF(Пр.10!$C16:$C444,207,Пр.10!H16:H436)</f>
        <v>0</v>
      </c>
      <c r="E30" s="337">
        <f>SUMIF(Пр.10!C38,102,Пр.10!C38)</f>
        <v>0</v>
      </c>
      <c r="F30" s="337">
        <f ca="1">SUMIF(Пр.10!$C16:$C444,207,Пр.10!J16:J436)</f>
        <v>0</v>
      </c>
      <c r="G30" s="337">
        <f ca="1">SUMIF(Пр.10!$C16:$C444,207,Пр.10!K16:K436)</f>
        <v>0</v>
      </c>
      <c r="H30" s="337">
        <f ca="1">SUMIF(Пр.10!$C16:$C444,207,Пр.10!L16:L436)</f>
        <v>0</v>
      </c>
    </row>
    <row r="31" spans="1:8" ht="31.8" hidden="1" thickBot="1">
      <c r="A31" s="335">
        <v>208</v>
      </c>
      <c r="B31" s="338" t="s">
        <v>348</v>
      </c>
      <c r="C31" s="337">
        <f ca="1">SUMIF(Пр.10!$C17:$C445,208,Пр.10!G17:G436)</f>
        <v>0</v>
      </c>
      <c r="D31" s="337">
        <f ca="1">SUMIF(Пр.10!$C17:$C445,208,Пр.10!H17:H436)</f>
        <v>0</v>
      </c>
      <c r="E31" s="337">
        <f>SUMIF(Пр.10!C39,102,Пр.10!C39)</f>
        <v>0</v>
      </c>
      <c r="F31" s="337">
        <f ca="1">SUMIF(Пр.10!$C17:$C445,208,Пр.10!J17:J436)</f>
        <v>0</v>
      </c>
      <c r="G31" s="337">
        <f ca="1">SUMIF(Пр.10!$C17:$C445,208,Пр.10!K17:K436)</f>
        <v>0</v>
      </c>
      <c r="H31" s="337">
        <f ca="1">SUMIF(Пр.10!$C17:$C445,208,Пр.10!L17:L436)</f>
        <v>0</v>
      </c>
    </row>
    <row r="32" spans="1:8" ht="16.2" hidden="1" thickBot="1">
      <c r="A32" s="335">
        <v>209</v>
      </c>
      <c r="B32" s="338" t="s">
        <v>349</v>
      </c>
      <c r="C32" s="337">
        <f ca="1">SUMIF(Пр.10!$C18:$C446,209,Пр.10!G18:G436)</f>
        <v>0</v>
      </c>
      <c r="D32" s="337">
        <f ca="1">SUMIF(Пр.10!$C18:$C446,209,Пр.10!H18:H436)</f>
        <v>0</v>
      </c>
      <c r="E32" s="337">
        <f>SUMIF(Пр.10!C40,102,Пр.10!C40)</f>
        <v>0</v>
      </c>
      <c r="F32" s="337">
        <f ca="1">SUMIF(Пр.10!$C18:$C446,209,Пр.10!J18:J436)</f>
        <v>0</v>
      </c>
      <c r="G32" s="337">
        <f ca="1">SUMIF(Пр.10!$C18:$C446,209,Пр.10!K18:K436)</f>
        <v>0</v>
      </c>
      <c r="H32" s="337">
        <f ca="1">SUMIF(Пр.10!$C18:$C446,209,Пр.10!L18:L436)</f>
        <v>0</v>
      </c>
    </row>
    <row r="33" spans="1:8" ht="36" customHeight="1" thickBot="1">
      <c r="A33" s="332">
        <v>300</v>
      </c>
      <c r="B33" s="339" t="s">
        <v>1</v>
      </c>
      <c r="C33" s="340">
        <f t="shared" ref="C33" ca="1" si="3">SUM(C34:C45)</f>
        <v>350000</v>
      </c>
      <c r="D33" s="340">
        <f t="shared" ref="D33:H33" ca="1" si="4">SUM(D34:D45)</f>
        <v>0</v>
      </c>
      <c r="E33" s="340">
        <f t="shared" ca="1" si="4"/>
        <v>350000</v>
      </c>
      <c r="F33" s="340">
        <f t="shared" ca="1" si="4"/>
        <v>0</v>
      </c>
      <c r="G33" s="340">
        <f t="shared" ca="1" si="4"/>
        <v>0</v>
      </c>
      <c r="H33" s="340">
        <f t="shared" ca="1" si="4"/>
        <v>0</v>
      </c>
    </row>
    <row r="34" spans="1:8" ht="16.2" hidden="1" thickBot="1">
      <c r="A34" s="335">
        <v>303</v>
      </c>
      <c r="B34" s="338" t="s">
        <v>351</v>
      </c>
      <c r="C34" s="337">
        <f>SUMIF(Пр.10!$C10:$C436,303,Пр.10!G10:G436)</f>
        <v>0</v>
      </c>
      <c r="D34" s="337">
        <f>SUMIF(Пр.10!$C10:$C436,303,Пр.10!H10:H436)</f>
        <v>0</v>
      </c>
      <c r="E34" s="337">
        <f>SUMIF(Пр.10!C48,102,Пр.10!C48)</f>
        <v>0</v>
      </c>
      <c r="F34" s="337">
        <f>SUMIF(Пр.10!$C10:$C436,303,Пр.10!J10:J436)</f>
        <v>0</v>
      </c>
      <c r="G34" s="337">
        <f>SUMIF(Пр.10!$C10:$C436,303,Пр.10!K10:K436)</f>
        <v>0</v>
      </c>
      <c r="H34" s="337">
        <f>SUMIF(Пр.10!$C10:$C436,303,Пр.10!L10:L436)</f>
        <v>0</v>
      </c>
    </row>
    <row r="35" spans="1:8" ht="16.2" hidden="1" thickBot="1">
      <c r="A35" s="335">
        <v>304</v>
      </c>
      <c r="B35" s="338" t="s">
        <v>160</v>
      </c>
      <c r="C35" s="337">
        <f>SUMIF(Пр.10!$C11:$C436,304,Пр.10!G11:G436)</f>
        <v>0</v>
      </c>
      <c r="D35" s="337">
        <f>SUMIF(Пр.10!$C11:$C436,304,Пр.10!H11:H436)</f>
        <v>0</v>
      </c>
      <c r="E35" s="337">
        <f>SUMIF(Пр.10!C49,102,Пр.10!C49)</f>
        <v>0</v>
      </c>
      <c r="F35" s="337">
        <f>SUMIF(Пр.10!$C11:$C436,304,Пр.10!J11:J436)</f>
        <v>0</v>
      </c>
      <c r="G35" s="337">
        <f>SUMIF(Пр.10!$C11:$C436,304,Пр.10!K11:K436)</f>
        <v>0</v>
      </c>
      <c r="H35" s="337">
        <f>SUMIF(Пр.10!$C11:$C436,304,Пр.10!L11:L436)</f>
        <v>0</v>
      </c>
    </row>
    <row r="36" spans="1:8" ht="16.2" hidden="1" thickBot="1">
      <c r="A36" s="335">
        <v>305</v>
      </c>
      <c r="B36" s="338" t="s">
        <v>1554</v>
      </c>
      <c r="C36" s="337">
        <f ca="1">SUMIF(Пр.10!$C12:$C440,305,Пр.10!G12:G436)</f>
        <v>0</v>
      </c>
      <c r="D36" s="337">
        <f ca="1">SUMIF(Пр.10!$C12:$C440,305,Пр.10!H12:H436)</f>
        <v>0</v>
      </c>
      <c r="E36" s="337">
        <f>SUMIF(Пр.10!C50,102,Пр.10!C50)</f>
        <v>0</v>
      </c>
      <c r="F36" s="337">
        <f ca="1">SUMIF(Пр.10!$C12:$C440,305,Пр.10!J12:J436)</f>
        <v>0</v>
      </c>
      <c r="G36" s="337">
        <f ca="1">SUMIF(Пр.10!$C12:$C440,305,Пр.10!K12:K436)</f>
        <v>0</v>
      </c>
      <c r="H36" s="337">
        <f ca="1">SUMIF(Пр.10!$C12:$C440,305,Пр.10!L12:L436)</f>
        <v>0</v>
      </c>
    </row>
    <row r="37" spans="1:8" ht="16.2" hidden="1" thickBot="1">
      <c r="A37" s="335">
        <v>306</v>
      </c>
      <c r="B37" s="338" t="s">
        <v>1632</v>
      </c>
      <c r="C37" s="337">
        <f ca="1">SUMIF(Пр.10!$C14:$C441,306,Пр.10!G14:G436)</f>
        <v>0</v>
      </c>
      <c r="D37" s="337">
        <f ca="1">SUMIF(Пр.10!$C14:$C441,306,Пр.10!H14:H436)</f>
        <v>0</v>
      </c>
      <c r="E37" s="337">
        <f>SUMIF(Пр.10!C51,102,Пр.10!C51)</f>
        <v>0</v>
      </c>
      <c r="F37" s="337">
        <f ca="1">SUMIF(Пр.10!$C14:$C441,306,Пр.10!J14:J436)</f>
        <v>0</v>
      </c>
      <c r="G37" s="337">
        <f ca="1">SUMIF(Пр.10!$C14:$C441,306,Пр.10!K14:K436)</f>
        <v>0</v>
      </c>
      <c r="H37" s="337">
        <f ca="1">SUMIF(Пр.10!$C14:$C441,306,Пр.10!L14:L436)</f>
        <v>0</v>
      </c>
    </row>
    <row r="38" spans="1:8" ht="16.2" hidden="1" thickBot="1">
      <c r="A38" s="335">
        <v>307</v>
      </c>
      <c r="B38" s="338" t="s">
        <v>1633</v>
      </c>
      <c r="C38" s="337">
        <f ca="1">SUMIF(Пр.10!$C15:$C442,307,Пр.10!G15:G436)</f>
        <v>0</v>
      </c>
      <c r="D38" s="337">
        <f ca="1">SUMIF(Пр.10!$C15:$C442,307,Пр.10!H15:H436)</f>
        <v>0</v>
      </c>
      <c r="E38" s="337">
        <f>SUMIF(Пр.10!C52,102,Пр.10!C52)</f>
        <v>0</v>
      </c>
      <c r="F38" s="337">
        <f ca="1">SUMIF(Пр.10!$C15:$C442,307,Пр.10!J15:J436)</f>
        <v>0</v>
      </c>
      <c r="G38" s="337">
        <f ca="1">SUMIF(Пр.10!$C15:$C442,307,Пр.10!K15:K436)</f>
        <v>0</v>
      </c>
      <c r="H38" s="337">
        <f ca="1">SUMIF(Пр.10!$C15:$C442,307,Пр.10!L15:L436)</f>
        <v>0</v>
      </c>
    </row>
    <row r="39" spans="1:8" ht="31.8" hidden="1" thickBot="1">
      <c r="A39" s="335">
        <v>308</v>
      </c>
      <c r="B39" s="338" t="s">
        <v>1528</v>
      </c>
      <c r="C39" s="337">
        <f ca="1">SUMIF(Пр.10!$C15:$C443,308,Пр.10!G15:G436)</f>
        <v>0</v>
      </c>
      <c r="D39" s="337">
        <f ca="1">SUMIF(Пр.10!$C15:$C443,308,Пр.10!H15:H436)</f>
        <v>0</v>
      </c>
      <c r="E39" s="337">
        <f>SUMIF(Пр.10!C70,102,Пр.10!C70)</f>
        <v>0</v>
      </c>
      <c r="F39" s="337">
        <f ca="1">SUMIF(Пр.10!$C15:$C443,308,Пр.10!J15:J436)</f>
        <v>0</v>
      </c>
      <c r="G39" s="337">
        <f ca="1">SUMIF(Пр.10!$C15:$C443,308,Пр.10!K15:K436)</f>
        <v>0</v>
      </c>
      <c r="H39" s="337">
        <f ca="1">SUMIF(Пр.10!$C15:$C443,308,Пр.10!L15:L436)</f>
        <v>0</v>
      </c>
    </row>
    <row r="40" spans="1:8" ht="47.4" thickBot="1">
      <c r="A40" s="335">
        <v>309</v>
      </c>
      <c r="B40" s="338" t="s">
        <v>396</v>
      </c>
      <c r="C40" s="337">
        <f ca="1">SUMIF(Пр.10!$C16:$C444,309,Пр.10!G16:G436)</f>
        <v>200000</v>
      </c>
      <c r="D40" s="337">
        <f ca="1">SUMIF(Пр.10!$C16:$C444,309,Пр.10!H16:H436)</f>
        <v>0</v>
      </c>
      <c r="E40" s="337">
        <f ca="1">SUMIF(Пр.10!$C4:$C431,309,Пр.10!I4:I425)</f>
        <v>200000</v>
      </c>
      <c r="F40" s="337">
        <f ca="1">SUMIF(Пр.10!$C16:$C444,309,Пр.10!J16:J436)</f>
        <v>0</v>
      </c>
      <c r="G40" s="337">
        <f ca="1">SUMIF(Пр.10!$C16:$C444,309,Пр.10!K16:K436)</f>
        <v>0</v>
      </c>
      <c r="H40" s="337">
        <f ca="1">SUMIF(Пр.10!$C16:$C444,309,Пр.10!L16:L436)</f>
        <v>0</v>
      </c>
    </row>
    <row r="41" spans="1:8" ht="16.2" hidden="1" thickBot="1">
      <c r="A41" s="335">
        <v>310</v>
      </c>
      <c r="B41" s="338" t="s">
        <v>397</v>
      </c>
      <c r="C41" s="337">
        <f ca="1">SUMIF(Пр.10!$C17:$C445,310,Пр.10!G17:G436)</f>
        <v>0</v>
      </c>
      <c r="D41" s="337">
        <f ca="1">SUMIF(Пр.10!$C17:$C445,310,Пр.10!H17:H436)</f>
        <v>0</v>
      </c>
      <c r="E41" s="337">
        <f>SUMIF(Пр.10!C72,102,Пр.10!C72)</f>
        <v>0</v>
      </c>
      <c r="F41" s="337">
        <f ca="1">SUMIF(Пр.10!$C17:$C445,310,Пр.10!J17:J436)</f>
        <v>0</v>
      </c>
      <c r="G41" s="337">
        <f ca="1">SUMIF(Пр.10!$C17:$C445,310,Пр.10!K17:K436)</f>
        <v>0</v>
      </c>
      <c r="H41" s="337">
        <f ca="1">SUMIF(Пр.10!$C17:$C445,310,Пр.10!L17:L436)</f>
        <v>0</v>
      </c>
    </row>
    <row r="42" spans="1:8" ht="16.2" hidden="1" thickBot="1">
      <c r="A42" s="335">
        <v>311</v>
      </c>
      <c r="B42" s="338" t="s">
        <v>796</v>
      </c>
      <c r="C42" s="337">
        <f ca="1">SUMIF(Пр.10!$C18:$C446,311,Пр.10!G18:G436)</f>
        <v>0</v>
      </c>
      <c r="D42" s="337">
        <f ca="1">SUMIF(Пр.10!$C18:$C446,311,Пр.10!H18:H436)</f>
        <v>0</v>
      </c>
      <c r="E42" s="337">
        <f>SUMIF(Пр.10!C73,102,Пр.10!C73)</f>
        <v>0</v>
      </c>
      <c r="F42" s="337">
        <f ca="1">SUMIF(Пр.10!$C18:$C446,311,Пр.10!J18:J436)</f>
        <v>0</v>
      </c>
      <c r="G42" s="337">
        <f ca="1">SUMIF(Пр.10!$C18:$C446,311,Пр.10!K18:K436)</f>
        <v>0</v>
      </c>
      <c r="H42" s="337">
        <f ca="1">SUMIF(Пр.10!$C18:$C446,311,Пр.10!L18:L436)</f>
        <v>0</v>
      </c>
    </row>
    <row r="43" spans="1:8" ht="47.4" hidden="1" thickBot="1">
      <c r="A43" s="335">
        <v>312</v>
      </c>
      <c r="B43" s="338" t="s">
        <v>398</v>
      </c>
      <c r="C43" s="337">
        <f ca="1">SUMIF(Пр.10!$C22:$C447,312,Пр.10!G22:G436)</f>
        <v>0</v>
      </c>
      <c r="D43" s="337">
        <f ca="1">SUMIF(Пр.10!$C22:$C447,312,Пр.10!H22:H436)</f>
        <v>0</v>
      </c>
      <c r="E43" s="337">
        <f>SUMIF(Пр.10!C74,102,Пр.10!C74)</f>
        <v>0</v>
      </c>
      <c r="F43" s="337">
        <f ca="1">SUMIF(Пр.10!$C22:$C447,312,Пр.10!J22:J436)</f>
        <v>0</v>
      </c>
      <c r="G43" s="337">
        <f ca="1">SUMIF(Пр.10!$C22:$C447,312,Пр.10!K22:K436)</f>
        <v>0</v>
      </c>
      <c r="H43" s="337">
        <f ca="1">SUMIF(Пр.10!$C22:$C447,312,Пр.10!L22:L436)</f>
        <v>0</v>
      </c>
    </row>
    <row r="44" spans="1:8" ht="47.4" hidden="1" thickBot="1">
      <c r="A44" s="335">
        <v>313</v>
      </c>
      <c r="B44" s="338" t="s">
        <v>797</v>
      </c>
      <c r="C44" s="337">
        <f ca="1">SUMIF(Пр.10!$C22:$C448,313,Пр.10!G22:G436)</f>
        <v>0</v>
      </c>
      <c r="D44" s="337">
        <f ca="1">SUMIF(Пр.10!$C22:$C448,313,Пр.10!H22:H436)</f>
        <v>0</v>
      </c>
      <c r="E44" s="337">
        <f>SUMIF(Пр.10!C75,102,Пр.10!C75)</f>
        <v>0</v>
      </c>
      <c r="F44" s="337">
        <f ca="1">SUMIF(Пр.10!$C22:$C448,313,Пр.10!J22:J436)</f>
        <v>0</v>
      </c>
      <c r="G44" s="337">
        <f ca="1">SUMIF(Пр.10!$C22:$C448,313,Пр.10!K22:K436)</f>
        <v>0</v>
      </c>
      <c r="H44" s="337">
        <f ca="1">SUMIF(Пр.10!$C22:$C448,313,Пр.10!L22:L436)</f>
        <v>0</v>
      </c>
    </row>
    <row r="45" spans="1:8" ht="31.8" thickBot="1">
      <c r="A45" s="335">
        <v>314</v>
      </c>
      <c r="B45" s="338" t="s">
        <v>878</v>
      </c>
      <c r="C45" s="337">
        <f ca="1">SUMIF(Пр.10!$C22:$C449,314,Пр.10!G22:G436)</f>
        <v>150000</v>
      </c>
      <c r="D45" s="337">
        <f ca="1">SUMIF(Пр.10!$C22:$C449,314,Пр.10!H22:H436)</f>
        <v>0</v>
      </c>
      <c r="E45" s="337">
        <f ca="1">SUMIF(Пр.10!$C9:$C436,314,Пр.10!I9:I430)</f>
        <v>150000</v>
      </c>
      <c r="F45" s="337">
        <f ca="1">SUMIF(Пр.10!$C22:$C449,314,Пр.10!J22:J436)</f>
        <v>0</v>
      </c>
      <c r="G45" s="337">
        <f ca="1">SUMIF(Пр.10!$C22:$C449,314,Пр.10!K22:K436)</f>
        <v>0</v>
      </c>
      <c r="H45" s="337">
        <f ca="1">SUMIF(Пр.10!$C22:$C449,314,Пр.10!L22:L436)</f>
        <v>0</v>
      </c>
    </row>
    <row r="46" spans="1:8" ht="16.2" thickBot="1">
      <c r="A46" s="332">
        <v>400</v>
      </c>
      <c r="B46" s="339" t="s">
        <v>399</v>
      </c>
      <c r="C46" s="340">
        <f t="shared" ref="C46" ca="1" si="5">SUM(C47:C58)</f>
        <v>86379270</v>
      </c>
      <c r="D46" s="340">
        <f t="shared" ref="D46:H46" ca="1" si="6">SUM(D47:D58)</f>
        <v>5631697</v>
      </c>
      <c r="E46" s="340">
        <f t="shared" ca="1" si="6"/>
        <v>92010967</v>
      </c>
      <c r="F46" s="340">
        <f t="shared" ca="1" si="6"/>
        <v>42631270</v>
      </c>
      <c r="G46" s="340">
        <f t="shared" ca="1" si="6"/>
        <v>0</v>
      </c>
      <c r="H46" s="340">
        <f t="shared" ca="1" si="6"/>
        <v>42631270</v>
      </c>
    </row>
    <row r="47" spans="1:8" ht="15.75" hidden="1" customHeight="1" thickBot="1">
      <c r="A47" s="335">
        <v>401</v>
      </c>
      <c r="B47" s="341" t="s">
        <v>1682</v>
      </c>
      <c r="C47" s="337">
        <f>SUMIF(Пр.10!$C10:$C436,401,Пр.10!G10:G436)</f>
        <v>0</v>
      </c>
      <c r="D47" s="337">
        <f>SUMIF(Пр.10!$C10:$C436,401,Пр.10!H10:H436)</f>
        <v>0</v>
      </c>
      <c r="E47" s="337">
        <f>SUMIF(Пр.10!$C10:$C436,401,Пр.10!I10:I436)</f>
        <v>0</v>
      </c>
      <c r="F47" s="337">
        <f>SUMIF(Пр.10!$C10:$C436,401,Пр.10!J10:J436)</f>
        <v>0</v>
      </c>
      <c r="G47" s="337">
        <f>SUMIF(Пр.10!$C10:$C436,401,Пр.10!K10:K436)</f>
        <v>0</v>
      </c>
      <c r="H47" s="337">
        <f>SUMIF(Пр.10!$C10:$C436,401,Пр.10!L10:L436)</f>
        <v>0</v>
      </c>
    </row>
    <row r="48" spans="1:8" ht="16.2" thickBot="1">
      <c r="A48" s="335">
        <v>402</v>
      </c>
      <c r="B48" s="336" t="s">
        <v>247</v>
      </c>
      <c r="C48" s="337">
        <f>SUMIF(Пр.10!$C11:$C436,402,Пр.10!G11:G436)</f>
        <v>900000</v>
      </c>
      <c r="D48" s="337">
        <f>SUMIF(Пр.10!$C11:$C436,402,Пр.10!H11:H436)</f>
        <v>0</v>
      </c>
      <c r="E48" s="337">
        <f>SUMIF(Пр.10!$C11:$C436,402,Пр.10!I11:I436)</f>
        <v>900000</v>
      </c>
      <c r="F48" s="337">
        <f>SUMIF(Пр.10!$C11:$C436,402,Пр.10!J11:J436)</f>
        <v>0</v>
      </c>
      <c r="G48" s="337">
        <f>SUMIF(Пр.10!$C11:$C436,402,Пр.10!K11:K436)</f>
        <v>0</v>
      </c>
      <c r="H48" s="337">
        <f>SUMIF(Пр.10!$C11:$C436,402,Пр.10!L11:L436)</f>
        <v>0</v>
      </c>
    </row>
    <row r="49" spans="1:8" ht="31.8" hidden="1" thickBot="1">
      <c r="A49" s="335">
        <v>403</v>
      </c>
      <c r="B49" s="338" t="s">
        <v>1418</v>
      </c>
      <c r="C49" s="337">
        <f ca="1">SUMIF(Пр.10!$C12:$C440,403,Пр.10!G12:G436)</f>
        <v>0</v>
      </c>
      <c r="D49" s="337">
        <f ca="1">SUMIF(Пр.10!$C12:$C440,403,Пр.10!H12:H436)</f>
        <v>0</v>
      </c>
      <c r="E49" s="337">
        <f ca="1">SUMIF(Пр.10!$C12:$C440,403,Пр.10!I12:I436)</f>
        <v>0</v>
      </c>
      <c r="F49" s="337">
        <f ca="1">SUMIF(Пр.10!$C12:$C440,403,Пр.10!J12:J436)</f>
        <v>0</v>
      </c>
      <c r="G49" s="337">
        <f ca="1">SUMIF(Пр.10!$C12:$C440,403,Пр.10!K12:K436)</f>
        <v>0</v>
      </c>
      <c r="H49" s="337">
        <f ca="1">SUMIF(Пр.10!$C12:$C440,403,Пр.10!L12:L436)</f>
        <v>0</v>
      </c>
    </row>
    <row r="50" spans="1:8" ht="16.2" hidden="1" thickBot="1">
      <c r="A50" s="335">
        <v>404</v>
      </c>
      <c r="B50" s="338" t="s">
        <v>1419</v>
      </c>
      <c r="C50" s="337">
        <f ca="1">SUMIF(Пр.10!$C14:$C441,404,Пр.10!G14:G436)</f>
        <v>0</v>
      </c>
      <c r="D50" s="337">
        <f ca="1">SUMIF(Пр.10!$C14:$C441,404,Пр.10!H14:H436)</f>
        <v>0</v>
      </c>
      <c r="E50" s="337">
        <f ca="1">SUMIF(Пр.10!$C14:$C441,404,Пр.10!I14:I436)</f>
        <v>0</v>
      </c>
      <c r="F50" s="337">
        <f ca="1">SUMIF(Пр.10!$C14:$C441,404,Пр.10!J14:J436)</f>
        <v>0</v>
      </c>
      <c r="G50" s="337">
        <f ca="1">SUMIF(Пр.10!$C14:$C441,404,Пр.10!K14:K436)</f>
        <v>0</v>
      </c>
      <c r="H50" s="337">
        <f ca="1">SUMIF(Пр.10!$C14:$C441,404,Пр.10!L14:L436)</f>
        <v>0</v>
      </c>
    </row>
    <row r="51" spans="1:8" ht="16.2" thickBot="1">
      <c r="A51" s="335">
        <v>405</v>
      </c>
      <c r="B51" s="338" t="s">
        <v>1900</v>
      </c>
      <c r="C51" s="337">
        <f ca="1">SUMIF(Пр.10!$C15:$C442,405,Пр.10!G15:G436)</f>
        <v>635270</v>
      </c>
      <c r="D51" s="337">
        <f ca="1">SUMIF(Пр.10!$C15:$C442,405,Пр.10!H15:H436)</f>
        <v>0</v>
      </c>
      <c r="E51" s="337">
        <f ca="1">SUMIF(Пр.10!$C15:$C442,405,Пр.10!I15:I436)</f>
        <v>635270</v>
      </c>
      <c r="F51" s="337">
        <f ca="1">SUMIF(Пр.10!$C15:$C442,405,Пр.10!J15:J436)</f>
        <v>635270</v>
      </c>
      <c r="G51" s="337">
        <f ca="1">SUMIF(Пр.10!$C15:$C442,405,Пр.10!K15:K436)</f>
        <v>0</v>
      </c>
      <c r="H51" s="337">
        <f ca="1">SUMIF(Пр.10!$C15:$C442,405,Пр.10!L15:L436)</f>
        <v>635270</v>
      </c>
    </row>
    <row r="52" spans="1:8" ht="16.2" hidden="1" thickBot="1">
      <c r="A52" s="335">
        <v>406</v>
      </c>
      <c r="B52" s="338" t="s">
        <v>1420</v>
      </c>
      <c r="C52" s="337">
        <f ca="1">SUMIF(Пр.10!$C15:$C443,406,Пр.10!G15:G436)</f>
        <v>0</v>
      </c>
      <c r="D52" s="337">
        <f ca="1">SUMIF(Пр.10!$C15:$C443,406,Пр.10!H15:H436)</f>
        <v>0</v>
      </c>
      <c r="E52" s="337">
        <f ca="1">SUMIF(Пр.10!$C15:$C443,406,Пр.10!I15:I436)</f>
        <v>0</v>
      </c>
      <c r="F52" s="337">
        <f ca="1">SUMIF(Пр.10!$C15:$C443,406,Пр.10!J15:J436)</f>
        <v>0</v>
      </c>
      <c r="G52" s="337">
        <f ca="1">SUMIF(Пр.10!$C15:$C443,406,Пр.10!K15:K436)</f>
        <v>0</v>
      </c>
      <c r="H52" s="337">
        <f ca="1">SUMIF(Пр.10!$C15:$C443,406,Пр.10!L15:L436)</f>
        <v>0</v>
      </c>
    </row>
    <row r="53" spans="1:8" ht="16.2" hidden="1" thickBot="1">
      <c r="A53" s="335">
        <v>407</v>
      </c>
      <c r="B53" s="338" t="s">
        <v>1421</v>
      </c>
      <c r="C53" s="337">
        <f ca="1">SUMIF(Пр.10!$C16:$C444,407,Пр.10!G16:G436)</f>
        <v>0</v>
      </c>
      <c r="D53" s="337">
        <f ca="1">SUMIF(Пр.10!$C16:$C444,407,Пр.10!H16:H436)</f>
        <v>0</v>
      </c>
      <c r="E53" s="337">
        <f ca="1">SUMIF(Пр.10!$C16:$C444,407,Пр.10!I16:I436)</f>
        <v>0</v>
      </c>
      <c r="F53" s="337">
        <f ca="1">SUMIF(Пр.10!$C16:$C444,407,Пр.10!J16:J436)</f>
        <v>0</v>
      </c>
      <c r="G53" s="337">
        <f ca="1">SUMIF(Пр.10!$C16:$C444,407,Пр.10!K16:K436)</f>
        <v>0</v>
      </c>
      <c r="H53" s="337">
        <f ca="1">SUMIF(Пр.10!$C16:$C444,407,Пр.10!L16:L436)</f>
        <v>0</v>
      </c>
    </row>
    <row r="54" spans="1:8" ht="16.2" thickBot="1">
      <c r="A54" s="335">
        <v>408</v>
      </c>
      <c r="B54" s="338" t="s">
        <v>1901</v>
      </c>
      <c r="C54" s="337">
        <f ca="1">SUMIF(Пр.10!$C17:$C445,408,Пр.10!G17:G436)</f>
        <v>8256000</v>
      </c>
      <c r="D54" s="337">
        <f ca="1">SUMIF(Пр.10!$C17:$C445,408,Пр.10!H17:H436)</f>
        <v>0</v>
      </c>
      <c r="E54" s="337">
        <f ca="1">SUMIF(Пр.10!$C17:$C445,408,Пр.10!I17:I436)</f>
        <v>8256000</v>
      </c>
      <c r="F54" s="337">
        <f ca="1">SUMIF(Пр.10!$C17:$C445,408,Пр.10!J17:J436)</f>
        <v>0</v>
      </c>
      <c r="G54" s="337">
        <f ca="1">SUMIF(Пр.10!$C17:$C445,408,Пр.10!K17:K436)</f>
        <v>0</v>
      </c>
      <c r="H54" s="337">
        <f ca="1">SUMIF(Пр.10!$C17:$C445,408,Пр.10!L17:L436)</f>
        <v>0</v>
      </c>
    </row>
    <row r="55" spans="1:8" ht="16.2" thickBot="1">
      <c r="A55" s="335">
        <v>409</v>
      </c>
      <c r="B55" s="338" t="s">
        <v>387</v>
      </c>
      <c r="C55" s="337">
        <f ca="1">SUMIF(Пр.10!$C18:$C446,409,Пр.10!G18:G436)</f>
        <v>76238000</v>
      </c>
      <c r="D55" s="337">
        <f ca="1">SUMIF(Пр.10!$C18:$C446,409,Пр.10!H18:H436)</f>
        <v>5631697</v>
      </c>
      <c r="E55" s="337">
        <f ca="1">SUMIF(Пр.10!$C18:$C446,409,Пр.10!I18:I436)</f>
        <v>81869697</v>
      </c>
      <c r="F55" s="337">
        <f ca="1">SUMIF(Пр.10!$C18:$C446,409,Пр.10!J18:J436)</f>
        <v>41996000</v>
      </c>
      <c r="G55" s="337">
        <f ca="1">SUMIF(Пр.10!$C18:$C446,409,Пр.10!K18:K436)</f>
        <v>0</v>
      </c>
      <c r="H55" s="337">
        <f ca="1">SUMIF(Пр.10!$C18:$C446,409,Пр.10!L18:L436)</f>
        <v>41996000</v>
      </c>
    </row>
    <row r="56" spans="1:8" ht="16.2" hidden="1" thickBot="1">
      <c r="A56" s="335">
        <v>410</v>
      </c>
      <c r="B56" s="338" t="s">
        <v>464</v>
      </c>
      <c r="C56" s="337">
        <f ca="1">SUMIF(Пр.10!$C22:$C447,410,Пр.10!G22:G436)</f>
        <v>0</v>
      </c>
      <c r="D56" s="337">
        <f ca="1">SUMIF(Пр.10!$C22:$C447,410,Пр.10!H22:H436)</f>
        <v>0</v>
      </c>
      <c r="E56" s="337">
        <f ca="1">SUMIF(Пр.10!$C22:$C447,410,Пр.10!I22:I436)</f>
        <v>0</v>
      </c>
      <c r="F56" s="337">
        <f ca="1">SUMIF(Пр.10!$C22:$C447,410,Пр.10!J22:J436)</f>
        <v>0</v>
      </c>
      <c r="G56" s="337">
        <f ca="1">SUMIF(Пр.10!$C22:$C447,410,Пр.10!K22:K436)</f>
        <v>0</v>
      </c>
      <c r="H56" s="337">
        <f ca="1">SUMIF(Пр.10!$C22:$C447,410,Пр.10!L22:L436)</f>
        <v>0</v>
      </c>
    </row>
    <row r="57" spans="1:8" ht="31.8" hidden="1" thickBot="1">
      <c r="A57" s="335">
        <v>411</v>
      </c>
      <c r="B57" s="338" t="s">
        <v>1422</v>
      </c>
      <c r="C57" s="337">
        <f ca="1">SUMIF(Пр.10!$C22:$C448,411,Пр.10!G22:G436)</f>
        <v>0</v>
      </c>
      <c r="D57" s="337">
        <f ca="1">SUMIF(Пр.10!$C22:$C448,411,Пр.10!H22:H436)</f>
        <v>0</v>
      </c>
      <c r="E57" s="337">
        <f ca="1">SUMIF(Пр.10!$C22:$C448,411,Пр.10!I22:I436)</f>
        <v>0</v>
      </c>
      <c r="F57" s="337">
        <f ca="1">SUMIF(Пр.10!$C22:$C448,411,Пр.10!J22:J436)</f>
        <v>0</v>
      </c>
      <c r="G57" s="337">
        <f ca="1">SUMIF(Пр.10!$C22:$C448,411,Пр.10!K22:K436)</f>
        <v>0</v>
      </c>
      <c r="H57" s="337">
        <f ca="1">SUMIF(Пр.10!$C22:$C448,411,Пр.10!L22:L436)</f>
        <v>0</v>
      </c>
    </row>
    <row r="58" spans="1:8" ht="31.8" thickBot="1">
      <c r="A58" s="335">
        <v>412</v>
      </c>
      <c r="B58" s="338" t="s">
        <v>880</v>
      </c>
      <c r="C58" s="337">
        <f ca="1">SUMIF(Пр.10!$C10:$C449,412,Пр.10!G10:G436)</f>
        <v>350000</v>
      </c>
      <c r="D58" s="337">
        <f ca="1">SUMIF(Пр.10!$C10:$C449,412,Пр.10!H10:H436)</f>
        <v>0</v>
      </c>
      <c r="E58" s="337">
        <f ca="1">SUMIF(Пр.10!$C10:$C449,412,Пр.10!I10:I436)</f>
        <v>350000</v>
      </c>
      <c r="F58" s="337">
        <f ca="1">SUMIF(Пр.10!$C10:$C449,412,Пр.10!J10:J436)</f>
        <v>0</v>
      </c>
      <c r="G58" s="337">
        <f ca="1">SUMIF(Пр.10!$C10:$C449,412,Пр.10!K10:K436)</f>
        <v>0</v>
      </c>
      <c r="H58" s="337">
        <f ca="1">SUMIF(Пр.10!$C10:$C449,412,Пр.10!L10:L436)</f>
        <v>0</v>
      </c>
    </row>
    <row r="59" spans="1:8" ht="16.2" thickBot="1">
      <c r="A59" s="332">
        <v>500</v>
      </c>
      <c r="B59" s="339" t="s">
        <v>845</v>
      </c>
      <c r="C59" s="340">
        <f t="shared" ref="C59" ca="1" si="7">SUM(C60:C64)</f>
        <v>61383629</v>
      </c>
      <c r="D59" s="340">
        <f t="shared" ref="D59:H59" ca="1" si="8">SUM(D60:D64)</f>
        <v>11479870</v>
      </c>
      <c r="E59" s="340">
        <f t="shared" ca="1" si="8"/>
        <v>72863499</v>
      </c>
      <c r="F59" s="340">
        <f t="shared" ca="1" si="8"/>
        <v>4358472</v>
      </c>
      <c r="G59" s="340">
        <f t="shared" ca="1" si="8"/>
        <v>0</v>
      </c>
      <c r="H59" s="340">
        <f t="shared" ca="1" si="8"/>
        <v>4358472</v>
      </c>
    </row>
    <row r="60" spans="1:8" ht="16.2" thickBot="1">
      <c r="A60" s="335">
        <v>501</v>
      </c>
      <c r="B60" s="338" t="s">
        <v>577</v>
      </c>
      <c r="C60" s="342">
        <f>SUMIF(Пр.10!$C10:$C436,501,Пр.10!G10:G436)</f>
        <v>13282560</v>
      </c>
      <c r="D60" s="342">
        <f>SUMIF(Пр.10!$C10:$C436,501,Пр.10!H10:H436)</f>
        <v>11479870</v>
      </c>
      <c r="E60" s="342">
        <f>SUMIF(Пр.10!$C10:$C436,501,Пр.10!I10:I436)</f>
        <v>24762430</v>
      </c>
      <c r="F60" s="342">
        <f>SUMIF(Пр.10!$C10:$C436,501,Пр.10!J10:J436)</f>
        <v>0</v>
      </c>
      <c r="G60" s="342">
        <f>SUMIF(Пр.10!$C10:$C436,501,Пр.10!K10:K436)</f>
        <v>0</v>
      </c>
      <c r="H60" s="342">
        <f>SUMIF(Пр.10!$C10:$C436,501,Пр.10!L10:L436)</f>
        <v>0</v>
      </c>
    </row>
    <row r="61" spans="1:8" ht="16.2" thickBot="1">
      <c r="A61" s="335">
        <v>502</v>
      </c>
      <c r="B61" s="338" t="s">
        <v>578</v>
      </c>
      <c r="C61" s="342">
        <f>SUMIF(Пр.10!$C11:$C436,502,Пр.10!G11:G436)</f>
        <v>18257370</v>
      </c>
      <c r="D61" s="342">
        <f>SUMIF(Пр.10!$C11:$C436,502,Пр.10!H11:H436)</f>
        <v>0</v>
      </c>
      <c r="E61" s="342">
        <f>SUMIF(Пр.10!$C11:$C436,502,Пр.10!I11:I436)</f>
        <v>18257370</v>
      </c>
      <c r="F61" s="342">
        <f>SUMIF(Пр.10!$C11:$C436,502,Пр.10!J11:J436)</f>
        <v>0</v>
      </c>
      <c r="G61" s="342">
        <f>SUMIF(Пр.10!$C11:$C436,502,Пр.10!K11:K436)</f>
        <v>0</v>
      </c>
      <c r="H61" s="342">
        <f>SUMIF(Пр.10!$C11:$C436,502,Пр.10!L11:L436)</f>
        <v>0</v>
      </c>
    </row>
    <row r="62" spans="1:8" ht="16.2" thickBot="1">
      <c r="A62" s="335">
        <v>503</v>
      </c>
      <c r="B62" s="336" t="s">
        <v>352</v>
      </c>
      <c r="C62" s="342">
        <f ca="1">SUMIF(Пр.10!$C12:$C440,503,Пр.10!G12:G436)</f>
        <v>17633370</v>
      </c>
      <c r="D62" s="342">
        <f ca="1">SUMIF(Пр.10!$C12:$C440,503,Пр.10!H12:H436)</f>
        <v>0</v>
      </c>
      <c r="E62" s="342">
        <f ca="1">SUMIF(Пр.10!$C12:$C440,503,Пр.10!I12:I436)</f>
        <v>17633370</v>
      </c>
      <c r="F62" s="342">
        <f ca="1">SUMIF(Пр.10!$C12:$C440,503,Пр.10!J12:J436)</f>
        <v>0</v>
      </c>
      <c r="G62" s="342">
        <f ca="1">SUMIF(Пр.10!$C12:$C440,503,Пр.10!K12:K436)</f>
        <v>0</v>
      </c>
      <c r="H62" s="342">
        <f ca="1">SUMIF(Пр.10!$C12:$C440,503,Пр.10!L12:L436)</f>
        <v>0</v>
      </c>
    </row>
    <row r="63" spans="1:8" ht="31.8" hidden="1" thickBot="1">
      <c r="A63" s="335">
        <v>504</v>
      </c>
      <c r="B63" s="338" t="s">
        <v>722</v>
      </c>
      <c r="C63" s="342">
        <f ca="1">SUMIF(Пр.10!$C14:$C441,504,Пр.10!G14:G436)</f>
        <v>0</v>
      </c>
      <c r="D63" s="342">
        <f ca="1">SUMIF(Пр.10!$C14:$C441,504,Пр.10!H14:H436)</f>
        <v>0</v>
      </c>
      <c r="E63" s="342">
        <f ca="1">SUMIF(Пр.10!$C14:$C441,504,Пр.10!I14:I436)</f>
        <v>0</v>
      </c>
      <c r="F63" s="342">
        <f ca="1">SUMIF(Пр.10!$C14:$C441,504,Пр.10!J14:J436)</f>
        <v>0</v>
      </c>
      <c r="G63" s="342">
        <f ca="1">SUMIF(Пр.10!$C14:$C441,504,Пр.10!K14:K436)</f>
        <v>0</v>
      </c>
      <c r="H63" s="342">
        <f ca="1">SUMIF(Пр.10!$C14:$C441,504,Пр.10!L14:L436)</f>
        <v>0</v>
      </c>
    </row>
    <row r="64" spans="1:8" ht="31.8" thickBot="1">
      <c r="A64" s="335">
        <v>505</v>
      </c>
      <c r="B64" s="338" t="s">
        <v>784</v>
      </c>
      <c r="C64" s="342">
        <f ca="1">SUMIF(Пр.10!$C15:$C442,505,Пр.10!G15:G436)</f>
        <v>12210329</v>
      </c>
      <c r="D64" s="342">
        <f ca="1">SUMIF(Пр.10!$C15:$C442,505,Пр.10!H15:H436)</f>
        <v>0</v>
      </c>
      <c r="E64" s="342">
        <f ca="1">SUMIF(Пр.10!$C15:$C442,505,Пр.10!I15:I436)</f>
        <v>12210329</v>
      </c>
      <c r="F64" s="342">
        <f ca="1">SUMIF(Пр.10!$C15:$C442,505,Пр.10!J15:J436)</f>
        <v>4358472</v>
      </c>
      <c r="G64" s="342">
        <f ca="1">SUMIF(Пр.10!$C15:$C442,505,Пр.10!K15:K436)</f>
        <v>0</v>
      </c>
      <c r="H64" s="342">
        <f ca="1">SUMIF(Пр.10!$C15:$C442,505,Пр.10!L15:L436)</f>
        <v>4358472</v>
      </c>
    </row>
    <row r="65" spans="1:8" ht="16.2" hidden="1" thickBot="1">
      <c r="A65" s="332">
        <v>600</v>
      </c>
      <c r="B65" s="343" t="s">
        <v>588</v>
      </c>
      <c r="C65" s="340">
        <f t="shared" ref="C65" si="9">SUM(C66:C70)</f>
        <v>0</v>
      </c>
      <c r="D65" s="340">
        <f t="shared" ref="D65:H65" si="10">SUM(D66:D70)</f>
        <v>0</v>
      </c>
      <c r="E65" s="340">
        <f t="shared" si="10"/>
        <v>0</v>
      </c>
      <c r="F65" s="340">
        <f t="shared" si="10"/>
        <v>0</v>
      </c>
      <c r="G65" s="340">
        <f t="shared" si="10"/>
        <v>0</v>
      </c>
      <c r="H65" s="340">
        <f t="shared" si="10"/>
        <v>0</v>
      </c>
    </row>
    <row r="66" spans="1:8" ht="16.2" hidden="1" thickBot="1">
      <c r="A66" s="335">
        <v>601</v>
      </c>
      <c r="B66" s="336" t="s">
        <v>589</v>
      </c>
      <c r="C66" s="342">
        <f>SUMIF(Пр.10!$C10:$C436,601,Пр.10!G10:G436)</f>
        <v>0</v>
      </c>
      <c r="D66" s="342">
        <f>SUMIF(Пр.10!$C10:$C436,601,Пр.10!H10:H436)</f>
        <v>0</v>
      </c>
      <c r="E66" s="342">
        <f>SUMIF(Пр.10!$C10:$C436,601,Пр.10!I10:I436)</f>
        <v>0</v>
      </c>
      <c r="F66" s="342">
        <f>SUMIF(Пр.10!$C10:$C436,601,Пр.10!J10:J436)</f>
        <v>0</v>
      </c>
      <c r="G66" s="342">
        <f>SUMIF(Пр.10!$C10:$C436,601,Пр.10!K10:K436)</f>
        <v>0</v>
      </c>
      <c r="H66" s="342">
        <f>SUMIF(Пр.10!$C10:$C436,601,Пр.10!L10:L436)</f>
        <v>0</v>
      </c>
    </row>
    <row r="67" spans="1:8" ht="16.2" hidden="1" thickBot="1">
      <c r="A67" s="335">
        <v>602</v>
      </c>
      <c r="B67" s="338" t="s">
        <v>1698</v>
      </c>
      <c r="C67" s="342">
        <f>SUMIF(Пр.10!$C11:$C436,602,Пр.10!G11:G436)</f>
        <v>0</v>
      </c>
      <c r="D67" s="342">
        <f>SUMIF(Пр.10!$C11:$C436,602,Пр.10!H11:H436)</f>
        <v>0</v>
      </c>
      <c r="E67" s="342">
        <f>SUMIF(Пр.10!$C11:$C436,602,Пр.10!I11:I436)</f>
        <v>0</v>
      </c>
      <c r="F67" s="342">
        <f>SUMIF(Пр.10!$C11:$C436,602,Пр.10!J11:J436)</f>
        <v>0</v>
      </c>
      <c r="G67" s="342">
        <f>SUMIF(Пр.10!$C11:$C436,602,Пр.10!K11:K436)</f>
        <v>0</v>
      </c>
      <c r="H67" s="342">
        <f>SUMIF(Пр.10!$C11:$C436,602,Пр.10!L11:L436)</f>
        <v>0</v>
      </c>
    </row>
    <row r="68" spans="1:8" ht="31.8" hidden="1" thickBot="1">
      <c r="A68" s="335">
        <v>603</v>
      </c>
      <c r="B68" s="338" t="s">
        <v>1699</v>
      </c>
      <c r="C68" s="342">
        <f>SUMIF(Пр.10!$C12:$C440,603,Пр.10!G12:G440)</f>
        <v>0</v>
      </c>
      <c r="D68" s="342">
        <f>SUMIF(Пр.10!$C12:$C440,603,Пр.10!H12:H440)</f>
        <v>0</v>
      </c>
      <c r="E68" s="342">
        <f>SUMIF(Пр.10!$C12:$C440,603,Пр.10!I12:I440)</f>
        <v>0</v>
      </c>
      <c r="F68" s="342">
        <f>SUMIF(Пр.10!$C12:$C440,603,Пр.10!J12:J440)</f>
        <v>0</v>
      </c>
      <c r="G68" s="342">
        <f>SUMIF(Пр.10!$C12:$C440,603,Пр.10!K12:K440)</f>
        <v>0</v>
      </c>
      <c r="H68" s="342">
        <f>SUMIF(Пр.10!$C12:$C440,603,Пр.10!L12:L440)</f>
        <v>0</v>
      </c>
    </row>
    <row r="69" spans="1:8" ht="31.8" hidden="1" thickBot="1">
      <c r="A69" s="335">
        <v>604</v>
      </c>
      <c r="B69" s="338" t="s">
        <v>1906</v>
      </c>
      <c r="C69" s="342">
        <f>SUMIF(Пр.10!$C14:$C441,604,Пр.10!G14:G441)</f>
        <v>0</v>
      </c>
      <c r="D69" s="342">
        <f>SUMIF(Пр.10!$C14:$C441,604,Пр.10!H14:H441)</f>
        <v>0</v>
      </c>
      <c r="E69" s="342">
        <f>SUMIF(Пр.10!$C14:$C441,604,Пр.10!I14:I441)</f>
        <v>0</v>
      </c>
      <c r="F69" s="342">
        <f>SUMIF(Пр.10!$C14:$C441,604,Пр.10!J14:J441)</f>
        <v>0</v>
      </c>
      <c r="G69" s="342">
        <f>SUMIF(Пр.10!$C14:$C441,604,Пр.10!K14:K441)</f>
        <v>0</v>
      </c>
      <c r="H69" s="342">
        <f>SUMIF(Пр.10!$C14:$C441,604,Пр.10!L14:L441)</f>
        <v>0</v>
      </c>
    </row>
    <row r="70" spans="1:8" ht="31.8" hidden="1" thickBot="1">
      <c r="A70" s="335">
        <v>605</v>
      </c>
      <c r="B70" s="338" t="s">
        <v>530</v>
      </c>
      <c r="C70" s="342">
        <f>SUMIF(Пр.10!$C15:$C442,605,Пр.10!G15:G442)</f>
        <v>0</v>
      </c>
      <c r="D70" s="342">
        <f>SUMIF(Пр.10!$C15:$C442,605,Пр.10!H15:H442)</f>
        <v>0</v>
      </c>
      <c r="E70" s="342">
        <f>SUMIF(Пр.10!$C15:$C442,605,Пр.10!I15:I442)</f>
        <v>0</v>
      </c>
      <c r="F70" s="342">
        <f>SUMIF(Пр.10!$C15:$C442,605,Пр.10!J15:J442)</f>
        <v>0</v>
      </c>
      <c r="G70" s="342">
        <f>SUMIF(Пр.10!$C15:$C442,605,Пр.10!K15:K442)</f>
        <v>0</v>
      </c>
      <c r="H70" s="342">
        <f>SUMIF(Пр.10!$C15:$C442,605,Пр.10!L15:L442)</f>
        <v>0</v>
      </c>
    </row>
    <row r="71" spans="1:8" ht="16.2" thickBot="1">
      <c r="A71" s="332">
        <v>700</v>
      </c>
      <c r="B71" s="343" t="s">
        <v>1700</v>
      </c>
      <c r="C71" s="340">
        <f t="shared" ref="C71" si="11">SUM(C72:C80)</f>
        <v>749269560</v>
      </c>
      <c r="D71" s="340">
        <f t="shared" ref="D71:H71" si="12">SUM(D72:D80)</f>
        <v>0</v>
      </c>
      <c r="E71" s="340">
        <f t="shared" si="12"/>
        <v>749269560</v>
      </c>
      <c r="F71" s="340">
        <f t="shared" si="12"/>
        <v>743598809</v>
      </c>
      <c r="G71" s="340">
        <f t="shared" si="12"/>
        <v>0</v>
      </c>
      <c r="H71" s="340">
        <f t="shared" si="12"/>
        <v>743598809</v>
      </c>
    </row>
    <row r="72" spans="1:8" ht="16.2" thickBot="1">
      <c r="A72" s="335">
        <v>701</v>
      </c>
      <c r="B72" s="338" t="s">
        <v>62</v>
      </c>
      <c r="C72" s="337">
        <f>SUMIF(Пр.10!$C10:$C476,701,Пр.10!G10:G476)</f>
        <v>246063576</v>
      </c>
      <c r="D72" s="337">
        <f>SUMIF(Пр.10!$C10:$C476,701,Пр.10!H10:H476)</f>
        <v>0</v>
      </c>
      <c r="E72" s="337">
        <f>SUMIF(Пр.10!$C10:$C476,701,Пр.10!I10:I476)</f>
        <v>246063576</v>
      </c>
      <c r="F72" s="337">
        <f>SUMIF(Пр.10!$C10:$C476,701,Пр.10!J10:J476)</f>
        <v>244701775</v>
      </c>
      <c r="G72" s="337">
        <f>SUMIF(Пр.10!$C10:$C476,701,Пр.10!K10:K476)</f>
        <v>0</v>
      </c>
      <c r="H72" s="337">
        <f>SUMIF(Пр.10!$C10:$C476,701,Пр.10!L10:L476)</f>
        <v>244701775</v>
      </c>
    </row>
    <row r="73" spans="1:8" ht="16.2" thickBot="1">
      <c r="A73" s="335">
        <v>702</v>
      </c>
      <c r="B73" s="338" t="s">
        <v>109</v>
      </c>
      <c r="C73" s="337">
        <f>SUMIF(Пр.10!$C10:$C477,702,Пр.10!G10:G477)</f>
        <v>448970599</v>
      </c>
      <c r="D73" s="337">
        <f>SUMIF(Пр.10!$C10:$C477,702,Пр.10!H10:H477)</f>
        <v>0</v>
      </c>
      <c r="E73" s="337">
        <f>SUMIF(Пр.10!$C10:$C477,702,Пр.10!I10:I477)</f>
        <v>448970599</v>
      </c>
      <c r="F73" s="337">
        <f>SUMIF(Пр.10!$C10:$C477,702,Пр.10!J10:J477)</f>
        <v>445181136</v>
      </c>
      <c r="G73" s="337">
        <f>SUMIF(Пр.10!$C10:$C477,702,Пр.10!K10:K477)</f>
        <v>0</v>
      </c>
      <c r="H73" s="337">
        <f>SUMIF(Пр.10!$C10:$C477,702,Пр.10!L10:L477)</f>
        <v>445181136</v>
      </c>
    </row>
    <row r="74" spans="1:8" ht="16.2" hidden="1" thickBot="1">
      <c r="A74" s="335">
        <v>703</v>
      </c>
      <c r="B74" s="338" t="s">
        <v>1907</v>
      </c>
      <c r="C74" s="337">
        <f>SUMIF(Пр.10!$C70:$C478,703,Пр.10!G70:G478)</f>
        <v>0</v>
      </c>
      <c r="D74" s="337">
        <f>SUMIF(Пр.10!$C70:$C478,703,Пр.10!H70:H478)</f>
        <v>0</v>
      </c>
      <c r="E74" s="337">
        <f>SUMIF(Пр.10!$C70:$C478,703,Пр.10!I70:I478)</f>
        <v>0</v>
      </c>
      <c r="F74" s="337">
        <f>SUMIF(Пр.10!$C70:$C478,703,Пр.10!J70:J478)</f>
        <v>0</v>
      </c>
      <c r="G74" s="337">
        <f>SUMIF(Пр.10!$C70:$C478,703,Пр.10!K70:K478)</f>
        <v>0</v>
      </c>
      <c r="H74" s="337">
        <f>SUMIF(Пр.10!$C70:$C478,703,Пр.10!L70:L478)</f>
        <v>0</v>
      </c>
    </row>
    <row r="75" spans="1:8" ht="16.2" hidden="1" thickBot="1">
      <c r="A75" s="335">
        <v>704</v>
      </c>
      <c r="B75" s="338" t="s">
        <v>394</v>
      </c>
      <c r="C75" s="337">
        <f>SUMIF(Пр.10!$C70:$C479,304,Пр.10!G70:G479)</f>
        <v>0</v>
      </c>
      <c r="D75" s="337">
        <f>SUMIF(Пр.10!$C70:$C479,304,Пр.10!H70:H479)</f>
        <v>0</v>
      </c>
      <c r="E75" s="337">
        <f>SUMIF(Пр.10!$C70:$C479,304,Пр.10!I70:I479)</f>
        <v>0</v>
      </c>
      <c r="F75" s="337">
        <f>SUMIF(Пр.10!$C70:$C479,304,Пр.10!J70:J479)</f>
        <v>0</v>
      </c>
      <c r="G75" s="337">
        <f>SUMIF(Пр.10!$C70:$C479,304,Пр.10!K70:K479)</f>
        <v>0</v>
      </c>
      <c r="H75" s="337">
        <f>SUMIF(Пр.10!$C70:$C479,304,Пр.10!L70:L479)</f>
        <v>0</v>
      </c>
    </row>
    <row r="76" spans="1:8" ht="31.8" hidden="1" thickBot="1">
      <c r="A76" s="335">
        <v>705</v>
      </c>
      <c r="B76" s="338" t="s">
        <v>1065</v>
      </c>
      <c r="C76" s="337">
        <f>SUMIF(Пр.10!$C70:$C480,304,Пр.10!G70:G480)</f>
        <v>0</v>
      </c>
      <c r="D76" s="337">
        <f>SUMIF(Пр.10!$C70:$C480,304,Пр.10!H70:H480)</f>
        <v>0</v>
      </c>
      <c r="E76" s="337">
        <f>SUMIF(Пр.10!$C70:$C480,304,Пр.10!I70:I480)</f>
        <v>0</v>
      </c>
      <c r="F76" s="337">
        <f>SUMIF(Пр.10!$C70:$C480,304,Пр.10!J70:J480)</f>
        <v>0</v>
      </c>
      <c r="G76" s="337">
        <f>SUMIF(Пр.10!$C70:$C480,304,Пр.10!K70:K480)</f>
        <v>0</v>
      </c>
      <c r="H76" s="337">
        <f>SUMIF(Пр.10!$C70:$C480,304,Пр.10!L70:L480)</f>
        <v>0</v>
      </c>
    </row>
    <row r="77" spans="1:8" ht="31.8" hidden="1" thickBot="1">
      <c r="A77" s="344">
        <v>706</v>
      </c>
      <c r="B77" s="345" t="s">
        <v>1066</v>
      </c>
      <c r="C77" s="342">
        <f>SUMIF(Пр.10!$C15:$C443,706,Пр.10!F15:F443)</f>
        <v>0</v>
      </c>
      <c r="D77" s="342">
        <f>SUMIF(Пр.10!$C15:$C443,706,Пр.10!G15:G443)</f>
        <v>0</v>
      </c>
      <c r="E77" s="342">
        <f>SUMIF(Пр.10!$C15:$C443,706,Пр.10!H15:H443)</f>
        <v>0</v>
      </c>
      <c r="F77" s="342">
        <f>SUMIF(Пр.10!$C15:$C443,706,Пр.10!I15:I443)</f>
        <v>0</v>
      </c>
      <c r="G77" s="342">
        <f>SUMIF(Пр.10!$C15:$C443,706,Пр.10!J15:J443)</f>
        <v>0</v>
      </c>
      <c r="H77" s="342">
        <f>SUMIF(Пр.10!$C15:$C443,706,Пр.10!K15:K443)</f>
        <v>0</v>
      </c>
    </row>
    <row r="78" spans="1:8" ht="16.2" thickBot="1">
      <c r="A78" s="335">
        <v>707</v>
      </c>
      <c r="B78" s="338" t="s">
        <v>827</v>
      </c>
      <c r="C78" s="337">
        <f>SUMIF(Пр.10!$C10:$C482,707,Пр.10!G10:G482)</f>
        <v>15855453</v>
      </c>
      <c r="D78" s="337">
        <f>SUMIF(Пр.10!$C10:$C482,707,Пр.10!H10:H482)</f>
        <v>0</v>
      </c>
      <c r="E78" s="337">
        <f>SUMIF(Пр.10!$C10:$C482,707,Пр.10!I10:I482)</f>
        <v>15855453</v>
      </c>
      <c r="F78" s="337">
        <f>SUMIF(Пр.10!$C10:$C482,707,Пр.10!J10:J482)</f>
        <v>15660096</v>
      </c>
      <c r="G78" s="337">
        <f>SUMIF(Пр.10!$C10:$C482,707,Пр.10!K10:K482)</f>
        <v>0</v>
      </c>
      <c r="H78" s="337">
        <f>SUMIF(Пр.10!$C10:$C482,707,Пр.10!L10:L482)</f>
        <v>15660096</v>
      </c>
    </row>
    <row r="79" spans="1:8" ht="31.8" hidden="1" thickBot="1">
      <c r="A79" s="335">
        <v>708</v>
      </c>
      <c r="B79" s="338" t="s">
        <v>593</v>
      </c>
      <c r="C79" s="342">
        <f>SUMIF(Пр.10!$C17:$C445,7081,Пр.10!F17:F445)</f>
        <v>0</v>
      </c>
      <c r="D79" s="342">
        <f>SUMIF(Пр.10!$C17:$C445,7081,Пр.10!G17:G445)</f>
        <v>0</v>
      </c>
      <c r="E79" s="342">
        <f>SUMIF(Пр.10!$C17:$C445,7081,Пр.10!H17:H445)</f>
        <v>0</v>
      </c>
      <c r="F79" s="342">
        <f>SUMIF(Пр.10!$C17:$C445,7081,Пр.10!I17:I445)</f>
        <v>0</v>
      </c>
      <c r="G79" s="342">
        <f>SUMIF(Пр.10!$C17:$C445,7081,Пр.10!J17:J445)</f>
        <v>0</v>
      </c>
      <c r="H79" s="342">
        <f>SUMIF(Пр.10!$C17:$C445,7081,Пр.10!K17:K445)</f>
        <v>0</v>
      </c>
    </row>
    <row r="80" spans="1:8" ht="16.2" thickBot="1">
      <c r="A80" s="335">
        <v>709</v>
      </c>
      <c r="B80" s="338" t="s">
        <v>82</v>
      </c>
      <c r="C80" s="337">
        <f>SUMIF(Пр.10!$C10:$C484,709,Пр.10!G10:G484)</f>
        <v>38379932</v>
      </c>
      <c r="D80" s="337">
        <f>SUMIF(Пр.10!$C10:$C484,709,Пр.10!H10:H484)</f>
        <v>0</v>
      </c>
      <c r="E80" s="337">
        <f>SUMIF(Пр.10!$C10:$C484,709,Пр.10!I10:I484)</f>
        <v>38379932</v>
      </c>
      <c r="F80" s="337">
        <f>SUMIF(Пр.10!$C10:$C484,709,Пр.10!J10:J484)</f>
        <v>38055802</v>
      </c>
      <c r="G80" s="337">
        <f>SUMIF(Пр.10!$C10:$C484,709,Пр.10!K10:K484)</f>
        <v>0</v>
      </c>
      <c r="H80" s="337">
        <f>SUMIF(Пр.10!$C10:$C484,709,Пр.10!L10:L484)</f>
        <v>38055802</v>
      </c>
    </row>
    <row r="81" spans="1:8" ht="16.2" thickBot="1">
      <c r="A81" s="332">
        <v>800</v>
      </c>
      <c r="B81" s="343" t="s">
        <v>1317</v>
      </c>
      <c r="C81" s="340">
        <f t="shared" ref="C81" si="13">SUM(C82:C85)</f>
        <v>86370944</v>
      </c>
      <c r="D81" s="340">
        <f t="shared" ref="D81:H81" si="14">SUM(D82:D85)</f>
        <v>0</v>
      </c>
      <c r="E81" s="340">
        <f t="shared" si="14"/>
        <v>86370944</v>
      </c>
      <c r="F81" s="340">
        <f t="shared" si="14"/>
        <v>83977502</v>
      </c>
      <c r="G81" s="340">
        <f t="shared" si="14"/>
        <v>0</v>
      </c>
      <c r="H81" s="340">
        <f t="shared" si="14"/>
        <v>83977502</v>
      </c>
    </row>
    <row r="82" spans="1:8" ht="16.2" thickBot="1">
      <c r="A82" s="335">
        <v>801</v>
      </c>
      <c r="B82" s="338" t="s">
        <v>410</v>
      </c>
      <c r="C82" s="342">
        <f>SUMIF(Пр.10!$C10:$C436,801,Пр.10!G10:G436)</f>
        <v>77468209</v>
      </c>
      <c r="D82" s="342">
        <f>SUMIF(Пр.10!$C10:$C436,801,Пр.10!H10:H436)</f>
        <v>0</v>
      </c>
      <c r="E82" s="342">
        <f>SUMIF(Пр.10!$C10:$C436,801,Пр.10!I10:I436)</f>
        <v>77468209</v>
      </c>
      <c r="F82" s="342">
        <f>SUMIF(Пр.10!$C10:$C436,801,Пр.10!J10:J436)</f>
        <v>75437161</v>
      </c>
      <c r="G82" s="342">
        <f>SUMIF(Пр.10!$C10:$C436,801,Пр.10!K10:K436)</f>
        <v>0</v>
      </c>
      <c r="H82" s="342">
        <f>SUMIF(Пр.10!$C10:$C436,801,Пр.10!L10:L436)</f>
        <v>75437161</v>
      </c>
    </row>
    <row r="83" spans="1:8" ht="16.2" hidden="1" thickBot="1">
      <c r="A83" s="335">
        <v>802</v>
      </c>
      <c r="B83" s="338" t="s">
        <v>357</v>
      </c>
      <c r="C83" s="342">
        <f>SUMIF(Пр.10!$C11:$C436,802,Пр.10!G11:G436)</f>
        <v>0</v>
      </c>
      <c r="D83" s="342">
        <f>SUMIF(Пр.10!$C11:$C436,802,Пр.10!H11:H436)</f>
        <v>0</v>
      </c>
      <c r="E83" s="342">
        <f>SUMIF(Пр.10!$C11:$C436,802,Пр.10!I11:I436)</f>
        <v>0</v>
      </c>
      <c r="F83" s="342">
        <f>SUMIF(Пр.10!$C11:$C436,802,Пр.10!J11:J436)</f>
        <v>0</v>
      </c>
      <c r="G83" s="342">
        <f>SUMIF(Пр.10!$C11:$C436,802,Пр.10!K11:K436)</f>
        <v>0</v>
      </c>
      <c r="H83" s="342">
        <f>SUMIF(Пр.10!$C11:$C436,802,Пр.10!L11:L436)</f>
        <v>0</v>
      </c>
    </row>
    <row r="84" spans="1:8" ht="31.8" hidden="1" thickBot="1">
      <c r="A84" s="335">
        <v>803</v>
      </c>
      <c r="B84" s="338" t="s">
        <v>1318</v>
      </c>
      <c r="C84" s="342">
        <f>SUMIF(Пр.10!$C12:$C440,803,Пр.10!G12:G440)</f>
        <v>0</v>
      </c>
      <c r="D84" s="342">
        <f>SUMIF(Пр.10!$C12:$C440,803,Пр.10!H12:H440)</f>
        <v>0</v>
      </c>
      <c r="E84" s="342">
        <f>SUMIF(Пр.10!$C12:$C440,803,Пр.10!I12:I440)</f>
        <v>0</v>
      </c>
      <c r="F84" s="342">
        <f>SUMIF(Пр.10!$C12:$C440,803,Пр.10!J12:J440)</f>
        <v>0</v>
      </c>
      <c r="G84" s="342">
        <f>SUMIF(Пр.10!$C12:$C440,803,Пр.10!K12:K440)</f>
        <v>0</v>
      </c>
      <c r="H84" s="342">
        <f>SUMIF(Пр.10!$C12:$C440,803,Пр.10!L12:L440)</f>
        <v>0</v>
      </c>
    </row>
    <row r="85" spans="1:8" ht="31.8" thickBot="1">
      <c r="A85" s="335">
        <v>804</v>
      </c>
      <c r="B85" s="338" t="s">
        <v>1337</v>
      </c>
      <c r="C85" s="342">
        <f>SUMIF(Пр.10!$C14:$C441,804,Пр.10!G14:G441)</f>
        <v>8902735</v>
      </c>
      <c r="D85" s="342">
        <f>SUMIF(Пр.10!$C14:$C441,804,Пр.10!H14:H441)</f>
        <v>0</v>
      </c>
      <c r="E85" s="342">
        <f>SUMIF(Пр.10!$C14:$C441,804,Пр.10!I14:I441)</f>
        <v>8902735</v>
      </c>
      <c r="F85" s="342">
        <f>SUMIF(Пр.10!$C14:$C441,804,Пр.10!J14:J441)</f>
        <v>8540341</v>
      </c>
      <c r="G85" s="342">
        <f>SUMIF(Пр.10!$C14:$C441,804,Пр.10!K14:K441)</f>
        <v>0</v>
      </c>
      <c r="H85" s="342">
        <f>SUMIF(Пр.10!$C14:$C441,804,Пр.10!L14:L441)</f>
        <v>8540341</v>
      </c>
    </row>
    <row r="86" spans="1:8" ht="16.2" hidden="1" thickBot="1">
      <c r="A86" s="332">
        <v>900</v>
      </c>
      <c r="B86" s="343" t="s">
        <v>1338</v>
      </c>
      <c r="C86" s="340">
        <f t="shared" ref="C86" si="15">SUM(C87:C95)</f>
        <v>0</v>
      </c>
      <c r="D86" s="340">
        <f t="shared" ref="D86:H86" si="16">SUM(D87:D95)</f>
        <v>0</v>
      </c>
      <c r="E86" s="340">
        <f t="shared" si="16"/>
        <v>0</v>
      </c>
      <c r="F86" s="340">
        <f t="shared" si="16"/>
        <v>0</v>
      </c>
      <c r="G86" s="340">
        <f t="shared" si="16"/>
        <v>0</v>
      </c>
      <c r="H86" s="340">
        <f t="shared" si="16"/>
        <v>0</v>
      </c>
    </row>
    <row r="87" spans="1:8" ht="16.2" hidden="1" thickBot="1">
      <c r="A87" s="335">
        <v>901</v>
      </c>
      <c r="B87" s="338" t="s">
        <v>269</v>
      </c>
      <c r="C87" s="342">
        <f>SUMIF(Пр.10!$C10:$C436,901,Пр.10!G10:G436)</f>
        <v>0</v>
      </c>
      <c r="D87" s="342">
        <f>SUMIF(Пр.10!$C10:$C436,901,Пр.10!H10:H436)</f>
        <v>0</v>
      </c>
      <c r="E87" s="342">
        <f>SUMIF(Пр.10!$C10:$C436,901,Пр.10!I10:I436)</f>
        <v>0</v>
      </c>
      <c r="F87" s="342">
        <f>SUMIF(Пр.10!$C10:$C436,901,Пр.10!J10:J436)</f>
        <v>0</v>
      </c>
      <c r="G87" s="342">
        <f>SUMIF(Пр.10!$C10:$C436,901,Пр.10!K10:K436)</f>
        <v>0</v>
      </c>
      <c r="H87" s="342">
        <f>SUMIF(Пр.10!$C10:$C436,901,Пр.10!L10:L436)</f>
        <v>0</v>
      </c>
    </row>
    <row r="88" spans="1:8" ht="16.2" hidden="1" thickBot="1">
      <c r="A88" s="335">
        <v>902</v>
      </c>
      <c r="B88" s="338" t="s">
        <v>270</v>
      </c>
      <c r="C88" s="342">
        <f>SUMIF(Пр.10!$C11:$C436,902,Пр.10!G11:G436)</f>
        <v>0</v>
      </c>
      <c r="D88" s="342">
        <f>SUMIF(Пр.10!$C11:$C436,902,Пр.10!H11:H436)</f>
        <v>0</v>
      </c>
      <c r="E88" s="342">
        <f>SUMIF(Пр.10!$C11:$C436,902,Пр.10!I11:I436)</f>
        <v>0</v>
      </c>
      <c r="F88" s="342">
        <f>SUMIF(Пр.10!$C11:$C436,902,Пр.10!J11:J436)</f>
        <v>0</v>
      </c>
      <c r="G88" s="342">
        <f>SUMIF(Пр.10!$C11:$C436,902,Пр.10!K11:K436)</f>
        <v>0</v>
      </c>
      <c r="H88" s="342">
        <f>SUMIF(Пр.10!$C11:$C436,902,Пр.10!L11:L436)</f>
        <v>0</v>
      </c>
    </row>
    <row r="89" spans="1:8" ht="31.8" hidden="1" thickBot="1">
      <c r="A89" s="335">
        <v>903</v>
      </c>
      <c r="B89" s="338" t="s">
        <v>222</v>
      </c>
      <c r="C89" s="342">
        <f>SUMIF(Пр.10!$C12:$C440,903,Пр.10!G12:G440)</f>
        <v>0</v>
      </c>
      <c r="D89" s="342">
        <f>SUMIF(Пр.10!$C12:$C440,903,Пр.10!H12:H440)</f>
        <v>0</v>
      </c>
      <c r="E89" s="342">
        <f>SUMIF(Пр.10!$C12:$C440,903,Пр.10!I12:I440)</f>
        <v>0</v>
      </c>
      <c r="F89" s="342">
        <f>SUMIF(Пр.10!$C12:$C440,903,Пр.10!J12:J440)</f>
        <v>0</v>
      </c>
      <c r="G89" s="342">
        <f>SUMIF(Пр.10!$C12:$C440,903,Пр.10!K12:K440)</f>
        <v>0</v>
      </c>
      <c r="H89" s="342">
        <f>SUMIF(Пр.10!$C12:$C440,903,Пр.10!L12:L440)</f>
        <v>0</v>
      </c>
    </row>
    <row r="90" spans="1:8" ht="16.2" hidden="1" thickBot="1">
      <c r="A90" s="335">
        <v>904</v>
      </c>
      <c r="B90" s="338" t="s">
        <v>259</v>
      </c>
      <c r="C90" s="342">
        <f>SUMIF(Пр.10!$C14:$C441,904,Пр.10!G14:G441)</f>
        <v>0</v>
      </c>
      <c r="D90" s="342">
        <f>SUMIF(Пр.10!$C14:$C441,904,Пр.10!H14:H441)</f>
        <v>0</v>
      </c>
      <c r="E90" s="342">
        <f>SUMIF(Пр.10!$C14:$C441,904,Пр.10!I14:I441)</f>
        <v>0</v>
      </c>
      <c r="F90" s="342">
        <f>SUMIF(Пр.10!$C14:$C441,904,Пр.10!J14:J441)</f>
        <v>0</v>
      </c>
      <c r="G90" s="342">
        <f>SUMIF(Пр.10!$C14:$C441,904,Пр.10!K14:K441)</f>
        <v>0</v>
      </c>
      <c r="H90" s="342">
        <f>SUMIF(Пр.10!$C14:$C441,904,Пр.10!L14:L441)</f>
        <v>0</v>
      </c>
    </row>
    <row r="91" spans="1:8" ht="16.2" hidden="1" thickBot="1">
      <c r="A91" s="335">
        <v>905</v>
      </c>
      <c r="B91" s="346" t="s">
        <v>87</v>
      </c>
      <c r="C91" s="342">
        <f>SUMIF(Пр.10!$C15:$C442,905,Пр.10!G15:G442)</f>
        <v>0</v>
      </c>
      <c r="D91" s="342">
        <f>SUMIF(Пр.10!$C15:$C442,905,Пр.10!H15:H442)</f>
        <v>0</v>
      </c>
      <c r="E91" s="342">
        <f>SUMIF(Пр.10!$C15:$C442,905,Пр.10!I15:I442)</f>
        <v>0</v>
      </c>
      <c r="F91" s="342">
        <f>SUMIF(Пр.10!$C15:$C442,905,Пр.10!J15:J442)</f>
        <v>0</v>
      </c>
      <c r="G91" s="342">
        <f>SUMIF(Пр.10!$C15:$C442,905,Пр.10!K15:K442)</f>
        <v>0</v>
      </c>
      <c r="H91" s="342">
        <f>SUMIF(Пр.10!$C15:$C442,905,Пр.10!L15:L442)</f>
        <v>0</v>
      </c>
    </row>
    <row r="92" spans="1:8" ht="31.8" hidden="1" thickBot="1">
      <c r="A92" s="335">
        <v>906</v>
      </c>
      <c r="B92" s="346" t="s">
        <v>931</v>
      </c>
      <c r="C92" s="342">
        <f>SUMIF(Пр.10!$C15:$C443,906,Пр.10!F15:F443)</f>
        <v>0</v>
      </c>
      <c r="D92" s="342">
        <f>SUMIF(Пр.10!$C15:$C443,906,Пр.10!G15:G443)</f>
        <v>0</v>
      </c>
      <c r="E92" s="342">
        <f>SUMIF(Пр.10!$C15:$C443,906,Пр.10!H15:H443)</f>
        <v>0</v>
      </c>
      <c r="F92" s="342">
        <f>SUMIF(Пр.10!$C15:$C443,906,Пр.10!I15:I443)</f>
        <v>0</v>
      </c>
      <c r="G92" s="342">
        <f>SUMIF(Пр.10!$C15:$C443,906,Пр.10!J15:J443)</f>
        <v>0</v>
      </c>
      <c r="H92" s="342">
        <f>SUMIF(Пр.10!$C15:$C443,906,Пр.10!K15:K443)</f>
        <v>0</v>
      </c>
    </row>
    <row r="93" spans="1:8" ht="16.2" hidden="1" thickBot="1">
      <c r="A93" s="335">
        <v>907</v>
      </c>
      <c r="B93" s="338" t="s">
        <v>932</v>
      </c>
      <c r="C93" s="342">
        <f>SUMIF(Пр.10!$C16:$C444,907,Пр.10!F16:F444)</f>
        <v>0</v>
      </c>
      <c r="D93" s="342">
        <f>SUMIF(Пр.10!$C16:$C444,907,Пр.10!G16:G444)</f>
        <v>0</v>
      </c>
      <c r="E93" s="342">
        <f>SUMIF(Пр.10!$C16:$C444,907,Пр.10!H16:H444)</f>
        <v>0</v>
      </c>
      <c r="F93" s="342">
        <f>SUMIF(Пр.10!$C16:$C444,907,Пр.10!I16:I444)</f>
        <v>0</v>
      </c>
      <c r="G93" s="342">
        <f>SUMIF(Пр.10!$C16:$C444,907,Пр.10!J16:J444)</f>
        <v>0</v>
      </c>
      <c r="H93" s="342">
        <f>SUMIF(Пр.10!$C16:$C444,907,Пр.10!K16:K444)</f>
        <v>0</v>
      </c>
    </row>
    <row r="94" spans="1:8" ht="31.8" hidden="1" thickBot="1">
      <c r="A94" s="335">
        <v>908</v>
      </c>
      <c r="B94" s="336" t="s">
        <v>1339</v>
      </c>
      <c r="C94" s="342">
        <f>SUMIF(Пр.10!$C17:$C445,908,Пр.10!F17:F445)</f>
        <v>0</v>
      </c>
      <c r="D94" s="342">
        <f>SUMIF(Пр.10!$C17:$C445,908,Пр.10!G17:G445)</f>
        <v>0</v>
      </c>
      <c r="E94" s="342">
        <f>SUMIF(Пр.10!$C17:$C445,908,Пр.10!H17:H445)</f>
        <v>0</v>
      </c>
      <c r="F94" s="342">
        <f>SUMIF(Пр.10!$C17:$C445,908,Пр.10!I17:I445)</f>
        <v>0</v>
      </c>
      <c r="G94" s="342">
        <f>SUMIF(Пр.10!$C17:$C445,908,Пр.10!J17:J445)</f>
        <v>0</v>
      </c>
      <c r="H94" s="342">
        <f>SUMIF(Пр.10!$C17:$C445,908,Пр.10!K17:K445)</f>
        <v>0</v>
      </c>
    </row>
    <row r="95" spans="1:8" ht="16.2" hidden="1" thickBot="1">
      <c r="A95" s="335">
        <v>909</v>
      </c>
      <c r="B95" s="338" t="s">
        <v>1340</v>
      </c>
      <c r="C95" s="342">
        <f>SUMIF(Пр.10!$C18:$C446,909,Пр.10!F18:F446)</f>
        <v>0</v>
      </c>
      <c r="D95" s="342">
        <f>SUMIF(Пр.10!$C18:$C446,909,Пр.10!G18:G446)</f>
        <v>0</v>
      </c>
      <c r="E95" s="342">
        <f>SUMIF(Пр.10!$C18:$C446,909,Пр.10!H18:H446)</f>
        <v>0</v>
      </c>
      <c r="F95" s="342">
        <f>SUMIF(Пр.10!$C18:$C446,909,Пр.10!I18:I446)</f>
        <v>0</v>
      </c>
      <c r="G95" s="342">
        <f>SUMIF(Пр.10!$C18:$C446,909,Пр.10!J18:J446)</f>
        <v>0</v>
      </c>
      <c r="H95" s="342">
        <f>SUMIF(Пр.10!$C18:$C446,909,Пр.10!K18:K446)</f>
        <v>0</v>
      </c>
    </row>
    <row r="96" spans="1:8" ht="16.2" thickBot="1">
      <c r="A96" s="332">
        <v>1000</v>
      </c>
      <c r="B96" s="343" t="s">
        <v>1048</v>
      </c>
      <c r="C96" s="340">
        <f t="shared" ref="C96" si="17">SUM(C97:C102)</f>
        <v>286523882</v>
      </c>
      <c r="D96" s="340">
        <f t="shared" ref="D96:H96" si="18">SUM(D97:D102)</f>
        <v>0</v>
      </c>
      <c r="E96" s="340">
        <f t="shared" si="18"/>
        <v>286523882</v>
      </c>
      <c r="F96" s="340">
        <f t="shared" si="18"/>
        <v>286523882</v>
      </c>
      <c r="G96" s="340">
        <f t="shared" si="18"/>
        <v>0</v>
      </c>
      <c r="H96" s="340">
        <f t="shared" si="18"/>
        <v>286523882</v>
      </c>
    </row>
    <row r="97" spans="1:8" ht="16.2" thickBot="1">
      <c r="A97" s="335">
        <v>1001</v>
      </c>
      <c r="B97" s="338" t="s">
        <v>448</v>
      </c>
      <c r="C97" s="342">
        <f>SUMIF(Пр.10!$C10:$C436,1001,Пр.10!G10:G436)</f>
        <v>2000000</v>
      </c>
      <c r="D97" s="342">
        <f>SUMIF(Пр.10!$C10:$C436,1001,Пр.10!H10:H436)</f>
        <v>0</v>
      </c>
      <c r="E97" s="342">
        <f>SUMIF(Пр.10!$C10:$C436,1001,Пр.10!I10:I436)</f>
        <v>2000000</v>
      </c>
      <c r="F97" s="342">
        <f>SUMIF(Пр.10!$C10:$C436,1001,Пр.10!J10:J436)</f>
        <v>2000000</v>
      </c>
      <c r="G97" s="342">
        <f>SUMIF(Пр.10!$C10:$C436,1001,Пр.10!K10:K436)</f>
        <v>0</v>
      </c>
      <c r="H97" s="342">
        <f>SUMIF(Пр.10!$C10:$C436,1001,Пр.10!L10:L436)</f>
        <v>2000000</v>
      </c>
    </row>
    <row r="98" spans="1:8" ht="16.2" thickBot="1">
      <c r="A98" s="335">
        <v>1002</v>
      </c>
      <c r="B98" s="338" t="s">
        <v>105</v>
      </c>
      <c r="C98" s="342">
        <f>SUMIF(Пр.10!$C11:$C436,1002,Пр.10!G11:G436)</f>
        <v>44582019</v>
      </c>
      <c r="D98" s="342">
        <f>SUMIF(Пр.10!$C11:$C436,1002,Пр.10!H11:H436)</f>
        <v>0</v>
      </c>
      <c r="E98" s="342">
        <f>SUMIF(Пр.10!$C11:$C436,1002,Пр.10!I11:I436)</f>
        <v>44582019</v>
      </c>
      <c r="F98" s="342">
        <f>SUMIF(Пр.10!$C11:$C436,1002,Пр.10!J11:J436)</f>
        <v>44582019</v>
      </c>
      <c r="G98" s="342">
        <f>SUMIF(Пр.10!$C11:$C436,1002,Пр.10!K11:K436)</f>
        <v>0</v>
      </c>
      <c r="H98" s="342">
        <f>SUMIF(Пр.10!$C11:$C436,1002,Пр.10!L11:L436)</f>
        <v>44582019</v>
      </c>
    </row>
    <row r="99" spans="1:8" ht="16.2" thickBot="1">
      <c r="A99" s="335">
        <v>1003</v>
      </c>
      <c r="B99" s="338" t="s">
        <v>374</v>
      </c>
      <c r="C99" s="342">
        <f>SUMIF(Пр.10!$C12:$C440,1003,Пр.10!G12:G440)</f>
        <v>173410534</v>
      </c>
      <c r="D99" s="342">
        <f>SUMIF(Пр.10!$C12:$C440,1003,Пр.10!H12:H440)</f>
        <v>0</v>
      </c>
      <c r="E99" s="342">
        <f>SUMIF(Пр.10!$C12:$C440,1003,Пр.10!I12:I440)</f>
        <v>173410534</v>
      </c>
      <c r="F99" s="342">
        <f>SUMIF(Пр.10!$C12:$C440,1003,Пр.10!J12:J440)</f>
        <v>173410534</v>
      </c>
      <c r="G99" s="342">
        <f>SUMIF(Пр.10!$C12:$C440,1003,Пр.10!K12:K440)</f>
        <v>0</v>
      </c>
      <c r="H99" s="342">
        <f>SUMIF(Пр.10!$C12:$C440,1003,Пр.10!L12:L440)</f>
        <v>173410534</v>
      </c>
    </row>
    <row r="100" spans="1:8" ht="16.2" thickBot="1">
      <c r="A100" s="335">
        <v>1004</v>
      </c>
      <c r="B100" s="336" t="s">
        <v>1049</v>
      </c>
      <c r="C100" s="342">
        <f>SUMIF(Пр.10!$C14:$C441,1004,Пр.10!G14:G441)</f>
        <v>53902529</v>
      </c>
      <c r="D100" s="342">
        <f>SUMIF(Пр.10!$C14:$C441,1004,Пр.10!H14:H441)</f>
        <v>0</v>
      </c>
      <c r="E100" s="342">
        <f>SUMIF(Пр.10!$C14:$C441,1004,Пр.10!I14:I441)</f>
        <v>53902529</v>
      </c>
      <c r="F100" s="342">
        <f>SUMIF(Пр.10!$C14:$C441,1004,Пр.10!J14:J441)</f>
        <v>53902529</v>
      </c>
      <c r="G100" s="342">
        <f>SUMIF(Пр.10!$C14:$C441,1004,Пр.10!K14:K441)</f>
        <v>0</v>
      </c>
      <c r="H100" s="342">
        <f>SUMIF(Пр.10!$C14:$C441,1004,Пр.10!L14:L441)</f>
        <v>53902529</v>
      </c>
    </row>
    <row r="101" spans="1:8" ht="31.8" hidden="1" thickBot="1">
      <c r="A101" s="335">
        <v>1005</v>
      </c>
      <c r="B101" s="338" t="s">
        <v>1052</v>
      </c>
      <c r="C101" s="342">
        <f>SUMIF(Пр.10!$C15:$C442,1005,Пр.10!G15:G442)</f>
        <v>0</v>
      </c>
      <c r="D101" s="342">
        <f>SUMIF(Пр.10!$C15:$C442,1005,Пр.10!H15:H442)</f>
        <v>0</v>
      </c>
      <c r="E101" s="342">
        <f>SUMIF(Пр.10!$C15:$C442,1005,Пр.10!I15:I442)</f>
        <v>0</v>
      </c>
      <c r="F101" s="342">
        <f>SUMIF(Пр.10!$C15:$C442,1005,Пр.10!J15:J442)</f>
        <v>0</v>
      </c>
      <c r="G101" s="342">
        <f>SUMIF(Пр.10!$C15:$C442,1005,Пр.10!K15:K442)</f>
        <v>0</v>
      </c>
      <c r="H101" s="342">
        <f>SUMIF(Пр.10!$C15:$C442,1005,Пр.10!L15:L442)</f>
        <v>0</v>
      </c>
    </row>
    <row r="102" spans="1:8" ht="16.2" thickBot="1">
      <c r="A102" s="335">
        <v>1006</v>
      </c>
      <c r="B102" s="338" t="s">
        <v>106</v>
      </c>
      <c r="C102" s="342">
        <f>SUMIF(Пр.10!$C16:$C443,1006,Пр.10!G16:G443)</f>
        <v>12628800</v>
      </c>
      <c r="D102" s="342">
        <f>SUMIF(Пр.10!$C16:$C443,1006,Пр.10!H16:H443)</f>
        <v>0</v>
      </c>
      <c r="E102" s="342">
        <f>SUMIF(Пр.10!$C16:$C443,1006,Пр.10!I16:I443)</f>
        <v>12628800</v>
      </c>
      <c r="F102" s="342">
        <f>SUMIF(Пр.10!$C16:$C443,1006,Пр.10!J16:J443)</f>
        <v>12628800</v>
      </c>
      <c r="G102" s="342">
        <f>SUMIF(Пр.10!$C16:$C443,1006,Пр.10!K16:K443)</f>
        <v>0</v>
      </c>
      <c r="H102" s="342">
        <f>SUMIF(Пр.10!$C16:$C443,1006,Пр.10!L16:L443)</f>
        <v>12628800</v>
      </c>
    </row>
    <row r="103" spans="1:8" ht="16.2" hidden="1" thickBot="1">
      <c r="A103" s="332">
        <v>1100</v>
      </c>
      <c r="B103" s="343" t="s">
        <v>1341</v>
      </c>
      <c r="C103" s="340">
        <f t="shared" ref="C103" si="19">SUM(C104:C108)</f>
        <v>0</v>
      </c>
      <c r="D103" s="340">
        <f t="shared" ref="D103:H103" si="20">SUM(D104:D108)</f>
        <v>0</v>
      </c>
      <c r="E103" s="340">
        <f t="shared" si="20"/>
        <v>0</v>
      </c>
      <c r="F103" s="340">
        <f t="shared" si="20"/>
        <v>0</v>
      </c>
      <c r="G103" s="340">
        <f t="shared" si="20"/>
        <v>0</v>
      </c>
      <c r="H103" s="340">
        <f t="shared" si="20"/>
        <v>0</v>
      </c>
    </row>
    <row r="104" spans="1:8" ht="16.2" hidden="1" thickBot="1">
      <c r="A104" s="335">
        <v>1101</v>
      </c>
      <c r="B104" s="338" t="s">
        <v>1342</v>
      </c>
      <c r="C104" s="342">
        <f>SUMIF(Пр.10!$C10:$C436,1101,Пр.10!G10:G436)</f>
        <v>0</v>
      </c>
      <c r="D104" s="342">
        <f>SUMIF(Пр.10!$C10:$C436,1101,Пр.10!H10:H436)</f>
        <v>0</v>
      </c>
      <c r="E104" s="342">
        <f>SUMIF(Пр.10!$C10:$C436,1101,Пр.10!I10:I436)</f>
        <v>0</v>
      </c>
      <c r="F104" s="342">
        <f>SUMIF(Пр.10!$C10:$C436,1101,Пр.10!J10:J436)</f>
        <v>0</v>
      </c>
      <c r="G104" s="342">
        <f>SUMIF(Пр.10!$C10:$C436,1101,Пр.10!K10:K436)</f>
        <v>0</v>
      </c>
      <c r="H104" s="342">
        <f>SUMIF(Пр.10!$C10:$C436,1101,Пр.10!L10:L436)</f>
        <v>0</v>
      </c>
    </row>
    <row r="105" spans="1:8" ht="16.2" hidden="1" thickBot="1">
      <c r="A105" s="335">
        <v>1102</v>
      </c>
      <c r="B105" s="346" t="s">
        <v>1343</v>
      </c>
      <c r="C105" s="342">
        <f>SUMIF(Пр.10!$C11:$C436,1102,Пр.10!G11:G436)</f>
        <v>0</v>
      </c>
      <c r="D105" s="342">
        <f>SUMIF(Пр.10!$C11:$C436,1102,Пр.10!H11:H436)</f>
        <v>0</v>
      </c>
      <c r="E105" s="342">
        <f>SUMIF(Пр.10!$C11:$C436,1102,Пр.10!I11:I436)</f>
        <v>0</v>
      </c>
      <c r="F105" s="342">
        <f>SUMIF(Пр.10!$C11:$C436,1102,Пр.10!J11:J436)</f>
        <v>0</v>
      </c>
      <c r="G105" s="342">
        <f>SUMIF(Пр.10!$C11:$C436,1102,Пр.10!K11:K436)</f>
        <v>0</v>
      </c>
      <c r="H105" s="342">
        <f>SUMIF(Пр.10!$C11:$C436,1102,Пр.10!L11:L436)</f>
        <v>0</v>
      </c>
    </row>
    <row r="106" spans="1:8" ht="16.2" hidden="1" thickBot="1">
      <c r="A106" s="335">
        <v>1103</v>
      </c>
      <c r="B106" s="338" t="s">
        <v>1344</v>
      </c>
      <c r="C106" s="342">
        <f>SUMIF(Пр.10!$C12:$C440,1103,Пр.10!G12:G440)</f>
        <v>0</v>
      </c>
      <c r="D106" s="342">
        <f>SUMIF(Пр.10!$C12:$C440,1103,Пр.10!H12:H440)</f>
        <v>0</v>
      </c>
      <c r="E106" s="342">
        <f>SUMIF(Пр.10!$C12:$C440,1103,Пр.10!I12:I440)</f>
        <v>0</v>
      </c>
      <c r="F106" s="342">
        <f>SUMIF(Пр.10!$C12:$C440,1103,Пр.10!J12:J440)</f>
        <v>0</v>
      </c>
      <c r="G106" s="342">
        <f>SUMIF(Пр.10!$C12:$C440,1103,Пр.10!K12:K440)</f>
        <v>0</v>
      </c>
      <c r="H106" s="342">
        <f>SUMIF(Пр.10!$C12:$C440,1103,Пр.10!L12:L440)</f>
        <v>0</v>
      </c>
    </row>
    <row r="107" spans="1:8" ht="31.8" hidden="1" thickBot="1">
      <c r="A107" s="335">
        <v>1104</v>
      </c>
      <c r="B107" s="338" t="s">
        <v>1345</v>
      </c>
      <c r="C107" s="342">
        <f>SUMIF(Пр.10!$C14:$C441,1104,Пр.10!G14:G441)</f>
        <v>0</v>
      </c>
      <c r="D107" s="342">
        <f>SUMIF(Пр.10!$C14:$C441,1104,Пр.10!H14:H441)</f>
        <v>0</v>
      </c>
      <c r="E107" s="342">
        <f>SUMIF(Пр.10!$C14:$C441,1104,Пр.10!I14:I441)</f>
        <v>0</v>
      </c>
      <c r="F107" s="342">
        <f>SUMIF(Пр.10!$C14:$C441,1104,Пр.10!J14:J441)</f>
        <v>0</v>
      </c>
      <c r="G107" s="342">
        <f>SUMIF(Пр.10!$C14:$C441,1104,Пр.10!K14:K441)</f>
        <v>0</v>
      </c>
      <c r="H107" s="342">
        <f>SUMIF(Пр.10!$C14:$C441,1104,Пр.10!L14:L441)</f>
        <v>0</v>
      </c>
    </row>
    <row r="108" spans="1:8" ht="31.8" hidden="1" thickBot="1">
      <c r="A108" s="335">
        <v>1105</v>
      </c>
      <c r="B108" s="338" t="s">
        <v>1346</v>
      </c>
      <c r="C108" s="342">
        <f>SUMIF(Пр.10!$C15:$C442,1105,Пр.10!G15:G442)</f>
        <v>0</v>
      </c>
      <c r="D108" s="342">
        <f>SUMIF(Пр.10!$C15:$C442,1105,Пр.10!H15:H442)</f>
        <v>0</v>
      </c>
      <c r="E108" s="342">
        <f>SUMIF(Пр.10!$C15:$C442,1105,Пр.10!I15:I442)</f>
        <v>0</v>
      </c>
      <c r="F108" s="342">
        <f>SUMIF(Пр.10!$C15:$C442,1105,Пр.10!J15:J442)</f>
        <v>0</v>
      </c>
      <c r="G108" s="342">
        <f>SUMIF(Пр.10!$C15:$C442,1105,Пр.10!K15:K442)</f>
        <v>0</v>
      </c>
      <c r="H108" s="342">
        <f>SUMIF(Пр.10!$C15:$C442,1105,Пр.10!L15:L442)</f>
        <v>0</v>
      </c>
    </row>
    <row r="109" spans="1:8" ht="16.2" thickBot="1">
      <c r="A109" s="332">
        <v>1200</v>
      </c>
      <c r="B109" s="343" t="s">
        <v>1347</v>
      </c>
      <c r="C109" s="340">
        <f t="shared" ref="C109" si="21">SUM(C110:C113)</f>
        <v>4210000</v>
      </c>
      <c r="D109" s="340">
        <f t="shared" ref="D109:H109" si="22">SUM(D110:D113)</f>
        <v>0</v>
      </c>
      <c r="E109" s="340">
        <f t="shared" si="22"/>
        <v>4210000</v>
      </c>
      <c r="F109" s="340">
        <f t="shared" si="22"/>
        <v>3310000</v>
      </c>
      <c r="G109" s="340">
        <f t="shared" si="22"/>
        <v>0</v>
      </c>
      <c r="H109" s="340">
        <f t="shared" si="22"/>
        <v>3310000</v>
      </c>
    </row>
    <row r="110" spans="1:8" ht="16.2" hidden="1" thickBot="1">
      <c r="A110" s="335">
        <v>1201</v>
      </c>
      <c r="B110" s="338" t="s">
        <v>358</v>
      </c>
      <c r="C110" s="342">
        <f>SUMIF(Пр.10!$C10:$C436,1201,Пр.10!G10:G436)</f>
        <v>0</v>
      </c>
      <c r="D110" s="342">
        <f>SUMIF(Пр.10!$C10:$C436,1201,Пр.10!H10:H436)</f>
        <v>0</v>
      </c>
      <c r="E110" s="342">
        <f>SUMIF(Пр.10!$C10:$C436,1201,Пр.10!I10:I436)</f>
        <v>0</v>
      </c>
      <c r="F110" s="342">
        <f>SUMIF(Пр.10!$C10:$C436,1201,Пр.10!J10:J436)</f>
        <v>0</v>
      </c>
      <c r="G110" s="342">
        <f>SUMIF(Пр.10!$C10:$C436,1201,Пр.10!K10:K436)</f>
        <v>0</v>
      </c>
      <c r="H110" s="342">
        <f>SUMIF(Пр.10!$C10:$C436,1201,Пр.10!L10:L436)</f>
        <v>0</v>
      </c>
    </row>
    <row r="111" spans="1:8" ht="16.2" thickBot="1">
      <c r="A111" s="335">
        <v>1202</v>
      </c>
      <c r="B111" s="338" t="s">
        <v>215</v>
      </c>
      <c r="C111" s="342">
        <f>SUMIF(Пр.10!$C11:$C436,1202,Пр.10!G11:G436)</f>
        <v>4210000</v>
      </c>
      <c r="D111" s="342">
        <f>SUMIF(Пр.10!$C11:$C436,1202,Пр.10!H11:H436)</f>
        <v>0</v>
      </c>
      <c r="E111" s="342">
        <f>SUMIF(Пр.10!$C11:$C436,1202,Пр.10!I11:I436)</f>
        <v>4210000</v>
      </c>
      <c r="F111" s="342">
        <f>SUMIF(Пр.10!$C11:$C436,1202,Пр.10!J11:J436)</f>
        <v>3310000</v>
      </c>
      <c r="G111" s="342">
        <f>SUMIF(Пр.10!$C11:$C436,1202,Пр.10!K11:K436)</f>
        <v>0</v>
      </c>
      <c r="H111" s="342">
        <f>SUMIF(Пр.10!$C11:$C436,1202,Пр.10!L11:L436)</f>
        <v>3310000</v>
      </c>
    </row>
    <row r="112" spans="1:8" ht="31.8" hidden="1" thickBot="1">
      <c r="A112" s="335">
        <v>1203</v>
      </c>
      <c r="B112" s="338" t="s">
        <v>1348</v>
      </c>
      <c r="C112" s="342">
        <f>SUMIF(Пр.10!$C12:$C440,1203,Пр.10!G12:G440)</f>
        <v>0</v>
      </c>
      <c r="D112" s="342">
        <f>SUMIF(Пр.10!$C12:$C440,1203,Пр.10!H12:H440)</f>
        <v>0</v>
      </c>
      <c r="E112" s="342">
        <f>SUMIF(Пр.10!$C12:$C440,1203,Пр.10!I12:I440)</f>
        <v>0</v>
      </c>
      <c r="F112" s="342">
        <f>SUMIF(Пр.10!$C12:$C440,1203,Пр.10!J12:J440)</f>
        <v>0</v>
      </c>
      <c r="G112" s="342">
        <f>SUMIF(Пр.10!$C12:$C440,1203,Пр.10!K12:K440)</f>
        <v>0</v>
      </c>
      <c r="H112" s="342">
        <f>SUMIF(Пр.10!$C12:$C440,1203,Пр.10!L12:L440)</f>
        <v>0</v>
      </c>
    </row>
    <row r="113" spans="1:8" ht="31.8" hidden="1" thickBot="1">
      <c r="A113" s="335">
        <v>1204</v>
      </c>
      <c r="B113" s="338" t="s">
        <v>1349</v>
      </c>
      <c r="C113" s="342">
        <f>SUMIF(Пр.10!$C14:$C441,1204,Пр.10!G14:G441)</f>
        <v>0</v>
      </c>
      <c r="D113" s="342">
        <f>SUMIF(Пр.10!$C14:$C441,1204,Пр.10!H14:H441)</f>
        <v>0</v>
      </c>
      <c r="E113" s="342">
        <f>SUMIF(Пр.10!$C14:$C441,1204,Пр.10!I14:I441)</f>
        <v>0</v>
      </c>
      <c r="F113" s="342">
        <f>SUMIF(Пр.10!$C14:$C441,1204,Пр.10!J14:J441)</f>
        <v>0</v>
      </c>
      <c r="G113" s="342">
        <f>SUMIF(Пр.10!$C14:$C441,1204,Пр.10!K14:K441)</f>
        <v>0</v>
      </c>
      <c r="H113" s="342">
        <f>SUMIF(Пр.10!$C14:$C441,1204,Пр.10!L14:L441)</f>
        <v>0</v>
      </c>
    </row>
    <row r="114" spans="1:8" ht="31.8" thickBot="1">
      <c r="A114" s="332">
        <v>1300</v>
      </c>
      <c r="B114" s="343" t="s">
        <v>1350</v>
      </c>
      <c r="C114" s="334">
        <f t="shared" ref="C114" si="23">SUM(C115:C116)</f>
        <v>2000000</v>
      </c>
      <c r="D114" s="334">
        <f t="shared" ref="D114:H114" si="24">SUM(D115:D116)</f>
        <v>0</v>
      </c>
      <c r="E114" s="334">
        <f t="shared" si="24"/>
        <v>2000000</v>
      </c>
      <c r="F114" s="334">
        <f t="shared" si="24"/>
        <v>2000000</v>
      </c>
      <c r="G114" s="334">
        <f t="shared" si="24"/>
        <v>0</v>
      </c>
      <c r="H114" s="334">
        <f t="shared" si="24"/>
        <v>2000000</v>
      </c>
    </row>
    <row r="115" spans="1:8" ht="31.8" thickBot="1">
      <c r="A115" s="335">
        <v>1301</v>
      </c>
      <c r="B115" s="338" t="s">
        <v>531</v>
      </c>
      <c r="C115" s="342">
        <f>SUMIF(Пр.10!$C10:$C436,1301,Пр.10!G10:G436)</f>
        <v>2000000</v>
      </c>
      <c r="D115" s="342">
        <f>SUMIF(Пр.10!$C10:$C436,1301,Пр.10!H10:H436)</f>
        <v>0</v>
      </c>
      <c r="E115" s="342">
        <f>SUMIF(Пр.10!$C10:$C436,1301,Пр.10!I10:I436)</f>
        <v>2000000</v>
      </c>
      <c r="F115" s="342">
        <f>SUMIF(Пр.10!$C10:$C436,1301,Пр.10!J10:J436)</f>
        <v>2000000</v>
      </c>
      <c r="G115" s="342">
        <f>SUMIF(Пр.10!$C10:$C436,1301,Пр.10!K10:K436)</f>
        <v>0</v>
      </c>
      <c r="H115" s="342">
        <f>SUMIF(Пр.10!$C10:$C436,1301,Пр.10!L10:L436)</f>
        <v>2000000</v>
      </c>
    </row>
    <row r="116" spans="1:8" ht="16.2" hidden="1" thickBot="1">
      <c r="A116" s="335">
        <v>1302</v>
      </c>
      <c r="B116" s="338" t="s">
        <v>879</v>
      </c>
      <c r="C116" s="342">
        <f>SUMIF(Пр.10!$C11:$C436,1302,Пр.10!G11:G436)</f>
        <v>0</v>
      </c>
      <c r="D116" s="342">
        <f>SUMIF(Пр.10!$C11:$C436,1302,Пр.10!H11:H436)</f>
        <v>0</v>
      </c>
      <c r="E116" s="342">
        <f>SUMIF(Пр.10!$C11:$C436,1302,Пр.10!I11:I436)</f>
        <v>0</v>
      </c>
      <c r="F116" s="342">
        <f>SUMIF(Пр.10!$C11:$C436,1302,Пр.10!J11:J436)</f>
        <v>0</v>
      </c>
      <c r="G116" s="342">
        <f>SUMIF(Пр.10!$C11:$C436,1302,Пр.10!K11:K436)</f>
        <v>0</v>
      </c>
      <c r="H116" s="342">
        <f>SUMIF(Пр.10!$C11:$C436,1302,Пр.10!L11:L436)</f>
        <v>0</v>
      </c>
    </row>
    <row r="117" spans="1:8" ht="63" thickBot="1">
      <c r="A117" s="332">
        <v>1400</v>
      </c>
      <c r="B117" s="343" t="s">
        <v>893</v>
      </c>
      <c r="C117" s="340">
        <f t="shared" ref="C117" si="25">SUM(C118:C120)</f>
        <v>10866000</v>
      </c>
      <c r="D117" s="340">
        <f t="shared" ref="D117:H117" si="26">SUM(D118:D120)</f>
        <v>0</v>
      </c>
      <c r="E117" s="340">
        <f t="shared" si="26"/>
        <v>10866000</v>
      </c>
      <c r="F117" s="340">
        <f t="shared" si="26"/>
        <v>10080000</v>
      </c>
      <c r="G117" s="340">
        <f t="shared" si="26"/>
        <v>0</v>
      </c>
      <c r="H117" s="340">
        <f t="shared" si="26"/>
        <v>10080000</v>
      </c>
    </row>
    <row r="118" spans="1:8" ht="47.4" thickBot="1">
      <c r="A118" s="335">
        <v>1401</v>
      </c>
      <c r="B118" s="338" t="s">
        <v>894</v>
      </c>
      <c r="C118" s="342">
        <f>SUMIF(Пр.10!$C10:$C436,1401,Пр.10!G10:G436)</f>
        <v>10866000</v>
      </c>
      <c r="D118" s="342">
        <f>SUMIF(Пр.10!$C10:$C436,1401,Пр.10!H10:H436)</f>
        <v>0</v>
      </c>
      <c r="E118" s="342">
        <f>SUMIF(Пр.10!$C10:$C436,1401,Пр.10!I10:I436)</f>
        <v>10866000</v>
      </c>
      <c r="F118" s="342">
        <f>SUMIF(Пр.10!$C10:$C436,1401,Пр.10!J10:J436)</f>
        <v>10080000</v>
      </c>
      <c r="G118" s="342">
        <f>SUMIF(Пр.10!$C10:$C436,1401,Пр.10!K10:K436)</f>
        <v>0</v>
      </c>
      <c r="H118" s="342">
        <f>SUMIF(Пр.10!$C10:$C436,1401,Пр.10!L10:L436)</f>
        <v>10080000</v>
      </c>
    </row>
    <row r="119" spans="1:8" ht="16.2" hidden="1" thickBot="1">
      <c r="A119" s="335">
        <v>1402</v>
      </c>
      <c r="B119" s="338" t="s">
        <v>895</v>
      </c>
      <c r="C119" s="342">
        <f>SUMIF(Пр.10!$C11:$C436,1402,Пр.10!G11:G436)</f>
        <v>0</v>
      </c>
      <c r="D119" s="342">
        <f>SUMIF(Пр.10!$C11:$C436,1402,Пр.10!H11:H436)</f>
        <v>0</v>
      </c>
      <c r="E119" s="342">
        <f>SUMIF(Пр.10!$C11:$C436,1402,Пр.10!I11:I436)</f>
        <v>0</v>
      </c>
      <c r="F119" s="342">
        <f>SUMIF(Пр.10!$C11:$C436,1402,Пр.10!J11:J436)</f>
        <v>0</v>
      </c>
      <c r="G119" s="342">
        <f>SUMIF(Пр.10!$C11:$C436,1402,Пр.10!K11:K436)</f>
        <v>0</v>
      </c>
      <c r="H119" s="342">
        <f>SUMIF(Пр.10!$C11:$C436,1402,Пр.10!L11:L436)</f>
        <v>0</v>
      </c>
    </row>
    <row r="120" spans="1:8" ht="47.4" hidden="1" thickBot="1">
      <c r="A120" s="335">
        <v>1403</v>
      </c>
      <c r="B120" s="338" t="s">
        <v>896</v>
      </c>
      <c r="C120" s="342">
        <f>SUMIF(Пр.10!$C12:$C440,1403,Пр.10!G12:G440)</f>
        <v>0</v>
      </c>
      <c r="D120" s="342">
        <f>SUMIF(Пр.10!$C12:$C440,1403,Пр.10!H12:H440)</f>
        <v>0</v>
      </c>
      <c r="E120" s="342">
        <f>SUMIF(Пр.10!$C12:$C440,1403,Пр.10!I12:I440)</f>
        <v>0</v>
      </c>
      <c r="F120" s="342">
        <f>SUMIF(Пр.10!$C12:$C440,1403,Пр.10!J12:J440)</f>
        <v>0</v>
      </c>
      <c r="G120" s="342">
        <f>SUMIF(Пр.10!$C12:$C440,1403,Пр.10!K12:K440)</f>
        <v>0</v>
      </c>
      <c r="H120" s="342">
        <f>SUMIF(Пр.10!$C12:$C440,1403,Пр.10!L12:L440)</f>
        <v>0</v>
      </c>
    </row>
    <row r="121" spans="1:8" ht="16.2" thickBot="1">
      <c r="A121" s="789" t="s">
        <v>1148</v>
      </c>
      <c r="B121" s="789"/>
      <c r="C121" s="334">
        <f ca="1">C9+C23+C33+C46+C59+C65+C71+C81+C86+C96+C103+C109+C114+C117</f>
        <v>1365140585</v>
      </c>
      <c r="D121" s="334">
        <f ca="1">D9+D23+D33+D46+D59+D65+D71+D81+D86+D96+D103+D109+D114+D117</f>
        <v>17111567</v>
      </c>
      <c r="E121" s="334">
        <f ca="1">E9+E23+E33+E46+E59+E65+E71+E81+E86+E96+E103+E109+E114+E117</f>
        <v>1382252152</v>
      </c>
      <c r="F121" s="334">
        <f t="shared" ref="F121:H121" ca="1" si="27">F9+F23+F33+F46+F59+F65+F71+F81+F86+F96+F103+F109+F114+F117</f>
        <v>1243548320</v>
      </c>
      <c r="G121" s="334">
        <f t="shared" ca="1" si="27"/>
        <v>0</v>
      </c>
      <c r="H121" s="334">
        <f t="shared" ca="1" si="27"/>
        <v>1243548320</v>
      </c>
    </row>
    <row r="122" spans="1:8" ht="16.2" thickBot="1">
      <c r="A122" s="789" t="s">
        <v>1967</v>
      </c>
      <c r="B122" s="789"/>
      <c r="C122" s="348">
        <v>11845500</v>
      </c>
      <c r="D122" s="348">
        <v>0</v>
      </c>
      <c r="E122" s="348">
        <v>11845500</v>
      </c>
      <c r="F122" s="348">
        <v>23785900</v>
      </c>
      <c r="G122" s="348">
        <v>0</v>
      </c>
      <c r="H122" s="348">
        <v>23785900</v>
      </c>
    </row>
    <row r="123" spans="1:8" ht="16.2" thickBot="1">
      <c r="A123" s="789" t="s">
        <v>1068</v>
      </c>
      <c r="B123" s="789"/>
      <c r="C123" s="334">
        <f ca="1">Пр.2!J113-'Пр. 4'!C121-'Пр. 4'!C122</f>
        <v>0</v>
      </c>
      <c r="D123" s="334">
        <f ca="1">Пр.2!K113-'Пр. 4'!D121-'Пр. 4'!D122</f>
        <v>0</v>
      </c>
      <c r="E123" s="334">
        <f ca="1">Пр.2!L113-'Пр. 4'!E121-'Пр. 4'!E122</f>
        <v>0</v>
      </c>
      <c r="F123" s="334">
        <f ca="1">Пр.2!M113-'Пр. 4'!F121-'Пр. 4'!F122</f>
        <v>0</v>
      </c>
      <c r="G123" s="334">
        <f ca="1">Пр.2!N113-'Пр. 4'!G121-'Пр. 4'!G122</f>
        <v>0</v>
      </c>
      <c r="H123" s="334">
        <f ca="1">Пр.2!O113-'Пр. 4'!H121-'Пр. 4'!H122</f>
        <v>0</v>
      </c>
    </row>
  </sheetData>
  <mergeCells count="10">
    <mergeCell ref="A6:H6"/>
    <mergeCell ref="C7:H7"/>
    <mergeCell ref="A121:B121"/>
    <mergeCell ref="A123:B123"/>
    <mergeCell ref="A122:B122"/>
    <mergeCell ref="A1:H1"/>
    <mergeCell ref="A2:H2"/>
    <mergeCell ref="A3:H3"/>
    <mergeCell ref="A4:H4"/>
    <mergeCell ref="C5:H5"/>
  </mergeCells>
  <phoneticPr fontId="36" type="noConversion"/>
  <pageMargins left="0.70866141732283472" right="0.70866141732283472" top="0.74803149606299213" bottom="0.74803149606299213" header="0.31496062992125984" footer="0.31496062992125984"/>
  <pageSetup paperSize="9" scale="99" fitToHeight="0" orientation="portrait" r:id="rId1"/>
  <headerFooter alignWithMargins="0">
    <oddFooter>&amp;C&amp;P</oddFooter>
  </headerFooter>
</worksheet>
</file>

<file path=xl/worksheets/sheet40.xml><?xml version="1.0" encoding="utf-8"?>
<worksheet xmlns="http://schemas.openxmlformats.org/spreadsheetml/2006/main" xmlns:r="http://schemas.openxmlformats.org/officeDocument/2006/relationships">
  <sheetPr codeName="Лист42"/>
  <dimension ref="A1"/>
  <sheetViews>
    <sheetView workbookViewId="0"/>
  </sheetViews>
  <sheetFormatPr defaultRowHeight="13.2"/>
  <sheetData/>
  <pageMargins left="0.7" right="0.7" top="0.75" bottom="0.75" header="0.3" footer="0.3"/>
</worksheet>
</file>

<file path=xl/worksheets/sheet41.xml><?xml version="1.0" encoding="utf-8"?>
<worksheet xmlns="http://schemas.openxmlformats.org/spreadsheetml/2006/main" xmlns:r="http://schemas.openxmlformats.org/officeDocument/2006/relationships">
  <sheetPr codeName="Лист43"/>
  <dimension ref="A1"/>
  <sheetViews>
    <sheetView workbookViewId="0"/>
  </sheetViews>
  <sheetFormatPr defaultRowHeight="13.2"/>
  <sheetData/>
  <pageMargins left="0.7" right="0.7" top="0.75" bottom="0.75" header="0.3" footer="0.3"/>
</worksheet>
</file>

<file path=xl/worksheets/sheet42.xml><?xml version="1.0" encoding="utf-8"?>
<worksheet xmlns="http://schemas.openxmlformats.org/spreadsheetml/2006/main" xmlns:r="http://schemas.openxmlformats.org/officeDocument/2006/relationships">
  <sheetPr codeName="Лист44"/>
  <dimension ref="A1"/>
  <sheetViews>
    <sheetView workbookViewId="0"/>
  </sheetViews>
  <sheetFormatPr defaultRowHeight="13.2"/>
  <sheetData/>
  <pageMargins left="0.7" right="0.7" top="0.75" bottom="0.75" header="0.3" footer="0.3"/>
</worksheet>
</file>

<file path=xl/worksheets/sheet43.xml><?xml version="1.0" encoding="utf-8"?>
<worksheet xmlns="http://schemas.openxmlformats.org/spreadsheetml/2006/main" xmlns:r="http://schemas.openxmlformats.org/officeDocument/2006/relationships">
  <sheetPr codeName="Лист45"/>
  <dimension ref="A2:F8"/>
  <sheetViews>
    <sheetView workbookViewId="0">
      <selection activeCell="E8" sqref="E8"/>
    </sheetView>
  </sheetViews>
  <sheetFormatPr defaultRowHeight="13.2"/>
  <cols>
    <col min="3" max="3" width="18.109375" bestFit="1" customWidth="1"/>
    <col min="5" max="5" width="33" customWidth="1"/>
  </cols>
  <sheetData>
    <row r="2" spans="1:6">
      <c r="E2" s="413"/>
      <c r="F2" s="413"/>
    </row>
    <row r="3" spans="1:6">
      <c r="E3" s="413"/>
      <c r="F3" s="413"/>
    </row>
    <row r="4" spans="1:6">
      <c r="B4">
        <v>1</v>
      </c>
      <c r="E4" s="413"/>
      <c r="F4" s="413"/>
    </row>
    <row r="5" spans="1:6">
      <c r="E5" s="413"/>
      <c r="F5" s="413"/>
    </row>
    <row r="6" spans="1:6">
      <c r="E6" s="413"/>
      <c r="F6" s="413"/>
    </row>
    <row r="7" spans="1:6">
      <c r="E7" s="413"/>
      <c r="F7" s="413"/>
    </row>
    <row r="8" spans="1:6">
      <c r="A8" t="s">
        <v>2513</v>
      </c>
      <c r="B8" t="s">
        <v>2514</v>
      </c>
      <c r="C8" t="s">
        <v>2515</v>
      </c>
      <c r="D8" t="s">
        <v>2516</v>
      </c>
      <c r="E8" s="413" t="s">
        <v>97</v>
      </c>
      <c r="F8" s="413" t="s">
        <v>2517</v>
      </c>
    </row>
  </sheetData>
  <pageMargins left="0.7" right="0.7" top="0.75" bottom="0.75" header="0.3" footer="0.3"/>
</worksheet>
</file>

<file path=xl/worksheets/sheet44.xml><?xml version="1.0" encoding="utf-8"?>
<worksheet xmlns="http://schemas.openxmlformats.org/spreadsheetml/2006/main" xmlns:r="http://schemas.openxmlformats.org/officeDocument/2006/relationships">
  <dimension ref="A1:D16"/>
  <sheetViews>
    <sheetView showGridLines="0" view="pageBreakPreview" zoomScale="115" zoomScaleSheetLayoutView="115" workbookViewId="0">
      <selection activeCell="B6" sqref="B6"/>
    </sheetView>
  </sheetViews>
  <sheetFormatPr defaultColWidth="9.109375" defaultRowHeight="13.2"/>
  <cols>
    <col min="1" max="1" width="50.44140625" style="425" customWidth="1"/>
    <col min="2" max="2" width="18" style="425" customWidth="1"/>
    <col min="3" max="3" width="14.88671875" style="425" customWidth="1"/>
    <col min="4" max="4" width="0.33203125" style="425" customWidth="1"/>
    <col min="5" max="16384" width="9.109375" style="425"/>
  </cols>
  <sheetData>
    <row r="1" spans="1:4" ht="15.6">
      <c r="A1" s="892" t="s">
        <v>2288</v>
      </c>
      <c r="B1" s="892"/>
      <c r="C1" s="892"/>
      <c r="D1" s="892"/>
    </row>
    <row r="2" spans="1:4" ht="15.6">
      <c r="A2" s="892" t="s">
        <v>1069</v>
      </c>
      <c r="B2" s="892"/>
      <c r="C2" s="892"/>
      <c r="D2" s="892"/>
    </row>
    <row r="3" spans="1:4" ht="15.6">
      <c r="A3" s="892" t="s">
        <v>720</v>
      </c>
      <c r="B3" s="892"/>
      <c r="C3" s="892"/>
      <c r="D3" s="892"/>
    </row>
    <row r="4" spans="1:4" ht="15.6">
      <c r="A4" s="892" t="s">
        <v>3061</v>
      </c>
      <c r="B4" s="892"/>
      <c r="C4" s="892"/>
      <c r="D4" s="892"/>
    </row>
    <row r="5" spans="1:4" ht="15.6">
      <c r="A5" s="422"/>
      <c r="B5" s="422"/>
      <c r="C5" s="422"/>
      <c r="D5" s="284"/>
    </row>
    <row r="6" spans="1:4" ht="15.6">
      <c r="A6" s="284"/>
      <c r="B6" s="284"/>
      <c r="C6" s="284"/>
      <c r="D6" s="284"/>
    </row>
    <row r="7" spans="1:4" ht="36.75" customHeight="1">
      <c r="A7" s="901" t="s">
        <v>2638</v>
      </c>
      <c r="B7" s="901"/>
      <c r="C7" s="901"/>
      <c r="D7" s="901"/>
    </row>
    <row r="8" spans="1:4" ht="15.6">
      <c r="A8" s="423"/>
      <c r="B8" s="423"/>
      <c r="C8" s="423"/>
      <c r="D8" s="423"/>
    </row>
    <row r="9" spans="1:4" ht="41.25" customHeight="1">
      <c r="A9" s="902" t="s">
        <v>1644</v>
      </c>
      <c r="B9" s="902"/>
      <c r="C9" s="902"/>
      <c r="D9" s="903"/>
    </row>
    <row r="10" spans="1:4" ht="93.6">
      <c r="A10" s="418" t="s">
        <v>1645</v>
      </c>
      <c r="B10" s="418" t="s">
        <v>2110</v>
      </c>
      <c r="C10" s="418" t="s">
        <v>2111</v>
      </c>
      <c r="D10" s="424"/>
    </row>
    <row r="11" spans="1:4" ht="15.6">
      <c r="A11" s="428" t="s">
        <v>9</v>
      </c>
      <c r="B11" s="431">
        <v>8987000</v>
      </c>
      <c r="C11" s="430">
        <v>0</v>
      </c>
      <c r="D11" s="429"/>
    </row>
    <row r="12" spans="1:4" ht="15.6">
      <c r="A12" s="286" t="s">
        <v>1395</v>
      </c>
      <c r="B12" s="287">
        <f>3129000+C12</f>
        <v>3189000</v>
      </c>
      <c r="C12" s="283">
        <v>60000</v>
      </c>
      <c r="D12" s="288"/>
    </row>
    <row r="13" spans="1:4" ht="15.6">
      <c r="A13" s="286" t="s">
        <v>8</v>
      </c>
      <c r="B13" s="287">
        <f>3027000+C13</f>
        <v>3212000</v>
      </c>
      <c r="C13" s="283">
        <v>185000</v>
      </c>
      <c r="D13" s="288"/>
    </row>
    <row r="14" spans="1:4" ht="15.6">
      <c r="A14" s="286" t="s">
        <v>655</v>
      </c>
      <c r="B14" s="287">
        <f>5205000+C14</f>
        <v>5360000</v>
      </c>
      <c r="C14" s="283">
        <v>155000</v>
      </c>
      <c r="D14" s="288"/>
    </row>
    <row r="15" spans="1:4" ht="15.6">
      <c r="A15" s="289" t="s">
        <v>1148</v>
      </c>
      <c r="B15" s="290">
        <f>SUM(B11:B14)</f>
        <v>20748000</v>
      </c>
      <c r="C15" s="290">
        <f>SUM(C11:C14)</f>
        <v>400000</v>
      </c>
      <c r="D15" s="291"/>
    </row>
    <row r="16" spans="1:4" ht="15.6">
      <c r="A16" s="284"/>
      <c r="B16" s="284"/>
      <c r="C16" s="284"/>
      <c r="D16" s="284"/>
    </row>
  </sheetData>
  <mergeCells count="6">
    <mergeCell ref="A9:D9"/>
    <mergeCell ref="A1:D1"/>
    <mergeCell ref="A2:D2"/>
    <mergeCell ref="A3:D3"/>
    <mergeCell ref="A4:D4"/>
    <mergeCell ref="A7:D7"/>
  </mergeCell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dimension ref="A1:E15"/>
  <sheetViews>
    <sheetView showGridLines="0" view="pageBreakPreview" zoomScale="115" zoomScaleSheetLayoutView="115" workbookViewId="0">
      <selection activeCell="A4" sqref="A4:E4"/>
    </sheetView>
  </sheetViews>
  <sheetFormatPr defaultColWidth="9.109375" defaultRowHeight="13.2"/>
  <cols>
    <col min="1" max="1" width="34.6640625" style="425" customWidth="1"/>
    <col min="2" max="2" width="11.44140625" style="425" customWidth="1"/>
    <col min="3" max="3" width="13" style="425" customWidth="1"/>
    <col min="4" max="4" width="12.109375" style="425" customWidth="1"/>
    <col min="5" max="5" width="12.88671875" style="425" customWidth="1"/>
    <col min="6" max="16384" width="9.109375" style="425"/>
  </cols>
  <sheetData>
    <row r="1" spans="1:5" ht="15.6">
      <c r="A1" s="782" t="s">
        <v>2529</v>
      </c>
      <c r="B1" s="782"/>
      <c r="C1" s="782"/>
      <c r="D1" s="782"/>
      <c r="E1" s="904"/>
    </row>
    <row r="2" spans="1:5" ht="15.6">
      <c r="A2" s="782" t="s">
        <v>1069</v>
      </c>
      <c r="B2" s="782"/>
      <c r="C2" s="782"/>
      <c r="D2" s="782"/>
      <c r="E2" s="810"/>
    </row>
    <row r="3" spans="1:5" ht="15.6">
      <c r="A3" s="782" t="s">
        <v>720</v>
      </c>
      <c r="B3" s="782"/>
      <c r="C3" s="782"/>
      <c r="D3" s="782"/>
      <c r="E3" s="810"/>
    </row>
    <row r="4" spans="1:5" ht="15.6">
      <c r="A4" s="782" t="s">
        <v>3061</v>
      </c>
      <c r="B4" s="782"/>
      <c r="C4" s="782"/>
      <c r="D4" s="782"/>
      <c r="E4" s="810"/>
    </row>
    <row r="5" spans="1:5" ht="15">
      <c r="A5" s="420"/>
      <c r="B5" s="420"/>
      <c r="C5" s="420"/>
      <c r="D5" s="1"/>
      <c r="E5" s="295"/>
    </row>
    <row r="6" spans="1:5" ht="15">
      <c r="A6" s="1"/>
      <c r="B6" s="1"/>
      <c r="C6" s="1"/>
      <c r="D6" s="1"/>
      <c r="E6" s="295"/>
    </row>
    <row r="7" spans="1:5" ht="36.75" customHeight="1">
      <c r="A7" s="901" t="s">
        <v>2627</v>
      </c>
      <c r="B7" s="901"/>
      <c r="C7" s="901"/>
      <c r="D7" s="901"/>
      <c r="E7" s="813"/>
    </row>
    <row r="8" spans="1:5" ht="15.6">
      <c r="A8" s="423"/>
      <c r="B8" s="423"/>
      <c r="C8" s="423"/>
      <c r="D8" s="423"/>
      <c r="E8" s="296"/>
    </row>
    <row r="9" spans="1:5" ht="65.25" customHeight="1">
      <c r="A9" s="902" t="s">
        <v>1644</v>
      </c>
      <c r="B9" s="902"/>
      <c r="C9" s="902"/>
      <c r="D9" s="902"/>
      <c r="E9" s="902"/>
    </row>
    <row r="10" spans="1:5" ht="15.6">
      <c r="A10" s="905" t="s">
        <v>1645</v>
      </c>
      <c r="B10" s="907" t="s">
        <v>2525</v>
      </c>
      <c r="C10" s="908"/>
      <c r="D10" s="907" t="s">
        <v>2618</v>
      </c>
      <c r="E10" s="908"/>
    </row>
    <row r="11" spans="1:5" ht="109.2">
      <c r="A11" s="906"/>
      <c r="B11" s="418" t="s">
        <v>2110</v>
      </c>
      <c r="C11" s="418" t="s">
        <v>2111</v>
      </c>
      <c r="D11" s="418" t="s">
        <v>2110</v>
      </c>
      <c r="E11" s="418" t="s">
        <v>2111</v>
      </c>
    </row>
    <row r="12" spans="1:5" ht="15.6">
      <c r="A12" s="539" t="s">
        <v>9</v>
      </c>
      <c r="B12" s="311">
        <v>10560000</v>
      </c>
      <c r="C12" s="311">
        <v>0</v>
      </c>
      <c r="D12" s="311">
        <v>9781000</v>
      </c>
      <c r="E12" s="311">
        <v>0</v>
      </c>
    </row>
    <row r="13" spans="1:5" ht="15.6">
      <c r="A13" s="286" t="s">
        <v>1395</v>
      </c>
      <c r="B13" s="287">
        <f>236000+C13</f>
        <v>306000</v>
      </c>
      <c r="C13" s="283">
        <v>70000</v>
      </c>
      <c r="D13" s="287">
        <f>249000+E13</f>
        <v>299000</v>
      </c>
      <c r="E13" s="287">
        <v>50000</v>
      </c>
    </row>
    <row r="14" spans="1:5" ht="15.6">
      <c r="A14" s="289" t="s">
        <v>1148</v>
      </c>
      <c r="B14" s="297">
        <f>B13+B12</f>
        <v>10866000</v>
      </c>
      <c r="C14" s="297">
        <f t="shared" ref="C14:E14" si="0">C13+C12</f>
        <v>70000</v>
      </c>
      <c r="D14" s="297">
        <f t="shared" si="0"/>
        <v>10080000</v>
      </c>
      <c r="E14" s="297">
        <f t="shared" si="0"/>
        <v>50000</v>
      </c>
    </row>
    <row r="15" spans="1:5" ht="15.6">
      <c r="A15" s="298"/>
      <c r="B15" s="298"/>
      <c r="C15" s="298"/>
      <c r="D15" s="298"/>
      <c r="E15" s="298"/>
    </row>
  </sheetData>
  <mergeCells count="9">
    <mergeCell ref="A10:A11"/>
    <mergeCell ref="B10:C10"/>
    <mergeCell ref="D10:E10"/>
    <mergeCell ref="A1:E1"/>
    <mergeCell ref="A2:E2"/>
    <mergeCell ref="A3:E3"/>
    <mergeCell ref="A4:E4"/>
    <mergeCell ref="A7:E7"/>
    <mergeCell ref="A9:E9"/>
  </mergeCells>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sheetPr codeName="Лист16">
    <pageSetUpPr fitToPage="1"/>
  </sheetPr>
  <dimension ref="A1:I20"/>
  <sheetViews>
    <sheetView showGridLines="0" view="pageBreakPreview" topLeftCell="A7" zoomScale="115" zoomScaleSheetLayoutView="115" workbookViewId="0">
      <selection activeCell="D16" sqref="D16"/>
    </sheetView>
  </sheetViews>
  <sheetFormatPr defaultColWidth="9.109375" defaultRowHeight="15.6"/>
  <cols>
    <col min="1" max="1" width="4.109375" style="284" customWidth="1"/>
    <col min="2" max="2" width="56.33203125" style="284" customWidth="1"/>
    <col min="3" max="3" width="15.44140625" style="284" customWidth="1"/>
    <col min="4" max="4" width="12.88671875" style="284" customWidth="1"/>
    <col min="5" max="5" width="11.33203125" style="284" bestFit="1" customWidth="1"/>
    <col min="6" max="6" width="43.44140625" style="284" customWidth="1"/>
    <col min="7" max="16384" width="9.109375" style="284"/>
  </cols>
  <sheetData>
    <row r="1" spans="1:9">
      <c r="B1" s="892" t="s">
        <v>2055</v>
      </c>
      <c r="C1" s="892"/>
      <c r="D1" s="892"/>
      <c r="E1" s="892"/>
    </row>
    <row r="2" spans="1:9">
      <c r="B2" s="892" t="s">
        <v>1069</v>
      </c>
      <c r="C2" s="892"/>
      <c r="D2" s="892"/>
      <c r="E2" s="892"/>
    </row>
    <row r="3" spans="1:9">
      <c r="B3" s="892" t="s">
        <v>720</v>
      </c>
      <c r="C3" s="892"/>
      <c r="D3" s="892"/>
      <c r="E3" s="892"/>
    </row>
    <row r="4" spans="1:9" ht="14.25" customHeight="1">
      <c r="B4" s="892" t="s">
        <v>3063</v>
      </c>
      <c r="C4" s="892"/>
      <c r="D4" s="892"/>
      <c r="E4" s="892"/>
    </row>
    <row r="5" spans="1:9" ht="9.75" customHeight="1">
      <c r="B5" s="303"/>
      <c r="C5" s="303"/>
    </row>
    <row r="6" spans="1:9" ht="0.75" customHeight="1"/>
    <row r="7" spans="1:9" ht="34.5" customHeight="1">
      <c r="A7" s="901" t="s">
        <v>2639</v>
      </c>
      <c r="B7" s="901"/>
      <c r="C7" s="901"/>
      <c r="D7" s="901"/>
      <c r="E7" s="901"/>
    </row>
    <row r="8" spans="1:9" ht="18.75" customHeight="1" thickBot="1">
      <c r="A8" s="956" t="s">
        <v>2606</v>
      </c>
      <c r="B8" s="956"/>
      <c r="C8" s="956"/>
      <c r="D8" s="956"/>
      <c r="E8" s="956"/>
    </row>
    <row r="9" spans="1:9" ht="31.2">
      <c r="A9" s="957" t="s">
        <v>1645</v>
      </c>
      <c r="B9" s="958"/>
      <c r="C9" s="592" t="s">
        <v>2458</v>
      </c>
      <c r="D9" s="592" t="s">
        <v>1140</v>
      </c>
      <c r="E9" s="592" t="s">
        <v>1103</v>
      </c>
      <c r="I9" s="314"/>
    </row>
    <row r="10" spans="1:9" ht="17.25" customHeight="1">
      <c r="A10" s="959" t="s">
        <v>9</v>
      </c>
      <c r="B10" s="960"/>
      <c r="C10" s="287">
        <v>20283000</v>
      </c>
      <c r="D10" s="287"/>
      <c r="E10" s="287">
        <f>SUM(C10:D10)</f>
        <v>20283000</v>
      </c>
      <c r="I10" s="314"/>
    </row>
    <row r="11" spans="1:9" ht="28.5" customHeight="1" thickBot="1">
      <c r="A11" s="961" t="s">
        <v>1148</v>
      </c>
      <c r="B11" s="962"/>
      <c r="C11" s="409">
        <v>20283000</v>
      </c>
      <c r="D11" s="409">
        <f t="shared" ref="D11" si="0">SUM(D10:D10)</f>
        <v>0</v>
      </c>
      <c r="E11" s="310">
        <f>SUM(C11:D11)</f>
        <v>20283000</v>
      </c>
    </row>
    <row r="12" spans="1:9" ht="61.5" customHeight="1" thickBot="1">
      <c r="A12" s="964" t="s">
        <v>3002</v>
      </c>
      <c r="B12" s="964"/>
      <c r="C12" s="964"/>
      <c r="D12" s="964"/>
      <c r="E12" s="964"/>
    </row>
    <row r="13" spans="1:9" ht="31.2">
      <c r="A13" s="957" t="s">
        <v>1645</v>
      </c>
      <c r="B13" s="958"/>
      <c r="C13" s="592" t="s">
        <v>2458</v>
      </c>
      <c r="D13" s="592" t="s">
        <v>1140</v>
      </c>
      <c r="E13" s="592" t="s">
        <v>1103</v>
      </c>
    </row>
    <row r="14" spans="1:9">
      <c r="A14" s="963" t="s">
        <v>9</v>
      </c>
      <c r="B14" s="922"/>
      <c r="C14" s="287">
        <v>20247000</v>
      </c>
      <c r="D14" s="287"/>
      <c r="E14" s="287">
        <f>SUM(C14:D14)</f>
        <v>20247000</v>
      </c>
    </row>
    <row r="15" spans="1:9">
      <c r="A15" s="921" t="s">
        <v>1395</v>
      </c>
      <c r="B15" s="922"/>
      <c r="C15" s="560">
        <v>500000</v>
      </c>
      <c r="D15" s="560"/>
      <c r="E15" s="287">
        <f t="shared" ref="E15:E19" si="1">SUM(C15:D15)</f>
        <v>500000</v>
      </c>
    </row>
    <row r="16" spans="1:9" ht="15.75" customHeight="1">
      <c r="A16" s="921" t="s">
        <v>2190</v>
      </c>
      <c r="B16" s="922"/>
      <c r="C16" s="560">
        <v>0</v>
      </c>
      <c r="D16" s="560"/>
      <c r="E16" s="287">
        <f t="shared" si="1"/>
        <v>0</v>
      </c>
    </row>
    <row r="17" spans="1:5">
      <c r="A17" s="921" t="s">
        <v>8</v>
      </c>
      <c r="B17" s="922"/>
      <c r="C17" s="560">
        <v>1500000</v>
      </c>
      <c r="D17" s="560"/>
      <c r="E17" s="287">
        <f t="shared" si="1"/>
        <v>1500000</v>
      </c>
    </row>
    <row r="18" spans="1:5" ht="22.5" customHeight="1" thickBot="1">
      <c r="A18" s="966" t="s">
        <v>1148</v>
      </c>
      <c r="B18" s="967"/>
      <c r="C18" s="409">
        <v>22247000</v>
      </c>
      <c r="D18" s="409">
        <f t="shared" ref="D18" si="2">D14+D15+D16+D17</f>
        <v>0</v>
      </c>
      <c r="E18" s="310">
        <f t="shared" si="1"/>
        <v>22247000</v>
      </c>
    </row>
    <row r="19" spans="1:5" ht="9" hidden="1" customHeight="1">
      <c r="E19" s="310">
        <f t="shared" si="1"/>
        <v>0</v>
      </c>
    </row>
    <row r="20" spans="1:5" ht="17.25" customHeight="1">
      <c r="A20" s="965" t="s">
        <v>2457</v>
      </c>
      <c r="B20" s="965"/>
      <c r="C20" s="313"/>
      <c r="D20" s="313"/>
      <c r="E20" s="310">
        <f>E11+E18</f>
        <v>42530000</v>
      </c>
    </row>
  </sheetData>
  <mergeCells count="17">
    <mergeCell ref="A20:B20"/>
    <mergeCell ref="A18:B18"/>
    <mergeCell ref="A15:B15"/>
    <mergeCell ref="A16:B16"/>
    <mergeCell ref="A17:B17"/>
    <mergeCell ref="A9:B9"/>
    <mergeCell ref="A10:B10"/>
    <mergeCell ref="A11:B11"/>
    <mergeCell ref="A13:B13"/>
    <mergeCell ref="A14:B14"/>
    <mergeCell ref="A12:E12"/>
    <mergeCell ref="A7:E7"/>
    <mergeCell ref="A8:E8"/>
    <mergeCell ref="B1:E1"/>
    <mergeCell ref="B2:E2"/>
    <mergeCell ref="B3:E3"/>
    <mergeCell ref="B4:E4"/>
  </mergeCells>
  <phoneticPr fontId="36" type="noConversion"/>
  <pageMargins left="0.70866141732283472" right="0.70866141732283472" top="0.74803149606299213" bottom="0.74803149606299213" header="0.31496062992125984" footer="0.31496062992125984"/>
  <pageSetup paperSize="9" scale="89" fitToHeight="100" orientation="portrait" r:id="rId1"/>
  <headerFooter alignWithMargins="0">
    <oddFooter>&amp;C&amp;P</oddFooter>
  </headerFooter>
</worksheet>
</file>

<file path=xl/worksheets/sheet47.xml><?xml version="1.0" encoding="utf-8"?>
<worksheet xmlns="http://schemas.openxmlformats.org/spreadsheetml/2006/main" xmlns:r="http://schemas.openxmlformats.org/officeDocument/2006/relationships">
  <sheetPr>
    <pageSetUpPr fitToPage="1"/>
  </sheetPr>
  <dimension ref="A1:H17"/>
  <sheetViews>
    <sheetView showGridLines="0" view="pageBreakPreview" zoomScaleSheetLayoutView="100" workbookViewId="0">
      <selection activeCell="B5" sqref="B1:H1048576"/>
    </sheetView>
  </sheetViews>
  <sheetFormatPr defaultColWidth="9.109375" defaultRowHeight="13.2"/>
  <cols>
    <col min="1" max="1" width="4.109375" style="425" customWidth="1"/>
    <col min="2" max="2" width="55.109375" style="425" customWidth="1"/>
    <col min="3" max="4" width="13.5546875" style="425" customWidth="1"/>
    <col min="5" max="5" width="11.33203125" style="425" bestFit="1" customWidth="1"/>
    <col min="6" max="7" width="11.33203125" style="425" customWidth="1"/>
    <col min="8" max="8" width="11.33203125" style="425" bestFit="1" customWidth="1"/>
    <col min="9" max="16384" width="9.109375" style="425"/>
  </cols>
  <sheetData>
    <row r="1" spans="1:8" ht="15.6">
      <c r="A1" s="284"/>
      <c r="B1" s="892" t="s">
        <v>2054</v>
      </c>
      <c r="C1" s="892"/>
      <c r="D1" s="892"/>
      <c r="E1" s="892"/>
      <c r="F1" s="892"/>
      <c r="G1" s="892"/>
      <c r="H1" s="892"/>
    </row>
    <row r="2" spans="1:8" ht="15.6">
      <c r="A2" s="284"/>
      <c r="B2" s="892" t="s">
        <v>1069</v>
      </c>
      <c r="C2" s="892"/>
      <c r="D2" s="892"/>
      <c r="E2" s="892"/>
      <c r="F2" s="892"/>
      <c r="G2" s="892"/>
      <c r="H2" s="892"/>
    </row>
    <row r="3" spans="1:8" ht="15.6">
      <c r="A3" s="284"/>
      <c r="B3" s="892" t="s">
        <v>720</v>
      </c>
      <c r="C3" s="892"/>
      <c r="D3" s="892"/>
      <c r="E3" s="892"/>
      <c r="F3" s="892"/>
      <c r="G3" s="892"/>
      <c r="H3" s="892"/>
    </row>
    <row r="4" spans="1:8" ht="15.6">
      <c r="A4" s="284"/>
      <c r="B4" s="892" t="s">
        <v>3061</v>
      </c>
      <c r="C4" s="892"/>
      <c r="D4" s="892"/>
      <c r="E4" s="892"/>
      <c r="F4" s="892"/>
      <c r="G4" s="892"/>
      <c r="H4" s="892"/>
    </row>
    <row r="5" spans="1:8" ht="15.6">
      <c r="A5" s="284"/>
      <c r="B5" s="422"/>
      <c r="C5" s="284"/>
      <c r="D5" s="284"/>
      <c r="E5" s="284"/>
      <c r="F5" s="284"/>
      <c r="G5" s="284"/>
      <c r="H5" s="284"/>
    </row>
    <row r="6" spans="1:8" ht="15.6">
      <c r="A6" s="284"/>
      <c r="B6" s="284"/>
      <c r="C6" s="284"/>
      <c r="D6" s="284"/>
      <c r="E6" s="284"/>
      <c r="F6" s="284"/>
      <c r="G6" s="284"/>
      <c r="H6" s="284"/>
    </row>
    <row r="7" spans="1:8" ht="35.25" customHeight="1">
      <c r="A7" s="901" t="s">
        <v>2628</v>
      </c>
      <c r="B7" s="901"/>
      <c r="C7" s="901"/>
      <c r="D7" s="901"/>
      <c r="E7" s="901"/>
      <c r="F7" s="901"/>
      <c r="G7" s="901"/>
      <c r="H7" s="901"/>
    </row>
    <row r="8" spans="1:8" ht="12.75" customHeight="1">
      <c r="A8" s="903" t="s">
        <v>2606</v>
      </c>
      <c r="B8" s="903"/>
      <c r="C8" s="903"/>
      <c r="D8" s="903"/>
      <c r="E8" s="903"/>
      <c r="F8" s="903"/>
      <c r="G8" s="903"/>
      <c r="H8" s="903"/>
    </row>
    <row r="9" spans="1:8" ht="12.75" customHeight="1">
      <c r="A9" s="902"/>
      <c r="B9" s="902"/>
      <c r="C9" s="902"/>
      <c r="D9" s="902"/>
      <c r="E9" s="902"/>
      <c r="F9" s="902"/>
      <c r="G9" s="902"/>
      <c r="H9" s="902"/>
    </row>
    <row r="10" spans="1:8" ht="62.4">
      <c r="A10" s="781" t="s">
        <v>1645</v>
      </c>
      <c r="B10" s="781"/>
      <c r="C10" s="590" t="s">
        <v>3022</v>
      </c>
      <c r="D10" s="590" t="s">
        <v>1140</v>
      </c>
      <c r="E10" s="590" t="s">
        <v>2525</v>
      </c>
      <c r="F10" s="590" t="s">
        <v>3023</v>
      </c>
      <c r="G10" s="590" t="s">
        <v>1140</v>
      </c>
      <c r="H10" s="590" t="s">
        <v>2618</v>
      </c>
    </row>
    <row r="11" spans="1:8" ht="15.75" customHeight="1">
      <c r="A11" s="921" t="s">
        <v>2190</v>
      </c>
      <c r="B11" s="922"/>
      <c r="C11" s="311">
        <v>500000</v>
      </c>
      <c r="D11" s="311"/>
      <c r="E11" s="311">
        <f>SUM(C11:D11)</f>
        <v>500000</v>
      </c>
      <c r="F11" s="311">
        <v>500000</v>
      </c>
      <c r="G11" s="311"/>
      <c r="H11" s="311">
        <f>SUM(F11:G11)</f>
        <v>500000</v>
      </c>
    </row>
    <row r="12" spans="1:8" ht="15.75" customHeight="1">
      <c r="A12" s="921" t="s">
        <v>8</v>
      </c>
      <c r="B12" s="922"/>
      <c r="C12" s="311">
        <v>1500000</v>
      </c>
      <c r="D12" s="311"/>
      <c r="E12" s="311">
        <f t="shared" ref="E12:E16" si="0">SUM(C12:D12)</f>
        <v>1500000</v>
      </c>
      <c r="F12" s="311">
        <v>1500000</v>
      </c>
      <c r="G12" s="311"/>
      <c r="H12" s="311">
        <f t="shared" ref="H12:H16" si="1">SUM(F12:G12)</f>
        <v>1500000</v>
      </c>
    </row>
    <row r="13" spans="1:8" ht="15.75" customHeight="1">
      <c r="A13" s="921" t="s">
        <v>2191</v>
      </c>
      <c r="B13" s="922"/>
      <c r="C13" s="287">
        <v>1000000</v>
      </c>
      <c r="D13" s="287"/>
      <c r="E13" s="311">
        <f t="shared" si="0"/>
        <v>1000000</v>
      </c>
      <c r="F13" s="287">
        <v>1000000</v>
      </c>
      <c r="G13" s="287"/>
      <c r="H13" s="311">
        <f t="shared" si="1"/>
        <v>1000000</v>
      </c>
    </row>
    <row r="14" spans="1:8" ht="15.6">
      <c r="A14" s="921" t="s">
        <v>1395</v>
      </c>
      <c r="B14" s="922"/>
      <c r="C14" s="287">
        <v>500000</v>
      </c>
      <c r="D14" s="287"/>
      <c r="E14" s="311">
        <f t="shared" si="0"/>
        <v>500000</v>
      </c>
      <c r="F14" s="287">
        <v>500000</v>
      </c>
      <c r="G14" s="287"/>
      <c r="H14" s="311">
        <f t="shared" si="1"/>
        <v>500000</v>
      </c>
    </row>
    <row r="15" spans="1:8" ht="15.6">
      <c r="A15" s="921" t="s">
        <v>9</v>
      </c>
      <c r="B15" s="922"/>
      <c r="C15" s="287">
        <v>4500000</v>
      </c>
      <c r="D15" s="287"/>
      <c r="E15" s="311">
        <f t="shared" si="0"/>
        <v>4500000</v>
      </c>
      <c r="F15" s="287">
        <v>6783000</v>
      </c>
      <c r="G15" s="287"/>
      <c r="H15" s="311">
        <f t="shared" si="1"/>
        <v>6783000</v>
      </c>
    </row>
    <row r="16" spans="1:8" ht="15.6">
      <c r="A16" s="920" t="s">
        <v>1148</v>
      </c>
      <c r="B16" s="920"/>
      <c r="C16" s="81">
        <f>SUM(C11:C15)</f>
        <v>8000000</v>
      </c>
      <c r="D16" s="81">
        <f t="shared" ref="D16" si="2">SUM(D11:D15)</f>
        <v>0</v>
      </c>
      <c r="E16" s="599">
        <f t="shared" si="0"/>
        <v>8000000</v>
      </c>
      <c r="F16" s="81">
        <f>SUM(F11:F15)</f>
        <v>10283000</v>
      </c>
      <c r="G16" s="81">
        <f t="shared" ref="G16" si="3">SUM(G11:G15)</f>
        <v>0</v>
      </c>
      <c r="H16" s="599">
        <f t="shared" si="1"/>
        <v>10283000</v>
      </c>
    </row>
    <row r="17" spans="1:8" ht="15.6">
      <c r="A17" s="968"/>
      <c r="B17" s="968"/>
      <c r="C17" s="968"/>
      <c r="D17" s="969"/>
      <c r="E17" s="968"/>
      <c r="F17" s="968"/>
      <c r="G17" s="968"/>
      <c r="H17" s="969"/>
    </row>
  </sheetData>
  <mergeCells count="15">
    <mergeCell ref="B2:H2"/>
    <mergeCell ref="B1:H1"/>
    <mergeCell ref="A10:B10"/>
    <mergeCell ref="A17:D17"/>
    <mergeCell ref="A14:B14"/>
    <mergeCell ref="A11:B11"/>
    <mergeCell ref="A12:B12"/>
    <mergeCell ref="A13:B13"/>
    <mergeCell ref="A15:B15"/>
    <mergeCell ref="A16:B16"/>
    <mergeCell ref="E17:H17"/>
    <mergeCell ref="A8:H9"/>
    <mergeCell ref="A7:H7"/>
    <mergeCell ref="B4:H4"/>
    <mergeCell ref="B3:H3"/>
  </mergeCells>
  <pageMargins left="0.70866141732283472" right="0.70866141732283472" top="0.74803149606299213" bottom="0.74803149606299213" header="0.31496062992125984" footer="0.31496062992125984"/>
  <pageSetup paperSize="9" scale="67" fitToHeight="100" orientation="portrait" r:id="rId1"/>
</worksheet>
</file>

<file path=xl/worksheets/sheet48.xml><?xml version="1.0" encoding="utf-8"?>
<worksheet xmlns="http://schemas.openxmlformats.org/spreadsheetml/2006/main" xmlns:r="http://schemas.openxmlformats.org/officeDocument/2006/relationships">
  <sheetPr>
    <pageSetUpPr fitToPage="1"/>
  </sheetPr>
  <dimension ref="A1"/>
  <sheetViews>
    <sheetView showGridLines="0" view="pageBreakPreview" zoomScaleSheetLayoutView="100" workbookViewId="0">
      <selection activeCell="E32" sqref="E32"/>
    </sheetView>
  </sheetViews>
  <sheetFormatPr defaultColWidth="9.109375" defaultRowHeight="13.2"/>
  <cols>
    <col min="1" max="1" width="59" style="425" customWidth="1"/>
    <col min="2" max="3" width="0" style="425" hidden="1" customWidth="1"/>
    <col min="4" max="4" width="14.88671875" style="425" customWidth="1"/>
    <col min="5" max="5" width="14.44140625" style="425" customWidth="1"/>
    <col min="6" max="16384" width="9.109375" style="425"/>
  </cols>
  <sheetData/>
  <pageMargins left="0.70866141732283472" right="0.70866141732283472" top="0.74803149606299213" bottom="0.74803149606299213" header="0.31496062992125984" footer="0.31496062992125984"/>
  <pageSetup paperSize="9" fitToHeight="100" orientation="portrait" r:id="rId1"/>
</worksheet>
</file>

<file path=xl/worksheets/sheet49.xml><?xml version="1.0" encoding="utf-8"?>
<worksheet xmlns="http://schemas.openxmlformats.org/spreadsheetml/2006/main" xmlns:r="http://schemas.openxmlformats.org/officeDocument/2006/relationships">
  <sheetPr codeName="Лист26">
    <pageSetUpPr fitToPage="1"/>
  </sheetPr>
  <dimension ref="A1:C1513"/>
  <sheetViews>
    <sheetView showGridLines="0" topLeftCell="A1400" zoomScaleSheetLayoutView="100" workbookViewId="0">
      <selection activeCell="B1405" sqref="B1405"/>
    </sheetView>
  </sheetViews>
  <sheetFormatPr defaultColWidth="31.88671875" defaultRowHeight="13.2"/>
  <cols>
    <col min="1" max="1" width="7" style="60" bestFit="1" customWidth="1"/>
    <col min="2" max="2" width="106.109375" style="59" customWidth="1"/>
    <col min="3" max="16384" width="31.88671875" style="58"/>
  </cols>
  <sheetData>
    <row r="1" spans="1:2" s="62" customFormat="1" hidden="1">
      <c r="A1" s="60"/>
      <c r="B1" s="61"/>
    </row>
    <row r="2" spans="1:2" hidden="1"/>
    <row r="3" spans="1:2" hidden="1"/>
    <row r="4" spans="1:2" hidden="1"/>
    <row r="5" spans="1:2" hidden="1"/>
    <row r="6" spans="1:2" hidden="1"/>
    <row r="7" spans="1:2" hidden="1"/>
    <row r="8" spans="1:2" hidden="1"/>
    <row r="9" spans="1:2" hidden="1"/>
    <row r="10" spans="1:2" hidden="1"/>
    <row r="11" spans="1:2" hidden="1"/>
    <row r="12" spans="1:2" hidden="1"/>
    <row r="13" spans="1:2" hidden="1"/>
    <row r="14" spans="1:2" hidden="1"/>
    <row r="15" spans="1:2" hidden="1"/>
    <row r="16" spans="1:2" hidden="1"/>
    <row r="17" hidden="1"/>
    <row r="18" hidden="1"/>
    <row r="19" hidden="1"/>
    <row r="20" hidden="1"/>
    <row r="21" hidden="1"/>
    <row r="22" hidden="1"/>
    <row r="23" hidden="1"/>
    <row r="24" hidden="1"/>
    <row r="25" hidden="1"/>
    <row r="26" hidden="1"/>
    <row r="27" hidden="1"/>
    <row r="28" hidden="1"/>
    <row r="29" hidden="1"/>
    <row r="30" hidden="1"/>
    <row r="31" hidden="1"/>
    <row r="32"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spans="2:2" hidden="1"/>
    <row r="98" spans="2:2" hidden="1"/>
    <row r="99" spans="2:2" hidden="1">
      <c r="B99" s="58"/>
    </row>
    <row r="100" spans="2:2" hidden="1"/>
    <row r="101" spans="2:2" hidden="1"/>
    <row r="102" spans="2:2" hidden="1"/>
    <row r="103" spans="2:2" hidden="1"/>
    <row r="104" spans="2:2" hidden="1"/>
    <row r="105" spans="2:2" hidden="1"/>
    <row r="106" spans="2:2" hidden="1"/>
    <row r="107" spans="2:2" hidden="1"/>
    <row r="108" spans="2:2" hidden="1"/>
    <row r="109" spans="2:2" hidden="1"/>
    <row r="110" spans="2:2" hidden="1"/>
    <row r="111" spans="2:2" hidden="1"/>
    <row r="112" spans="2: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spans="1:3" hidden="1"/>
    <row r="1394" spans="1:3" hidden="1"/>
    <row r="1395" spans="1:3" hidden="1"/>
    <row r="1396" spans="1:3" hidden="1"/>
    <row r="1397" spans="1:3" hidden="1"/>
    <row r="1398" spans="1:3" hidden="1"/>
    <row r="1399" spans="1:3" hidden="1"/>
    <row r="1400" spans="1:3">
      <c r="A1400" s="63">
        <v>100</v>
      </c>
      <c r="B1400" s="64" t="s">
        <v>450</v>
      </c>
      <c r="C1400" s="59"/>
    </row>
    <row r="1401" spans="1:3">
      <c r="A1401" s="65">
        <v>101</v>
      </c>
      <c r="B1401" s="66" t="s">
        <v>782</v>
      </c>
      <c r="C1401" s="59"/>
    </row>
    <row r="1402" spans="1:3">
      <c r="A1402" s="65">
        <v>102</v>
      </c>
      <c r="B1402" s="67" t="s">
        <v>752</v>
      </c>
      <c r="C1402" s="59"/>
    </row>
    <row r="1403" spans="1:3" ht="26.4">
      <c r="A1403" s="65">
        <v>103</v>
      </c>
      <c r="B1403" s="67" t="s">
        <v>667</v>
      </c>
      <c r="C1403" s="59"/>
    </row>
    <row r="1404" spans="1:3" ht="26.4">
      <c r="A1404" s="65">
        <v>104</v>
      </c>
      <c r="B1404" s="67" t="s">
        <v>356</v>
      </c>
      <c r="C1404" s="59"/>
    </row>
    <row r="1405" spans="1:3">
      <c r="A1405" s="65">
        <v>105</v>
      </c>
      <c r="B1405" s="67" t="s">
        <v>1196</v>
      </c>
      <c r="C1405" s="59"/>
    </row>
    <row r="1406" spans="1:3" ht="26.4">
      <c r="A1406" s="65">
        <v>106</v>
      </c>
      <c r="B1406" s="67" t="s">
        <v>69</v>
      </c>
      <c r="C1406" s="59"/>
    </row>
    <row r="1407" spans="1:3">
      <c r="A1407" s="65">
        <v>107</v>
      </c>
      <c r="B1407" s="67" t="s">
        <v>79</v>
      </c>
      <c r="C1407" s="59"/>
    </row>
    <row r="1408" spans="1:3">
      <c r="A1408" s="65">
        <v>108</v>
      </c>
      <c r="B1408" s="67" t="s">
        <v>1541</v>
      </c>
      <c r="C1408" s="59"/>
    </row>
    <row r="1409" spans="1:3">
      <c r="A1409" s="65">
        <v>109</v>
      </c>
      <c r="B1409" s="67" t="s">
        <v>842</v>
      </c>
      <c r="C1409" s="59"/>
    </row>
    <row r="1410" spans="1:3">
      <c r="A1410" s="65">
        <v>110</v>
      </c>
      <c r="B1410" s="67" t="s">
        <v>843</v>
      </c>
      <c r="C1410" s="59"/>
    </row>
    <row r="1411" spans="1:3">
      <c r="A1411" s="65">
        <v>111</v>
      </c>
      <c r="B1411" s="67" t="s">
        <v>838</v>
      </c>
      <c r="C1411" s="59"/>
    </row>
    <row r="1412" spans="1:3">
      <c r="A1412" s="65">
        <v>112</v>
      </c>
      <c r="B1412" s="67" t="s">
        <v>1531</v>
      </c>
      <c r="C1412" s="59"/>
    </row>
    <row r="1413" spans="1:3">
      <c r="A1413" s="65">
        <v>113</v>
      </c>
      <c r="B1413" s="67" t="s">
        <v>839</v>
      </c>
      <c r="C1413" s="59"/>
    </row>
    <row r="1414" spans="1:3">
      <c r="A1414" s="63">
        <v>200</v>
      </c>
      <c r="B1414" s="68" t="s">
        <v>70</v>
      </c>
      <c r="C1414" s="59"/>
    </row>
    <row r="1415" spans="1:3">
      <c r="A1415" s="65">
        <v>201</v>
      </c>
      <c r="B1415" s="67" t="s">
        <v>1121</v>
      </c>
      <c r="C1415" s="59"/>
    </row>
    <row r="1416" spans="1:3">
      <c r="A1416" s="65">
        <v>202</v>
      </c>
      <c r="B1416" s="67" t="s">
        <v>718</v>
      </c>
      <c r="C1416" s="59"/>
    </row>
    <row r="1417" spans="1:3">
      <c r="A1417" s="65">
        <v>203</v>
      </c>
      <c r="B1417" s="67" t="s">
        <v>156</v>
      </c>
      <c r="C1417" s="59"/>
    </row>
    <row r="1418" spans="1:3">
      <c r="A1418" s="65">
        <v>204</v>
      </c>
      <c r="B1418" s="67" t="s">
        <v>258</v>
      </c>
      <c r="C1418" s="59"/>
    </row>
    <row r="1419" spans="1:3">
      <c r="A1419" s="65">
        <v>205</v>
      </c>
      <c r="B1419" s="67" t="s">
        <v>801</v>
      </c>
      <c r="C1419" s="59"/>
    </row>
    <row r="1420" spans="1:3">
      <c r="A1420" s="65">
        <v>206</v>
      </c>
      <c r="B1420" s="67" t="s">
        <v>1426</v>
      </c>
      <c r="C1420" s="59"/>
    </row>
    <row r="1421" spans="1:3">
      <c r="A1421" s="65">
        <v>207</v>
      </c>
      <c r="B1421" s="67" t="s">
        <v>929</v>
      </c>
      <c r="C1421" s="59"/>
    </row>
    <row r="1422" spans="1:3">
      <c r="A1422" s="65">
        <v>208</v>
      </c>
      <c r="B1422" s="67" t="s">
        <v>348</v>
      </c>
      <c r="C1422" s="59"/>
    </row>
    <row r="1423" spans="1:3">
      <c r="A1423" s="65">
        <v>209</v>
      </c>
      <c r="B1423" s="67" t="s">
        <v>349</v>
      </c>
      <c r="C1423" s="59"/>
    </row>
    <row r="1424" spans="1:3">
      <c r="A1424" s="63">
        <v>300</v>
      </c>
      <c r="B1424" s="68" t="s">
        <v>1</v>
      </c>
      <c r="C1424" s="59"/>
    </row>
    <row r="1425" spans="1:3">
      <c r="A1425" s="65">
        <v>301</v>
      </c>
      <c r="B1425" s="67" t="s">
        <v>350</v>
      </c>
      <c r="C1425" s="59"/>
    </row>
    <row r="1426" spans="1:3">
      <c r="A1426" s="65">
        <v>302</v>
      </c>
      <c r="B1426" s="67" t="s">
        <v>1147</v>
      </c>
      <c r="C1426" s="59"/>
    </row>
    <row r="1427" spans="1:3">
      <c r="A1427" s="65">
        <v>303</v>
      </c>
      <c r="B1427" s="67" t="s">
        <v>351</v>
      </c>
      <c r="C1427" s="59"/>
    </row>
    <row r="1428" spans="1:3">
      <c r="A1428" s="65">
        <v>304</v>
      </c>
      <c r="B1428" s="67" t="s">
        <v>160</v>
      </c>
      <c r="C1428" s="59"/>
    </row>
    <row r="1429" spans="1:3">
      <c r="A1429" s="65">
        <v>305</v>
      </c>
      <c r="B1429" s="67" t="s">
        <v>1554</v>
      </c>
      <c r="C1429" s="59"/>
    </row>
    <row r="1430" spans="1:3">
      <c r="A1430" s="65">
        <v>306</v>
      </c>
      <c r="B1430" s="67" t="s">
        <v>1632</v>
      </c>
      <c r="C1430" s="59"/>
    </row>
    <row r="1431" spans="1:3">
      <c r="A1431" s="65">
        <v>307</v>
      </c>
      <c r="B1431" s="67" t="s">
        <v>1633</v>
      </c>
      <c r="C1431" s="59"/>
    </row>
    <row r="1432" spans="1:3">
      <c r="A1432" s="65">
        <v>308</v>
      </c>
      <c r="B1432" s="67" t="s">
        <v>1528</v>
      </c>
      <c r="C1432" s="59"/>
    </row>
    <row r="1433" spans="1:3" ht="26.4">
      <c r="A1433" s="65">
        <v>309</v>
      </c>
      <c r="B1433" s="67" t="s">
        <v>396</v>
      </c>
      <c r="C1433" s="59"/>
    </row>
    <row r="1434" spans="1:3">
      <c r="A1434" s="65">
        <v>310</v>
      </c>
      <c r="B1434" s="67" t="s">
        <v>397</v>
      </c>
      <c r="C1434" s="59"/>
    </row>
    <row r="1435" spans="1:3">
      <c r="A1435" s="65">
        <v>311</v>
      </c>
      <c r="B1435" s="67" t="s">
        <v>796</v>
      </c>
      <c r="C1435" s="59"/>
    </row>
    <row r="1436" spans="1:3">
      <c r="A1436" s="65">
        <v>312</v>
      </c>
      <c r="B1436" s="67" t="s">
        <v>398</v>
      </c>
      <c r="C1436" s="59"/>
    </row>
    <row r="1437" spans="1:3">
      <c r="A1437" s="65">
        <v>313</v>
      </c>
      <c r="B1437" s="67" t="s">
        <v>797</v>
      </c>
      <c r="C1437" s="59"/>
    </row>
    <row r="1438" spans="1:3">
      <c r="A1438" s="65">
        <v>314</v>
      </c>
      <c r="B1438" s="67" t="s">
        <v>878</v>
      </c>
      <c r="C1438" s="59"/>
    </row>
    <row r="1439" spans="1:3">
      <c r="A1439" s="63">
        <v>400</v>
      </c>
      <c r="B1439" s="68" t="s">
        <v>399</v>
      </c>
      <c r="C1439" s="59"/>
    </row>
    <row r="1440" spans="1:3">
      <c r="A1440" s="65">
        <v>401</v>
      </c>
      <c r="B1440" s="69" t="s">
        <v>1682</v>
      </c>
      <c r="C1440" s="59"/>
    </row>
    <row r="1441" spans="1:3">
      <c r="A1441" s="65">
        <v>402</v>
      </c>
      <c r="B1441" s="66" t="s">
        <v>247</v>
      </c>
      <c r="C1441" s="59"/>
    </row>
    <row r="1442" spans="1:3">
      <c r="A1442" s="65">
        <v>403</v>
      </c>
      <c r="B1442" s="67" t="s">
        <v>1418</v>
      </c>
      <c r="C1442" s="59"/>
    </row>
    <row r="1443" spans="1:3">
      <c r="A1443" s="65">
        <v>404</v>
      </c>
      <c r="B1443" s="67" t="s">
        <v>1419</v>
      </c>
      <c r="C1443" s="59"/>
    </row>
    <row r="1444" spans="1:3">
      <c r="A1444" s="65">
        <v>405</v>
      </c>
      <c r="B1444" s="67" t="s">
        <v>1900</v>
      </c>
      <c r="C1444" s="59"/>
    </row>
    <row r="1445" spans="1:3">
      <c r="A1445" s="65">
        <v>406</v>
      </c>
      <c r="B1445" s="67" t="s">
        <v>1420</v>
      </c>
      <c r="C1445" s="59"/>
    </row>
    <row r="1446" spans="1:3">
      <c r="A1446" s="65">
        <v>407</v>
      </c>
      <c r="B1446" s="67" t="s">
        <v>1421</v>
      </c>
      <c r="C1446" s="59"/>
    </row>
    <row r="1447" spans="1:3">
      <c r="A1447" s="65">
        <v>408</v>
      </c>
      <c r="B1447" s="67" t="s">
        <v>1901</v>
      </c>
      <c r="C1447" s="59"/>
    </row>
    <row r="1448" spans="1:3">
      <c r="A1448" s="65">
        <v>409</v>
      </c>
      <c r="B1448" s="67" t="s">
        <v>387</v>
      </c>
      <c r="C1448" s="59"/>
    </row>
    <row r="1449" spans="1:3">
      <c r="A1449" s="65">
        <v>410</v>
      </c>
      <c r="B1449" s="67" t="s">
        <v>464</v>
      </c>
      <c r="C1449" s="59"/>
    </row>
    <row r="1450" spans="1:3">
      <c r="A1450" s="65">
        <v>411</v>
      </c>
      <c r="B1450" s="67" t="s">
        <v>1422</v>
      </c>
      <c r="C1450" s="59"/>
    </row>
    <row r="1451" spans="1:3">
      <c r="A1451" s="65">
        <v>412</v>
      </c>
      <c r="B1451" s="67" t="s">
        <v>880</v>
      </c>
      <c r="C1451" s="59"/>
    </row>
    <row r="1452" spans="1:3">
      <c r="A1452" s="63">
        <v>500</v>
      </c>
      <c r="B1452" s="68" t="s">
        <v>845</v>
      </c>
      <c r="C1452" s="59"/>
    </row>
    <row r="1453" spans="1:3">
      <c r="A1453" s="65">
        <v>501</v>
      </c>
      <c r="B1453" s="67" t="s">
        <v>577</v>
      </c>
      <c r="C1453" s="59"/>
    </row>
    <row r="1454" spans="1:3">
      <c r="A1454" s="65">
        <v>502</v>
      </c>
      <c r="B1454" s="67" t="s">
        <v>578</v>
      </c>
      <c r="C1454" s="59"/>
    </row>
    <row r="1455" spans="1:3">
      <c r="A1455" s="65">
        <v>503</v>
      </c>
      <c r="B1455" s="66" t="s">
        <v>352</v>
      </c>
      <c r="C1455" s="59"/>
    </row>
    <row r="1456" spans="1:3">
      <c r="A1456" s="65">
        <v>504</v>
      </c>
      <c r="B1456" s="67" t="s">
        <v>722</v>
      </c>
      <c r="C1456" s="59"/>
    </row>
    <row r="1457" spans="1:3">
      <c r="A1457" s="65">
        <v>505</v>
      </c>
      <c r="B1457" s="67" t="s">
        <v>784</v>
      </c>
      <c r="C1457" s="59"/>
    </row>
    <row r="1458" spans="1:3">
      <c r="A1458" s="63">
        <v>600</v>
      </c>
      <c r="B1458" s="70" t="s">
        <v>588</v>
      </c>
      <c r="C1458" s="59"/>
    </row>
    <row r="1459" spans="1:3">
      <c r="A1459" s="65">
        <v>601</v>
      </c>
      <c r="B1459" s="66" t="s">
        <v>589</v>
      </c>
      <c r="C1459" s="59"/>
    </row>
    <row r="1460" spans="1:3">
      <c r="A1460" s="65">
        <v>602</v>
      </c>
      <c r="B1460" s="67" t="s">
        <v>1698</v>
      </c>
      <c r="C1460" s="59"/>
    </row>
    <row r="1461" spans="1:3">
      <c r="A1461" s="65">
        <v>603</v>
      </c>
      <c r="B1461" s="67" t="s">
        <v>1699</v>
      </c>
      <c r="C1461" s="59"/>
    </row>
    <row r="1462" spans="1:3">
      <c r="A1462" s="65">
        <v>604</v>
      </c>
      <c r="B1462" s="67" t="s">
        <v>1906</v>
      </c>
      <c r="C1462" s="59"/>
    </row>
    <row r="1463" spans="1:3">
      <c r="A1463" s="65">
        <v>605</v>
      </c>
      <c r="B1463" s="67" t="s">
        <v>530</v>
      </c>
      <c r="C1463" s="59"/>
    </row>
    <row r="1464" spans="1:3">
      <c r="A1464" s="63">
        <v>700</v>
      </c>
      <c r="B1464" s="70" t="s">
        <v>1700</v>
      </c>
      <c r="C1464" s="59"/>
    </row>
    <row r="1465" spans="1:3">
      <c r="A1465" s="65">
        <v>701</v>
      </c>
      <c r="B1465" s="67" t="s">
        <v>62</v>
      </c>
      <c r="C1465" s="59"/>
    </row>
    <row r="1466" spans="1:3">
      <c r="A1466" s="65">
        <v>702</v>
      </c>
      <c r="B1466" s="67" t="s">
        <v>109</v>
      </c>
      <c r="C1466" s="59"/>
    </row>
    <row r="1467" spans="1:3">
      <c r="A1467" s="65">
        <v>703</v>
      </c>
      <c r="B1467" s="67" t="s">
        <v>1907</v>
      </c>
      <c r="C1467" s="59"/>
    </row>
    <row r="1468" spans="1:3">
      <c r="A1468" s="65">
        <v>704</v>
      </c>
      <c r="B1468" s="67" t="s">
        <v>394</v>
      </c>
      <c r="C1468" s="59"/>
    </row>
    <row r="1469" spans="1:3">
      <c r="A1469" s="65">
        <v>705</v>
      </c>
      <c r="B1469" s="67" t="s">
        <v>1065</v>
      </c>
      <c r="C1469" s="59"/>
    </row>
    <row r="1470" spans="1:3">
      <c r="A1470" s="71">
        <v>706</v>
      </c>
      <c r="B1470" s="72" t="s">
        <v>1066</v>
      </c>
      <c r="C1470" s="59"/>
    </row>
    <row r="1471" spans="1:3">
      <c r="A1471" s="65">
        <v>707</v>
      </c>
      <c r="B1471" s="67" t="s">
        <v>827</v>
      </c>
      <c r="C1471" s="59"/>
    </row>
    <row r="1472" spans="1:3">
      <c r="A1472" s="65">
        <v>708</v>
      </c>
      <c r="B1472" s="67" t="s">
        <v>593</v>
      </c>
      <c r="C1472" s="59"/>
    </row>
    <row r="1473" spans="1:3">
      <c r="A1473" s="65">
        <v>709</v>
      </c>
      <c r="B1473" s="67" t="s">
        <v>82</v>
      </c>
      <c r="C1473" s="59"/>
    </row>
    <row r="1474" spans="1:3">
      <c r="A1474" s="63">
        <v>800</v>
      </c>
      <c r="B1474" s="70" t="s">
        <v>1317</v>
      </c>
      <c r="C1474" s="59"/>
    </row>
    <row r="1475" spans="1:3">
      <c r="A1475" s="65">
        <v>801</v>
      </c>
      <c r="B1475" s="67" t="s">
        <v>410</v>
      </c>
      <c r="C1475" s="59"/>
    </row>
    <row r="1476" spans="1:3">
      <c r="A1476" s="65">
        <v>802</v>
      </c>
      <c r="B1476" s="67" t="s">
        <v>357</v>
      </c>
      <c r="C1476" s="59"/>
    </row>
    <row r="1477" spans="1:3">
      <c r="A1477" s="65">
        <v>803</v>
      </c>
      <c r="B1477" s="67" t="s">
        <v>1318</v>
      </c>
      <c r="C1477" s="59"/>
    </row>
    <row r="1478" spans="1:3">
      <c r="A1478" s="65">
        <v>804</v>
      </c>
      <c r="B1478" s="67" t="s">
        <v>1337</v>
      </c>
      <c r="C1478" s="59"/>
    </row>
    <row r="1479" spans="1:3">
      <c r="A1479" s="63">
        <v>900</v>
      </c>
      <c r="B1479" s="70" t="s">
        <v>1338</v>
      </c>
      <c r="C1479" s="59"/>
    </row>
    <row r="1480" spans="1:3">
      <c r="A1480" s="65">
        <v>901</v>
      </c>
      <c r="B1480" s="67" t="s">
        <v>269</v>
      </c>
      <c r="C1480" s="59"/>
    </row>
    <row r="1481" spans="1:3">
      <c r="A1481" s="65">
        <v>902</v>
      </c>
      <c r="B1481" s="67" t="s">
        <v>270</v>
      </c>
      <c r="C1481" s="59"/>
    </row>
    <row r="1482" spans="1:3">
      <c r="A1482" s="65">
        <v>903</v>
      </c>
      <c r="B1482" s="67" t="s">
        <v>222</v>
      </c>
      <c r="C1482" s="59"/>
    </row>
    <row r="1483" spans="1:3">
      <c r="A1483" s="65">
        <v>904</v>
      </c>
      <c r="B1483" s="67" t="s">
        <v>259</v>
      </c>
      <c r="C1483" s="59"/>
    </row>
    <row r="1484" spans="1:3">
      <c r="A1484" s="65">
        <v>905</v>
      </c>
      <c r="B1484" s="73" t="s">
        <v>87</v>
      </c>
      <c r="C1484" s="59"/>
    </row>
    <row r="1485" spans="1:3">
      <c r="A1485" s="65">
        <v>906</v>
      </c>
      <c r="B1485" s="73" t="s">
        <v>931</v>
      </c>
      <c r="C1485" s="59"/>
    </row>
    <row r="1486" spans="1:3">
      <c r="A1486" s="65">
        <v>907</v>
      </c>
      <c r="B1486" s="67" t="s">
        <v>932</v>
      </c>
      <c r="C1486" s="59"/>
    </row>
    <row r="1487" spans="1:3">
      <c r="A1487" s="65">
        <v>908</v>
      </c>
      <c r="B1487" s="66" t="s">
        <v>1339</v>
      </c>
      <c r="C1487" s="59"/>
    </row>
    <row r="1488" spans="1:3">
      <c r="A1488" s="65">
        <v>909</v>
      </c>
      <c r="B1488" s="67" t="s">
        <v>1340</v>
      </c>
      <c r="C1488" s="59"/>
    </row>
    <row r="1489" spans="1:3">
      <c r="A1489" s="63">
        <v>1000</v>
      </c>
      <c r="B1489" s="70" t="s">
        <v>1048</v>
      </c>
      <c r="C1489" s="59"/>
    </row>
    <row r="1490" spans="1:3">
      <c r="A1490" s="65">
        <v>1001</v>
      </c>
      <c r="B1490" s="67" t="s">
        <v>448</v>
      </c>
      <c r="C1490" s="59"/>
    </row>
    <row r="1491" spans="1:3">
      <c r="A1491" s="65">
        <v>1002</v>
      </c>
      <c r="B1491" s="67" t="s">
        <v>105</v>
      </c>
      <c r="C1491" s="59"/>
    </row>
    <row r="1492" spans="1:3">
      <c r="A1492" s="65">
        <v>1003</v>
      </c>
      <c r="B1492" s="67" t="s">
        <v>374</v>
      </c>
      <c r="C1492" s="59"/>
    </row>
    <row r="1493" spans="1:3">
      <c r="A1493" s="65">
        <v>1004</v>
      </c>
      <c r="B1493" s="66" t="s">
        <v>1049</v>
      </c>
      <c r="C1493" s="59"/>
    </row>
    <row r="1494" spans="1:3">
      <c r="A1494" s="65">
        <v>1005</v>
      </c>
      <c r="B1494" s="67" t="s">
        <v>1052</v>
      </c>
      <c r="C1494" s="59"/>
    </row>
    <row r="1495" spans="1:3">
      <c r="A1495" s="65">
        <v>1006</v>
      </c>
      <c r="B1495" s="67" t="s">
        <v>106</v>
      </c>
      <c r="C1495" s="59"/>
    </row>
    <row r="1496" spans="1:3">
      <c r="A1496" s="63">
        <v>1100</v>
      </c>
      <c r="B1496" s="70" t="s">
        <v>1341</v>
      </c>
      <c r="C1496" s="59"/>
    </row>
    <row r="1497" spans="1:3">
      <c r="A1497" s="65">
        <v>1101</v>
      </c>
      <c r="B1497" s="67" t="s">
        <v>1342</v>
      </c>
      <c r="C1497" s="59"/>
    </row>
    <row r="1498" spans="1:3">
      <c r="A1498" s="65">
        <v>1102</v>
      </c>
      <c r="B1498" s="73" t="s">
        <v>1343</v>
      </c>
      <c r="C1498" s="59"/>
    </row>
    <row r="1499" spans="1:3">
      <c r="A1499" s="65">
        <v>1103</v>
      </c>
      <c r="B1499" s="67" t="s">
        <v>1344</v>
      </c>
      <c r="C1499" s="59"/>
    </row>
    <row r="1500" spans="1:3">
      <c r="A1500" s="65">
        <v>1104</v>
      </c>
      <c r="B1500" s="67" t="s">
        <v>1345</v>
      </c>
      <c r="C1500" s="59"/>
    </row>
    <row r="1501" spans="1:3">
      <c r="A1501" s="65">
        <v>1105</v>
      </c>
      <c r="B1501" s="67" t="s">
        <v>1346</v>
      </c>
      <c r="C1501" s="59"/>
    </row>
    <row r="1502" spans="1:3">
      <c r="A1502" s="63">
        <v>1200</v>
      </c>
      <c r="B1502" s="70" t="s">
        <v>1347</v>
      </c>
    </row>
    <row r="1503" spans="1:3">
      <c r="A1503" s="65">
        <v>1201</v>
      </c>
      <c r="B1503" s="67" t="s">
        <v>358</v>
      </c>
    </row>
    <row r="1504" spans="1:3">
      <c r="A1504" s="65">
        <v>1202</v>
      </c>
      <c r="B1504" s="67" t="s">
        <v>215</v>
      </c>
    </row>
    <row r="1505" spans="1:2">
      <c r="A1505" s="65">
        <v>1203</v>
      </c>
      <c r="B1505" s="67" t="s">
        <v>1348</v>
      </c>
    </row>
    <row r="1506" spans="1:2">
      <c r="A1506" s="65">
        <v>1204</v>
      </c>
      <c r="B1506" s="67" t="s">
        <v>1349</v>
      </c>
    </row>
    <row r="1507" spans="1:2">
      <c r="A1507" s="63">
        <v>1300</v>
      </c>
      <c r="B1507" s="70" t="s">
        <v>1350</v>
      </c>
    </row>
    <row r="1508" spans="1:2">
      <c r="A1508" s="65">
        <v>1301</v>
      </c>
      <c r="B1508" s="67" t="s">
        <v>531</v>
      </c>
    </row>
    <row r="1509" spans="1:2">
      <c r="A1509" s="65">
        <v>1302</v>
      </c>
      <c r="B1509" s="67" t="s">
        <v>879</v>
      </c>
    </row>
    <row r="1510" spans="1:2" ht="26.4">
      <c r="A1510" s="63">
        <v>1400</v>
      </c>
      <c r="B1510" s="70" t="s">
        <v>893</v>
      </c>
    </row>
    <row r="1511" spans="1:2">
      <c r="A1511" s="65">
        <v>1401</v>
      </c>
      <c r="B1511" s="67" t="s">
        <v>894</v>
      </c>
    </row>
    <row r="1512" spans="1:2">
      <c r="A1512" s="65">
        <v>1402</v>
      </c>
      <c r="B1512" s="67" t="s">
        <v>895</v>
      </c>
    </row>
    <row r="1513" spans="1:2" ht="26.4">
      <c r="A1513" s="65">
        <v>1403</v>
      </c>
      <c r="B1513" s="67" t="s">
        <v>896</v>
      </c>
    </row>
  </sheetData>
  <sheetProtection selectLockedCells="1" selectUnlockedCells="1"/>
  <phoneticPr fontId="0" type="noConversion"/>
  <pageMargins left="0.75" right="0.75" top="1" bottom="1" header="0.5" footer="0.5"/>
  <pageSetup paperSize="9" scale="77" fitToHeight="3" orientation="portrait" r:id="rId1"/>
  <headerFooter alignWithMargins="0"/>
</worksheet>
</file>

<file path=xl/worksheets/sheet5.xml><?xml version="1.0" encoding="utf-8"?>
<worksheet xmlns="http://schemas.openxmlformats.org/spreadsheetml/2006/main" xmlns:r="http://schemas.openxmlformats.org/officeDocument/2006/relationships">
  <sheetPr codeName="Лист5">
    <pageSetUpPr fitToPage="1"/>
  </sheetPr>
  <dimension ref="A1:E26"/>
  <sheetViews>
    <sheetView showGridLines="0" view="pageBreakPreview" topLeftCell="A18" zoomScaleSheetLayoutView="100" workbookViewId="0">
      <selection activeCell="B18" sqref="B1:E1048576"/>
    </sheetView>
  </sheetViews>
  <sheetFormatPr defaultRowHeight="13.2"/>
  <cols>
    <col min="1" max="1" width="28.5546875" customWidth="1"/>
    <col min="2" max="2" width="41.109375" customWidth="1"/>
    <col min="3" max="3" width="16.5546875" hidden="1" customWidth="1"/>
    <col min="4" max="4" width="15.6640625" hidden="1" customWidth="1"/>
    <col min="5" max="5" width="15.109375" bestFit="1" customWidth="1"/>
    <col min="6" max="6" width="43.44140625" customWidth="1"/>
  </cols>
  <sheetData>
    <row r="1" spans="1:5" ht="15.6">
      <c r="A1" s="782" t="s">
        <v>3158</v>
      </c>
      <c r="B1" s="782"/>
      <c r="C1" s="782"/>
      <c r="D1" s="782"/>
      <c r="E1" s="782"/>
    </row>
    <row r="2" spans="1:5" ht="15.6">
      <c r="A2" s="782" t="s">
        <v>1069</v>
      </c>
      <c r="B2" s="782"/>
      <c r="C2" s="782"/>
      <c r="D2" s="782"/>
      <c r="E2" s="782"/>
    </row>
    <row r="3" spans="1:5" ht="15.6">
      <c r="A3" s="782" t="s">
        <v>720</v>
      </c>
      <c r="B3" s="782"/>
      <c r="C3" s="782"/>
      <c r="D3" s="782"/>
      <c r="E3" s="782"/>
    </row>
    <row r="4" spans="1:5" ht="15.6">
      <c r="A4" s="782" t="s">
        <v>3148</v>
      </c>
      <c r="B4" s="782"/>
      <c r="C4" s="782"/>
      <c r="D4" s="782"/>
      <c r="E4" s="782"/>
    </row>
    <row r="6" spans="1:5" ht="15.6">
      <c r="A6" s="42"/>
      <c r="B6" s="1"/>
    </row>
    <row r="7" spans="1:5" ht="33" customHeight="1">
      <c r="A7" s="783" t="s">
        <v>2631</v>
      </c>
      <c r="B7" s="783"/>
      <c r="C7" s="783"/>
      <c r="D7" s="783"/>
      <c r="E7" s="783"/>
    </row>
    <row r="8" spans="1:5" ht="18" thickBot="1">
      <c r="A8" s="6"/>
      <c r="B8" s="1"/>
    </row>
    <row r="9" spans="1:5" ht="16.2" thickBot="1">
      <c r="A9" s="349" t="s">
        <v>969</v>
      </c>
      <c r="B9" s="349" t="s">
        <v>264</v>
      </c>
      <c r="C9" s="349" t="s">
        <v>3235</v>
      </c>
      <c r="D9" s="349" t="s">
        <v>1140</v>
      </c>
      <c r="E9" s="349" t="s">
        <v>1103</v>
      </c>
    </row>
    <row r="10" spans="1:5" ht="31.8" thickBot="1">
      <c r="A10" s="350" t="s">
        <v>2282</v>
      </c>
      <c r="B10" s="351" t="s">
        <v>67</v>
      </c>
      <c r="C10" s="352">
        <v>19157598</v>
      </c>
      <c r="D10" s="352">
        <f t="shared" ref="D10" si="0">D11+D13</f>
        <v>-5601000</v>
      </c>
      <c r="E10" s="352">
        <f>SUM(C10:D10)</f>
        <v>13556598</v>
      </c>
    </row>
    <row r="11" spans="1:5" s="594" customFormat="1" ht="47.4" thickBot="1">
      <c r="A11" s="353" t="s">
        <v>68</v>
      </c>
      <c r="B11" s="354" t="s">
        <v>1404</v>
      </c>
      <c r="C11" s="355">
        <v>19157598</v>
      </c>
      <c r="D11" s="355">
        <f t="shared" ref="D11" si="1">D12</f>
        <v>-5601000</v>
      </c>
      <c r="E11" s="360">
        <f t="shared" ref="E11:E25" si="2">SUM(C11:D11)</f>
        <v>13556598</v>
      </c>
    </row>
    <row r="12" spans="1:5" s="594" customFormat="1" ht="63" thickBot="1">
      <c r="A12" s="353" t="s">
        <v>1405</v>
      </c>
      <c r="B12" s="354" t="s">
        <v>2274</v>
      </c>
      <c r="C12" s="355">
        <v>19157598</v>
      </c>
      <c r="D12" s="355">
        <f>125000-5726000</f>
        <v>-5601000</v>
      </c>
      <c r="E12" s="360">
        <f t="shared" si="2"/>
        <v>13556598</v>
      </c>
    </row>
    <row r="13" spans="1:5" ht="47.4" hidden="1" thickBot="1">
      <c r="A13" s="353" t="s">
        <v>1331</v>
      </c>
      <c r="B13" s="354" t="s">
        <v>1330</v>
      </c>
      <c r="C13" s="355">
        <v>0</v>
      </c>
      <c r="D13" s="355">
        <f t="shared" ref="D13" si="3">D14</f>
        <v>0</v>
      </c>
      <c r="E13" s="352">
        <f t="shared" si="2"/>
        <v>0</v>
      </c>
    </row>
    <row r="14" spans="1:5" ht="63" hidden="1" thickBot="1">
      <c r="A14" s="353" t="s">
        <v>794</v>
      </c>
      <c r="B14" s="354" t="s">
        <v>2275</v>
      </c>
      <c r="C14" s="355">
        <v>0</v>
      </c>
      <c r="D14" s="355"/>
      <c r="E14" s="352">
        <f t="shared" si="2"/>
        <v>0</v>
      </c>
    </row>
    <row r="15" spans="1:5" ht="47.4" thickBot="1">
      <c r="A15" s="350" t="s">
        <v>2281</v>
      </c>
      <c r="B15" s="351" t="s">
        <v>1811</v>
      </c>
      <c r="C15" s="352">
        <v>-10881566</v>
      </c>
      <c r="D15" s="352">
        <f t="shared" ref="D15" si="4">D18+D16</f>
        <v>5726000</v>
      </c>
      <c r="E15" s="352">
        <f t="shared" si="2"/>
        <v>-5155566</v>
      </c>
    </row>
    <row r="16" spans="1:5" ht="78.599999999999994" thickBot="1">
      <c r="A16" s="411" t="s">
        <v>2509</v>
      </c>
      <c r="B16" s="412" t="s">
        <v>2510</v>
      </c>
      <c r="C16" s="360">
        <v>5000000</v>
      </c>
      <c r="D16" s="360">
        <f t="shared" ref="D16" si="5">D17</f>
        <v>0</v>
      </c>
      <c r="E16" s="360">
        <f t="shared" si="2"/>
        <v>5000000</v>
      </c>
    </row>
    <row r="17" spans="1:5" ht="78.599999999999994" thickBot="1">
      <c r="A17" s="411" t="s">
        <v>2511</v>
      </c>
      <c r="B17" s="412" t="s">
        <v>2512</v>
      </c>
      <c r="C17" s="360">
        <v>5000000</v>
      </c>
      <c r="D17" s="360"/>
      <c r="E17" s="360">
        <f t="shared" si="2"/>
        <v>5000000</v>
      </c>
    </row>
    <row r="18" spans="1:5" s="594" customFormat="1" ht="78.599999999999994" thickBot="1">
      <c r="A18" s="353" t="s">
        <v>2234</v>
      </c>
      <c r="B18" s="354" t="s">
        <v>599</v>
      </c>
      <c r="C18" s="355">
        <v>-15881566</v>
      </c>
      <c r="D18" s="355">
        <f t="shared" ref="D18" si="6">D19</f>
        <v>5726000</v>
      </c>
      <c r="E18" s="360">
        <f t="shared" si="2"/>
        <v>-10155566</v>
      </c>
    </row>
    <row r="19" spans="1:5" s="594" customFormat="1" ht="78.599999999999994" thickBot="1">
      <c r="A19" s="353" t="s">
        <v>2235</v>
      </c>
      <c r="B19" s="354" t="s">
        <v>2276</v>
      </c>
      <c r="C19" s="355">
        <v>-15881566</v>
      </c>
      <c r="D19" s="355">
        <v>5726000</v>
      </c>
      <c r="E19" s="360">
        <f t="shared" si="2"/>
        <v>-10155566</v>
      </c>
    </row>
    <row r="20" spans="1:5" ht="31.8" thickBot="1">
      <c r="A20" s="350" t="s">
        <v>2280</v>
      </c>
      <c r="B20" s="351" t="s">
        <v>753</v>
      </c>
      <c r="C20" s="352">
        <f t="shared" ref="C20:E20" si="7">C22+C21</f>
        <v>6736059.25</v>
      </c>
      <c r="D20" s="352">
        <f t="shared" si="7"/>
        <v>769331.04999999702</v>
      </c>
      <c r="E20" s="352">
        <f t="shared" si="7"/>
        <v>7505390.2999999523</v>
      </c>
    </row>
    <row r="21" spans="1:5" s="594" customFormat="1" ht="47.4" thickBot="1">
      <c r="A21" s="353" t="s">
        <v>754</v>
      </c>
      <c r="B21" s="354" t="s">
        <v>2277</v>
      </c>
      <c r="C21" s="355">
        <v>-1912237011</v>
      </c>
      <c r="D21" s="355">
        <f>-Пр.1!K169-D12-D16</f>
        <v>-65520327.25</v>
      </c>
      <c r="E21" s="360">
        <f t="shared" si="2"/>
        <v>-1977757338.25</v>
      </c>
    </row>
    <row r="22" spans="1:5" s="594" customFormat="1" ht="47.4" thickBot="1">
      <c r="A22" s="353" t="s">
        <v>740</v>
      </c>
      <c r="B22" s="354" t="s">
        <v>2278</v>
      </c>
      <c r="C22" s="355">
        <v>1918973070.25</v>
      </c>
      <c r="D22" s="355">
        <f>Пр.3!D121-D19</f>
        <v>66289658.299999997</v>
      </c>
      <c r="E22" s="360">
        <f>SUM(C22:D22)</f>
        <v>1985262728.55</v>
      </c>
    </row>
    <row r="23" spans="1:5" ht="47.4" thickBot="1">
      <c r="A23" s="350" t="s">
        <v>2279</v>
      </c>
      <c r="B23" s="351" t="s">
        <v>505</v>
      </c>
      <c r="C23" s="352">
        <v>12566</v>
      </c>
      <c r="D23" s="352">
        <f t="shared" ref="D23:D24" si="8">D24</f>
        <v>0</v>
      </c>
      <c r="E23" s="352">
        <f t="shared" si="2"/>
        <v>12566</v>
      </c>
    </row>
    <row r="24" spans="1:5" s="594" customFormat="1" ht="47.4" thickBot="1">
      <c r="A24" s="353" t="s">
        <v>585</v>
      </c>
      <c r="B24" s="354" t="s">
        <v>574</v>
      </c>
      <c r="C24" s="355">
        <v>12566</v>
      </c>
      <c r="D24" s="355">
        <f t="shared" si="8"/>
        <v>0</v>
      </c>
      <c r="E24" s="360">
        <f t="shared" si="2"/>
        <v>12566</v>
      </c>
    </row>
    <row r="25" spans="1:5" s="594" customFormat="1" ht="63" thickBot="1">
      <c r="A25" s="353" t="s">
        <v>1136</v>
      </c>
      <c r="B25" s="354" t="s">
        <v>1544</v>
      </c>
      <c r="C25" s="355">
        <v>12566</v>
      </c>
      <c r="D25" s="355"/>
      <c r="E25" s="360">
        <f t="shared" si="2"/>
        <v>12566</v>
      </c>
    </row>
    <row r="26" spans="1:5" ht="16.2" thickBot="1">
      <c r="A26" s="793" t="s">
        <v>526</v>
      </c>
      <c r="B26" s="793"/>
      <c r="C26" s="356">
        <f t="shared" ref="C26:E26" si="9">C20+C10+C23+C15</f>
        <v>15024657.25</v>
      </c>
      <c r="D26" s="356">
        <f t="shared" si="9"/>
        <v>894331.04999999702</v>
      </c>
      <c r="E26" s="356">
        <f t="shared" si="9"/>
        <v>15918988.299999952</v>
      </c>
    </row>
  </sheetData>
  <sheetProtection selectLockedCells="1" selectUnlockedCells="1"/>
  <customSheetViews>
    <customSheetView guid="{91923F83-3A6B-4204-9891-178562AB34F1}" hiddenRows="1" hiddenColumns="1" showRuler="0">
      <selection sqref="A1:IV65536"/>
      <pageMargins left="0.75" right="0.75" top="1" bottom="1" header="0.5" footer="0.5"/>
      <headerFooter alignWithMargins="0"/>
    </customSheetView>
    <customSheetView guid="{66DBF0AC-E9A0-482F-9E41-1928B6CA83DC}" showPageBreaks="1" fitToPage="1" hiddenRows="1" hiddenColumns="1" view="pageBreakPreview" showRuler="0" topLeftCell="A17">
      <selection activeCell="F21" sqref="F21"/>
      <pageMargins left="0.75" right="0.75" top="1" bottom="1" header="0.5" footer="0.5"/>
      <pageSetup paperSize="9" scale="88" orientation="portrait" r:id="rId1"/>
      <headerFooter alignWithMargins="0"/>
    </customSheetView>
    <customSheetView guid="{A5E41FC9-89B1-40D2-B587-57BC4C5E4715}" hiddenRows="1" hiddenColumns="1" showRuler="0">
      <selection sqref="A1:IV65536"/>
      <pageMargins left="0.75" right="0.75" top="1" bottom="1" header="0.5" footer="0.5"/>
      <headerFooter alignWithMargins="0"/>
    </customSheetView>
    <customSheetView guid="{F3607253-7816-4CF7-9CFD-2ADFFAD916F8}" hiddenRows="1" hiddenColumns="1" showRuler="0">
      <selection sqref="A1:IV65536"/>
      <pageMargins left="0.75" right="0.75" top="1" bottom="1" header="0.5" footer="0.5"/>
      <pageSetup paperSize="9" scale="88" orientation="portrait" r:id="rId2"/>
      <headerFooter alignWithMargins="0"/>
    </customSheetView>
    <customSheetView guid="{B3311466-F005-49F1-A579-3E6CECE305A8}" hiddenRows="1" hiddenColumns="1" showRuler="0">
      <selection sqref="A1:IV65536"/>
      <pageMargins left="0.75" right="0.75" top="1" bottom="1" header="0.5" footer="0.5"/>
      <pageSetup paperSize="9" scale="88" orientation="portrait" r:id="rId3"/>
      <headerFooter alignWithMargins="0"/>
    </customSheetView>
    <customSheetView guid="{E5662E33-D4B0-43EA-9B06-C8DA9DFDBEF6}" printArea="1" hiddenRows="1" hiddenColumns="1" showRuler="0">
      <selection activeCell="B9" sqref="B9"/>
      <pageMargins left="0.75" right="0.75" top="1" bottom="1" header="0.5" footer="0.5"/>
      <pageSetup paperSize="9" scale="88" orientation="portrait" r:id="rId4"/>
      <headerFooter alignWithMargins="0"/>
    </customSheetView>
  </customSheetViews>
  <mergeCells count="6">
    <mergeCell ref="A26:B26"/>
    <mergeCell ref="A1:E1"/>
    <mergeCell ref="A2:E2"/>
    <mergeCell ref="A3:E3"/>
    <mergeCell ref="A4:E4"/>
    <mergeCell ref="A7:E7"/>
  </mergeCells>
  <phoneticPr fontId="0" type="noConversion"/>
  <pageMargins left="0.70866141732283472" right="0.70866141732283472" top="0.74803149606299213" bottom="0.74803149606299213" header="0.31496062992125984" footer="0.31496062992125984"/>
  <pageSetup paperSize="9" fitToHeight="0" orientation="portrait" r:id="rId5"/>
  <headerFooter alignWithMargins="0">
    <oddFooter>&amp;C&amp;P</oddFooter>
  </headerFooter>
</worksheet>
</file>

<file path=xl/worksheets/sheet50.xml><?xml version="1.0" encoding="utf-8"?>
<worksheet xmlns="http://schemas.openxmlformats.org/spreadsheetml/2006/main" xmlns:r="http://schemas.openxmlformats.org/officeDocument/2006/relationships">
  <sheetPr codeName="Лист27"/>
  <dimension ref="A1:C3991"/>
  <sheetViews>
    <sheetView showGridLines="0" topLeftCell="A3950" zoomScaleSheetLayoutView="100" workbookViewId="0">
      <selection activeCell="B3999" sqref="B3999"/>
    </sheetView>
  </sheetViews>
  <sheetFormatPr defaultColWidth="9.109375" defaultRowHeight="13.2"/>
  <cols>
    <col min="1" max="1" width="11.88671875" style="75" customWidth="1"/>
    <col min="2" max="2" width="110.5546875" style="76" customWidth="1"/>
    <col min="3" max="16384" width="9.109375" style="100"/>
  </cols>
  <sheetData>
    <row r="1" hidden="1"/>
    <row r="2" hidden="1"/>
    <row r="3" hidden="1"/>
    <row r="4" hidden="1"/>
    <row r="5" hidden="1"/>
    <row r="6" hidden="1"/>
    <row r="7" hidden="1"/>
    <row r="8" hidden="1"/>
    <row r="9" hidden="1"/>
    <row r="10" hidden="1"/>
    <row r="11" hidden="1"/>
    <row r="12" hidden="1"/>
    <row r="13" hidden="1"/>
    <row r="14" hidden="1"/>
    <row r="15" hidden="1"/>
    <row r="16" hidden="1"/>
    <row r="17" hidden="1"/>
    <row r="18" hidden="1"/>
    <row r="19" hidden="1"/>
    <row r="20" hidden="1"/>
    <row r="21" hidden="1"/>
    <row r="22" hidden="1"/>
    <row r="23" hidden="1"/>
    <row r="24" hidden="1"/>
    <row r="25" hidden="1"/>
    <row r="26" hidden="1"/>
    <row r="27" hidden="1"/>
    <row r="28" hidden="1"/>
    <row r="29" hidden="1"/>
    <row r="30" hidden="1"/>
    <row r="31" hidden="1"/>
    <row r="32"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hidden="1"/>
    <row r="1394" hidden="1"/>
    <row r="1395" hidden="1"/>
    <row r="1396" hidden="1"/>
    <row r="1397" hidden="1"/>
    <row r="1398" hidden="1"/>
    <row r="1399" hidden="1"/>
    <row r="1400" hidden="1"/>
    <row r="1401" hidden="1"/>
    <row r="1402" hidden="1"/>
    <row r="1403" hidden="1"/>
    <row r="1404" hidden="1"/>
    <row r="1405" hidden="1"/>
    <row r="1406" hidden="1"/>
    <row r="1407" hidden="1"/>
    <row r="1408" hidden="1"/>
    <row r="1409" hidden="1"/>
    <row r="1410" hidden="1"/>
    <row r="1411" hidden="1"/>
    <row r="1412" hidden="1"/>
    <row r="1413" hidden="1"/>
    <row r="1414" hidden="1"/>
    <row r="1415" hidden="1"/>
    <row r="1416" hidden="1"/>
    <row r="1417" hidden="1"/>
    <row r="1418" hidden="1"/>
    <row r="1419" hidden="1"/>
    <row r="1420" hidden="1"/>
    <row r="1421" hidden="1"/>
    <row r="1422" hidden="1"/>
    <row r="1423" hidden="1"/>
    <row r="1424"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row r="1513" hidden="1"/>
    <row r="1514" hidden="1"/>
    <row r="1515" hidden="1"/>
    <row r="1516" hidden="1"/>
    <row r="1517" hidden="1"/>
    <row r="1518" hidden="1"/>
    <row r="1519" hidden="1"/>
    <row r="1520" hidden="1"/>
    <row r="1521" hidden="1"/>
    <row r="1522" hidden="1"/>
    <row r="1523" hidden="1"/>
    <row r="1524" hidden="1"/>
    <row r="1525" hidden="1"/>
    <row r="1526" hidden="1"/>
    <row r="1527" hidden="1"/>
    <row r="1528" hidden="1"/>
    <row r="1529" hidden="1"/>
    <row r="1530" hidden="1"/>
    <row r="1531" hidden="1"/>
    <row r="1532" hidden="1"/>
    <row r="1533" hidden="1"/>
    <row r="1534" hidden="1"/>
    <row r="1535" hidden="1"/>
    <row r="1536" hidden="1"/>
    <row r="1537" hidden="1"/>
    <row r="1538" hidden="1"/>
    <row r="1539" hidden="1"/>
    <row r="1540" hidden="1"/>
    <row r="1541" hidden="1"/>
    <row r="1542" hidden="1"/>
    <row r="1543" hidden="1"/>
    <row r="1544" hidden="1"/>
    <row r="1545" hidden="1"/>
    <row r="1546" hidden="1"/>
    <row r="1547" hidden="1"/>
    <row r="1548" hidden="1"/>
    <row r="1549" hidden="1"/>
    <row r="1550" hidden="1"/>
    <row r="1551" hidden="1"/>
    <row r="1552" hidden="1"/>
    <row r="1553" hidden="1"/>
    <row r="1554" hidden="1"/>
    <row r="1555" hidden="1"/>
    <row r="1556" hidden="1"/>
    <row r="1557" hidden="1"/>
    <row r="1558" hidden="1"/>
    <row r="1559" hidden="1"/>
    <row r="1560" hidden="1"/>
    <row r="1561" hidden="1"/>
    <row r="1562" hidden="1"/>
    <row r="1563" hidden="1"/>
    <row r="1564" hidden="1"/>
    <row r="1565" hidden="1"/>
    <row r="1566" hidden="1"/>
    <row r="1567" hidden="1"/>
    <row r="1568" hidden="1"/>
    <row r="1569" hidden="1"/>
    <row r="1570" hidden="1"/>
    <row r="1571" hidden="1"/>
    <row r="1572" hidden="1"/>
    <row r="1573" hidden="1"/>
    <row r="1574" hidden="1"/>
    <row r="1575" hidden="1"/>
    <row r="1576" hidden="1"/>
    <row r="1577" hidden="1"/>
    <row r="1578" hidden="1"/>
    <row r="1579" hidden="1"/>
    <row r="1580" hidden="1"/>
    <row r="1581" hidden="1"/>
    <row r="1582" hidden="1"/>
    <row r="1583" hidden="1"/>
    <row r="1584" hidden="1"/>
    <row r="1585" hidden="1"/>
    <row r="1586" hidden="1"/>
    <row r="1587" hidden="1"/>
    <row r="1588" hidden="1"/>
    <row r="1589" hidden="1"/>
    <row r="1590" hidden="1"/>
    <row r="1591" hidden="1"/>
    <row r="1592" hidden="1"/>
    <row r="1593" hidden="1"/>
    <row r="1594" hidden="1"/>
    <row r="1595" hidden="1"/>
    <row r="1596" hidden="1"/>
    <row r="1597" hidden="1"/>
    <row r="1598" hidden="1"/>
    <row r="1599" hidden="1"/>
    <row r="1600" hidden="1"/>
    <row r="1601" hidden="1"/>
    <row r="1602" hidden="1"/>
    <row r="1603" hidden="1"/>
    <row r="1604" hidden="1"/>
    <row r="1605" hidden="1"/>
    <row r="1606" hidden="1"/>
    <row r="1607" hidden="1"/>
    <row r="1608" hidden="1"/>
    <row r="1609" hidden="1"/>
    <row r="1610" hidden="1"/>
    <row r="1611" hidden="1"/>
    <row r="1612" hidden="1"/>
    <row r="1613" hidden="1"/>
    <row r="1614" hidden="1"/>
    <row r="1615" hidden="1"/>
    <row r="1616" hidden="1"/>
    <row r="1617" hidden="1"/>
    <row r="1618" hidden="1"/>
    <row r="1619" hidden="1"/>
    <row r="1620" hidden="1"/>
    <row r="1621" hidden="1"/>
    <row r="1622" hidden="1"/>
    <row r="1623" hidden="1"/>
    <row r="1624" hidden="1"/>
    <row r="1625" hidden="1"/>
    <row r="1626" hidden="1"/>
    <row r="1627" hidden="1"/>
    <row r="1628" hidden="1"/>
    <row r="1629" hidden="1"/>
    <row r="1630" hidden="1"/>
    <row r="1631" hidden="1"/>
    <row r="1632" hidden="1"/>
    <row r="1633" hidden="1"/>
    <row r="1634" hidden="1"/>
    <row r="1635" hidden="1"/>
    <row r="1636" hidden="1"/>
    <row r="1637" hidden="1"/>
    <row r="1638" hidden="1"/>
    <row r="1639" hidden="1"/>
    <row r="1640" hidden="1"/>
    <row r="1641" hidden="1"/>
    <row r="1642" hidden="1"/>
    <row r="1643" hidden="1"/>
    <row r="1644" hidden="1"/>
    <row r="1645" hidden="1"/>
    <row r="1646" hidden="1"/>
    <row r="1647" hidden="1"/>
    <row r="1648" hidden="1"/>
    <row r="1649" hidden="1"/>
    <row r="1650" hidden="1"/>
    <row r="1651" hidden="1"/>
    <row r="1652" hidden="1"/>
    <row r="1653" hidden="1"/>
    <row r="1654" hidden="1"/>
    <row r="1655" hidden="1"/>
    <row r="1656" hidden="1"/>
    <row r="1657" hidden="1"/>
    <row r="1658" hidden="1"/>
    <row r="1659" hidden="1"/>
    <row r="1660" hidden="1"/>
    <row r="1661" hidden="1"/>
    <row r="1662" hidden="1"/>
    <row r="1663" hidden="1"/>
    <row r="1664" hidden="1"/>
    <row r="1665" hidden="1"/>
    <row r="1666" hidden="1"/>
    <row r="1667" hidden="1"/>
    <row r="1668" hidden="1"/>
    <row r="1669" hidden="1"/>
    <row r="1670" hidden="1"/>
    <row r="1671" hidden="1"/>
    <row r="1672" hidden="1"/>
    <row r="1673" hidden="1"/>
    <row r="1674" hidden="1"/>
    <row r="1675" hidden="1"/>
    <row r="1676" hidden="1"/>
    <row r="1677" hidden="1"/>
    <row r="1678" hidden="1"/>
    <row r="1679" hidden="1"/>
    <row r="1680" hidden="1"/>
    <row r="1681" hidden="1"/>
    <row r="1682" hidden="1"/>
    <row r="1683" hidden="1"/>
    <row r="1684" hidden="1"/>
    <row r="1685" hidden="1"/>
    <row r="1686" hidden="1"/>
    <row r="1687" hidden="1"/>
    <row r="1688" hidden="1"/>
    <row r="1689" hidden="1"/>
    <row r="1690" hidden="1"/>
    <row r="1691" hidden="1"/>
    <row r="1692" hidden="1"/>
    <row r="1693" hidden="1"/>
    <row r="1694" hidden="1"/>
    <row r="1695" hidden="1"/>
    <row r="1696" hidden="1"/>
    <row r="1697" hidden="1"/>
    <row r="1698" hidden="1"/>
    <row r="1699" hidden="1"/>
    <row r="1700" hidden="1"/>
    <row r="1701" hidden="1"/>
    <row r="1702" hidden="1"/>
    <row r="1703" hidden="1"/>
    <row r="1704" hidden="1"/>
    <row r="1705" hidden="1"/>
    <row r="1706" hidden="1"/>
    <row r="1707" hidden="1"/>
    <row r="1708" hidden="1"/>
    <row r="1709" hidden="1"/>
    <row r="1710" hidden="1"/>
    <row r="1711" hidden="1"/>
    <row r="1712" hidden="1"/>
    <row r="1713" hidden="1"/>
    <row r="1714" hidden="1"/>
    <row r="1715" hidden="1"/>
    <row r="1716" hidden="1"/>
    <row r="1717" hidden="1"/>
    <row r="1718" hidden="1"/>
    <row r="1719" hidden="1"/>
    <row r="1720" hidden="1"/>
    <row r="1721" hidden="1"/>
    <row r="1722" hidden="1"/>
    <row r="1723" hidden="1"/>
    <row r="1724" hidden="1"/>
    <row r="1725" hidden="1"/>
    <row r="1726" hidden="1"/>
    <row r="1727" hidden="1"/>
    <row r="1728" hidden="1"/>
    <row r="1729" hidden="1"/>
    <row r="1730" hidden="1"/>
    <row r="1731" hidden="1"/>
    <row r="1732" hidden="1"/>
    <row r="1733" hidden="1"/>
    <row r="1734" hidden="1"/>
    <row r="1735" hidden="1"/>
    <row r="1736" hidden="1"/>
    <row r="1737" hidden="1"/>
    <row r="1738" hidden="1"/>
    <row r="1739" hidden="1"/>
    <row r="1740" hidden="1"/>
    <row r="1741" hidden="1"/>
    <row r="1742" hidden="1"/>
    <row r="1743" hidden="1"/>
    <row r="1744" hidden="1"/>
    <row r="1745" hidden="1"/>
    <row r="1746" hidden="1"/>
    <row r="1747" hidden="1"/>
    <row r="1748" hidden="1"/>
    <row r="1749" hidden="1"/>
    <row r="1750" hidden="1"/>
    <row r="1751" hidden="1"/>
    <row r="1752" hidden="1"/>
    <row r="1753" hidden="1"/>
    <row r="1754" hidden="1"/>
    <row r="1755" hidden="1"/>
    <row r="1756" hidden="1"/>
    <row r="1757" hidden="1"/>
    <row r="1758" hidden="1"/>
    <row r="1759" hidden="1"/>
    <row r="1760" hidden="1"/>
    <row r="1761" hidden="1"/>
    <row r="1762" hidden="1"/>
    <row r="1763" hidden="1"/>
    <row r="1764" hidden="1"/>
    <row r="1765" hidden="1"/>
    <row r="1766" hidden="1"/>
    <row r="1767" hidden="1"/>
    <row r="1768" hidden="1"/>
    <row r="1769" hidden="1"/>
    <row r="1770" hidden="1"/>
    <row r="1771" hidden="1"/>
    <row r="1772" hidden="1"/>
    <row r="1773" hidden="1"/>
    <row r="1774" hidden="1"/>
    <row r="1775" hidden="1"/>
    <row r="1776" hidden="1"/>
    <row r="1777" hidden="1"/>
    <row r="1778" hidden="1"/>
    <row r="1779" hidden="1"/>
    <row r="1780" hidden="1"/>
    <row r="1781" hidden="1"/>
    <row r="1782" hidden="1"/>
    <row r="1783" hidden="1"/>
    <row r="1784" hidden="1"/>
    <row r="1785" hidden="1"/>
    <row r="1786" hidden="1"/>
    <row r="1787" hidden="1"/>
    <row r="1788" hidden="1"/>
    <row r="1789" hidden="1"/>
    <row r="1790" hidden="1"/>
    <row r="1791" hidden="1"/>
    <row r="1792" hidden="1"/>
    <row r="1793" hidden="1"/>
    <row r="1794" hidden="1"/>
    <row r="1795" hidden="1"/>
    <row r="1796" hidden="1"/>
    <row r="1797" hidden="1"/>
    <row r="1798" hidden="1"/>
    <row r="1799" hidden="1"/>
    <row r="1800" hidden="1"/>
    <row r="1801" hidden="1"/>
    <row r="1802" hidden="1"/>
    <row r="1803" hidden="1"/>
    <row r="1804" hidden="1"/>
    <row r="1805" hidden="1"/>
    <row r="1806" hidden="1"/>
    <row r="1807" hidden="1"/>
    <row r="1808" hidden="1"/>
    <row r="1809" hidden="1"/>
    <row r="1810" hidden="1"/>
    <row r="1811" hidden="1"/>
    <row r="1812" hidden="1"/>
    <row r="1813" hidden="1"/>
    <row r="1814" hidden="1"/>
    <row r="1815" hidden="1"/>
    <row r="1816" hidden="1"/>
    <row r="1817" hidden="1"/>
    <row r="1818" hidden="1"/>
    <row r="1819" hidden="1"/>
    <row r="1820" hidden="1"/>
    <row r="1821" hidden="1"/>
    <row r="1822" hidden="1"/>
    <row r="1823" hidden="1"/>
    <row r="1824" hidden="1"/>
    <row r="1825" hidden="1"/>
    <row r="1826" hidden="1"/>
    <row r="1827" hidden="1"/>
    <row r="1828" hidden="1"/>
    <row r="1829" hidden="1"/>
    <row r="1830" hidden="1"/>
    <row r="1831" hidden="1"/>
    <row r="1832" hidden="1"/>
    <row r="1833" hidden="1"/>
    <row r="1834" hidden="1"/>
    <row r="1835" hidden="1"/>
    <row r="1836" hidden="1"/>
    <row r="1837" hidden="1"/>
    <row r="1838" hidden="1"/>
    <row r="1839" hidden="1"/>
    <row r="1840" hidden="1"/>
    <row r="1841" hidden="1"/>
    <row r="1842" hidden="1"/>
    <row r="1843" hidden="1"/>
    <row r="1844" hidden="1"/>
    <row r="1845" hidden="1"/>
    <row r="1846" hidden="1"/>
    <row r="1847" hidden="1"/>
    <row r="1848" hidden="1"/>
    <row r="1849" hidden="1"/>
    <row r="1850" hidden="1"/>
    <row r="1851" hidden="1"/>
    <row r="1852" hidden="1"/>
    <row r="1853" hidden="1"/>
    <row r="1854" hidden="1"/>
    <row r="1855" hidden="1"/>
    <row r="1856" hidden="1"/>
    <row r="1857" hidden="1"/>
    <row r="1858" hidden="1"/>
    <row r="1859" hidden="1"/>
    <row r="1860" hidden="1"/>
    <row r="1861" hidden="1"/>
    <row r="1862" hidden="1"/>
    <row r="1863" hidden="1"/>
    <row r="1864" hidden="1"/>
    <row r="1865" hidden="1"/>
    <row r="1866" hidden="1"/>
    <row r="1867" hidden="1"/>
    <row r="1868" hidden="1"/>
    <row r="1869" hidden="1"/>
    <row r="1870" hidden="1"/>
    <row r="1871" hidden="1"/>
    <row r="1872" hidden="1"/>
    <row r="1873" hidden="1"/>
    <row r="1874" hidden="1"/>
    <row r="1875" hidden="1"/>
    <row r="1876" hidden="1"/>
    <row r="1877" hidden="1"/>
    <row r="1878" hidden="1"/>
    <row r="1879" hidden="1"/>
    <row r="1880" hidden="1"/>
    <row r="1881" hidden="1"/>
    <row r="1882" hidden="1"/>
    <row r="1883" hidden="1"/>
    <row r="1884" hidden="1"/>
    <row r="1885" hidden="1"/>
    <row r="1886" hidden="1"/>
    <row r="1887" hidden="1"/>
    <row r="1888" hidden="1"/>
    <row r="1889" hidden="1"/>
    <row r="1890" hidden="1"/>
    <row r="1891" hidden="1"/>
    <row r="1892" hidden="1"/>
    <row r="1893" hidden="1"/>
    <row r="1894" hidden="1"/>
    <row r="1895" hidden="1"/>
    <row r="1896" hidden="1"/>
    <row r="1897" hidden="1"/>
    <row r="1898" hidden="1"/>
    <row r="1899" hidden="1"/>
    <row r="1900" hidden="1"/>
    <row r="1901" hidden="1"/>
    <row r="1902" hidden="1"/>
    <row r="1903" hidden="1"/>
    <row r="1904" hidden="1"/>
    <row r="1905" hidden="1"/>
    <row r="1906" hidden="1"/>
    <row r="1907" hidden="1"/>
    <row r="1908" hidden="1"/>
    <row r="1909" hidden="1"/>
    <row r="1910" hidden="1"/>
    <row r="1911" hidden="1"/>
    <row r="1912" hidden="1"/>
    <row r="1913" hidden="1"/>
    <row r="1914" hidden="1"/>
    <row r="1915" hidden="1"/>
    <row r="1916" hidden="1"/>
    <row r="1917" hidden="1"/>
    <row r="1918" hidden="1"/>
    <row r="1919" hidden="1"/>
    <row r="1920" hidden="1"/>
    <row r="1921" hidden="1"/>
    <row r="1922" hidden="1"/>
    <row r="1923" hidden="1"/>
    <row r="1924" hidden="1"/>
    <row r="1925" hidden="1"/>
    <row r="1926" hidden="1"/>
    <row r="1927" hidden="1"/>
    <row r="1928" hidden="1"/>
    <row r="1929" hidden="1"/>
    <row r="1930" hidden="1"/>
    <row r="1931" hidden="1"/>
    <row r="1932" hidden="1"/>
    <row r="1933" hidden="1"/>
    <row r="1934" hidden="1"/>
    <row r="1935" hidden="1"/>
    <row r="1936" hidden="1"/>
    <row r="1937" hidden="1"/>
    <row r="1938" hidden="1"/>
    <row r="1939" hidden="1"/>
    <row r="1940" hidden="1"/>
    <row r="1941" hidden="1"/>
    <row r="1942" hidden="1"/>
    <row r="1943" hidden="1"/>
    <row r="1944" hidden="1"/>
    <row r="1945" hidden="1"/>
    <row r="1946" hidden="1"/>
    <row r="1947" hidden="1"/>
    <row r="1948" hidden="1"/>
    <row r="1949" hidden="1"/>
    <row r="1950" hidden="1"/>
    <row r="1951" hidden="1"/>
    <row r="1952" hidden="1"/>
    <row r="1953" hidden="1"/>
    <row r="1954" hidden="1"/>
    <row r="1955" hidden="1"/>
    <row r="1956" hidden="1"/>
    <row r="1957" hidden="1"/>
    <row r="1958" hidden="1"/>
    <row r="1959" hidden="1"/>
    <row r="1960" hidden="1"/>
    <row r="1961" hidden="1"/>
    <row r="1962" hidden="1"/>
    <row r="1963" hidden="1"/>
    <row r="1964" hidden="1"/>
    <row r="1965" hidden="1"/>
    <row r="1966" hidden="1"/>
    <row r="1967" hidden="1"/>
    <row r="1968" hidden="1"/>
    <row r="1969" hidden="1"/>
    <row r="1970" hidden="1"/>
    <row r="1971" hidden="1"/>
    <row r="1972" hidden="1"/>
    <row r="1973" hidden="1"/>
    <row r="1974" hidden="1"/>
    <row r="1975" hidden="1"/>
    <row r="1976" hidden="1"/>
    <row r="1977" hidden="1"/>
    <row r="1978" hidden="1"/>
    <row r="1979" hidden="1"/>
    <row r="1980" hidden="1"/>
    <row r="1981" hidden="1"/>
    <row r="1982" hidden="1"/>
    <row r="1983" hidden="1"/>
    <row r="1984" hidden="1"/>
    <row r="1985" hidden="1"/>
    <row r="1986" hidden="1"/>
    <row r="1987" hidden="1"/>
    <row r="1988" hidden="1"/>
    <row r="1989" hidden="1"/>
    <row r="1990" hidden="1"/>
    <row r="1991" hidden="1"/>
    <row r="1992" hidden="1"/>
    <row r="1993" hidden="1"/>
    <row r="1994" hidden="1"/>
    <row r="1995" hidden="1"/>
    <row r="1996" hidden="1"/>
    <row r="1997" hidden="1"/>
    <row r="1998" hidden="1"/>
    <row r="1999" hidden="1"/>
    <row r="2000" hidden="1"/>
    <row r="2001" hidden="1"/>
    <row r="2002" hidden="1"/>
    <row r="2003" hidden="1"/>
    <row r="2004" hidden="1"/>
    <row r="2005" hidden="1"/>
    <row r="2006" hidden="1"/>
    <row r="2007" hidden="1"/>
    <row r="2008" hidden="1"/>
    <row r="2009" hidden="1"/>
    <row r="2010" hidden="1"/>
    <row r="2011" hidden="1"/>
    <row r="2012" hidden="1"/>
    <row r="2013" hidden="1"/>
    <row r="2014" hidden="1"/>
    <row r="2015" hidden="1"/>
    <row r="2016" hidden="1"/>
    <row r="2017" hidden="1"/>
    <row r="2018" hidden="1"/>
    <row r="2019" hidden="1"/>
    <row r="2020" hidden="1"/>
    <row r="2021" hidden="1"/>
    <row r="2022" hidden="1"/>
    <row r="2023" hidden="1"/>
    <row r="2024" hidden="1"/>
    <row r="2025" hidden="1"/>
    <row r="2026" hidden="1"/>
    <row r="2027" hidden="1"/>
    <row r="2028" hidden="1"/>
    <row r="2029" hidden="1"/>
    <row r="2030" hidden="1"/>
    <row r="2031" hidden="1"/>
    <row r="2032" hidden="1"/>
    <row r="2033" spans="1:2" hidden="1"/>
    <row r="2034" spans="1:2" ht="28.5" customHeight="1"/>
    <row r="2035" spans="1:2" ht="34.5" customHeight="1"/>
    <row r="2036" spans="1:2">
      <c r="A2036" s="127">
        <v>10000</v>
      </c>
      <c r="B2036" s="125" t="s">
        <v>1414</v>
      </c>
    </row>
    <row r="2037" spans="1:2">
      <c r="A2037" s="127">
        <v>10100</v>
      </c>
      <c r="B2037" s="125" t="s">
        <v>443</v>
      </c>
    </row>
    <row r="2038" spans="1:2">
      <c r="A2038" s="127">
        <v>10200</v>
      </c>
      <c r="B2038" s="125" t="s">
        <v>1128</v>
      </c>
    </row>
    <row r="2039" spans="1:2">
      <c r="A2039" s="127">
        <v>10300</v>
      </c>
      <c r="B2039" s="125" t="s">
        <v>1111</v>
      </c>
    </row>
    <row r="2040" spans="1:2">
      <c r="A2040" s="127">
        <v>10400</v>
      </c>
      <c r="B2040" s="125" t="s">
        <v>1112</v>
      </c>
    </row>
    <row r="2041" spans="1:2" ht="26.4">
      <c r="A2041" s="127">
        <v>10500</v>
      </c>
      <c r="B2041" s="125" t="s">
        <v>2006</v>
      </c>
    </row>
    <row r="2042" spans="1:2">
      <c r="A2042" s="127">
        <v>10600</v>
      </c>
      <c r="B2042" s="125" t="s">
        <v>1694</v>
      </c>
    </row>
    <row r="2043" spans="1:2">
      <c r="A2043" s="127">
        <v>10700</v>
      </c>
      <c r="B2043" s="125" t="s">
        <v>1695</v>
      </c>
    </row>
    <row r="2044" spans="1:2">
      <c r="A2044" s="127">
        <v>10800</v>
      </c>
      <c r="B2044" s="125" t="s">
        <v>1903</v>
      </c>
    </row>
    <row r="2045" spans="1:2">
      <c r="A2045" s="127">
        <v>10900</v>
      </c>
      <c r="B2045" s="125" t="s">
        <v>1276</v>
      </c>
    </row>
    <row r="2046" spans="1:2">
      <c r="A2046" s="127">
        <v>11000</v>
      </c>
      <c r="B2046" s="125" t="s">
        <v>1277</v>
      </c>
    </row>
    <row r="2047" spans="1:2">
      <c r="A2047" s="127">
        <v>11100</v>
      </c>
      <c r="B2047" s="125" t="s">
        <v>1055</v>
      </c>
    </row>
    <row r="2048" spans="1:2">
      <c r="A2048" s="127">
        <v>11200</v>
      </c>
      <c r="B2048" s="125" t="s">
        <v>818</v>
      </c>
    </row>
    <row r="2049" spans="1:2">
      <c r="A2049" s="127">
        <v>11300</v>
      </c>
      <c r="B2049" s="125" t="s">
        <v>441</v>
      </c>
    </row>
    <row r="2050" spans="1:2">
      <c r="A2050" s="127">
        <v>11400</v>
      </c>
      <c r="B2050" s="125" t="s">
        <v>1192</v>
      </c>
    </row>
    <row r="2051" spans="1:2">
      <c r="A2051" s="127">
        <v>11500</v>
      </c>
      <c r="B2051" s="125" t="s">
        <v>1193</v>
      </c>
    </row>
    <row r="2052" spans="1:2">
      <c r="A2052" s="127">
        <v>11600</v>
      </c>
      <c r="B2052" s="125" t="s">
        <v>402</v>
      </c>
    </row>
    <row r="2053" spans="1:2">
      <c r="A2053" s="127">
        <v>11700</v>
      </c>
      <c r="B2053" s="125" t="s">
        <v>1246</v>
      </c>
    </row>
    <row r="2054" spans="1:2" ht="26.4">
      <c r="A2054" s="127">
        <v>11800</v>
      </c>
      <c r="B2054" s="125" t="s">
        <v>786</v>
      </c>
    </row>
    <row r="2055" spans="1:2">
      <c r="A2055" s="127">
        <v>11900</v>
      </c>
      <c r="B2055" s="125" t="s">
        <v>787</v>
      </c>
    </row>
    <row r="2056" spans="1:2" ht="79.2">
      <c r="A2056" s="127">
        <v>12000</v>
      </c>
      <c r="B2056" s="126" t="s">
        <v>1189</v>
      </c>
    </row>
    <row r="2057" spans="1:2">
      <c r="A2057" s="127">
        <v>12200</v>
      </c>
      <c r="B2057" s="125" t="s">
        <v>788</v>
      </c>
    </row>
    <row r="2058" spans="1:2">
      <c r="A2058" s="127">
        <v>12300</v>
      </c>
      <c r="B2058" s="125" t="s">
        <v>789</v>
      </c>
    </row>
    <row r="2059" spans="1:2">
      <c r="A2059" s="127">
        <v>12400</v>
      </c>
      <c r="B2059" s="125" t="s">
        <v>1603</v>
      </c>
    </row>
    <row r="2060" spans="1:2">
      <c r="A2060" s="127">
        <v>12500</v>
      </c>
      <c r="B2060" s="125" t="s">
        <v>1415</v>
      </c>
    </row>
    <row r="2061" spans="1:2">
      <c r="A2061" s="127">
        <v>12600</v>
      </c>
      <c r="B2061" s="125" t="s">
        <v>1416</v>
      </c>
    </row>
    <row r="2062" spans="1:2">
      <c r="A2062" s="127">
        <v>12700</v>
      </c>
      <c r="B2062" s="125" t="s">
        <v>550</v>
      </c>
    </row>
    <row r="2063" spans="1:2">
      <c r="A2063" s="127">
        <v>12900</v>
      </c>
      <c r="B2063" s="125" t="s">
        <v>1190</v>
      </c>
    </row>
    <row r="2064" spans="1:2">
      <c r="A2064" s="127">
        <v>13000</v>
      </c>
      <c r="B2064" s="125" t="s">
        <v>275</v>
      </c>
    </row>
    <row r="2065" spans="1:2">
      <c r="A2065" s="127">
        <v>13100</v>
      </c>
      <c r="B2065" s="125" t="s">
        <v>276</v>
      </c>
    </row>
    <row r="2066" spans="1:2">
      <c r="A2066" s="127">
        <v>13200</v>
      </c>
      <c r="B2066" s="125" t="s">
        <v>277</v>
      </c>
    </row>
    <row r="2067" spans="1:2">
      <c r="A2067" s="127">
        <v>13300</v>
      </c>
      <c r="B2067" s="125" t="s">
        <v>383</v>
      </c>
    </row>
    <row r="2068" spans="1:2">
      <c r="A2068" s="127">
        <v>13400</v>
      </c>
      <c r="B2068" s="125" t="s">
        <v>384</v>
      </c>
    </row>
    <row r="2069" spans="1:2" ht="26.4">
      <c r="A2069" s="127">
        <v>13500</v>
      </c>
      <c r="B2069" s="125" t="s">
        <v>1697</v>
      </c>
    </row>
    <row r="2070" spans="1:2">
      <c r="A2070" s="127">
        <v>13600</v>
      </c>
      <c r="B2070" s="125" t="s">
        <v>1272</v>
      </c>
    </row>
    <row r="2071" spans="1:2" ht="52.8">
      <c r="A2071" s="127">
        <v>13700</v>
      </c>
      <c r="B2071" s="126" t="s">
        <v>508</v>
      </c>
    </row>
    <row r="2072" spans="1:2">
      <c r="A2072" s="127">
        <v>13800</v>
      </c>
      <c r="B2072" s="125" t="s">
        <v>86</v>
      </c>
    </row>
    <row r="2073" spans="1:2">
      <c r="A2073" s="127">
        <v>13801</v>
      </c>
      <c r="B2073" s="125" t="s">
        <v>86</v>
      </c>
    </row>
    <row r="2074" spans="1:2" ht="26.4">
      <c r="A2074" s="127">
        <v>14000</v>
      </c>
      <c r="B2074" s="125" t="s">
        <v>1469</v>
      </c>
    </row>
    <row r="2075" spans="1:2">
      <c r="A2075" s="127">
        <v>14100</v>
      </c>
      <c r="B2075" s="125" t="s">
        <v>225</v>
      </c>
    </row>
    <row r="2076" spans="1:2" ht="26.4">
      <c r="A2076" s="127">
        <v>14200</v>
      </c>
      <c r="B2076" s="125" t="s">
        <v>1958</v>
      </c>
    </row>
    <row r="2077" spans="1:2">
      <c r="A2077" s="127">
        <v>14300</v>
      </c>
      <c r="B2077" s="125" t="s">
        <v>606</v>
      </c>
    </row>
    <row r="2078" spans="1:2" ht="26.4">
      <c r="A2078" s="127">
        <v>14400</v>
      </c>
      <c r="B2078" s="125" t="s">
        <v>1428</v>
      </c>
    </row>
    <row r="2079" spans="1:2" ht="26.4">
      <c r="A2079" s="127">
        <v>14500</v>
      </c>
      <c r="B2079" s="125" t="s">
        <v>245</v>
      </c>
    </row>
    <row r="2080" spans="1:2">
      <c r="A2080" s="127">
        <v>14600</v>
      </c>
      <c r="B2080" s="125" t="s">
        <v>246</v>
      </c>
    </row>
    <row r="2081" spans="1:2">
      <c r="A2081" s="127">
        <v>14700</v>
      </c>
      <c r="B2081" s="125" t="s">
        <v>120</v>
      </c>
    </row>
    <row r="2082" spans="1:2">
      <c r="A2082" s="127">
        <v>14900</v>
      </c>
      <c r="B2082" s="125" t="s">
        <v>1191</v>
      </c>
    </row>
    <row r="2083" spans="1:2" ht="26.4">
      <c r="A2083" s="127">
        <v>15100</v>
      </c>
      <c r="B2083" s="125" t="s">
        <v>615</v>
      </c>
    </row>
    <row r="2084" spans="1:2" ht="39.6">
      <c r="A2084" s="127">
        <v>15200</v>
      </c>
      <c r="B2084" s="125" t="s">
        <v>616</v>
      </c>
    </row>
    <row r="2085" spans="1:2" ht="26.4">
      <c r="A2085" s="127">
        <v>15300</v>
      </c>
      <c r="B2085" s="125" t="s">
        <v>617</v>
      </c>
    </row>
    <row r="2086" spans="1:2">
      <c r="A2086" s="127">
        <v>15500</v>
      </c>
      <c r="B2086" s="125" t="s">
        <v>597</v>
      </c>
    </row>
    <row r="2087" spans="1:2">
      <c r="A2087" s="127">
        <v>15800</v>
      </c>
      <c r="B2087" s="125" t="s">
        <v>598</v>
      </c>
    </row>
    <row r="2088" spans="1:2">
      <c r="A2088" s="127">
        <v>16700</v>
      </c>
      <c r="B2088" s="125" t="s">
        <v>77</v>
      </c>
    </row>
    <row r="2089" spans="1:2">
      <c r="A2089" s="127">
        <v>16800</v>
      </c>
      <c r="B2089" s="125" t="s">
        <v>637</v>
      </c>
    </row>
    <row r="2090" spans="1:2">
      <c r="A2090" s="127">
        <v>16801</v>
      </c>
      <c r="B2090" s="125" t="s">
        <v>406</v>
      </c>
    </row>
    <row r="2091" spans="1:2">
      <c r="A2091" s="127">
        <v>16802</v>
      </c>
      <c r="B2091" s="125" t="s">
        <v>189</v>
      </c>
    </row>
    <row r="2092" spans="1:2">
      <c r="A2092" s="127">
        <v>17000</v>
      </c>
      <c r="B2092" s="125" t="s">
        <v>909</v>
      </c>
    </row>
    <row r="2093" spans="1:2">
      <c r="A2093" s="127">
        <v>17100</v>
      </c>
      <c r="B2093" s="125" t="s">
        <v>910</v>
      </c>
    </row>
    <row r="2094" spans="1:2">
      <c r="A2094" s="127">
        <v>17101</v>
      </c>
      <c r="B2094" s="125" t="s">
        <v>313</v>
      </c>
    </row>
    <row r="2095" spans="1:2">
      <c r="A2095" s="127">
        <v>17102</v>
      </c>
      <c r="B2095" s="125" t="s">
        <v>197</v>
      </c>
    </row>
    <row r="2096" spans="1:2">
      <c r="A2096" s="127">
        <v>17103</v>
      </c>
      <c r="B2096" s="125" t="s">
        <v>198</v>
      </c>
    </row>
    <row r="2097" spans="1:2">
      <c r="A2097" s="127">
        <v>17200</v>
      </c>
      <c r="B2097" s="125" t="s">
        <v>261</v>
      </c>
    </row>
    <row r="2098" spans="1:2">
      <c r="A2098" s="127">
        <v>17201</v>
      </c>
      <c r="B2098" s="125" t="s">
        <v>651</v>
      </c>
    </row>
    <row r="2099" spans="1:2">
      <c r="A2099" s="127">
        <v>17202</v>
      </c>
      <c r="B2099" s="125" t="s">
        <v>652</v>
      </c>
    </row>
    <row r="2100" spans="1:2">
      <c r="A2100" s="127">
        <v>17203</v>
      </c>
      <c r="B2100" s="125" t="s">
        <v>595</v>
      </c>
    </row>
    <row r="2101" spans="1:2">
      <c r="A2101" s="127">
        <v>17500</v>
      </c>
      <c r="B2101" s="125" t="s">
        <v>1244</v>
      </c>
    </row>
    <row r="2102" spans="1:2">
      <c r="A2102" s="127">
        <v>17600</v>
      </c>
      <c r="B2102" s="125" t="s">
        <v>1130</v>
      </c>
    </row>
    <row r="2103" spans="1:2">
      <c r="A2103" s="127">
        <v>17900</v>
      </c>
      <c r="B2103" s="125" t="s">
        <v>1131</v>
      </c>
    </row>
    <row r="2104" spans="1:2">
      <c r="A2104" s="127">
        <v>18200</v>
      </c>
      <c r="B2104" s="125" t="s">
        <v>1132</v>
      </c>
    </row>
    <row r="2105" spans="1:2">
      <c r="A2105" s="127">
        <v>19900</v>
      </c>
      <c r="B2105" s="125" t="s">
        <v>81</v>
      </c>
    </row>
    <row r="2106" spans="1:2" ht="26.4">
      <c r="A2106" s="127">
        <v>20000</v>
      </c>
      <c r="B2106" s="125" t="s">
        <v>1614</v>
      </c>
    </row>
    <row r="2107" spans="1:2">
      <c r="A2107" s="127">
        <v>20300</v>
      </c>
      <c r="B2107" s="125" t="s">
        <v>941</v>
      </c>
    </row>
    <row r="2108" spans="1:2">
      <c r="A2108" s="127">
        <v>20400</v>
      </c>
      <c r="B2108" s="125" t="s">
        <v>1112</v>
      </c>
    </row>
    <row r="2109" spans="1:2">
      <c r="A2109" s="127">
        <v>21100</v>
      </c>
      <c r="B2109" s="125" t="s">
        <v>1046</v>
      </c>
    </row>
    <row r="2110" spans="1:2">
      <c r="A2110" s="127">
        <v>21200</v>
      </c>
      <c r="B2110" s="125" t="s">
        <v>551</v>
      </c>
    </row>
    <row r="2111" spans="1:2">
      <c r="A2111" s="127">
        <v>22500</v>
      </c>
      <c r="B2111" s="125" t="s">
        <v>940</v>
      </c>
    </row>
    <row r="2112" spans="1:2">
      <c r="A2112" s="127">
        <v>100000</v>
      </c>
      <c r="B2112" s="125" t="s">
        <v>1139</v>
      </c>
    </row>
    <row r="2113" spans="1:2">
      <c r="A2113" s="127">
        <v>100100</v>
      </c>
      <c r="B2113" s="125" t="s">
        <v>1061</v>
      </c>
    </row>
    <row r="2114" spans="1:2">
      <c r="A2114" s="127">
        <v>100200</v>
      </c>
      <c r="B2114" s="125" t="s">
        <v>470</v>
      </c>
    </row>
    <row r="2115" spans="1:2">
      <c r="A2115" s="127">
        <v>200000</v>
      </c>
      <c r="B2115" s="125" t="s">
        <v>1257</v>
      </c>
    </row>
    <row r="2116" spans="1:2">
      <c r="A2116" s="127">
        <v>200002</v>
      </c>
      <c r="B2116" s="125" t="s">
        <v>1835</v>
      </c>
    </row>
    <row r="2117" spans="1:2">
      <c r="A2117" s="127">
        <v>200003</v>
      </c>
      <c r="B2117" s="125" t="s">
        <v>800</v>
      </c>
    </row>
    <row r="2118" spans="1:2">
      <c r="A2118" s="127">
        <v>200100</v>
      </c>
      <c r="B2118" s="125" t="s">
        <v>1606</v>
      </c>
    </row>
    <row r="2119" spans="1:2">
      <c r="A2119" s="127">
        <v>200200</v>
      </c>
      <c r="B2119" s="125" t="s">
        <v>1122</v>
      </c>
    </row>
    <row r="2120" spans="1:2">
      <c r="A2120" s="127">
        <v>200300</v>
      </c>
      <c r="B2120" s="125" t="s">
        <v>1123</v>
      </c>
    </row>
    <row r="2121" spans="1:2" ht="26.4">
      <c r="A2121" s="127">
        <v>200400</v>
      </c>
      <c r="B2121" s="125" t="s">
        <v>1271</v>
      </c>
    </row>
    <row r="2122" spans="1:2">
      <c r="A2122" s="127">
        <v>210000</v>
      </c>
      <c r="B2122" s="125" t="s">
        <v>102</v>
      </c>
    </row>
    <row r="2123" spans="1:2">
      <c r="A2123" s="127">
        <v>219900</v>
      </c>
      <c r="B2123" s="125" t="s">
        <v>81</v>
      </c>
    </row>
    <row r="2124" spans="1:2">
      <c r="A2124" s="127">
        <v>300000</v>
      </c>
      <c r="B2124" s="125" t="s">
        <v>1067</v>
      </c>
    </row>
    <row r="2125" spans="1:2">
      <c r="A2125" s="127">
        <v>300100</v>
      </c>
      <c r="B2125" s="125" t="s">
        <v>1034</v>
      </c>
    </row>
    <row r="2126" spans="1:2">
      <c r="A2126" s="127">
        <v>300300</v>
      </c>
      <c r="B2126" s="125" t="s">
        <v>618</v>
      </c>
    </row>
    <row r="2127" spans="1:2">
      <c r="A2127" s="127">
        <v>300301</v>
      </c>
      <c r="B2127" s="125" t="s">
        <v>802</v>
      </c>
    </row>
    <row r="2128" spans="1:2">
      <c r="A2128" s="127">
        <v>300302</v>
      </c>
      <c r="B2128" s="125" t="s">
        <v>803</v>
      </c>
    </row>
    <row r="2129" spans="1:2">
      <c r="A2129" s="127">
        <v>300400</v>
      </c>
      <c r="B2129" s="125" t="s">
        <v>442</v>
      </c>
    </row>
    <row r="2130" spans="1:2">
      <c r="A2130" s="127">
        <v>300500</v>
      </c>
      <c r="B2130" s="125" t="s">
        <v>1333</v>
      </c>
    </row>
    <row r="2131" spans="1:2">
      <c r="A2131" s="127">
        <v>300600</v>
      </c>
      <c r="B2131" s="125" t="s">
        <v>1334</v>
      </c>
    </row>
    <row r="2132" spans="1:2">
      <c r="A2132" s="127">
        <v>300700</v>
      </c>
      <c r="B2132" s="125" t="s">
        <v>688</v>
      </c>
    </row>
    <row r="2133" spans="1:2">
      <c r="A2133" s="127">
        <v>300800</v>
      </c>
      <c r="B2133" s="125" t="s">
        <v>689</v>
      </c>
    </row>
    <row r="2134" spans="1:2" ht="26.4">
      <c r="A2134" s="127">
        <v>300900</v>
      </c>
      <c r="B2134" s="125" t="s">
        <v>619</v>
      </c>
    </row>
    <row r="2135" spans="1:2">
      <c r="A2135" s="127">
        <v>301000</v>
      </c>
      <c r="B2135" s="125" t="s">
        <v>620</v>
      </c>
    </row>
    <row r="2136" spans="1:2">
      <c r="A2136" s="127">
        <v>301100</v>
      </c>
      <c r="B2136" s="125" t="s">
        <v>621</v>
      </c>
    </row>
    <row r="2137" spans="1:2">
      <c r="A2137" s="127">
        <v>301200</v>
      </c>
      <c r="B2137" s="125" t="s">
        <v>622</v>
      </c>
    </row>
    <row r="2138" spans="1:2">
      <c r="A2138" s="127">
        <v>301300</v>
      </c>
      <c r="B2138" s="125" t="s">
        <v>623</v>
      </c>
    </row>
    <row r="2139" spans="1:2">
      <c r="A2139" s="127">
        <v>301400</v>
      </c>
      <c r="B2139" s="125" t="s">
        <v>624</v>
      </c>
    </row>
    <row r="2140" spans="1:2">
      <c r="A2140" s="127">
        <v>309600</v>
      </c>
      <c r="B2140" s="125" t="s">
        <v>690</v>
      </c>
    </row>
    <row r="2141" spans="1:2">
      <c r="A2141" s="127">
        <v>309700</v>
      </c>
      <c r="B2141" s="125" t="s">
        <v>1152</v>
      </c>
    </row>
    <row r="2142" spans="1:2">
      <c r="A2142" s="127">
        <v>309800</v>
      </c>
      <c r="B2142" s="125" t="s">
        <v>1153</v>
      </c>
    </row>
    <row r="2143" spans="1:2">
      <c r="A2143" s="127">
        <v>310000</v>
      </c>
      <c r="B2143" s="125" t="s">
        <v>415</v>
      </c>
    </row>
    <row r="2144" spans="1:2">
      <c r="A2144" s="127">
        <v>310100</v>
      </c>
      <c r="B2144" s="125" t="s">
        <v>1313</v>
      </c>
    </row>
    <row r="2145" spans="1:2">
      <c r="A2145" s="127">
        <v>310200</v>
      </c>
      <c r="B2145" s="125" t="s">
        <v>934</v>
      </c>
    </row>
    <row r="2146" spans="1:2">
      <c r="A2146" s="127">
        <v>310300</v>
      </c>
      <c r="B2146" s="125" t="s">
        <v>935</v>
      </c>
    </row>
    <row r="2147" spans="1:2">
      <c r="A2147" s="127">
        <v>320000</v>
      </c>
      <c r="B2147" s="125" t="s">
        <v>405</v>
      </c>
    </row>
    <row r="2148" spans="1:2">
      <c r="A2148" s="127">
        <v>326900</v>
      </c>
      <c r="B2148" s="125" t="s">
        <v>368</v>
      </c>
    </row>
    <row r="2149" spans="1:2">
      <c r="A2149" s="127">
        <v>329600</v>
      </c>
      <c r="B2149" s="125" t="s">
        <v>690</v>
      </c>
    </row>
    <row r="2150" spans="1:2">
      <c r="A2150" s="127">
        <v>329800</v>
      </c>
      <c r="B2150" s="125" t="s">
        <v>1153</v>
      </c>
    </row>
    <row r="2151" spans="1:2">
      <c r="A2151" s="127">
        <v>340000</v>
      </c>
      <c r="B2151" s="125" t="s">
        <v>452</v>
      </c>
    </row>
    <row r="2152" spans="1:2">
      <c r="A2152" s="127">
        <v>340100</v>
      </c>
      <c r="B2152" s="125" t="s">
        <v>103</v>
      </c>
    </row>
    <row r="2153" spans="1:2">
      <c r="A2153" s="127">
        <v>400000</v>
      </c>
      <c r="B2153" s="125" t="s">
        <v>1607</v>
      </c>
    </row>
    <row r="2154" spans="1:2">
      <c r="A2154" s="127">
        <v>400100</v>
      </c>
      <c r="B2154" s="125" t="s">
        <v>216</v>
      </c>
    </row>
    <row r="2155" spans="1:2">
      <c r="A2155" s="127">
        <v>400200</v>
      </c>
      <c r="B2155" s="125" t="s">
        <v>436</v>
      </c>
    </row>
    <row r="2156" spans="1:2">
      <c r="A2156" s="127">
        <v>500000</v>
      </c>
      <c r="B2156" s="125" t="s">
        <v>1706</v>
      </c>
    </row>
    <row r="2157" spans="1:2">
      <c r="A2157" s="127">
        <v>500100</v>
      </c>
      <c r="B2157" s="125" t="s">
        <v>1266</v>
      </c>
    </row>
    <row r="2158" spans="1:2">
      <c r="A2158" s="127">
        <v>509900</v>
      </c>
      <c r="B2158" s="125" t="s">
        <v>81</v>
      </c>
    </row>
    <row r="2159" spans="1:2">
      <c r="A2159" s="127">
        <v>600000</v>
      </c>
      <c r="B2159" s="125" t="s">
        <v>799</v>
      </c>
    </row>
    <row r="2160" spans="1:2">
      <c r="A2160" s="127">
        <v>600400</v>
      </c>
      <c r="B2160" s="125" t="s">
        <v>1112</v>
      </c>
    </row>
    <row r="2161" spans="1:2">
      <c r="A2161" s="127">
        <v>607900</v>
      </c>
      <c r="B2161" s="125" t="s">
        <v>1131</v>
      </c>
    </row>
    <row r="2162" spans="1:2">
      <c r="A2162" s="127">
        <v>609200</v>
      </c>
      <c r="B2162" s="125" t="s">
        <v>1637</v>
      </c>
    </row>
    <row r="2163" spans="1:2" ht="26.4">
      <c r="A2163" s="127">
        <v>609300</v>
      </c>
      <c r="B2163" s="125" t="s">
        <v>677</v>
      </c>
    </row>
    <row r="2164" spans="1:2">
      <c r="A2164" s="127">
        <v>609400</v>
      </c>
      <c r="B2164" s="125" t="s">
        <v>642</v>
      </c>
    </row>
    <row r="2165" spans="1:2">
      <c r="A2165" s="127">
        <v>609900</v>
      </c>
      <c r="B2165" s="125" t="s">
        <v>81</v>
      </c>
    </row>
    <row r="2166" spans="1:2">
      <c r="A2166" s="127">
        <v>610000</v>
      </c>
      <c r="B2166" s="125" t="s">
        <v>193</v>
      </c>
    </row>
    <row r="2167" spans="1:2" ht="26.4">
      <c r="A2167" s="127">
        <v>615600</v>
      </c>
      <c r="B2167" s="125" t="s">
        <v>342</v>
      </c>
    </row>
    <row r="2168" spans="1:2">
      <c r="A2168" s="127">
        <v>619000</v>
      </c>
      <c r="B2168" s="125" t="s">
        <v>960</v>
      </c>
    </row>
    <row r="2169" spans="1:2">
      <c r="A2169" s="127">
        <v>619100</v>
      </c>
      <c r="B2169" s="125" t="s">
        <v>20</v>
      </c>
    </row>
    <row r="2170" spans="1:2">
      <c r="A2170" s="127">
        <v>619200</v>
      </c>
      <c r="B2170" s="125" t="s">
        <v>1637</v>
      </c>
    </row>
    <row r="2171" spans="1:2">
      <c r="A2171" s="127">
        <v>619900</v>
      </c>
      <c r="B2171" s="125" t="s">
        <v>81</v>
      </c>
    </row>
    <row r="2172" spans="1:2">
      <c r="A2172" s="127">
        <v>650000</v>
      </c>
      <c r="B2172" s="125" t="s">
        <v>1832</v>
      </c>
    </row>
    <row r="2173" spans="1:2">
      <c r="A2173" s="127">
        <v>650100</v>
      </c>
      <c r="B2173" s="125" t="s">
        <v>886</v>
      </c>
    </row>
    <row r="2174" spans="1:2">
      <c r="A2174" s="127">
        <v>650300</v>
      </c>
      <c r="B2174" s="125" t="s">
        <v>742</v>
      </c>
    </row>
    <row r="2175" spans="1:2">
      <c r="A2175" s="127">
        <v>700000</v>
      </c>
      <c r="B2175" s="125" t="s">
        <v>838</v>
      </c>
    </row>
    <row r="2176" spans="1:2">
      <c r="A2176" s="127">
        <v>700100</v>
      </c>
      <c r="B2176" s="125" t="s">
        <v>661</v>
      </c>
    </row>
    <row r="2177" spans="1:2">
      <c r="A2177" s="127">
        <v>700200</v>
      </c>
      <c r="B2177" s="125" t="s">
        <v>643</v>
      </c>
    </row>
    <row r="2178" spans="1:2" ht="26.4">
      <c r="A2178" s="127">
        <v>700300</v>
      </c>
      <c r="B2178" s="125" t="s">
        <v>545</v>
      </c>
    </row>
    <row r="2179" spans="1:2">
      <c r="A2179" s="127">
        <v>700400</v>
      </c>
      <c r="B2179" s="125" t="s">
        <v>625</v>
      </c>
    </row>
    <row r="2180" spans="1:2">
      <c r="A2180" s="127">
        <v>700500</v>
      </c>
      <c r="B2180" s="125" t="s">
        <v>2126</v>
      </c>
    </row>
    <row r="2181" spans="1:2">
      <c r="A2181" s="127">
        <v>750000</v>
      </c>
      <c r="B2181" s="125" t="s">
        <v>882</v>
      </c>
    </row>
    <row r="2182" spans="1:2">
      <c r="A2182" s="127">
        <v>750100</v>
      </c>
      <c r="B2182" s="125" t="s">
        <v>882</v>
      </c>
    </row>
    <row r="2183" spans="1:2">
      <c r="A2183" s="127">
        <v>800000</v>
      </c>
      <c r="B2183" s="125" t="s">
        <v>687</v>
      </c>
    </row>
    <row r="2184" spans="1:2">
      <c r="A2184" s="127">
        <v>800100</v>
      </c>
      <c r="B2184" s="125" t="s">
        <v>883</v>
      </c>
    </row>
    <row r="2185" spans="1:2">
      <c r="A2185" s="127">
        <v>800200</v>
      </c>
      <c r="B2185" s="125" t="s">
        <v>884</v>
      </c>
    </row>
    <row r="2186" spans="1:2" ht="26.4">
      <c r="A2186" s="127">
        <v>809300</v>
      </c>
      <c r="B2186" s="125" t="s">
        <v>677</v>
      </c>
    </row>
    <row r="2187" spans="1:2">
      <c r="A2187" s="127">
        <v>810000</v>
      </c>
      <c r="B2187" s="125" t="s">
        <v>949</v>
      </c>
    </row>
    <row r="2188" spans="1:2" ht="26.4">
      <c r="A2188" s="127">
        <v>810100</v>
      </c>
      <c r="B2188" s="125" t="s">
        <v>1555</v>
      </c>
    </row>
    <row r="2189" spans="1:2">
      <c r="A2189" s="127">
        <v>810200</v>
      </c>
      <c r="B2189" s="125" t="s">
        <v>271</v>
      </c>
    </row>
    <row r="2190" spans="1:2" ht="26.4">
      <c r="A2190" s="127">
        <v>810300</v>
      </c>
      <c r="B2190" s="125" t="s">
        <v>511</v>
      </c>
    </row>
    <row r="2191" spans="1:2" ht="26.4">
      <c r="A2191" s="127">
        <v>810400</v>
      </c>
      <c r="B2191" s="125" t="s">
        <v>626</v>
      </c>
    </row>
    <row r="2192" spans="1:2">
      <c r="A2192" s="127">
        <v>815013</v>
      </c>
      <c r="B2192" s="125" t="s">
        <v>2501</v>
      </c>
    </row>
    <row r="2193" spans="1:2">
      <c r="A2193" s="127">
        <v>815800</v>
      </c>
      <c r="B2193" s="125" t="s">
        <v>598</v>
      </c>
    </row>
    <row r="2194" spans="1:2">
      <c r="A2194" s="127">
        <v>816800</v>
      </c>
      <c r="B2194" s="125" t="s">
        <v>78</v>
      </c>
    </row>
    <row r="2195" spans="1:2">
      <c r="A2195" s="127">
        <v>816801</v>
      </c>
      <c r="B2195" s="125" t="s">
        <v>406</v>
      </c>
    </row>
    <row r="2196" spans="1:2">
      <c r="A2196" s="127">
        <v>816802</v>
      </c>
      <c r="B2196" s="125" t="s">
        <v>189</v>
      </c>
    </row>
    <row r="2197" spans="1:2">
      <c r="A2197" s="127">
        <v>816900</v>
      </c>
      <c r="B2197" s="125" t="s">
        <v>368</v>
      </c>
    </row>
    <row r="2198" spans="1:2">
      <c r="A2198" s="127">
        <v>817100</v>
      </c>
      <c r="B2198" s="125" t="s">
        <v>910</v>
      </c>
    </row>
    <row r="2199" spans="1:2">
      <c r="A2199" s="127">
        <v>817101</v>
      </c>
      <c r="B2199" s="125" t="s">
        <v>313</v>
      </c>
    </row>
    <row r="2200" spans="1:2">
      <c r="A2200" s="127">
        <v>817102</v>
      </c>
      <c r="B2200" s="125" t="s">
        <v>197</v>
      </c>
    </row>
    <row r="2201" spans="1:2">
      <c r="A2201" s="127">
        <v>817103</v>
      </c>
      <c r="B2201" s="125" t="s">
        <v>198</v>
      </c>
    </row>
    <row r="2202" spans="1:2">
      <c r="A2202" s="127">
        <v>817200</v>
      </c>
      <c r="B2202" s="125" t="s">
        <v>261</v>
      </c>
    </row>
    <row r="2203" spans="1:2">
      <c r="A2203" s="127">
        <v>817201</v>
      </c>
      <c r="B2203" s="125" t="s">
        <v>651</v>
      </c>
    </row>
    <row r="2204" spans="1:2">
      <c r="A2204" s="127">
        <v>817202</v>
      </c>
      <c r="B2204" s="125" t="s">
        <v>652</v>
      </c>
    </row>
    <row r="2205" spans="1:2">
      <c r="A2205" s="127">
        <v>817203</v>
      </c>
      <c r="B2205" s="125" t="s">
        <v>595</v>
      </c>
    </row>
    <row r="2206" spans="1:2">
      <c r="A2206" s="127">
        <v>817294</v>
      </c>
      <c r="B2206" s="125" t="s">
        <v>2482</v>
      </c>
    </row>
    <row r="2207" spans="1:2">
      <c r="A2207" s="127">
        <v>817600</v>
      </c>
      <c r="B2207" s="125" t="s">
        <v>1130</v>
      </c>
    </row>
    <row r="2208" spans="1:2">
      <c r="A2208" s="127">
        <v>818700</v>
      </c>
      <c r="B2208" s="125" t="s">
        <v>512</v>
      </c>
    </row>
    <row r="2209" spans="1:2">
      <c r="A2209" s="127">
        <v>818800</v>
      </c>
      <c r="B2209" s="125" t="s">
        <v>627</v>
      </c>
    </row>
    <row r="2210" spans="1:2">
      <c r="A2210" s="127">
        <v>819200</v>
      </c>
      <c r="B2210" s="125" t="s">
        <v>1637</v>
      </c>
    </row>
    <row r="2211" spans="1:2" ht="26.4">
      <c r="A2211" s="127">
        <v>819300</v>
      </c>
      <c r="B2211" s="125" t="s">
        <v>677</v>
      </c>
    </row>
    <row r="2212" spans="1:2">
      <c r="A2212" s="127">
        <v>819900</v>
      </c>
      <c r="B2212" s="125" t="s">
        <v>81</v>
      </c>
    </row>
    <row r="2213" spans="1:2" ht="26.4">
      <c r="A2213" s="127">
        <v>900000</v>
      </c>
      <c r="B2213" s="125" t="s">
        <v>513</v>
      </c>
    </row>
    <row r="2214" spans="1:2">
      <c r="A2214" s="127">
        <v>900100</v>
      </c>
      <c r="B2214" s="125" t="s">
        <v>514</v>
      </c>
    </row>
    <row r="2215" spans="1:2">
      <c r="A2215" s="127">
        <v>900200</v>
      </c>
      <c r="B2215" s="125" t="s">
        <v>628</v>
      </c>
    </row>
    <row r="2216" spans="1:2">
      <c r="A2216" s="127">
        <v>909900</v>
      </c>
      <c r="B2216" s="125" t="s">
        <v>81</v>
      </c>
    </row>
    <row r="2217" spans="1:2">
      <c r="A2217" s="127">
        <v>910000</v>
      </c>
      <c r="B2217" s="125" t="s">
        <v>280</v>
      </c>
    </row>
    <row r="2218" spans="1:2">
      <c r="A2218" s="127">
        <v>910100</v>
      </c>
      <c r="B2218" s="125" t="s">
        <v>227</v>
      </c>
    </row>
    <row r="2219" spans="1:2">
      <c r="A2219" s="127">
        <v>910101</v>
      </c>
      <c r="B2219" s="125" t="s">
        <v>509</v>
      </c>
    </row>
    <row r="2220" spans="1:2">
      <c r="A2220" s="127">
        <v>910200</v>
      </c>
      <c r="B2220" s="125" t="s">
        <v>510</v>
      </c>
    </row>
    <row r="2221" spans="1:2">
      <c r="A2221" s="127">
        <v>910300</v>
      </c>
      <c r="B2221" s="125" t="s">
        <v>629</v>
      </c>
    </row>
    <row r="2222" spans="1:2">
      <c r="A2222" s="127">
        <v>920000</v>
      </c>
      <c r="B2222" s="125" t="s">
        <v>728</v>
      </c>
    </row>
    <row r="2223" spans="1:2">
      <c r="A2223" s="127">
        <v>920100</v>
      </c>
      <c r="B2223" s="125" t="s">
        <v>630</v>
      </c>
    </row>
    <row r="2224" spans="1:2" ht="26.4">
      <c r="A2224" s="127">
        <v>920200</v>
      </c>
      <c r="B2224" s="125" t="s">
        <v>345</v>
      </c>
    </row>
    <row r="2225" spans="1:2">
      <c r="A2225" s="127">
        <v>920300</v>
      </c>
      <c r="B2225" s="125" t="s">
        <v>1334</v>
      </c>
    </row>
    <row r="2226" spans="1:2">
      <c r="A2226" s="127">
        <v>920301</v>
      </c>
      <c r="B2226" s="125" t="s">
        <v>737</v>
      </c>
    </row>
    <row r="2227" spans="1:2">
      <c r="A2227" s="127">
        <v>920303</v>
      </c>
      <c r="B2227" s="125" t="s">
        <v>738</v>
      </c>
    </row>
    <row r="2228" spans="1:2">
      <c r="A2228" s="127">
        <v>920305</v>
      </c>
      <c r="B2228" s="125" t="s">
        <v>726</v>
      </c>
    </row>
    <row r="2229" spans="1:2">
      <c r="A2229" s="127">
        <v>920400</v>
      </c>
      <c r="B2229" s="125" t="s">
        <v>234</v>
      </c>
    </row>
    <row r="2230" spans="1:2" ht="26.4">
      <c r="A2230" s="127">
        <v>920500</v>
      </c>
      <c r="B2230" s="125" t="s">
        <v>1953</v>
      </c>
    </row>
    <row r="2231" spans="1:2">
      <c r="A2231" s="127">
        <v>920600</v>
      </c>
      <c r="B2231" s="125" t="s">
        <v>1954</v>
      </c>
    </row>
    <row r="2232" spans="1:2">
      <c r="A2232" s="127">
        <v>920700</v>
      </c>
      <c r="B2232" s="125" t="s">
        <v>904</v>
      </c>
    </row>
    <row r="2233" spans="1:2" ht="26.4">
      <c r="A2233" s="127">
        <v>920800</v>
      </c>
      <c r="B2233" s="125" t="s">
        <v>393</v>
      </c>
    </row>
    <row r="2234" spans="1:2">
      <c r="A2234" s="127">
        <v>920900</v>
      </c>
      <c r="B2234" s="125" t="s">
        <v>268</v>
      </c>
    </row>
    <row r="2235" spans="1:2" ht="26.4">
      <c r="A2235" s="127">
        <v>921200</v>
      </c>
      <c r="B2235" s="125" t="s">
        <v>631</v>
      </c>
    </row>
    <row r="2236" spans="1:2" ht="26.4">
      <c r="A2236" s="127">
        <v>921300</v>
      </c>
      <c r="B2236" s="125" t="s">
        <v>632</v>
      </c>
    </row>
    <row r="2237" spans="1:2" ht="26.4">
      <c r="A2237" s="127">
        <v>921400</v>
      </c>
      <c r="B2237" s="125" t="s">
        <v>633</v>
      </c>
    </row>
    <row r="2238" spans="1:2" ht="52.8">
      <c r="A2238" s="127">
        <v>921500</v>
      </c>
      <c r="B2238" s="126" t="s">
        <v>1242</v>
      </c>
    </row>
    <row r="2239" spans="1:2">
      <c r="A2239" s="127">
        <v>921600</v>
      </c>
      <c r="B2239" s="125" t="s">
        <v>1243</v>
      </c>
    </row>
    <row r="2240" spans="1:2">
      <c r="A2240" s="127">
        <v>921700</v>
      </c>
      <c r="B2240" s="125" t="s">
        <v>1968</v>
      </c>
    </row>
    <row r="2241" spans="1:3" ht="26.4">
      <c r="A2241" s="127">
        <v>921800</v>
      </c>
      <c r="B2241" s="125" t="s">
        <v>1241</v>
      </c>
    </row>
    <row r="2242" spans="1:3" ht="26.4">
      <c r="A2242" s="127">
        <v>921900</v>
      </c>
      <c r="B2242" s="125" t="s">
        <v>1815</v>
      </c>
    </row>
    <row r="2243" spans="1:3" ht="26.4">
      <c r="A2243" s="127">
        <v>922000</v>
      </c>
      <c r="B2243" s="125" t="s">
        <v>1816</v>
      </c>
    </row>
    <row r="2244" spans="1:3" ht="26.4">
      <c r="A2244" s="127">
        <v>922100</v>
      </c>
      <c r="B2244" s="125" t="s">
        <v>1817</v>
      </c>
    </row>
    <row r="2245" spans="1:3" ht="39.6">
      <c r="A2245" s="127">
        <v>922400</v>
      </c>
      <c r="B2245" s="126" t="s">
        <v>1818</v>
      </c>
    </row>
    <row r="2246" spans="1:3" ht="26.4">
      <c r="A2246" s="127">
        <v>922500</v>
      </c>
      <c r="B2246" s="125" t="s">
        <v>1819</v>
      </c>
    </row>
    <row r="2247" spans="1:3" ht="79.2">
      <c r="A2247" s="127">
        <v>922600</v>
      </c>
      <c r="B2247" s="126" t="s">
        <v>1820</v>
      </c>
    </row>
    <row r="2248" spans="1:3">
      <c r="A2248" s="127">
        <v>922700</v>
      </c>
      <c r="B2248" s="125" t="s">
        <v>1821</v>
      </c>
    </row>
    <row r="2249" spans="1:3">
      <c r="A2249" s="127">
        <v>922800</v>
      </c>
      <c r="B2249" s="125" t="s">
        <v>1822</v>
      </c>
      <c r="C2249" s="100" t="s">
        <v>95</v>
      </c>
    </row>
    <row r="2250" spans="1:3">
      <c r="A2250" s="127">
        <v>922900</v>
      </c>
      <c r="B2250" s="125" t="s">
        <v>1823</v>
      </c>
    </row>
    <row r="2251" spans="1:3" ht="26.4">
      <c r="A2251" s="127">
        <v>923000</v>
      </c>
      <c r="B2251" s="125" t="s">
        <v>1824</v>
      </c>
    </row>
    <row r="2252" spans="1:3" ht="26.4">
      <c r="A2252" s="127">
        <v>923001</v>
      </c>
      <c r="B2252" s="125" t="s">
        <v>1825</v>
      </c>
    </row>
    <row r="2253" spans="1:3">
      <c r="A2253" s="127">
        <v>923100</v>
      </c>
      <c r="B2253" s="125" t="s">
        <v>1826</v>
      </c>
    </row>
    <row r="2254" spans="1:3">
      <c r="A2254" s="127">
        <v>923101</v>
      </c>
      <c r="B2254" s="125" t="s">
        <v>1827</v>
      </c>
    </row>
    <row r="2255" spans="1:3" ht="26.4">
      <c r="A2255" s="127">
        <v>923102</v>
      </c>
      <c r="B2255" s="125" t="s">
        <v>1828</v>
      </c>
    </row>
    <row r="2256" spans="1:3" ht="26.4">
      <c r="A2256" s="127">
        <v>923200</v>
      </c>
      <c r="B2256" s="125" t="s">
        <v>1829</v>
      </c>
    </row>
    <row r="2257" spans="1:2">
      <c r="A2257" s="127">
        <v>923400</v>
      </c>
      <c r="B2257" s="125" t="s">
        <v>1830</v>
      </c>
    </row>
    <row r="2258" spans="1:2" ht="39.6">
      <c r="A2258" s="127">
        <v>923403</v>
      </c>
      <c r="B2258" s="125" t="s">
        <v>2127</v>
      </c>
    </row>
    <row r="2259" spans="1:2">
      <c r="A2259" s="127">
        <v>923500</v>
      </c>
      <c r="B2259" s="125" t="s">
        <v>1831</v>
      </c>
    </row>
    <row r="2260" spans="1:2" ht="26.4">
      <c r="A2260" s="127">
        <v>923700</v>
      </c>
      <c r="B2260" s="125" t="s">
        <v>53</v>
      </c>
    </row>
    <row r="2261" spans="1:2" ht="26.4">
      <c r="A2261" s="127">
        <v>923800</v>
      </c>
      <c r="B2261" s="125" t="s">
        <v>54</v>
      </c>
    </row>
    <row r="2262" spans="1:2">
      <c r="A2262" s="127">
        <v>924000</v>
      </c>
      <c r="B2262" s="125" t="s">
        <v>55</v>
      </c>
    </row>
    <row r="2263" spans="1:2" ht="26.4">
      <c r="A2263" s="127">
        <v>924100</v>
      </c>
      <c r="B2263" s="125" t="s">
        <v>714</v>
      </c>
    </row>
    <row r="2264" spans="1:2" ht="26.4">
      <c r="A2264" s="127">
        <v>924200</v>
      </c>
      <c r="B2264" s="125" t="s">
        <v>715</v>
      </c>
    </row>
    <row r="2265" spans="1:2">
      <c r="A2265" s="127">
        <v>926600</v>
      </c>
      <c r="B2265" s="125" t="s">
        <v>444</v>
      </c>
    </row>
    <row r="2266" spans="1:2" ht="26.4">
      <c r="A2266" s="127">
        <v>928000</v>
      </c>
      <c r="B2266" s="125" t="s">
        <v>1182</v>
      </c>
    </row>
    <row r="2267" spans="1:2">
      <c r="A2267" s="127">
        <v>928400</v>
      </c>
      <c r="B2267" s="125" t="s">
        <v>1183</v>
      </c>
    </row>
    <row r="2268" spans="1:2">
      <c r="A2268" s="127">
        <v>928500</v>
      </c>
      <c r="B2268" s="125" t="s">
        <v>1188</v>
      </c>
    </row>
    <row r="2269" spans="1:2">
      <c r="A2269" s="127">
        <v>929900</v>
      </c>
      <c r="B2269" s="125" t="s">
        <v>81</v>
      </c>
    </row>
    <row r="2270" spans="1:2">
      <c r="A2270" s="127">
        <v>930000</v>
      </c>
      <c r="B2270" s="125" t="s">
        <v>647</v>
      </c>
    </row>
    <row r="2271" spans="1:2" ht="26.4">
      <c r="A2271" s="127">
        <v>930100</v>
      </c>
      <c r="B2271" s="125" t="s">
        <v>716</v>
      </c>
    </row>
    <row r="2272" spans="1:2">
      <c r="A2272" s="127">
        <v>936600</v>
      </c>
      <c r="B2272" s="125" t="s">
        <v>444</v>
      </c>
    </row>
    <row r="2273" spans="1:2">
      <c r="A2273" s="127">
        <v>939900</v>
      </c>
      <c r="B2273" s="125" t="s">
        <v>81</v>
      </c>
    </row>
    <row r="2274" spans="1:2">
      <c r="A2274" s="127">
        <v>940000</v>
      </c>
      <c r="B2274" s="125" t="s">
        <v>446</v>
      </c>
    </row>
    <row r="2275" spans="1:2">
      <c r="A2275" s="127">
        <v>948400</v>
      </c>
      <c r="B2275" s="125" t="s">
        <v>1675</v>
      </c>
    </row>
    <row r="2276" spans="1:2">
      <c r="A2276" s="127">
        <v>950000</v>
      </c>
      <c r="B2276" s="125" t="s">
        <v>717</v>
      </c>
    </row>
    <row r="2277" spans="1:2" ht="26.4">
      <c r="A2277" s="127">
        <v>960000</v>
      </c>
      <c r="B2277" s="125" t="s">
        <v>1307</v>
      </c>
    </row>
    <row r="2278" spans="1:2" ht="26.4">
      <c r="A2278" s="127">
        <v>960100</v>
      </c>
      <c r="B2278" s="125" t="s">
        <v>1308</v>
      </c>
    </row>
    <row r="2279" spans="1:2" ht="39.6">
      <c r="A2279" s="127">
        <v>960200</v>
      </c>
      <c r="B2279" s="125" t="s">
        <v>1303</v>
      </c>
    </row>
    <row r="2280" spans="1:2" ht="26.4">
      <c r="A2280" s="127">
        <v>960300</v>
      </c>
      <c r="B2280" s="125" t="s">
        <v>1304</v>
      </c>
    </row>
    <row r="2281" spans="1:2">
      <c r="A2281" s="127">
        <v>970000</v>
      </c>
      <c r="B2281" s="125" t="s">
        <v>1305</v>
      </c>
    </row>
    <row r="2282" spans="1:2">
      <c r="A2282" s="127">
        <v>970100</v>
      </c>
      <c r="B2282" s="125" t="s">
        <v>1306</v>
      </c>
    </row>
    <row r="2283" spans="1:2" ht="26.4">
      <c r="A2283" s="127">
        <v>980000</v>
      </c>
      <c r="B2283" s="125" t="s">
        <v>1880</v>
      </c>
    </row>
    <row r="2284" spans="1:2" ht="39.6">
      <c r="A2284" s="127">
        <v>980100</v>
      </c>
      <c r="B2284" s="125" t="s">
        <v>1396</v>
      </c>
    </row>
    <row r="2285" spans="1:2" ht="26.4">
      <c r="A2285" s="127">
        <v>980101</v>
      </c>
      <c r="B2285" s="125" t="s">
        <v>1120</v>
      </c>
    </row>
    <row r="2286" spans="1:2" ht="26.4">
      <c r="A2286" s="127">
        <v>980102</v>
      </c>
      <c r="B2286" s="125" t="s">
        <v>2128</v>
      </c>
    </row>
    <row r="2287" spans="1:2" ht="39.6">
      <c r="A2287" s="127">
        <v>980104</v>
      </c>
      <c r="B2287" s="125" t="s">
        <v>2129</v>
      </c>
    </row>
    <row r="2288" spans="1:2" ht="26.4">
      <c r="A2288" s="127">
        <v>980200</v>
      </c>
      <c r="B2288" s="125" t="s">
        <v>2130</v>
      </c>
    </row>
    <row r="2289" spans="1:2" ht="26.4">
      <c r="A2289" s="127">
        <v>980201</v>
      </c>
      <c r="B2289" s="125" t="s">
        <v>2131</v>
      </c>
    </row>
    <row r="2290" spans="1:2">
      <c r="A2290" s="127">
        <v>980202</v>
      </c>
      <c r="B2290" s="125" t="s">
        <v>2132</v>
      </c>
    </row>
    <row r="2291" spans="1:2" ht="26.4">
      <c r="A2291" s="127">
        <v>980204</v>
      </c>
      <c r="B2291" s="125" t="s">
        <v>1692</v>
      </c>
    </row>
    <row r="2292" spans="1:2" ht="26.4">
      <c r="A2292" s="127">
        <v>980300</v>
      </c>
      <c r="B2292" s="125" t="s">
        <v>1881</v>
      </c>
    </row>
    <row r="2293" spans="1:2">
      <c r="A2293" s="127">
        <v>990000</v>
      </c>
      <c r="B2293" s="125" t="s">
        <v>1882</v>
      </c>
    </row>
    <row r="2294" spans="1:2">
      <c r="A2294" s="127">
        <v>990100</v>
      </c>
      <c r="B2294" s="125" t="s">
        <v>1883</v>
      </c>
    </row>
    <row r="2295" spans="1:2">
      <c r="A2295" s="127" t="s">
        <v>1884</v>
      </c>
      <c r="B2295" s="125"/>
    </row>
    <row r="2296" spans="1:2" ht="26.4">
      <c r="A2296" s="127">
        <v>990102</v>
      </c>
      <c r="B2296" s="125" t="s">
        <v>1885</v>
      </c>
    </row>
    <row r="2297" spans="1:2">
      <c r="A2297" s="127">
        <v>990104</v>
      </c>
      <c r="B2297" s="125" t="s">
        <v>1886</v>
      </c>
    </row>
    <row r="2298" spans="1:2" ht="26.4">
      <c r="A2298" s="127">
        <v>990105</v>
      </c>
      <c r="B2298" s="125" t="s">
        <v>1887</v>
      </c>
    </row>
    <row r="2299" spans="1:2">
      <c r="A2299" s="127">
        <v>990106</v>
      </c>
      <c r="B2299" s="125" t="s">
        <v>1888</v>
      </c>
    </row>
    <row r="2300" spans="1:2">
      <c r="A2300" s="127">
        <v>990107</v>
      </c>
      <c r="B2300" s="125" t="s">
        <v>672</v>
      </c>
    </row>
    <row r="2301" spans="1:2" ht="26.4">
      <c r="A2301" s="127">
        <v>990108</v>
      </c>
      <c r="B2301" s="125" t="s">
        <v>673</v>
      </c>
    </row>
    <row r="2302" spans="1:2" ht="26.4">
      <c r="A2302" s="127">
        <v>990109</v>
      </c>
      <c r="B2302" s="125" t="s">
        <v>674</v>
      </c>
    </row>
    <row r="2303" spans="1:2" ht="26.4">
      <c r="A2303" s="127">
        <v>990110</v>
      </c>
      <c r="B2303" s="125" t="s">
        <v>675</v>
      </c>
    </row>
    <row r="2304" spans="1:2" ht="26.4">
      <c r="A2304" s="127">
        <v>990200</v>
      </c>
      <c r="B2304" s="125" t="s">
        <v>676</v>
      </c>
    </row>
    <row r="2305" spans="1:2" ht="26.4">
      <c r="A2305" s="127">
        <v>990201</v>
      </c>
      <c r="B2305" s="125" t="s">
        <v>669</v>
      </c>
    </row>
    <row r="2306" spans="1:2">
      <c r="A2306" s="127">
        <v>990300</v>
      </c>
      <c r="B2306" s="125" t="s">
        <v>1894</v>
      </c>
    </row>
    <row r="2307" spans="1:2" ht="26.4">
      <c r="A2307" s="127">
        <v>990302</v>
      </c>
      <c r="B2307" s="125" t="s">
        <v>1895</v>
      </c>
    </row>
    <row r="2308" spans="1:2" ht="26.4">
      <c r="A2308" s="127">
        <v>990400</v>
      </c>
      <c r="B2308" s="125" t="s">
        <v>1896</v>
      </c>
    </row>
    <row r="2309" spans="1:2" ht="52.8">
      <c r="A2309" s="127">
        <v>990401</v>
      </c>
      <c r="B2309" s="126" t="s">
        <v>1897</v>
      </c>
    </row>
    <row r="2310" spans="1:2" ht="39.6">
      <c r="A2310" s="127">
        <v>990402</v>
      </c>
      <c r="B2310" s="126" t="s">
        <v>1898</v>
      </c>
    </row>
    <row r="2311" spans="1:2" ht="66">
      <c r="A2311" s="127">
        <v>990403</v>
      </c>
      <c r="B2311" s="126" t="s">
        <v>755</v>
      </c>
    </row>
    <row r="2312" spans="1:2" ht="39.6">
      <c r="A2312" s="127">
        <v>990404</v>
      </c>
      <c r="B2312" s="125" t="s">
        <v>756</v>
      </c>
    </row>
    <row r="2313" spans="1:2" ht="39.6">
      <c r="A2313" s="127">
        <v>990405</v>
      </c>
      <c r="B2313" s="125" t="s">
        <v>123</v>
      </c>
    </row>
    <row r="2314" spans="1:2" ht="26.4">
      <c r="A2314" s="127">
        <v>990407</v>
      </c>
      <c r="B2314" s="125" t="s">
        <v>124</v>
      </c>
    </row>
    <row r="2315" spans="1:2">
      <c r="A2315" s="127" t="s">
        <v>125</v>
      </c>
      <c r="B2315" s="125"/>
    </row>
    <row r="2316" spans="1:2">
      <c r="A2316" s="127">
        <v>990600</v>
      </c>
      <c r="B2316" s="125" t="s">
        <v>126</v>
      </c>
    </row>
    <row r="2317" spans="1:2" ht="39.6">
      <c r="A2317" s="127">
        <v>990601</v>
      </c>
      <c r="B2317" s="125" t="s">
        <v>127</v>
      </c>
    </row>
    <row r="2318" spans="1:2">
      <c r="A2318" s="127">
        <v>990700</v>
      </c>
      <c r="B2318" s="125" t="s">
        <v>128</v>
      </c>
    </row>
    <row r="2319" spans="1:2">
      <c r="A2319" s="127" t="s">
        <v>129</v>
      </c>
      <c r="B2319" s="125"/>
    </row>
    <row r="2320" spans="1:2">
      <c r="A2320" s="127">
        <v>990701</v>
      </c>
      <c r="B2320" s="125" t="s">
        <v>130</v>
      </c>
    </row>
    <row r="2321" spans="1:2">
      <c r="A2321" s="127" t="s">
        <v>131</v>
      </c>
      <c r="B2321" s="125"/>
    </row>
    <row r="2322" spans="1:2" ht="26.4">
      <c r="A2322" s="127">
        <v>990702</v>
      </c>
      <c r="B2322" s="125" t="s">
        <v>132</v>
      </c>
    </row>
    <row r="2323" spans="1:2">
      <c r="A2323" s="127">
        <v>990800</v>
      </c>
      <c r="B2323" s="125" t="s">
        <v>133</v>
      </c>
    </row>
    <row r="2324" spans="1:2">
      <c r="A2324" s="127">
        <v>990801</v>
      </c>
      <c r="B2324" s="125" t="s">
        <v>134</v>
      </c>
    </row>
    <row r="2325" spans="1:2">
      <c r="A2325" s="127">
        <v>1000000</v>
      </c>
      <c r="B2325" s="125" t="s">
        <v>804</v>
      </c>
    </row>
    <row r="2326" spans="1:2">
      <c r="A2326" s="127">
        <v>1000100</v>
      </c>
      <c r="B2326" s="125" t="s">
        <v>403</v>
      </c>
    </row>
    <row r="2327" spans="1:2">
      <c r="A2327" s="127">
        <v>1000101</v>
      </c>
      <c r="B2327" s="125" t="s">
        <v>404</v>
      </c>
    </row>
    <row r="2328" spans="1:2">
      <c r="A2328" s="127">
        <v>1000102</v>
      </c>
      <c r="B2328" s="125" t="s">
        <v>207</v>
      </c>
    </row>
    <row r="2329" spans="1:2">
      <c r="A2329" s="127">
        <v>1000103</v>
      </c>
      <c r="B2329" s="125" t="s">
        <v>897</v>
      </c>
    </row>
    <row r="2330" spans="1:2">
      <c r="A2330" s="127">
        <v>1000104</v>
      </c>
      <c r="B2330" s="125" t="s">
        <v>135</v>
      </c>
    </row>
    <row r="2331" spans="1:2">
      <c r="A2331" s="127">
        <v>1000105</v>
      </c>
      <c r="B2331" s="125" t="s">
        <v>898</v>
      </c>
    </row>
    <row r="2332" spans="1:2">
      <c r="A2332" s="127">
        <v>1000106</v>
      </c>
      <c r="B2332" s="125" t="s">
        <v>136</v>
      </c>
    </row>
    <row r="2333" spans="1:2">
      <c r="A2333" s="127">
        <v>1000107</v>
      </c>
      <c r="B2333" s="125" t="s">
        <v>899</v>
      </c>
    </row>
    <row r="2334" spans="1:2">
      <c r="A2334" s="127">
        <v>1000108</v>
      </c>
      <c r="B2334" s="125" t="s">
        <v>137</v>
      </c>
    </row>
    <row r="2335" spans="1:2">
      <c r="A2335" s="127">
        <v>1000109</v>
      </c>
      <c r="B2335" s="125" t="s">
        <v>138</v>
      </c>
    </row>
    <row r="2336" spans="1:2">
      <c r="A2336" s="127">
        <v>1000110</v>
      </c>
      <c r="B2336" s="125" t="s">
        <v>139</v>
      </c>
    </row>
    <row r="2337" spans="1:2" ht="26.4">
      <c r="A2337" s="127">
        <v>1000112</v>
      </c>
      <c r="B2337" s="125" t="s">
        <v>1134</v>
      </c>
    </row>
    <row r="2338" spans="1:2">
      <c r="A2338" s="127">
        <v>1000113</v>
      </c>
      <c r="B2338" s="125" t="s">
        <v>517</v>
      </c>
    </row>
    <row r="2339" spans="1:2">
      <c r="A2339" s="127">
        <v>1000200</v>
      </c>
      <c r="B2339" s="125" t="s">
        <v>140</v>
      </c>
    </row>
    <row r="2340" spans="1:2">
      <c r="A2340" s="127">
        <v>1000201</v>
      </c>
      <c r="B2340" s="125" t="s">
        <v>141</v>
      </c>
    </row>
    <row r="2341" spans="1:2">
      <c r="A2341" s="127">
        <v>1000202</v>
      </c>
      <c r="B2341" s="125" t="s">
        <v>142</v>
      </c>
    </row>
    <row r="2342" spans="1:2" ht="26.4">
      <c r="A2342" s="127">
        <v>1000203</v>
      </c>
      <c r="B2342" s="125" t="s">
        <v>2133</v>
      </c>
    </row>
    <row r="2343" spans="1:2">
      <c r="A2343" s="127">
        <v>1000204</v>
      </c>
      <c r="B2343" s="125" t="s">
        <v>143</v>
      </c>
    </row>
    <row r="2344" spans="1:2">
      <c r="A2344" s="127">
        <v>1000300</v>
      </c>
      <c r="B2344" s="125" t="s">
        <v>144</v>
      </c>
    </row>
    <row r="2345" spans="1:2" ht="26.4">
      <c r="A2345" s="127">
        <v>1000400</v>
      </c>
      <c r="B2345" s="125" t="s">
        <v>145</v>
      </c>
    </row>
    <row r="2346" spans="1:2">
      <c r="A2346" s="127">
        <v>1000500</v>
      </c>
      <c r="B2346" s="125" t="s">
        <v>413</v>
      </c>
    </row>
    <row r="2347" spans="1:2">
      <c r="A2347" s="127">
        <v>1000502</v>
      </c>
      <c r="B2347" s="125" t="s">
        <v>844</v>
      </c>
    </row>
    <row r="2348" spans="1:2">
      <c r="A2348" s="127">
        <v>1000503</v>
      </c>
      <c r="B2348" s="125" t="s">
        <v>323</v>
      </c>
    </row>
    <row r="2349" spans="1:2">
      <c r="A2349" s="127">
        <v>1000505</v>
      </c>
      <c r="B2349" s="125" t="s">
        <v>146</v>
      </c>
    </row>
    <row r="2350" spans="1:2">
      <c r="A2350" s="127">
        <v>1000506</v>
      </c>
      <c r="B2350" s="125" t="s">
        <v>147</v>
      </c>
    </row>
    <row r="2351" spans="1:2">
      <c r="A2351" s="127">
        <v>1000507</v>
      </c>
      <c r="B2351" s="125" t="s">
        <v>324</v>
      </c>
    </row>
    <row r="2352" spans="1:2">
      <c r="A2352" s="127">
        <v>1000509</v>
      </c>
      <c r="B2352" s="125" t="s">
        <v>325</v>
      </c>
    </row>
    <row r="2353" spans="1:2">
      <c r="A2353" s="127">
        <v>1000510</v>
      </c>
      <c r="B2353" s="125" t="s">
        <v>148</v>
      </c>
    </row>
    <row r="2354" spans="1:2">
      <c r="A2354" s="127">
        <v>1000512</v>
      </c>
      <c r="B2354" s="125" t="s">
        <v>149</v>
      </c>
    </row>
    <row r="2355" spans="1:2">
      <c r="A2355" s="127">
        <v>1000600</v>
      </c>
      <c r="B2355" s="125" t="s">
        <v>775</v>
      </c>
    </row>
    <row r="2356" spans="1:2">
      <c r="A2356" s="127">
        <v>1000700</v>
      </c>
      <c r="B2356" s="125" t="s">
        <v>978</v>
      </c>
    </row>
    <row r="2357" spans="1:2">
      <c r="A2357" s="127">
        <v>1000701</v>
      </c>
      <c r="B2357" s="125" t="s">
        <v>523</v>
      </c>
    </row>
    <row r="2358" spans="1:2" ht="26.4">
      <c r="A2358" s="127">
        <v>1000702</v>
      </c>
      <c r="B2358" s="125" t="s">
        <v>776</v>
      </c>
    </row>
    <row r="2359" spans="1:2" ht="26.4">
      <c r="A2359" s="127">
        <v>1000900</v>
      </c>
      <c r="B2359" s="125" t="s">
        <v>1521</v>
      </c>
    </row>
    <row r="2360" spans="1:2">
      <c r="A2360" s="127">
        <v>1001000</v>
      </c>
      <c r="B2360" s="125" t="s">
        <v>777</v>
      </c>
    </row>
    <row r="2361" spans="1:2" ht="26.4">
      <c r="A2361" s="127">
        <v>1001100</v>
      </c>
      <c r="B2361" s="125" t="s">
        <v>2210</v>
      </c>
    </row>
    <row r="2362" spans="1:2" ht="26.4">
      <c r="A2362" s="127">
        <v>1001102</v>
      </c>
      <c r="B2362" s="125" t="s">
        <v>2211</v>
      </c>
    </row>
    <row r="2363" spans="1:2" ht="26.4">
      <c r="A2363" s="127">
        <v>1001122</v>
      </c>
      <c r="B2363" s="125" t="s">
        <v>1390</v>
      </c>
    </row>
    <row r="2364" spans="1:2">
      <c r="A2364" s="127">
        <v>1001200</v>
      </c>
      <c r="B2364" s="125" t="s">
        <v>2134</v>
      </c>
    </row>
    <row r="2365" spans="1:2">
      <c r="A2365" s="127">
        <v>1001202</v>
      </c>
      <c r="B2365" s="125" t="s">
        <v>2135</v>
      </c>
    </row>
    <row r="2366" spans="1:2">
      <c r="A2366" s="127">
        <v>1001300</v>
      </c>
      <c r="B2366" s="125" t="s">
        <v>681</v>
      </c>
    </row>
    <row r="2367" spans="1:2">
      <c r="A2367" s="127">
        <v>1001301</v>
      </c>
      <c r="B2367" s="125" t="s">
        <v>682</v>
      </c>
    </row>
    <row r="2368" spans="1:2">
      <c r="A2368" s="127">
        <v>1001302</v>
      </c>
      <c r="B2368" s="125" t="s">
        <v>683</v>
      </c>
    </row>
    <row r="2369" spans="1:2">
      <c r="A2369" s="127">
        <v>1001303</v>
      </c>
      <c r="B2369" s="125" t="s">
        <v>1553</v>
      </c>
    </row>
    <row r="2370" spans="1:2">
      <c r="A2370" s="127">
        <v>1001400</v>
      </c>
      <c r="B2370" s="125" t="s">
        <v>1391</v>
      </c>
    </row>
    <row r="2371" spans="1:2" ht="26.4">
      <c r="A2371" s="127">
        <v>1001401</v>
      </c>
      <c r="B2371" s="125" t="s">
        <v>1387</v>
      </c>
    </row>
    <row r="2372" spans="1:2">
      <c r="A2372" s="127">
        <v>1001402</v>
      </c>
      <c r="B2372" s="125" t="s">
        <v>1388</v>
      </c>
    </row>
    <row r="2373" spans="1:2">
      <c r="A2373" s="127">
        <v>1001500</v>
      </c>
      <c r="B2373" s="125" t="s">
        <v>1389</v>
      </c>
    </row>
    <row r="2374" spans="1:2">
      <c r="A2374" s="127">
        <v>1001600</v>
      </c>
      <c r="B2374" s="125" t="s">
        <v>987</v>
      </c>
    </row>
    <row r="2375" spans="1:2">
      <c r="A2375" s="127">
        <v>1001700</v>
      </c>
      <c r="B2375" s="125" t="s">
        <v>1925</v>
      </c>
    </row>
    <row r="2376" spans="1:2" ht="26.4">
      <c r="A2376" s="127">
        <v>1001800</v>
      </c>
      <c r="B2376" s="125" t="s">
        <v>317</v>
      </c>
    </row>
    <row r="2377" spans="1:2">
      <c r="A2377" s="127">
        <v>1001900</v>
      </c>
      <c r="B2377" s="125" t="s">
        <v>1926</v>
      </c>
    </row>
    <row r="2378" spans="1:2" ht="26.4">
      <c r="A2378" s="127">
        <v>1001901</v>
      </c>
      <c r="B2378" s="125" t="s">
        <v>1927</v>
      </c>
    </row>
    <row r="2379" spans="1:2" ht="26.4">
      <c r="A2379" s="127">
        <v>1001902</v>
      </c>
      <c r="B2379" s="125" t="s">
        <v>1647</v>
      </c>
    </row>
    <row r="2380" spans="1:2">
      <c r="A2380" s="127">
        <v>1002000</v>
      </c>
      <c r="B2380" s="125" t="s">
        <v>1648</v>
      </c>
    </row>
    <row r="2381" spans="1:2" ht="26.4">
      <c r="A2381" s="127">
        <v>1002100</v>
      </c>
      <c r="B2381" s="125" t="s">
        <v>500</v>
      </c>
    </row>
    <row r="2382" spans="1:2">
      <c r="A2382" s="127">
        <v>1002200</v>
      </c>
      <c r="B2382" s="125" t="s">
        <v>1649</v>
      </c>
    </row>
    <row r="2383" spans="1:2">
      <c r="A2383" s="127">
        <v>1002201</v>
      </c>
      <c r="B2383" s="125" t="s">
        <v>1650</v>
      </c>
    </row>
    <row r="2384" spans="1:2">
      <c r="A2384" s="127">
        <v>1002203</v>
      </c>
      <c r="B2384" s="125" t="s">
        <v>1651</v>
      </c>
    </row>
    <row r="2385" spans="1:2">
      <c r="A2385" s="127">
        <v>1002204</v>
      </c>
      <c r="B2385" s="125" t="s">
        <v>1652</v>
      </c>
    </row>
    <row r="2386" spans="1:2">
      <c r="A2386" s="127">
        <v>1002208</v>
      </c>
      <c r="B2386" s="125" t="s">
        <v>1653</v>
      </c>
    </row>
    <row r="2387" spans="1:2">
      <c r="A2387" s="127">
        <v>1002209</v>
      </c>
      <c r="B2387" s="125" t="s">
        <v>1654</v>
      </c>
    </row>
    <row r="2388" spans="1:2" ht="26.4">
      <c r="A2388" s="127">
        <v>1002211</v>
      </c>
      <c r="B2388" s="125" t="s">
        <v>1655</v>
      </c>
    </row>
    <row r="2389" spans="1:2" ht="26.4">
      <c r="A2389" s="127">
        <v>1002300</v>
      </c>
      <c r="B2389" s="125" t="s">
        <v>1656</v>
      </c>
    </row>
    <row r="2390" spans="1:2">
      <c r="A2390" s="127">
        <v>1002301</v>
      </c>
      <c r="B2390" s="125" t="s">
        <v>1328</v>
      </c>
    </row>
    <row r="2391" spans="1:2">
      <c r="A2391" s="127">
        <v>1002302</v>
      </c>
      <c r="B2391" s="125" t="s">
        <v>1329</v>
      </c>
    </row>
    <row r="2392" spans="1:2">
      <c r="A2392" s="127">
        <v>1002303</v>
      </c>
      <c r="B2392" s="125" t="s">
        <v>312</v>
      </c>
    </row>
    <row r="2393" spans="1:2">
      <c r="A2393" s="127">
        <v>1002304</v>
      </c>
      <c r="B2393" s="125" t="s">
        <v>1676</v>
      </c>
    </row>
    <row r="2394" spans="1:2">
      <c r="A2394" s="127">
        <v>1002305</v>
      </c>
      <c r="B2394" s="125" t="s">
        <v>902</v>
      </c>
    </row>
    <row r="2395" spans="1:2">
      <c r="A2395" s="127">
        <v>1002306</v>
      </c>
      <c r="B2395" s="125" t="s">
        <v>903</v>
      </c>
    </row>
    <row r="2396" spans="1:2">
      <c r="A2396" s="127">
        <v>1002307</v>
      </c>
      <c r="B2396" s="125" t="s">
        <v>251</v>
      </c>
    </row>
    <row r="2397" spans="1:2">
      <c r="A2397" s="127">
        <v>1002308</v>
      </c>
      <c r="B2397" s="125" t="s">
        <v>735</v>
      </c>
    </row>
    <row r="2398" spans="1:2">
      <c r="A2398" s="127">
        <v>1002309</v>
      </c>
      <c r="B2398" s="125" t="s">
        <v>1955</v>
      </c>
    </row>
    <row r="2399" spans="1:2" ht="26.4">
      <c r="A2399" s="127">
        <v>1002500</v>
      </c>
      <c r="B2399" s="125" t="s">
        <v>1703</v>
      </c>
    </row>
    <row r="2400" spans="1:2" ht="26.4">
      <c r="A2400" s="127">
        <v>1002601</v>
      </c>
      <c r="B2400" s="125" t="s">
        <v>1657</v>
      </c>
    </row>
    <row r="2401" spans="1:2">
      <c r="A2401" s="127">
        <v>1002602</v>
      </c>
      <c r="B2401" s="125" t="s">
        <v>1658</v>
      </c>
    </row>
    <row r="2402" spans="1:2">
      <c r="A2402" s="127">
        <v>1002603</v>
      </c>
      <c r="B2402" s="125" t="s">
        <v>1659</v>
      </c>
    </row>
    <row r="2403" spans="1:2" ht="26.4">
      <c r="A2403" s="127">
        <v>1002604</v>
      </c>
      <c r="B2403" s="125" t="s">
        <v>1660</v>
      </c>
    </row>
    <row r="2404" spans="1:2">
      <c r="A2404" s="127">
        <v>1002605</v>
      </c>
      <c r="B2404" s="125" t="s">
        <v>1661</v>
      </c>
    </row>
    <row r="2405" spans="1:2" ht="26.4">
      <c r="A2405" s="127">
        <v>1002606</v>
      </c>
      <c r="B2405" s="125" t="s">
        <v>1662</v>
      </c>
    </row>
    <row r="2406" spans="1:2">
      <c r="A2406" s="127">
        <v>1002607</v>
      </c>
      <c r="B2406" s="125" t="s">
        <v>1663</v>
      </c>
    </row>
    <row r="2407" spans="1:2">
      <c r="A2407" s="127">
        <v>1002608</v>
      </c>
      <c r="B2407" s="125" t="s">
        <v>1664</v>
      </c>
    </row>
    <row r="2408" spans="1:2" ht="26.4">
      <c r="A2408" s="127">
        <v>1002609</v>
      </c>
      <c r="B2408" s="125" t="s">
        <v>1665</v>
      </c>
    </row>
    <row r="2409" spans="1:2" ht="26.4">
      <c r="A2409" s="127">
        <v>1002610</v>
      </c>
      <c r="B2409" s="125" t="s">
        <v>1928</v>
      </c>
    </row>
    <row r="2410" spans="1:2" ht="26.4">
      <c r="A2410" s="127">
        <v>1002611</v>
      </c>
      <c r="B2410" s="125" t="s">
        <v>1929</v>
      </c>
    </row>
    <row r="2411" spans="1:2" ht="26.4">
      <c r="A2411" s="127">
        <v>1002612</v>
      </c>
      <c r="B2411" s="125" t="s">
        <v>1930</v>
      </c>
    </row>
    <row r="2412" spans="1:2" ht="26.4">
      <c r="A2412" s="127">
        <v>1002613</v>
      </c>
      <c r="B2412" s="125" t="s">
        <v>1931</v>
      </c>
    </row>
    <row r="2413" spans="1:2" ht="26.4">
      <c r="A2413" s="127">
        <v>1002614</v>
      </c>
      <c r="B2413" s="125" t="s">
        <v>1932</v>
      </c>
    </row>
    <row r="2414" spans="1:2" ht="26.4">
      <c r="A2414" s="127">
        <v>1002615</v>
      </c>
      <c r="B2414" s="125" t="s">
        <v>1933</v>
      </c>
    </row>
    <row r="2415" spans="1:2" ht="26.4">
      <c r="A2415" s="127">
        <v>1002616</v>
      </c>
      <c r="B2415" s="125" t="s">
        <v>1934</v>
      </c>
    </row>
    <row r="2416" spans="1:2">
      <c r="A2416" s="127">
        <v>1002617</v>
      </c>
      <c r="B2416" s="125" t="s">
        <v>1935</v>
      </c>
    </row>
    <row r="2417" spans="1:2">
      <c r="A2417" s="127">
        <v>1002618</v>
      </c>
      <c r="B2417" s="125" t="s">
        <v>1936</v>
      </c>
    </row>
    <row r="2418" spans="1:2" ht="26.4">
      <c r="A2418" s="127">
        <v>1002619</v>
      </c>
      <c r="B2418" s="125" t="s">
        <v>1937</v>
      </c>
    </row>
    <row r="2419" spans="1:2" ht="26.4">
      <c r="A2419" s="127">
        <v>1002620</v>
      </c>
      <c r="B2419" s="125" t="s">
        <v>1938</v>
      </c>
    </row>
    <row r="2420" spans="1:2">
      <c r="A2420" s="127">
        <v>1002800</v>
      </c>
      <c r="B2420" s="125" t="s">
        <v>1939</v>
      </c>
    </row>
    <row r="2421" spans="1:2">
      <c r="A2421" s="127">
        <v>1002900</v>
      </c>
      <c r="B2421" s="125" t="s">
        <v>1247</v>
      </c>
    </row>
    <row r="2422" spans="1:2" ht="26.4">
      <c r="A2422" s="127">
        <v>1003000</v>
      </c>
      <c r="B2422" s="125" t="s">
        <v>662</v>
      </c>
    </row>
    <row r="2423" spans="1:2">
      <c r="A2423" s="127">
        <v>1003200</v>
      </c>
      <c r="B2423" s="125" t="s">
        <v>354</v>
      </c>
    </row>
    <row r="2424" spans="1:2">
      <c r="A2424" s="127">
        <v>1003300</v>
      </c>
      <c r="B2424" s="125" t="s">
        <v>1940</v>
      </c>
    </row>
    <row r="2425" spans="1:2">
      <c r="A2425" s="127">
        <v>1003400</v>
      </c>
      <c r="B2425" s="125" t="s">
        <v>262</v>
      </c>
    </row>
    <row r="2426" spans="1:2" ht="26.4">
      <c r="A2426" s="127">
        <v>1003500</v>
      </c>
      <c r="B2426" s="125" t="s">
        <v>1941</v>
      </c>
    </row>
    <row r="2427" spans="1:2" ht="26.4">
      <c r="A2427" s="127">
        <v>1003501</v>
      </c>
      <c r="B2427" s="125" t="s">
        <v>362</v>
      </c>
    </row>
    <row r="2428" spans="1:2" ht="26.4">
      <c r="A2428" s="127">
        <v>1003502</v>
      </c>
      <c r="B2428" s="125" t="s">
        <v>1324</v>
      </c>
    </row>
    <row r="2429" spans="1:2">
      <c r="A2429" s="127">
        <v>1003503</v>
      </c>
      <c r="B2429" s="125" t="s">
        <v>1942</v>
      </c>
    </row>
    <row r="2430" spans="1:2" ht="26.4">
      <c r="A2430" s="127">
        <v>1003504</v>
      </c>
      <c r="B2430" s="125" t="s">
        <v>1943</v>
      </c>
    </row>
    <row r="2431" spans="1:2">
      <c r="A2431" s="127">
        <v>1003600</v>
      </c>
      <c r="B2431" s="125" t="s">
        <v>805</v>
      </c>
    </row>
    <row r="2432" spans="1:2">
      <c r="A2432" s="127">
        <v>1003601</v>
      </c>
      <c r="B2432" s="125" t="s">
        <v>840</v>
      </c>
    </row>
    <row r="2433" spans="1:2" ht="26.4">
      <c r="A2433" s="127">
        <v>1003602</v>
      </c>
      <c r="B2433" s="125" t="s">
        <v>657</v>
      </c>
    </row>
    <row r="2434" spans="1:2">
      <c r="A2434" s="127">
        <v>1003603</v>
      </c>
      <c r="B2434" s="125" t="s">
        <v>104</v>
      </c>
    </row>
    <row r="2435" spans="1:2">
      <c r="A2435" s="127">
        <v>1003604</v>
      </c>
      <c r="B2435" s="125" t="s">
        <v>284</v>
      </c>
    </row>
    <row r="2436" spans="1:2">
      <c r="A2436" s="127">
        <v>1003605</v>
      </c>
      <c r="B2436" s="125" t="s">
        <v>1678</v>
      </c>
    </row>
    <row r="2437" spans="1:2">
      <c r="A2437" s="127">
        <v>1003700</v>
      </c>
      <c r="B2437" s="125" t="s">
        <v>218</v>
      </c>
    </row>
    <row r="2438" spans="1:2">
      <c r="A2438" s="127">
        <v>1003701</v>
      </c>
      <c r="B2438" s="125" t="s">
        <v>1944</v>
      </c>
    </row>
    <row r="2439" spans="1:2" ht="26.4">
      <c r="A2439" s="127">
        <v>1003702</v>
      </c>
      <c r="B2439" s="125" t="s">
        <v>853</v>
      </c>
    </row>
    <row r="2440" spans="1:2" ht="26.4">
      <c r="A2440" s="127">
        <v>1003703</v>
      </c>
      <c r="B2440" s="125" t="s">
        <v>854</v>
      </c>
    </row>
    <row r="2441" spans="1:2">
      <c r="A2441" s="127">
        <v>1003704</v>
      </c>
      <c r="B2441" s="125" t="s">
        <v>855</v>
      </c>
    </row>
    <row r="2442" spans="1:2" ht="26.4">
      <c r="A2442" s="127">
        <v>1003800</v>
      </c>
      <c r="B2442" s="125" t="s">
        <v>576</v>
      </c>
    </row>
    <row r="2443" spans="1:2" ht="26.4">
      <c r="A2443" s="127">
        <v>1003900</v>
      </c>
      <c r="B2443" s="125" t="s">
        <v>121</v>
      </c>
    </row>
    <row r="2444" spans="1:2" ht="26.4">
      <c r="A2444" s="127">
        <v>1003901</v>
      </c>
      <c r="B2444" s="125" t="s">
        <v>1043</v>
      </c>
    </row>
    <row r="2445" spans="1:2" ht="26.4">
      <c r="A2445" s="127">
        <v>1003902</v>
      </c>
      <c r="B2445" s="125" t="s">
        <v>223</v>
      </c>
    </row>
    <row r="2446" spans="1:2" ht="26.4">
      <c r="A2446" s="127">
        <v>1004000</v>
      </c>
      <c r="B2446" s="125" t="s">
        <v>224</v>
      </c>
    </row>
    <row r="2447" spans="1:2">
      <c r="A2447" s="127">
        <v>1004100</v>
      </c>
      <c r="B2447" s="125" t="s">
        <v>856</v>
      </c>
    </row>
    <row r="2448" spans="1:2">
      <c r="A2448" s="127">
        <v>1004200</v>
      </c>
      <c r="B2448" s="125" t="s">
        <v>857</v>
      </c>
    </row>
    <row r="2449" spans="1:2">
      <c r="A2449" s="127">
        <v>1004400</v>
      </c>
      <c r="B2449" s="125" t="s">
        <v>982</v>
      </c>
    </row>
    <row r="2450" spans="1:2">
      <c r="A2450" s="127">
        <v>1004500</v>
      </c>
      <c r="B2450" s="125" t="s">
        <v>858</v>
      </c>
    </row>
    <row r="2451" spans="1:2" ht="26.4">
      <c r="A2451" s="127">
        <v>1004600</v>
      </c>
      <c r="B2451" s="125" t="s">
        <v>1813</v>
      </c>
    </row>
    <row r="2452" spans="1:2">
      <c r="A2452" s="127">
        <v>1004601</v>
      </c>
      <c r="B2452" s="125" t="s">
        <v>859</v>
      </c>
    </row>
    <row r="2453" spans="1:2">
      <c r="A2453" s="127">
        <v>1004602</v>
      </c>
      <c r="B2453" s="125" t="s">
        <v>860</v>
      </c>
    </row>
    <row r="2454" spans="1:2" ht="26.4">
      <c r="A2454" s="127">
        <v>1004700</v>
      </c>
      <c r="B2454" s="125" t="s">
        <v>327</v>
      </c>
    </row>
    <row r="2455" spans="1:2">
      <c r="A2455" s="127">
        <v>1004800</v>
      </c>
      <c r="B2455" s="125" t="s">
        <v>861</v>
      </c>
    </row>
    <row r="2456" spans="1:2">
      <c r="A2456" s="127">
        <v>1004901</v>
      </c>
      <c r="B2456" s="125" t="s">
        <v>862</v>
      </c>
    </row>
    <row r="2457" spans="1:2" ht="26.4">
      <c r="A2457" s="127">
        <v>1005000</v>
      </c>
      <c r="B2457" s="125" t="s">
        <v>416</v>
      </c>
    </row>
    <row r="2458" spans="1:2">
      <c r="A2458" s="127">
        <v>1005200</v>
      </c>
      <c r="B2458" s="125" t="s">
        <v>471</v>
      </c>
    </row>
    <row r="2459" spans="1:2" ht="26.4">
      <c r="A2459" s="127">
        <v>1005300</v>
      </c>
      <c r="B2459" s="125" t="s">
        <v>61</v>
      </c>
    </row>
    <row r="2460" spans="1:2">
      <c r="A2460" s="127">
        <v>1005400</v>
      </c>
      <c r="B2460" s="125" t="s">
        <v>1260</v>
      </c>
    </row>
    <row r="2461" spans="1:2" ht="39.6">
      <c r="A2461" s="127">
        <v>1005401</v>
      </c>
      <c r="B2461" s="125" t="s">
        <v>255</v>
      </c>
    </row>
    <row r="2462" spans="1:2">
      <c r="A2462" s="127">
        <v>1005402</v>
      </c>
      <c r="B2462" s="125" t="s">
        <v>825</v>
      </c>
    </row>
    <row r="2463" spans="1:2" ht="26.4">
      <c r="A2463" s="127">
        <v>1005403</v>
      </c>
      <c r="B2463" s="125" t="s">
        <v>372</v>
      </c>
    </row>
    <row r="2464" spans="1:2" ht="26.4">
      <c r="A2464" s="127">
        <v>1005500</v>
      </c>
      <c r="B2464" s="125" t="s">
        <v>863</v>
      </c>
    </row>
    <row r="2465" spans="1:2" ht="26.4">
      <c r="A2465" s="127">
        <v>1005600</v>
      </c>
      <c r="B2465" s="125" t="s">
        <v>864</v>
      </c>
    </row>
    <row r="2466" spans="1:2">
      <c r="A2466" s="127">
        <v>1005700</v>
      </c>
      <c r="B2466" s="125" t="s">
        <v>1704</v>
      </c>
    </row>
    <row r="2467" spans="1:2">
      <c r="A2467" s="127">
        <v>1005701</v>
      </c>
      <c r="B2467" s="125" t="s">
        <v>865</v>
      </c>
    </row>
    <row r="2468" spans="1:2">
      <c r="A2468" s="127">
        <v>1005702</v>
      </c>
      <c r="B2468" s="125" t="s">
        <v>866</v>
      </c>
    </row>
    <row r="2469" spans="1:2">
      <c r="A2469" s="127">
        <v>1005800</v>
      </c>
      <c r="B2469" s="125" t="s">
        <v>806</v>
      </c>
    </row>
    <row r="2470" spans="1:2">
      <c r="A2470" s="127">
        <v>1005801</v>
      </c>
      <c r="B2470" s="125" t="s">
        <v>867</v>
      </c>
    </row>
    <row r="2471" spans="1:2" ht="26.4">
      <c r="A2471" s="127">
        <v>1005802</v>
      </c>
      <c r="B2471" s="125" t="s">
        <v>868</v>
      </c>
    </row>
    <row r="2472" spans="1:2">
      <c r="A2472" s="127">
        <v>1005900</v>
      </c>
      <c r="B2472" s="125" t="s">
        <v>1638</v>
      </c>
    </row>
    <row r="2473" spans="1:2" ht="26.4">
      <c r="A2473" s="127">
        <v>1006000</v>
      </c>
      <c r="B2473" s="125" t="s">
        <v>1969</v>
      </c>
    </row>
    <row r="2474" spans="1:2" ht="26.4">
      <c r="A2474" s="127">
        <v>1006100</v>
      </c>
      <c r="B2474" s="125" t="s">
        <v>85</v>
      </c>
    </row>
    <row r="2475" spans="1:2">
      <c r="A2475" s="127">
        <v>1006200</v>
      </c>
      <c r="B2475" s="125" t="s">
        <v>911</v>
      </c>
    </row>
    <row r="2476" spans="1:2" ht="26.4">
      <c r="A2476" s="127">
        <v>1006300</v>
      </c>
      <c r="B2476" s="125" t="s">
        <v>869</v>
      </c>
    </row>
    <row r="2477" spans="1:2" ht="26.4">
      <c r="A2477" s="127">
        <v>1006400</v>
      </c>
      <c r="B2477" s="125" t="s">
        <v>679</v>
      </c>
    </row>
    <row r="2478" spans="1:2">
      <c r="A2478" s="127">
        <v>1006500</v>
      </c>
      <c r="B2478" s="125" t="s">
        <v>680</v>
      </c>
    </row>
    <row r="2479" spans="1:2">
      <c r="A2479" s="127">
        <v>1006600</v>
      </c>
      <c r="B2479" s="125" t="s">
        <v>870</v>
      </c>
    </row>
    <row r="2480" spans="1:2" ht="26.4">
      <c r="A2480" s="127">
        <v>1006700</v>
      </c>
      <c r="B2480" s="125" t="s">
        <v>1401</v>
      </c>
    </row>
    <row r="2481" spans="1:2">
      <c r="A2481" s="127">
        <v>1006800</v>
      </c>
      <c r="B2481" s="125" t="s">
        <v>1402</v>
      </c>
    </row>
    <row r="2482" spans="1:2" ht="26.4">
      <c r="A2482" s="127">
        <v>1006900</v>
      </c>
      <c r="B2482" s="125" t="s">
        <v>1902</v>
      </c>
    </row>
    <row r="2483" spans="1:2">
      <c r="A2483" s="127">
        <v>1007000</v>
      </c>
      <c r="B2483" s="125" t="s">
        <v>798</v>
      </c>
    </row>
    <row r="2484" spans="1:2" ht="26.4">
      <c r="A2484" s="127">
        <v>1007100</v>
      </c>
      <c r="B2484" s="125" t="s">
        <v>110</v>
      </c>
    </row>
    <row r="2485" spans="1:2">
      <c r="A2485" s="127">
        <v>1007200</v>
      </c>
      <c r="B2485" s="125" t="s">
        <v>1462</v>
      </c>
    </row>
    <row r="2486" spans="1:2">
      <c r="A2486" s="127">
        <v>1007300</v>
      </c>
      <c r="B2486" s="125" t="s">
        <v>1463</v>
      </c>
    </row>
    <row r="2487" spans="1:2">
      <c r="A2487" s="127">
        <v>1007400</v>
      </c>
      <c r="B2487" s="125" t="s">
        <v>1459</v>
      </c>
    </row>
    <row r="2488" spans="1:2" ht="26.4">
      <c r="A2488" s="127">
        <v>1007500</v>
      </c>
      <c r="B2488" s="125" t="s">
        <v>1460</v>
      </c>
    </row>
    <row r="2489" spans="1:2" ht="26.4">
      <c r="A2489" s="127">
        <v>1007600</v>
      </c>
      <c r="B2489" s="125" t="s">
        <v>1461</v>
      </c>
    </row>
    <row r="2490" spans="1:2">
      <c r="A2490" s="127">
        <v>1007700</v>
      </c>
      <c r="B2490" s="125" t="s">
        <v>1981</v>
      </c>
    </row>
    <row r="2491" spans="1:2" ht="26.4">
      <c r="A2491" s="127">
        <v>1007800</v>
      </c>
      <c r="B2491" s="125" t="s">
        <v>1982</v>
      </c>
    </row>
    <row r="2492" spans="1:2" ht="39.6">
      <c r="A2492" s="127">
        <v>1007900</v>
      </c>
      <c r="B2492" s="125" t="s">
        <v>1983</v>
      </c>
    </row>
    <row r="2493" spans="1:2" ht="66">
      <c r="A2493" s="127">
        <v>1008000</v>
      </c>
      <c r="B2493" s="126" t="s">
        <v>1984</v>
      </c>
    </row>
    <row r="2494" spans="1:2">
      <c r="A2494" s="127">
        <v>1008100</v>
      </c>
      <c r="B2494" s="125" t="s">
        <v>1985</v>
      </c>
    </row>
    <row r="2495" spans="1:2">
      <c r="A2495" s="127">
        <v>1008101</v>
      </c>
      <c r="B2495" s="125" t="s">
        <v>1986</v>
      </c>
    </row>
    <row r="2496" spans="1:2">
      <c r="A2496" s="127">
        <v>1008102</v>
      </c>
      <c r="B2496" s="125" t="s">
        <v>404</v>
      </c>
    </row>
    <row r="2497" spans="1:2">
      <c r="A2497" s="127">
        <v>1008103</v>
      </c>
      <c r="B2497" s="125" t="s">
        <v>207</v>
      </c>
    </row>
    <row r="2498" spans="1:2">
      <c r="A2498" s="127">
        <v>1008104</v>
      </c>
      <c r="B2498" s="125" t="s">
        <v>898</v>
      </c>
    </row>
    <row r="2499" spans="1:2">
      <c r="A2499" s="127">
        <v>1008105</v>
      </c>
      <c r="B2499" s="125" t="s">
        <v>1987</v>
      </c>
    </row>
    <row r="2500" spans="1:2">
      <c r="A2500" s="127">
        <v>1008106</v>
      </c>
      <c r="B2500" s="125" t="s">
        <v>897</v>
      </c>
    </row>
    <row r="2501" spans="1:2" ht="26.4">
      <c r="A2501" s="127">
        <v>1008107</v>
      </c>
      <c r="B2501" s="125" t="s">
        <v>1988</v>
      </c>
    </row>
    <row r="2502" spans="1:2" ht="26.4">
      <c r="A2502" s="127">
        <v>1008200</v>
      </c>
      <c r="B2502" s="125" t="s">
        <v>1989</v>
      </c>
    </row>
    <row r="2503" spans="1:2" ht="26.4">
      <c r="A2503" s="127">
        <v>1008300</v>
      </c>
      <c r="B2503" s="125" t="s">
        <v>1990</v>
      </c>
    </row>
    <row r="2504" spans="1:2">
      <c r="A2504" s="127">
        <v>1008400</v>
      </c>
      <c r="B2504" s="125" t="s">
        <v>1991</v>
      </c>
    </row>
    <row r="2505" spans="1:2">
      <c r="A2505" s="127">
        <v>1008500</v>
      </c>
      <c r="B2505" s="125" t="s">
        <v>1992</v>
      </c>
    </row>
    <row r="2506" spans="1:2">
      <c r="A2506" s="127">
        <v>1008600</v>
      </c>
      <c r="B2506" s="125" t="s">
        <v>1472</v>
      </c>
    </row>
    <row r="2507" spans="1:2" ht="26.4">
      <c r="A2507" s="127">
        <v>1008700</v>
      </c>
      <c r="B2507" s="125" t="s">
        <v>1473</v>
      </c>
    </row>
    <row r="2508" spans="1:2">
      <c r="A2508" s="127">
        <v>1008800</v>
      </c>
      <c r="B2508" s="125" t="s">
        <v>1474</v>
      </c>
    </row>
    <row r="2509" spans="1:2" ht="26.4">
      <c r="A2509" s="127">
        <v>1008810</v>
      </c>
      <c r="B2509" s="125" t="s">
        <v>1475</v>
      </c>
    </row>
    <row r="2510" spans="1:2">
      <c r="A2510" s="127">
        <v>1008811</v>
      </c>
      <c r="B2510" s="125" t="s">
        <v>548</v>
      </c>
    </row>
    <row r="2511" spans="1:2" ht="26.4">
      <c r="A2511" s="127">
        <v>1008812</v>
      </c>
      <c r="B2511" s="125" t="s">
        <v>1186</v>
      </c>
    </row>
    <row r="2512" spans="1:2">
      <c r="A2512" s="127">
        <v>1008813</v>
      </c>
      <c r="B2512" s="125" t="s">
        <v>835</v>
      </c>
    </row>
    <row r="2513" spans="1:2" ht="26.4">
      <c r="A2513" s="127">
        <v>1008814</v>
      </c>
      <c r="B2513" s="125" t="s">
        <v>1476</v>
      </c>
    </row>
    <row r="2514" spans="1:2">
      <c r="A2514" s="127">
        <v>1008815</v>
      </c>
      <c r="B2514" s="125" t="s">
        <v>1551</v>
      </c>
    </row>
    <row r="2515" spans="1:2">
      <c r="A2515" s="127">
        <v>1008816</v>
      </c>
      <c r="B2515" s="125" t="s">
        <v>1834</v>
      </c>
    </row>
    <row r="2516" spans="1:2">
      <c r="A2516" s="127">
        <v>1008821</v>
      </c>
      <c r="B2516" s="125" t="s">
        <v>2136</v>
      </c>
    </row>
    <row r="2517" spans="1:2">
      <c r="A2517" s="127">
        <v>1008822</v>
      </c>
      <c r="B2517" s="125" t="s">
        <v>242</v>
      </c>
    </row>
    <row r="2518" spans="1:2">
      <c r="A2518" s="127">
        <v>1008830</v>
      </c>
      <c r="B2518" s="125" t="s">
        <v>1477</v>
      </c>
    </row>
    <row r="2519" spans="1:2">
      <c r="A2519" s="127">
        <v>1008840</v>
      </c>
      <c r="B2519" s="125" t="s">
        <v>1837</v>
      </c>
    </row>
    <row r="2520" spans="1:2">
      <c r="A2520" s="127">
        <v>1008850</v>
      </c>
      <c r="B2520" s="125" t="s">
        <v>1184</v>
      </c>
    </row>
    <row r="2521" spans="1:2">
      <c r="A2521" s="127">
        <v>1008851</v>
      </c>
      <c r="B2521" s="125" t="s">
        <v>376</v>
      </c>
    </row>
    <row r="2522" spans="1:2">
      <c r="A2522" s="127">
        <v>1008852</v>
      </c>
      <c r="B2522" s="125" t="s">
        <v>1478</v>
      </c>
    </row>
    <row r="2523" spans="1:2" ht="26.4">
      <c r="A2523" s="127">
        <v>1008853</v>
      </c>
      <c r="B2523" s="125" t="s">
        <v>1479</v>
      </c>
    </row>
    <row r="2524" spans="1:2">
      <c r="A2524" s="127">
        <v>1008854</v>
      </c>
      <c r="B2524" s="125" t="s">
        <v>377</v>
      </c>
    </row>
    <row r="2525" spans="1:2">
      <c r="A2525" s="127">
        <v>1008855</v>
      </c>
      <c r="B2525" s="125" t="s">
        <v>1480</v>
      </c>
    </row>
    <row r="2526" spans="1:2" ht="26.4">
      <c r="A2526" s="127">
        <v>1008856</v>
      </c>
      <c r="B2526" s="125" t="s">
        <v>1481</v>
      </c>
    </row>
    <row r="2527" spans="1:2" ht="26.4">
      <c r="A2527" s="127">
        <v>1008857</v>
      </c>
      <c r="B2527" s="125" t="s">
        <v>1482</v>
      </c>
    </row>
    <row r="2528" spans="1:2" ht="26.4">
      <c r="A2528" s="127">
        <v>1008858</v>
      </c>
      <c r="B2528" s="125" t="s">
        <v>1483</v>
      </c>
    </row>
    <row r="2529" spans="1:2">
      <c r="A2529" s="127">
        <v>1008860</v>
      </c>
      <c r="B2529" s="125" t="s">
        <v>1484</v>
      </c>
    </row>
    <row r="2530" spans="1:2">
      <c r="A2530" s="127">
        <v>1008900</v>
      </c>
      <c r="B2530" s="125" t="s">
        <v>1485</v>
      </c>
    </row>
    <row r="2531" spans="1:2">
      <c r="A2531" s="127">
        <v>1009000</v>
      </c>
      <c r="B2531" s="125" t="s">
        <v>1486</v>
      </c>
    </row>
    <row r="2532" spans="1:2">
      <c r="A2532" s="127">
        <v>1009100</v>
      </c>
      <c r="B2532" s="125" t="s">
        <v>1487</v>
      </c>
    </row>
    <row r="2533" spans="1:2" ht="26.4">
      <c r="A2533" s="127">
        <v>1009200</v>
      </c>
      <c r="B2533" s="125" t="s">
        <v>1488</v>
      </c>
    </row>
    <row r="2534" spans="1:2">
      <c r="A2534" s="127">
        <v>1009300</v>
      </c>
      <c r="B2534" s="125" t="s">
        <v>1489</v>
      </c>
    </row>
    <row r="2535" spans="1:2">
      <c r="A2535" s="127">
        <v>1009301</v>
      </c>
      <c r="B2535" s="125" t="s">
        <v>2137</v>
      </c>
    </row>
    <row r="2536" spans="1:2" ht="26.4">
      <c r="A2536" s="127">
        <v>1009400</v>
      </c>
      <c r="B2536" s="125" t="s">
        <v>2138</v>
      </c>
    </row>
    <row r="2537" spans="1:2">
      <c r="A2537" s="127" t="s">
        <v>1490</v>
      </c>
      <c r="B2537" s="125"/>
    </row>
    <row r="2538" spans="1:2" ht="26.4">
      <c r="A2538" s="127">
        <v>1009500</v>
      </c>
      <c r="B2538" s="125" t="s">
        <v>1491</v>
      </c>
    </row>
    <row r="2539" spans="1:2" ht="26.4">
      <c r="A2539" s="127">
        <v>1009600</v>
      </c>
      <c r="B2539" s="125" t="s">
        <v>1492</v>
      </c>
    </row>
    <row r="2540" spans="1:2">
      <c r="A2540" s="127">
        <v>1009700</v>
      </c>
      <c r="B2540" s="125" t="s">
        <v>1493</v>
      </c>
    </row>
    <row r="2541" spans="1:2" ht="26.4">
      <c r="A2541" s="127">
        <v>1009800</v>
      </c>
      <c r="B2541" s="125" t="s">
        <v>1494</v>
      </c>
    </row>
    <row r="2542" spans="1:2" ht="26.4">
      <c r="A2542" s="127">
        <v>1009900</v>
      </c>
      <c r="B2542" s="125" t="s">
        <v>1495</v>
      </c>
    </row>
    <row r="2543" spans="1:2">
      <c r="A2543" s="127">
        <v>1009901</v>
      </c>
      <c r="B2543" s="125" t="s">
        <v>917</v>
      </c>
    </row>
    <row r="2544" spans="1:2" ht="39.6">
      <c r="A2544" s="127">
        <v>1009902</v>
      </c>
      <c r="B2544" s="125" t="s">
        <v>915</v>
      </c>
    </row>
    <row r="2545" spans="1:2">
      <c r="A2545" s="127">
        <v>1010000</v>
      </c>
      <c r="B2545" s="125" t="s">
        <v>1594</v>
      </c>
    </row>
    <row r="2546" spans="1:2">
      <c r="A2546" s="127">
        <v>1010100</v>
      </c>
      <c r="B2546" s="125" t="s">
        <v>653</v>
      </c>
    </row>
    <row r="2547" spans="1:2" ht="26.4">
      <c r="A2547" s="127">
        <v>1010200</v>
      </c>
      <c r="B2547" s="125" t="s">
        <v>76</v>
      </c>
    </row>
    <row r="2548" spans="1:2" ht="26.4">
      <c r="A2548" s="127">
        <v>1010300</v>
      </c>
      <c r="B2548" s="125" t="s">
        <v>1263</v>
      </c>
    </row>
    <row r="2549" spans="1:2">
      <c r="A2549" s="127">
        <v>1015700</v>
      </c>
      <c r="B2549" s="125" t="s">
        <v>938</v>
      </c>
    </row>
    <row r="2550" spans="1:2">
      <c r="A2550" s="127">
        <v>1016300</v>
      </c>
      <c r="B2550" s="125" t="s">
        <v>939</v>
      </c>
    </row>
    <row r="2551" spans="1:2">
      <c r="A2551" s="127">
        <v>1016700</v>
      </c>
      <c r="B2551" s="125" t="s">
        <v>77</v>
      </c>
    </row>
    <row r="2552" spans="1:2">
      <c r="A2552" s="127">
        <v>1020000</v>
      </c>
      <c r="B2552" s="125" t="s">
        <v>638</v>
      </c>
    </row>
    <row r="2553" spans="1:2" ht="26.4">
      <c r="A2553" s="127">
        <v>1020100</v>
      </c>
      <c r="B2553" s="125" t="s">
        <v>546</v>
      </c>
    </row>
    <row r="2554" spans="1:2" ht="26.4">
      <c r="A2554" s="127">
        <v>1020101</v>
      </c>
      <c r="B2554" s="125" t="s">
        <v>983</v>
      </c>
    </row>
    <row r="2555" spans="1:2">
      <c r="A2555" s="127">
        <v>1020102</v>
      </c>
      <c r="B2555" s="125" t="s">
        <v>916</v>
      </c>
    </row>
    <row r="2556" spans="1:2" ht="26.4">
      <c r="A2556" s="127">
        <v>1020103</v>
      </c>
      <c r="B2556" s="125" t="s">
        <v>1970</v>
      </c>
    </row>
    <row r="2557" spans="1:2">
      <c r="A2557" s="127">
        <v>1020107</v>
      </c>
      <c r="B2557" s="125" t="s">
        <v>287</v>
      </c>
    </row>
    <row r="2558" spans="1:2">
      <c r="A2558" s="127">
        <v>1020108</v>
      </c>
      <c r="B2558" s="125" t="s">
        <v>925</v>
      </c>
    </row>
    <row r="2559" spans="1:2">
      <c r="A2559" s="127">
        <v>1020200</v>
      </c>
      <c r="B2559" s="125" t="s">
        <v>1468</v>
      </c>
    </row>
    <row r="2560" spans="1:2" ht="26.4">
      <c r="A2560" s="127">
        <v>1020201</v>
      </c>
      <c r="B2560" s="125" t="s">
        <v>989</v>
      </c>
    </row>
    <row r="2561" spans="1:2">
      <c r="A2561" s="127">
        <v>1020202</v>
      </c>
      <c r="B2561" s="125" t="s">
        <v>183</v>
      </c>
    </row>
    <row r="2562" spans="1:2" ht="26.4">
      <c r="A2562" s="127">
        <v>1020203</v>
      </c>
      <c r="B2562" s="125" t="s">
        <v>926</v>
      </c>
    </row>
    <row r="2563" spans="1:2">
      <c r="A2563" s="127">
        <v>1020204</v>
      </c>
      <c r="B2563" s="125" t="s">
        <v>447</v>
      </c>
    </row>
    <row r="2564" spans="1:2" ht="39.6">
      <c r="A2564" s="127">
        <v>1020205</v>
      </c>
      <c r="B2564" s="125" t="s">
        <v>265</v>
      </c>
    </row>
    <row r="2565" spans="1:2" ht="39.6">
      <c r="A2565" s="127">
        <v>1020206</v>
      </c>
      <c r="B2565" s="126" t="s">
        <v>927</v>
      </c>
    </row>
    <row r="2566" spans="1:2" ht="26.4">
      <c r="A2566" s="127">
        <v>1020208</v>
      </c>
      <c r="B2566" s="125" t="s">
        <v>1506</v>
      </c>
    </row>
    <row r="2567" spans="1:2">
      <c r="A2567" s="127">
        <v>1020300</v>
      </c>
      <c r="B2567" s="125" t="s">
        <v>266</v>
      </c>
    </row>
    <row r="2568" spans="1:2">
      <c r="A2568" s="127">
        <v>1020400</v>
      </c>
      <c r="B2568" s="125" t="s">
        <v>267</v>
      </c>
    </row>
    <row r="2569" spans="1:2" ht="26.4">
      <c r="A2569" s="127">
        <v>1020401</v>
      </c>
      <c r="B2569" s="125" t="s">
        <v>872</v>
      </c>
    </row>
    <row r="2570" spans="1:2" ht="26.4">
      <c r="A2570" s="127">
        <v>1020402</v>
      </c>
      <c r="B2570" s="125" t="s">
        <v>1129</v>
      </c>
    </row>
    <row r="2571" spans="1:2" ht="26.4">
      <c r="A2571" s="127">
        <v>1020500</v>
      </c>
      <c r="B2571" s="125" t="s">
        <v>1838</v>
      </c>
    </row>
    <row r="2572" spans="1:2" ht="39.6">
      <c r="A2572" s="127">
        <v>1020501</v>
      </c>
      <c r="B2572" s="125" t="s">
        <v>433</v>
      </c>
    </row>
    <row r="2573" spans="1:2" ht="26.4">
      <c r="A2573" s="127">
        <v>1020502</v>
      </c>
      <c r="B2573" s="125" t="s">
        <v>1319</v>
      </c>
    </row>
    <row r="2574" spans="1:2">
      <c r="A2574" s="127">
        <v>1020600</v>
      </c>
      <c r="B2574" s="125" t="s">
        <v>234</v>
      </c>
    </row>
    <row r="2575" spans="1:2">
      <c r="A2575" s="127">
        <v>1040000</v>
      </c>
      <c r="B2575" s="125" t="s">
        <v>1507</v>
      </c>
    </row>
    <row r="2576" spans="1:2" ht="26.4">
      <c r="A2576" s="127">
        <v>1040100</v>
      </c>
      <c r="B2576" s="125" t="s">
        <v>1508</v>
      </c>
    </row>
    <row r="2577" spans="1:2" ht="26.4">
      <c r="A2577" s="127">
        <v>1040101</v>
      </c>
      <c r="B2577" s="125" t="s">
        <v>1186</v>
      </c>
    </row>
    <row r="2578" spans="1:2">
      <c r="A2578" s="127">
        <v>1040102</v>
      </c>
      <c r="B2578" s="125" t="s">
        <v>548</v>
      </c>
    </row>
    <row r="2579" spans="1:2">
      <c r="A2579" s="127">
        <v>1040103</v>
      </c>
      <c r="B2579" s="125" t="s">
        <v>835</v>
      </c>
    </row>
    <row r="2580" spans="1:2" ht="26.4">
      <c r="A2580" s="127">
        <v>1040104</v>
      </c>
      <c r="B2580" s="125" t="s">
        <v>1550</v>
      </c>
    </row>
    <row r="2581" spans="1:2">
      <c r="A2581" s="127">
        <v>1040105</v>
      </c>
      <c r="B2581" s="125" t="s">
        <v>1551</v>
      </c>
    </row>
    <row r="2582" spans="1:2">
      <c r="A2582" s="127">
        <v>1040106</v>
      </c>
      <c r="B2582" s="125" t="s">
        <v>1834</v>
      </c>
    </row>
    <row r="2583" spans="1:2">
      <c r="A2583" s="127">
        <v>1040200</v>
      </c>
      <c r="B2583" s="125" t="s">
        <v>242</v>
      </c>
    </row>
    <row r="2584" spans="1:2">
      <c r="A2584" s="127">
        <v>1040300</v>
      </c>
      <c r="B2584" s="125" t="s">
        <v>1837</v>
      </c>
    </row>
    <row r="2585" spans="1:2" ht="26.4">
      <c r="A2585" s="127">
        <v>1040400</v>
      </c>
      <c r="B2585" s="125" t="s">
        <v>912</v>
      </c>
    </row>
    <row r="2586" spans="1:2">
      <c r="A2586" s="127">
        <v>1040500</v>
      </c>
      <c r="B2586" s="125" t="s">
        <v>1812</v>
      </c>
    </row>
    <row r="2587" spans="1:2" ht="26.4">
      <c r="A2587" s="127">
        <v>1040600</v>
      </c>
      <c r="B2587" s="125" t="s">
        <v>1316</v>
      </c>
    </row>
    <row r="2588" spans="1:2">
      <c r="A2588" s="127">
        <v>1040700</v>
      </c>
      <c r="B2588" s="125" t="s">
        <v>1509</v>
      </c>
    </row>
    <row r="2589" spans="1:2">
      <c r="A2589" s="127">
        <v>1040800</v>
      </c>
      <c r="B2589" s="125" t="s">
        <v>1184</v>
      </c>
    </row>
    <row r="2590" spans="1:2">
      <c r="A2590" s="127">
        <v>1040801</v>
      </c>
      <c r="B2590" s="125" t="s">
        <v>376</v>
      </c>
    </row>
    <row r="2591" spans="1:2">
      <c r="A2591" s="127">
        <v>1040802</v>
      </c>
      <c r="B2591" s="125" t="s">
        <v>377</v>
      </c>
    </row>
    <row r="2592" spans="1:2">
      <c r="A2592" s="127">
        <v>1040803</v>
      </c>
      <c r="B2592" s="125" t="s">
        <v>228</v>
      </c>
    </row>
    <row r="2593" spans="1:2" ht="26.4">
      <c r="A2593" s="127">
        <v>1040804</v>
      </c>
      <c r="B2593" s="125" t="s">
        <v>1510</v>
      </c>
    </row>
    <row r="2594" spans="1:2" ht="26.4">
      <c r="A2594" s="127">
        <v>1100000</v>
      </c>
      <c r="B2594" s="125" t="s">
        <v>1511</v>
      </c>
    </row>
    <row r="2595" spans="1:2">
      <c r="A2595" s="127">
        <v>1100100</v>
      </c>
      <c r="B2595" s="125" t="s">
        <v>1512</v>
      </c>
    </row>
    <row r="2596" spans="1:2" ht="26.4">
      <c r="A2596" s="127">
        <v>1300000</v>
      </c>
      <c r="B2596" s="125" t="s">
        <v>1314</v>
      </c>
    </row>
    <row r="2597" spans="1:2">
      <c r="A2597" s="127">
        <v>1300100</v>
      </c>
      <c r="B2597" s="125" t="s">
        <v>1315</v>
      </c>
    </row>
    <row r="2598" spans="1:2" ht="26.4">
      <c r="A2598" s="127">
        <v>1305700</v>
      </c>
      <c r="B2598" s="125" t="s">
        <v>315</v>
      </c>
    </row>
    <row r="2599" spans="1:2">
      <c r="A2599" s="127">
        <v>1306700</v>
      </c>
      <c r="B2599" s="125" t="s">
        <v>77</v>
      </c>
    </row>
    <row r="2600" spans="1:2">
      <c r="A2600" s="127">
        <v>1308000</v>
      </c>
      <c r="B2600" s="125" t="s">
        <v>316</v>
      </c>
    </row>
    <row r="2601" spans="1:2">
      <c r="A2601" s="127">
        <v>1309900</v>
      </c>
      <c r="B2601" s="125" t="s">
        <v>81</v>
      </c>
    </row>
    <row r="2602" spans="1:2" ht="26.4">
      <c r="A2602" s="127">
        <v>1310000</v>
      </c>
      <c r="B2602" s="125" t="s">
        <v>1624</v>
      </c>
    </row>
    <row r="2603" spans="1:2">
      <c r="A2603" s="127">
        <v>1310100</v>
      </c>
      <c r="B2603" s="125" t="s">
        <v>1625</v>
      </c>
    </row>
    <row r="2604" spans="1:2">
      <c r="A2604" s="127">
        <v>1320000</v>
      </c>
      <c r="B2604" s="125" t="s">
        <v>1977</v>
      </c>
    </row>
    <row r="2605" spans="1:2">
      <c r="A2605" s="127">
        <v>1328000</v>
      </c>
      <c r="B2605" s="125" t="s">
        <v>316</v>
      </c>
    </row>
    <row r="2606" spans="1:2" ht="26.4">
      <c r="A2606" s="127">
        <v>1330000</v>
      </c>
      <c r="B2606" s="125" t="s">
        <v>1978</v>
      </c>
    </row>
    <row r="2607" spans="1:2" ht="26.4">
      <c r="A2607" s="127">
        <v>1330100</v>
      </c>
      <c r="B2607" s="125" t="s">
        <v>1979</v>
      </c>
    </row>
    <row r="2608" spans="1:2" ht="26.4">
      <c r="A2608" s="127">
        <v>1340000</v>
      </c>
      <c r="B2608" s="125" t="s">
        <v>1978</v>
      </c>
    </row>
    <row r="2609" spans="1:2" ht="26.4">
      <c r="A2609" s="127">
        <v>1340100</v>
      </c>
      <c r="B2609" s="125" t="s">
        <v>1980</v>
      </c>
    </row>
    <row r="2610" spans="1:2">
      <c r="A2610" s="127">
        <v>1340200</v>
      </c>
      <c r="B2610" s="125" t="s">
        <v>1771</v>
      </c>
    </row>
    <row r="2611" spans="1:2">
      <c r="A2611" s="127">
        <v>1350000</v>
      </c>
      <c r="B2611" s="125" t="s">
        <v>1772</v>
      </c>
    </row>
    <row r="2612" spans="1:2" ht="26.4">
      <c r="A2612" s="127">
        <v>1350100</v>
      </c>
      <c r="B2612" s="125" t="s">
        <v>1773</v>
      </c>
    </row>
    <row r="2613" spans="1:2">
      <c r="A2613" s="127">
        <v>1350200</v>
      </c>
      <c r="B2613" s="125" t="s">
        <v>1774</v>
      </c>
    </row>
    <row r="2614" spans="1:2">
      <c r="A2614" s="127">
        <v>1360000</v>
      </c>
      <c r="B2614" s="125" t="s">
        <v>1775</v>
      </c>
    </row>
    <row r="2615" spans="1:2">
      <c r="A2615" s="127">
        <v>1360100</v>
      </c>
      <c r="B2615" s="125" t="s">
        <v>1776</v>
      </c>
    </row>
    <row r="2616" spans="1:2">
      <c r="A2616" s="127">
        <v>1360200</v>
      </c>
      <c r="B2616" s="125" t="s">
        <v>1777</v>
      </c>
    </row>
    <row r="2617" spans="1:2" ht="39.6">
      <c r="A2617" s="127">
        <v>1417288</v>
      </c>
      <c r="B2617" s="125" t="s">
        <v>2499</v>
      </c>
    </row>
    <row r="2618" spans="1:2">
      <c r="A2618" s="127">
        <v>2000000</v>
      </c>
      <c r="B2618" s="125" t="s">
        <v>1118</v>
      </c>
    </row>
    <row r="2619" spans="1:2">
      <c r="A2619" s="127">
        <v>2006600</v>
      </c>
      <c r="B2619" s="125" t="s">
        <v>444</v>
      </c>
    </row>
    <row r="2620" spans="1:2">
      <c r="A2620" s="127">
        <v>2006700</v>
      </c>
      <c r="B2620" s="125" t="s">
        <v>77</v>
      </c>
    </row>
    <row r="2621" spans="1:2">
      <c r="A2621" s="127">
        <v>2006800</v>
      </c>
      <c r="B2621" s="125" t="s">
        <v>637</v>
      </c>
    </row>
    <row r="2622" spans="1:2">
      <c r="A2622" s="127">
        <v>2006801</v>
      </c>
      <c r="B2622" s="125" t="s">
        <v>406</v>
      </c>
    </row>
    <row r="2623" spans="1:2">
      <c r="A2623" s="127">
        <v>2006802</v>
      </c>
      <c r="B2623" s="125" t="s">
        <v>189</v>
      </c>
    </row>
    <row r="2624" spans="1:2">
      <c r="A2624" s="127">
        <v>2007000</v>
      </c>
      <c r="B2624" s="125" t="s">
        <v>909</v>
      </c>
    </row>
    <row r="2625" spans="1:2">
      <c r="A2625" s="127">
        <v>2009700</v>
      </c>
      <c r="B2625" s="125" t="s">
        <v>1152</v>
      </c>
    </row>
    <row r="2626" spans="1:2">
      <c r="A2626" s="127">
        <v>2010000</v>
      </c>
      <c r="B2626" s="125" t="s">
        <v>1311</v>
      </c>
    </row>
    <row r="2627" spans="1:2">
      <c r="A2627" s="127">
        <v>2016700</v>
      </c>
      <c r="B2627" s="125" t="s">
        <v>77</v>
      </c>
    </row>
    <row r="2628" spans="1:2">
      <c r="A2628" s="127">
        <v>2016800</v>
      </c>
      <c r="B2628" s="125" t="s">
        <v>637</v>
      </c>
    </row>
    <row r="2629" spans="1:2">
      <c r="A2629" s="127">
        <v>2016801</v>
      </c>
      <c r="B2629" s="125" t="s">
        <v>406</v>
      </c>
    </row>
    <row r="2630" spans="1:2">
      <c r="A2630" s="127">
        <v>2016802</v>
      </c>
      <c r="B2630" s="125" t="s">
        <v>189</v>
      </c>
    </row>
    <row r="2631" spans="1:2">
      <c r="A2631" s="127">
        <v>2017000</v>
      </c>
      <c r="B2631" s="125" t="s">
        <v>909</v>
      </c>
    </row>
    <row r="2632" spans="1:2">
      <c r="A2632" s="127">
        <v>2018200</v>
      </c>
      <c r="B2632" s="125" t="s">
        <v>1132</v>
      </c>
    </row>
    <row r="2633" spans="1:2">
      <c r="A2633" s="127">
        <v>2020000</v>
      </c>
      <c r="B2633" s="125" t="s">
        <v>605</v>
      </c>
    </row>
    <row r="2634" spans="1:2" ht="26.4">
      <c r="A2634" s="127">
        <v>2020100</v>
      </c>
      <c r="B2634" s="125" t="s">
        <v>465</v>
      </c>
    </row>
    <row r="2635" spans="1:2">
      <c r="A2635" s="127">
        <v>2020800</v>
      </c>
      <c r="B2635" s="125" t="s">
        <v>1903</v>
      </c>
    </row>
    <row r="2636" spans="1:2">
      <c r="A2636" s="127">
        <v>2020900</v>
      </c>
      <c r="B2636" s="125" t="s">
        <v>1778</v>
      </c>
    </row>
    <row r="2637" spans="1:2" ht="26.4">
      <c r="A2637" s="127">
        <v>2024200</v>
      </c>
      <c r="B2637" s="125" t="s">
        <v>1958</v>
      </c>
    </row>
    <row r="2638" spans="1:2">
      <c r="A2638" s="127">
        <v>2025800</v>
      </c>
      <c r="B2638" s="125" t="s">
        <v>598</v>
      </c>
    </row>
    <row r="2639" spans="1:2">
      <c r="A2639" s="127">
        <v>2026400</v>
      </c>
      <c r="B2639" s="125" t="s">
        <v>1056</v>
      </c>
    </row>
    <row r="2640" spans="1:2">
      <c r="A2640" s="127">
        <v>2026500</v>
      </c>
      <c r="B2640" s="125" t="s">
        <v>316</v>
      </c>
    </row>
    <row r="2641" spans="1:2">
      <c r="A2641" s="127">
        <v>2026700</v>
      </c>
      <c r="B2641" s="125" t="s">
        <v>77</v>
      </c>
    </row>
    <row r="2642" spans="1:2">
      <c r="A2642" s="127">
        <v>2027000</v>
      </c>
      <c r="B2642" s="125" t="s">
        <v>909</v>
      </c>
    </row>
    <row r="2643" spans="1:2">
      <c r="A2643" s="127">
        <v>2027100</v>
      </c>
      <c r="B2643" s="125" t="s">
        <v>910</v>
      </c>
    </row>
    <row r="2644" spans="1:2">
      <c r="A2644" s="127">
        <v>2027101</v>
      </c>
      <c r="B2644" s="125" t="s">
        <v>313</v>
      </c>
    </row>
    <row r="2645" spans="1:2">
      <c r="A2645" s="127">
        <v>2027102</v>
      </c>
      <c r="B2645" s="125" t="s">
        <v>197</v>
      </c>
    </row>
    <row r="2646" spans="1:2">
      <c r="A2646" s="127">
        <v>2027103</v>
      </c>
      <c r="B2646" s="125" t="s">
        <v>198</v>
      </c>
    </row>
    <row r="2647" spans="1:2">
      <c r="A2647" s="127">
        <v>2027200</v>
      </c>
      <c r="B2647" s="125" t="s">
        <v>261</v>
      </c>
    </row>
    <row r="2648" spans="1:2">
      <c r="A2648" s="127">
        <v>2027201</v>
      </c>
      <c r="B2648" s="125" t="s">
        <v>651</v>
      </c>
    </row>
    <row r="2649" spans="1:2">
      <c r="A2649" s="127">
        <v>2027202</v>
      </c>
      <c r="B2649" s="125" t="s">
        <v>652</v>
      </c>
    </row>
    <row r="2650" spans="1:2">
      <c r="A2650" s="127">
        <v>2027203</v>
      </c>
      <c r="B2650" s="125" t="s">
        <v>595</v>
      </c>
    </row>
    <row r="2651" spans="1:2">
      <c r="A2651" s="127">
        <v>2027600</v>
      </c>
      <c r="B2651" s="125" t="s">
        <v>1130</v>
      </c>
    </row>
    <row r="2652" spans="1:2">
      <c r="A2652" s="127">
        <v>2029900</v>
      </c>
      <c r="B2652" s="125" t="s">
        <v>81</v>
      </c>
    </row>
    <row r="2653" spans="1:2">
      <c r="A2653" s="127">
        <v>2040000</v>
      </c>
      <c r="B2653" s="125" t="s">
        <v>1779</v>
      </c>
    </row>
    <row r="2654" spans="1:2">
      <c r="A2654" s="127">
        <v>2070000</v>
      </c>
      <c r="B2654" s="125" t="s">
        <v>331</v>
      </c>
    </row>
    <row r="2655" spans="1:2" ht="26.4">
      <c r="A2655" s="127">
        <v>2070100</v>
      </c>
      <c r="B2655" s="125" t="s">
        <v>778</v>
      </c>
    </row>
    <row r="2656" spans="1:2">
      <c r="A2656" s="127">
        <v>2075800</v>
      </c>
      <c r="B2656" s="125" t="s">
        <v>598</v>
      </c>
    </row>
    <row r="2657" spans="1:2">
      <c r="A2657" s="127">
        <v>2079900</v>
      </c>
      <c r="B2657" s="125" t="s">
        <v>81</v>
      </c>
    </row>
    <row r="2658" spans="1:2">
      <c r="A2658" s="127">
        <v>2080000</v>
      </c>
      <c r="B2658" s="125" t="s">
        <v>19</v>
      </c>
    </row>
    <row r="2659" spans="1:2">
      <c r="A2659" s="127">
        <v>2080200</v>
      </c>
      <c r="B2659" s="125" t="s">
        <v>779</v>
      </c>
    </row>
    <row r="2660" spans="1:2" ht="39.6">
      <c r="A2660" s="127">
        <v>2080300</v>
      </c>
      <c r="B2660" s="125" t="s">
        <v>1780</v>
      </c>
    </row>
    <row r="2661" spans="1:2" ht="26.4">
      <c r="A2661" s="127">
        <v>2080400</v>
      </c>
      <c r="B2661" s="125" t="s">
        <v>1781</v>
      </c>
    </row>
    <row r="2662" spans="1:2">
      <c r="A2662" s="127">
        <v>2086100</v>
      </c>
      <c r="B2662" s="125" t="s">
        <v>361</v>
      </c>
    </row>
    <row r="2663" spans="1:2">
      <c r="A2663" s="127">
        <v>2086200</v>
      </c>
      <c r="B2663" s="125" t="s">
        <v>182</v>
      </c>
    </row>
    <row r="2664" spans="1:2">
      <c r="A2664" s="127">
        <v>2086300</v>
      </c>
      <c r="B2664" s="125" t="s">
        <v>939</v>
      </c>
    </row>
    <row r="2665" spans="1:2">
      <c r="A2665" s="127">
        <v>2090000</v>
      </c>
      <c r="B2665" s="125" t="s">
        <v>936</v>
      </c>
    </row>
    <row r="2666" spans="1:2">
      <c r="A2666" s="127">
        <v>2090100</v>
      </c>
      <c r="B2666" s="125" t="s">
        <v>1696</v>
      </c>
    </row>
    <row r="2667" spans="1:2">
      <c r="A2667" s="127">
        <v>2100000</v>
      </c>
      <c r="B2667" s="125" t="s">
        <v>339</v>
      </c>
    </row>
    <row r="2668" spans="1:2">
      <c r="A2668" s="127">
        <v>2105800</v>
      </c>
      <c r="B2668" s="125" t="s">
        <v>598</v>
      </c>
    </row>
    <row r="2669" spans="1:2">
      <c r="A2669" s="127">
        <v>2110000</v>
      </c>
      <c r="B2669" s="125" t="s">
        <v>340</v>
      </c>
    </row>
    <row r="2670" spans="1:2">
      <c r="A2670" s="127">
        <v>2110100</v>
      </c>
      <c r="B2670" s="125" t="s">
        <v>1679</v>
      </c>
    </row>
    <row r="2671" spans="1:2">
      <c r="A2671" s="127">
        <v>2120000</v>
      </c>
      <c r="B2671" s="125" t="s">
        <v>781</v>
      </c>
    </row>
    <row r="2672" spans="1:2">
      <c r="A2672" s="127">
        <v>2120100</v>
      </c>
      <c r="B2672" s="125" t="s">
        <v>781</v>
      </c>
    </row>
    <row r="2673" spans="1:2">
      <c r="A2673" s="127">
        <v>2130000</v>
      </c>
      <c r="B2673" s="125" t="s">
        <v>1946</v>
      </c>
    </row>
    <row r="2674" spans="1:2">
      <c r="A2674" s="127">
        <v>2130200</v>
      </c>
      <c r="B2674" s="125" t="s">
        <v>1782</v>
      </c>
    </row>
    <row r="2675" spans="1:2">
      <c r="A2675" s="127">
        <v>2140000</v>
      </c>
      <c r="B2675" s="125" t="s">
        <v>305</v>
      </c>
    </row>
    <row r="2676" spans="1:2">
      <c r="A2676" s="127">
        <v>2140100</v>
      </c>
      <c r="B2676" s="125" t="s">
        <v>361</v>
      </c>
    </row>
    <row r="2677" spans="1:2">
      <c r="A2677" s="127">
        <v>2140200</v>
      </c>
      <c r="B2677" s="125" t="s">
        <v>729</v>
      </c>
    </row>
    <row r="2678" spans="1:2">
      <c r="A2678" s="127">
        <v>2140400</v>
      </c>
      <c r="B2678" s="125" t="s">
        <v>976</v>
      </c>
    </row>
    <row r="2679" spans="1:2">
      <c r="A2679" s="127">
        <v>2140500</v>
      </c>
      <c r="B2679" s="125" t="s">
        <v>1468</v>
      </c>
    </row>
    <row r="2680" spans="1:2">
      <c r="A2680" s="127">
        <v>2140600</v>
      </c>
      <c r="B2680" s="125" t="s">
        <v>977</v>
      </c>
    </row>
    <row r="2681" spans="1:2">
      <c r="A2681" s="127">
        <v>2140700</v>
      </c>
      <c r="B2681" s="125" t="s">
        <v>1547</v>
      </c>
    </row>
    <row r="2682" spans="1:2">
      <c r="A2682" s="127">
        <v>2140800</v>
      </c>
      <c r="B2682" s="125" t="s">
        <v>1707</v>
      </c>
    </row>
    <row r="2683" spans="1:2">
      <c r="A2683" s="127">
        <v>2140900</v>
      </c>
      <c r="B2683" s="125" t="s">
        <v>1783</v>
      </c>
    </row>
    <row r="2684" spans="1:2">
      <c r="A2684" s="127">
        <v>2141000</v>
      </c>
      <c r="B2684" s="125" t="s">
        <v>953</v>
      </c>
    </row>
    <row r="2685" spans="1:2">
      <c r="A2685" s="127">
        <v>2143000</v>
      </c>
      <c r="B2685" s="125" t="s">
        <v>954</v>
      </c>
    </row>
    <row r="2686" spans="1:2">
      <c r="A2686" s="127">
        <v>2146500</v>
      </c>
      <c r="B2686" s="125" t="s">
        <v>316</v>
      </c>
    </row>
    <row r="2687" spans="1:2">
      <c r="A2687" s="127">
        <v>2147000</v>
      </c>
      <c r="B2687" s="125" t="s">
        <v>909</v>
      </c>
    </row>
    <row r="2688" spans="1:2" ht="26.4">
      <c r="A2688" s="127">
        <v>2149300</v>
      </c>
      <c r="B2688" s="125" t="s">
        <v>677</v>
      </c>
    </row>
    <row r="2689" spans="1:2">
      <c r="A2689" s="127">
        <v>2149400</v>
      </c>
      <c r="B2689" s="125" t="s">
        <v>642</v>
      </c>
    </row>
    <row r="2690" spans="1:2">
      <c r="A2690" s="127">
        <v>2150000</v>
      </c>
      <c r="B2690" s="125" t="s">
        <v>16</v>
      </c>
    </row>
    <row r="2691" spans="1:2">
      <c r="A2691" s="127">
        <v>2150100</v>
      </c>
      <c r="B2691" s="125" t="s">
        <v>955</v>
      </c>
    </row>
    <row r="2692" spans="1:2">
      <c r="A2692" s="127">
        <v>2155800</v>
      </c>
      <c r="B2692" s="125" t="s">
        <v>598</v>
      </c>
    </row>
    <row r="2693" spans="1:2">
      <c r="A2693" s="127">
        <v>2156700</v>
      </c>
      <c r="B2693" s="125" t="s">
        <v>77</v>
      </c>
    </row>
    <row r="2694" spans="1:2">
      <c r="A2694" s="127">
        <v>2156800</v>
      </c>
      <c r="B2694" s="125" t="s">
        <v>637</v>
      </c>
    </row>
    <row r="2695" spans="1:2">
      <c r="A2695" s="127">
        <v>2156801</v>
      </c>
      <c r="B2695" s="125" t="s">
        <v>406</v>
      </c>
    </row>
    <row r="2696" spans="1:2">
      <c r="A2696" s="127">
        <v>2156802</v>
      </c>
      <c r="B2696" s="125" t="s">
        <v>189</v>
      </c>
    </row>
    <row r="2697" spans="1:2">
      <c r="A2697" s="127">
        <v>2157100</v>
      </c>
      <c r="B2697" s="125" t="s">
        <v>910</v>
      </c>
    </row>
    <row r="2698" spans="1:2">
      <c r="A2698" s="127">
        <v>2157101</v>
      </c>
      <c r="B2698" s="125" t="s">
        <v>313</v>
      </c>
    </row>
    <row r="2699" spans="1:2">
      <c r="A2699" s="127">
        <v>2157102</v>
      </c>
      <c r="B2699" s="125" t="s">
        <v>197</v>
      </c>
    </row>
    <row r="2700" spans="1:2">
      <c r="A2700" s="127">
        <v>2157103</v>
      </c>
      <c r="B2700" s="125" t="s">
        <v>198</v>
      </c>
    </row>
    <row r="2701" spans="1:2">
      <c r="A2701" s="127">
        <v>2157200</v>
      </c>
      <c r="B2701" s="125" t="s">
        <v>261</v>
      </c>
    </row>
    <row r="2702" spans="1:2">
      <c r="A2702" s="127">
        <v>2157201</v>
      </c>
      <c r="B2702" s="125" t="s">
        <v>651</v>
      </c>
    </row>
    <row r="2703" spans="1:2">
      <c r="A2703" s="127">
        <v>2157202</v>
      </c>
      <c r="B2703" s="125" t="s">
        <v>652</v>
      </c>
    </row>
    <row r="2704" spans="1:2">
      <c r="A2704" s="127">
        <v>2157203</v>
      </c>
      <c r="B2704" s="125" t="s">
        <v>595</v>
      </c>
    </row>
    <row r="2705" spans="1:2">
      <c r="A2705" s="127">
        <v>2157600</v>
      </c>
      <c r="B2705" s="125" t="s">
        <v>1130</v>
      </c>
    </row>
    <row r="2706" spans="1:2">
      <c r="A2706" s="127">
        <v>2159900</v>
      </c>
      <c r="B2706" s="125" t="s">
        <v>81</v>
      </c>
    </row>
    <row r="2707" spans="1:2">
      <c r="A2707" s="127">
        <v>2160000</v>
      </c>
      <c r="B2707" s="125" t="s">
        <v>956</v>
      </c>
    </row>
    <row r="2708" spans="1:2">
      <c r="A2708" s="127">
        <v>2166700</v>
      </c>
      <c r="B2708" s="125" t="s">
        <v>77</v>
      </c>
    </row>
    <row r="2709" spans="1:2">
      <c r="A2709" s="127">
        <v>2167100</v>
      </c>
      <c r="B2709" s="125" t="s">
        <v>910</v>
      </c>
    </row>
    <row r="2710" spans="1:2">
      <c r="A2710" s="127">
        <v>2167101</v>
      </c>
      <c r="B2710" s="125" t="s">
        <v>313</v>
      </c>
    </row>
    <row r="2711" spans="1:2">
      <c r="A2711" s="127">
        <v>2167102</v>
      </c>
      <c r="B2711" s="125" t="s">
        <v>197</v>
      </c>
    </row>
    <row r="2712" spans="1:2">
      <c r="A2712" s="127">
        <v>2167103</v>
      </c>
      <c r="B2712" s="125" t="s">
        <v>198</v>
      </c>
    </row>
    <row r="2713" spans="1:2">
      <c r="A2713" s="127">
        <v>2167200</v>
      </c>
      <c r="B2713" s="125" t="s">
        <v>261</v>
      </c>
    </row>
    <row r="2714" spans="1:2">
      <c r="A2714" s="127">
        <v>2167201</v>
      </c>
      <c r="B2714" s="125" t="s">
        <v>651</v>
      </c>
    </row>
    <row r="2715" spans="1:2">
      <c r="A2715" s="127">
        <v>2167202</v>
      </c>
      <c r="B2715" s="125" t="s">
        <v>652</v>
      </c>
    </row>
    <row r="2716" spans="1:2">
      <c r="A2716" s="127">
        <v>2167203</v>
      </c>
      <c r="B2716" s="125" t="s">
        <v>595</v>
      </c>
    </row>
    <row r="2717" spans="1:2">
      <c r="A2717" s="127">
        <v>2170000</v>
      </c>
      <c r="B2717" s="125" t="s">
        <v>957</v>
      </c>
    </row>
    <row r="2718" spans="1:2">
      <c r="A2718" s="127">
        <v>2180000</v>
      </c>
      <c r="B2718" s="125" t="s">
        <v>1053</v>
      </c>
    </row>
    <row r="2719" spans="1:2" ht="26.4">
      <c r="A2719" s="127">
        <v>2180100</v>
      </c>
      <c r="B2719" s="125" t="s">
        <v>1691</v>
      </c>
    </row>
    <row r="2720" spans="1:2">
      <c r="A2720" s="127">
        <v>2180200</v>
      </c>
      <c r="B2720" s="125" t="s">
        <v>634</v>
      </c>
    </row>
    <row r="2721" spans="1:2" ht="26.4">
      <c r="A2721" s="127">
        <v>2180300</v>
      </c>
      <c r="B2721" s="125" t="s">
        <v>958</v>
      </c>
    </row>
    <row r="2722" spans="1:2">
      <c r="A2722" s="127">
        <v>2190000</v>
      </c>
      <c r="B2722" s="125" t="s">
        <v>1054</v>
      </c>
    </row>
    <row r="2723" spans="1:2">
      <c r="A2723" s="127">
        <v>2190100</v>
      </c>
      <c r="B2723" s="125" t="s">
        <v>581</v>
      </c>
    </row>
    <row r="2724" spans="1:2">
      <c r="A2724" s="127">
        <v>2200000</v>
      </c>
      <c r="B2724" s="125" t="s">
        <v>329</v>
      </c>
    </row>
    <row r="2725" spans="1:2">
      <c r="A2725" s="127">
        <v>2200100</v>
      </c>
      <c r="B2725" s="125" t="s">
        <v>582</v>
      </c>
    </row>
    <row r="2726" spans="1:2">
      <c r="A2726" s="127">
        <v>2200200</v>
      </c>
      <c r="B2726" s="125" t="s">
        <v>303</v>
      </c>
    </row>
    <row r="2727" spans="1:2">
      <c r="A2727" s="127">
        <v>2200300</v>
      </c>
      <c r="B2727" s="125" t="s">
        <v>670</v>
      </c>
    </row>
    <row r="2728" spans="1:2">
      <c r="A2728" s="127">
        <v>2200400</v>
      </c>
      <c r="B2728" s="125" t="s">
        <v>671</v>
      </c>
    </row>
    <row r="2729" spans="1:2">
      <c r="A2729" s="127">
        <v>2200500</v>
      </c>
      <c r="B2729" s="125" t="s">
        <v>959</v>
      </c>
    </row>
    <row r="2730" spans="1:2">
      <c r="A2730" s="127">
        <v>2200600</v>
      </c>
      <c r="B2730" s="125" t="s">
        <v>1513</v>
      </c>
    </row>
    <row r="2731" spans="1:2">
      <c r="A2731" s="127">
        <v>2210000</v>
      </c>
      <c r="B2731" s="125" t="s">
        <v>1466</v>
      </c>
    </row>
    <row r="2732" spans="1:2">
      <c r="A2732" s="127">
        <v>2210100</v>
      </c>
      <c r="B2732" s="125" t="s">
        <v>1320</v>
      </c>
    </row>
    <row r="2733" spans="1:2">
      <c r="A2733" s="127">
        <v>2219900</v>
      </c>
      <c r="B2733" s="125" t="s">
        <v>81</v>
      </c>
    </row>
    <row r="2734" spans="1:2" ht="26.4">
      <c r="A2734" s="127">
        <v>2220000</v>
      </c>
      <c r="B2734" s="125" t="s">
        <v>1321</v>
      </c>
    </row>
    <row r="2735" spans="1:2">
      <c r="A2735" s="127">
        <v>2220100</v>
      </c>
      <c r="B2735" s="125" t="s">
        <v>688</v>
      </c>
    </row>
    <row r="2736" spans="1:2" ht="26.4">
      <c r="A2736" s="127">
        <v>2220200</v>
      </c>
      <c r="B2736" s="125" t="s">
        <v>240</v>
      </c>
    </row>
    <row r="2737" spans="1:2" ht="26.4">
      <c r="A2737" s="127">
        <v>2220300</v>
      </c>
      <c r="B2737" s="125" t="s">
        <v>1514</v>
      </c>
    </row>
    <row r="2738" spans="1:2">
      <c r="A2738" s="127">
        <v>2230000</v>
      </c>
      <c r="B2738" s="125" t="s">
        <v>734</v>
      </c>
    </row>
    <row r="2739" spans="1:2">
      <c r="A2739" s="127">
        <v>2230100</v>
      </c>
      <c r="B2739" s="125" t="s">
        <v>1400</v>
      </c>
    </row>
    <row r="2740" spans="1:2" ht="26.4">
      <c r="A2740" s="127">
        <v>2240000</v>
      </c>
      <c r="B2740" s="125" t="s">
        <v>1781</v>
      </c>
    </row>
    <row r="2741" spans="1:2">
      <c r="A2741" s="127">
        <v>2240100</v>
      </c>
      <c r="B2741" s="125" t="s">
        <v>1515</v>
      </c>
    </row>
    <row r="2742" spans="1:2">
      <c r="A2742" s="127">
        <v>2240200</v>
      </c>
      <c r="B2742" s="125" t="s">
        <v>1516</v>
      </c>
    </row>
    <row r="2743" spans="1:2">
      <c r="A2743" s="127">
        <v>2240300</v>
      </c>
      <c r="B2743" s="125" t="s">
        <v>1517</v>
      </c>
    </row>
    <row r="2744" spans="1:2">
      <c r="A2744" s="127">
        <v>2400000</v>
      </c>
      <c r="B2744" s="125" t="s">
        <v>1518</v>
      </c>
    </row>
    <row r="2745" spans="1:2">
      <c r="A2745" s="127">
        <v>2400100</v>
      </c>
      <c r="B2745" s="125" t="s">
        <v>1519</v>
      </c>
    </row>
    <row r="2746" spans="1:2">
      <c r="A2746" s="127">
        <v>2400101</v>
      </c>
      <c r="B2746" s="125" t="s">
        <v>2031</v>
      </c>
    </row>
    <row r="2747" spans="1:2">
      <c r="A2747" s="127">
        <v>2470000</v>
      </c>
      <c r="B2747" s="125" t="s">
        <v>1394</v>
      </c>
    </row>
    <row r="2748" spans="1:2" ht="26.4">
      <c r="A2748" s="127">
        <v>2470100</v>
      </c>
      <c r="B2748" s="125" t="s">
        <v>905</v>
      </c>
    </row>
    <row r="2749" spans="1:2">
      <c r="A2749" s="127">
        <v>2470200</v>
      </c>
      <c r="B2749" s="125" t="s">
        <v>906</v>
      </c>
    </row>
    <row r="2750" spans="1:2">
      <c r="A2750" s="127">
        <v>2470700</v>
      </c>
      <c r="B2750" s="125" t="s">
        <v>904</v>
      </c>
    </row>
    <row r="2751" spans="1:2">
      <c r="A2751" s="127">
        <v>2476300</v>
      </c>
      <c r="B2751" s="125" t="s">
        <v>939</v>
      </c>
    </row>
    <row r="2752" spans="1:2">
      <c r="A2752" s="127">
        <v>2476500</v>
      </c>
      <c r="B2752" s="125" t="s">
        <v>316</v>
      </c>
    </row>
    <row r="2753" spans="1:2">
      <c r="A2753" s="127">
        <v>2476600</v>
      </c>
      <c r="B2753" s="125" t="s">
        <v>444</v>
      </c>
    </row>
    <row r="2754" spans="1:2">
      <c r="A2754" s="127">
        <v>2476700</v>
      </c>
      <c r="B2754" s="125" t="s">
        <v>77</v>
      </c>
    </row>
    <row r="2755" spans="1:2">
      <c r="A2755" s="127">
        <v>2479900</v>
      </c>
      <c r="B2755" s="125" t="s">
        <v>81</v>
      </c>
    </row>
    <row r="2756" spans="1:2">
      <c r="A2756" s="127">
        <v>2480000</v>
      </c>
      <c r="B2756" s="125" t="s">
        <v>498</v>
      </c>
    </row>
    <row r="2757" spans="1:2">
      <c r="A2757" s="127">
        <v>2480100</v>
      </c>
      <c r="B2757" s="125" t="s">
        <v>907</v>
      </c>
    </row>
    <row r="2758" spans="1:2" ht="26.4">
      <c r="A2758" s="127">
        <v>2480200</v>
      </c>
      <c r="B2758" s="125" t="s">
        <v>1127</v>
      </c>
    </row>
    <row r="2759" spans="1:2">
      <c r="A2759" s="127">
        <v>2480300</v>
      </c>
      <c r="B2759" s="125" t="s">
        <v>205</v>
      </c>
    </row>
    <row r="2760" spans="1:2" ht="66">
      <c r="A2760" s="127">
        <v>2480400</v>
      </c>
      <c r="B2760" s="126" t="s">
        <v>2032</v>
      </c>
    </row>
    <row r="2761" spans="1:2">
      <c r="A2761" s="127">
        <v>2488300</v>
      </c>
      <c r="B2761" s="125" t="s">
        <v>206</v>
      </c>
    </row>
    <row r="2762" spans="1:2">
      <c r="A2762" s="127">
        <v>2490000</v>
      </c>
      <c r="B2762" s="125" t="s">
        <v>602</v>
      </c>
    </row>
    <row r="2763" spans="1:2" ht="26.4">
      <c r="A2763" s="127">
        <v>2490100</v>
      </c>
      <c r="B2763" s="125" t="s">
        <v>2033</v>
      </c>
    </row>
    <row r="2764" spans="1:2">
      <c r="A2764" s="127">
        <v>2490200</v>
      </c>
      <c r="B2764" s="125" t="s">
        <v>2034</v>
      </c>
    </row>
    <row r="2765" spans="1:2">
      <c r="A2765" s="127">
        <v>2500000</v>
      </c>
      <c r="B2765" s="125" t="s">
        <v>603</v>
      </c>
    </row>
    <row r="2766" spans="1:2">
      <c r="A2766" s="127">
        <v>2500100</v>
      </c>
      <c r="B2766" s="125" t="s">
        <v>1546</v>
      </c>
    </row>
    <row r="2767" spans="1:2">
      <c r="A2767" s="127">
        <v>2510000</v>
      </c>
      <c r="B2767" s="125" t="s">
        <v>604</v>
      </c>
    </row>
    <row r="2768" spans="1:2">
      <c r="A2768" s="127">
        <v>2519900</v>
      </c>
      <c r="B2768" s="125" t="s">
        <v>81</v>
      </c>
    </row>
    <row r="2769" spans="1:2">
      <c r="A2769" s="127">
        <v>2520000</v>
      </c>
      <c r="B2769" s="125" t="s">
        <v>2035</v>
      </c>
    </row>
    <row r="2770" spans="1:2">
      <c r="A2770" s="127">
        <v>2529900</v>
      </c>
      <c r="B2770" s="125" t="s">
        <v>81</v>
      </c>
    </row>
    <row r="2771" spans="1:2">
      <c r="A2771" s="127">
        <v>2530000</v>
      </c>
      <c r="B2771" s="125" t="s">
        <v>1195</v>
      </c>
    </row>
    <row r="2772" spans="1:2">
      <c r="A2772" s="127">
        <v>2539900</v>
      </c>
      <c r="B2772" s="125" t="s">
        <v>81</v>
      </c>
    </row>
    <row r="2773" spans="1:2">
      <c r="A2773" s="127">
        <v>2540000</v>
      </c>
      <c r="B2773" s="125" t="s">
        <v>2036</v>
      </c>
    </row>
    <row r="2774" spans="1:2" ht="26.4">
      <c r="A2774" s="127">
        <v>2540100</v>
      </c>
      <c r="B2774" s="125" t="s">
        <v>2037</v>
      </c>
    </row>
    <row r="2775" spans="1:2">
      <c r="A2775" s="127">
        <v>2600000</v>
      </c>
      <c r="B2775" s="125" t="s">
        <v>583</v>
      </c>
    </row>
    <row r="2776" spans="1:2" ht="66">
      <c r="A2776" s="127">
        <v>2600100</v>
      </c>
      <c r="B2776" s="126" t="s">
        <v>451</v>
      </c>
    </row>
    <row r="2777" spans="1:2" ht="52.8">
      <c r="A2777" s="127">
        <v>2600200</v>
      </c>
      <c r="B2777" s="126" t="s">
        <v>962</v>
      </c>
    </row>
    <row r="2778" spans="1:2" ht="39.6">
      <c r="A2778" s="127">
        <v>2600300</v>
      </c>
      <c r="B2778" s="126" t="s">
        <v>2038</v>
      </c>
    </row>
    <row r="2779" spans="1:2">
      <c r="A2779" s="127">
        <v>2600400</v>
      </c>
      <c r="B2779" s="125" t="s">
        <v>963</v>
      </c>
    </row>
    <row r="2780" spans="1:2" ht="52.8">
      <c r="A2780" s="127">
        <v>2600500</v>
      </c>
      <c r="B2780" s="126" t="s">
        <v>365</v>
      </c>
    </row>
    <row r="2781" spans="1:2">
      <c r="A2781" s="127">
        <v>2600600</v>
      </c>
      <c r="B2781" s="125" t="s">
        <v>686</v>
      </c>
    </row>
    <row r="2782" spans="1:2">
      <c r="A2782" s="127">
        <v>2600700</v>
      </c>
      <c r="B2782" s="125" t="s">
        <v>1403</v>
      </c>
    </row>
    <row r="2783" spans="1:2">
      <c r="A2783" s="127">
        <v>2600800</v>
      </c>
      <c r="B2783" s="125" t="s">
        <v>961</v>
      </c>
    </row>
    <row r="2784" spans="1:2">
      <c r="A2784" s="127">
        <v>2600900</v>
      </c>
      <c r="B2784" s="125" t="s">
        <v>1520</v>
      </c>
    </row>
    <row r="2785" spans="1:2">
      <c r="A2785" s="127">
        <v>2601000</v>
      </c>
      <c r="B2785" s="125" t="s">
        <v>691</v>
      </c>
    </row>
    <row r="2786" spans="1:2" ht="26.4">
      <c r="A2786" s="127">
        <v>2601100</v>
      </c>
      <c r="B2786" s="125" t="s">
        <v>808</v>
      </c>
    </row>
    <row r="2787" spans="1:2">
      <c r="A2787" s="127">
        <v>2601200</v>
      </c>
      <c r="B2787" s="125" t="s">
        <v>809</v>
      </c>
    </row>
    <row r="2788" spans="1:2">
      <c r="A2788" s="127">
        <v>2601300</v>
      </c>
      <c r="B2788" s="125" t="s">
        <v>810</v>
      </c>
    </row>
    <row r="2789" spans="1:2" ht="66">
      <c r="A2789" s="127">
        <v>2601400</v>
      </c>
      <c r="B2789" s="126" t="s">
        <v>988</v>
      </c>
    </row>
    <row r="2790" spans="1:2" ht="66">
      <c r="A2790" s="127">
        <v>2601500</v>
      </c>
      <c r="B2790" s="126" t="s">
        <v>2039</v>
      </c>
    </row>
    <row r="2791" spans="1:2" ht="26.4">
      <c r="A2791" s="127">
        <v>2602400</v>
      </c>
      <c r="B2791" s="125" t="s">
        <v>2040</v>
      </c>
    </row>
    <row r="2792" spans="1:2" ht="26.4">
      <c r="A2792" s="127">
        <v>2610000</v>
      </c>
      <c r="B2792" s="125" t="s">
        <v>2041</v>
      </c>
    </row>
    <row r="2793" spans="1:2">
      <c r="A2793" s="127">
        <v>2619900</v>
      </c>
      <c r="B2793" s="125" t="s">
        <v>81</v>
      </c>
    </row>
    <row r="2794" spans="1:2">
      <c r="A2794" s="127">
        <v>2620000</v>
      </c>
      <c r="B2794" s="125" t="s">
        <v>1597</v>
      </c>
    </row>
    <row r="2795" spans="1:2" ht="26.4">
      <c r="A2795" s="127">
        <v>2620100</v>
      </c>
      <c r="B2795" s="125" t="s">
        <v>2042</v>
      </c>
    </row>
    <row r="2796" spans="1:2">
      <c r="A2796" s="127">
        <v>2620200</v>
      </c>
      <c r="B2796" s="125" t="s">
        <v>363</v>
      </c>
    </row>
    <row r="2797" spans="1:2">
      <c r="A2797" s="127">
        <v>2630000</v>
      </c>
      <c r="B2797" s="125" t="s">
        <v>476</v>
      </c>
    </row>
    <row r="2798" spans="1:2">
      <c r="A2798" s="127">
        <v>2639900</v>
      </c>
      <c r="B2798" s="125" t="s">
        <v>81</v>
      </c>
    </row>
    <row r="2799" spans="1:2">
      <c r="A2799" s="127">
        <v>2640000</v>
      </c>
      <c r="B2799" s="125" t="s">
        <v>364</v>
      </c>
    </row>
    <row r="2800" spans="1:2">
      <c r="A2800" s="127">
        <v>2640100</v>
      </c>
      <c r="B2800" s="125" t="s">
        <v>2043</v>
      </c>
    </row>
    <row r="2801" spans="1:2" ht="26.4">
      <c r="A2801" s="127">
        <v>2640200</v>
      </c>
      <c r="B2801" s="125" t="s">
        <v>2044</v>
      </c>
    </row>
    <row r="2802" spans="1:2">
      <c r="A2802" s="127">
        <v>2649900</v>
      </c>
      <c r="B2802" s="125" t="s">
        <v>81</v>
      </c>
    </row>
    <row r="2803" spans="1:2">
      <c r="A2803" s="127">
        <v>2650000</v>
      </c>
      <c r="B2803" s="125" t="s">
        <v>2045</v>
      </c>
    </row>
    <row r="2804" spans="1:2">
      <c r="A2804" s="127">
        <v>2659900</v>
      </c>
      <c r="B2804" s="125" t="s">
        <v>81</v>
      </c>
    </row>
    <row r="2805" spans="1:2" ht="26.4">
      <c r="A2805" s="127">
        <v>2660000</v>
      </c>
      <c r="B2805" s="125" t="s">
        <v>2046</v>
      </c>
    </row>
    <row r="2806" spans="1:2">
      <c r="A2806" s="127">
        <v>2669900</v>
      </c>
      <c r="B2806" s="125" t="s">
        <v>81</v>
      </c>
    </row>
    <row r="2807" spans="1:2" ht="26.4">
      <c r="A2807" s="127">
        <v>2670000</v>
      </c>
      <c r="B2807" s="125" t="s">
        <v>2047</v>
      </c>
    </row>
    <row r="2808" spans="1:2">
      <c r="A2808" s="127">
        <v>2670100</v>
      </c>
      <c r="B2808" s="125" t="s">
        <v>947</v>
      </c>
    </row>
    <row r="2809" spans="1:2" ht="26.4">
      <c r="A2809" s="127">
        <v>2670400</v>
      </c>
      <c r="B2809" s="125" t="s">
        <v>2048</v>
      </c>
    </row>
    <row r="2810" spans="1:2">
      <c r="A2810" s="127">
        <v>2670402</v>
      </c>
      <c r="B2810" s="125" t="s">
        <v>963</v>
      </c>
    </row>
    <row r="2811" spans="1:2">
      <c r="A2811" s="127">
        <v>2670403</v>
      </c>
      <c r="B2811" s="125" t="s">
        <v>991</v>
      </c>
    </row>
    <row r="2812" spans="1:2">
      <c r="A2812" s="127">
        <v>2670500</v>
      </c>
      <c r="B2812" s="125" t="s">
        <v>992</v>
      </c>
    </row>
    <row r="2813" spans="1:2" ht="52.8">
      <c r="A2813" s="127">
        <v>2670501</v>
      </c>
      <c r="B2813" s="126" t="s">
        <v>993</v>
      </c>
    </row>
    <row r="2814" spans="1:2">
      <c r="A2814" s="127">
        <v>2670502</v>
      </c>
      <c r="B2814" s="125" t="s">
        <v>994</v>
      </c>
    </row>
    <row r="2815" spans="1:2">
      <c r="A2815" s="127">
        <v>2670503</v>
      </c>
      <c r="B2815" s="125" t="s">
        <v>995</v>
      </c>
    </row>
    <row r="2816" spans="1:2" ht="26.4">
      <c r="A2816" s="127">
        <v>2670504</v>
      </c>
      <c r="B2816" s="125" t="s">
        <v>996</v>
      </c>
    </row>
    <row r="2817" spans="1:2">
      <c r="A2817" s="127">
        <v>2670505</v>
      </c>
      <c r="B2817" s="125" t="s">
        <v>997</v>
      </c>
    </row>
    <row r="2818" spans="1:2">
      <c r="A2818" s="127">
        <v>2670506</v>
      </c>
      <c r="B2818" s="125" t="s">
        <v>998</v>
      </c>
    </row>
    <row r="2819" spans="1:2" ht="26.4">
      <c r="A2819" s="127">
        <v>2670507</v>
      </c>
      <c r="B2819" s="125" t="s">
        <v>999</v>
      </c>
    </row>
    <row r="2820" spans="1:2">
      <c r="A2820" s="127">
        <v>2670508</v>
      </c>
      <c r="B2820" s="125" t="s">
        <v>389</v>
      </c>
    </row>
    <row r="2821" spans="1:2">
      <c r="A2821" s="127">
        <v>2670509</v>
      </c>
      <c r="B2821" s="125" t="s">
        <v>390</v>
      </c>
    </row>
    <row r="2822" spans="1:2" ht="66">
      <c r="A2822" s="127">
        <v>2670510</v>
      </c>
      <c r="B2822" s="126" t="s">
        <v>1009</v>
      </c>
    </row>
    <row r="2823" spans="1:2">
      <c r="A2823" s="127">
        <v>2670511</v>
      </c>
      <c r="B2823" s="125" t="s">
        <v>424</v>
      </c>
    </row>
    <row r="2824" spans="1:2" ht="66">
      <c r="A2824" s="127">
        <v>2670513</v>
      </c>
      <c r="B2824" s="126" t="s">
        <v>425</v>
      </c>
    </row>
    <row r="2825" spans="1:2">
      <c r="A2825" s="127">
        <v>2670514</v>
      </c>
      <c r="B2825" s="125" t="s">
        <v>426</v>
      </c>
    </row>
    <row r="2826" spans="1:2">
      <c r="A2826" s="127">
        <v>2670515</v>
      </c>
      <c r="B2826" s="125" t="s">
        <v>427</v>
      </c>
    </row>
    <row r="2827" spans="1:2" ht="26.4">
      <c r="A2827" s="127">
        <v>2670600</v>
      </c>
      <c r="B2827" s="125" t="s">
        <v>428</v>
      </c>
    </row>
    <row r="2828" spans="1:2">
      <c r="A2828" s="127">
        <v>2700000</v>
      </c>
      <c r="B2828" s="125" t="s">
        <v>388</v>
      </c>
    </row>
    <row r="2829" spans="1:2">
      <c r="A2829" s="127">
        <v>2700100</v>
      </c>
      <c r="B2829" s="125" t="s">
        <v>948</v>
      </c>
    </row>
    <row r="2830" spans="1:2">
      <c r="A2830" s="127">
        <v>2700200</v>
      </c>
      <c r="B2830" s="125" t="s">
        <v>278</v>
      </c>
    </row>
    <row r="2831" spans="1:2">
      <c r="A2831" s="127">
        <v>2700300</v>
      </c>
      <c r="B2831" s="125" t="s">
        <v>429</v>
      </c>
    </row>
    <row r="2832" spans="1:2">
      <c r="A2832" s="127">
        <v>2700400</v>
      </c>
      <c r="B2832" s="125" t="s">
        <v>332</v>
      </c>
    </row>
    <row r="2833" spans="1:2" ht="39.6">
      <c r="A2833" s="127">
        <v>2700500</v>
      </c>
      <c r="B2833" s="126" t="s">
        <v>430</v>
      </c>
    </row>
    <row r="2834" spans="1:2" ht="39.6">
      <c r="A2834" s="127">
        <v>2700600</v>
      </c>
      <c r="B2834" s="126" t="s">
        <v>1029</v>
      </c>
    </row>
    <row r="2835" spans="1:2" ht="39.6">
      <c r="A2835" s="127">
        <v>2700700</v>
      </c>
      <c r="B2835" s="126" t="s">
        <v>1030</v>
      </c>
    </row>
    <row r="2836" spans="1:2">
      <c r="A2836" s="127">
        <v>2710000</v>
      </c>
      <c r="B2836" s="125" t="s">
        <v>1627</v>
      </c>
    </row>
    <row r="2837" spans="1:2">
      <c r="A2837" s="127">
        <v>2710100</v>
      </c>
      <c r="B2837" s="125" t="s">
        <v>217</v>
      </c>
    </row>
    <row r="2838" spans="1:2">
      <c r="A2838" s="127">
        <v>2719900</v>
      </c>
      <c r="B2838" s="125" t="s">
        <v>81</v>
      </c>
    </row>
    <row r="2839" spans="1:2">
      <c r="A2839" s="127">
        <v>2800000</v>
      </c>
      <c r="B2839" s="125" t="s">
        <v>1628</v>
      </c>
    </row>
    <row r="2840" spans="1:2">
      <c r="A2840" s="127">
        <v>2800100</v>
      </c>
      <c r="B2840" s="125" t="s">
        <v>644</v>
      </c>
    </row>
    <row r="2841" spans="1:2">
      <c r="A2841" s="127">
        <v>2800200</v>
      </c>
      <c r="B2841" s="125" t="s">
        <v>826</v>
      </c>
    </row>
    <row r="2842" spans="1:2" ht="26.4">
      <c r="A2842" s="127">
        <v>2800300</v>
      </c>
      <c r="B2842" s="125" t="s">
        <v>1945</v>
      </c>
    </row>
    <row r="2843" spans="1:2">
      <c r="A2843" s="127">
        <v>2800400</v>
      </c>
      <c r="B2843" s="125" t="s">
        <v>1397</v>
      </c>
    </row>
    <row r="2844" spans="1:2">
      <c r="A2844" s="127">
        <v>2800500</v>
      </c>
      <c r="B2844" s="125" t="s">
        <v>1031</v>
      </c>
    </row>
    <row r="2845" spans="1:2">
      <c r="A2845" s="127">
        <v>2810000</v>
      </c>
      <c r="B2845" s="125" t="s">
        <v>283</v>
      </c>
    </row>
    <row r="2846" spans="1:2">
      <c r="A2846" s="127">
        <v>2819900</v>
      </c>
      <c r="B2846" s="125" t="s">
        <v>81</v>
      </c>
    </row>
    <row r="2847" spans="1:2">
      <c r="A2847" s="127">
        <v>2910000</v>
      </c>
      <c r="B2847" s="125" t="s">
        <v>12</v>
      </c>
    </row>
    <row r="2848" spans="1:2">
      <c r="A2848" s="127">
        <v>2919900</v>
      </c>
      <c r="B2848" s="125" t="s">
        <v>81</v>
      </c>
    </row>
    <row r="2849" spans="1:2">
      <c r="A2849" s="127">
        <v>2920000</v>
      </c>
      <c r="B2849" s="125" t="s">
        <v>13</v>
      </c>
    </row>
    <row r="2850" spans="1:2">
      <c r="A2850" s="127">
        <v>2920100</v>
      </c>
      <c r="B2850" s="125" t="s">
        <v>1194</v>
      </c>
    </row>
    <row r="2851" spans="1:2">
      <c r="A2851" s="127">
        <v>2920200</v>
      </c>
      <c r="B2851" s="125" t="s">
        <v>1592</v>
      </c>
    </row>
    <row r="2852" spans="1:2">
      <c r="A2852" s="127">
        <v>3000000</v>
      </c>
      <c r="B2852" s="125" t="s">
        <v>1552</v>
      </c>
    </row>
    <row r="2853" spans="1:2">
      <c r="A2853" s="127">
        <v>3000100</v>
      </c>
      <c r="B2853" s="125" t="s">
        <v>892</v>
      </c>
    </row>
    <row r="2854" spans="1:2">
      <c r="A2854" s="127">
        <v>3000101</v>
      </c>
      <c r="B2854" s="125" t="s">
        <v>439</v>
      </c>
    </row>
    <row r="2855" spans="1:2">
      <c r="A2855" s="127">
        <v>3000102</v>
      </c>
      <c r="B2855" s="125" t="s">
        <v>117</v>
      </c>
    </row>
    <row r="2856" spans="1:2" ht="39.6">
      <c r="A2856" s="127">
        <v>3000103</v>
      </c>
      <c r="B2856" s="125" t="s">
        <v>1593</v>
      </c>
    </row>
    <row r="2857" spans="1:2" ht="26.4">
      <c r="A2857" s="127">
        <v>3000104</v>
      </c>
      <c r="B2857" s="125" t="s">
        <v>1851</v>
      </c>
    </row>
    <row r="2858" spans="1:2">
      <c r="A2858" s="127">
        <v>3000105</v>
      </c>
      <c r="B2858" s="125" t="s">
        <v>1852</v>
      </c>
    </row>
    <row r="2859" spans="1:2">
      <c r="A2859" s="127">
        <v>3000200</v>
      </c>
      <c r="B2859" s="125" t="s">
        <v>118</v>
      </c>
    </row>
    <row r="2860" spans="1:2">
      <c r="A2860" s="127">
        <v>3000201</v>
      </c>
      <c r="B2860" s="125" t="s">
        <v>66</v>
      </c>
    </row>
    <row r="2861" spans="1:2">
      <c r="A2861" s="127">
        <v>3000202</v>
      </c>
      <c r="B2861" s="125" t="s">
        <v>1853</v>
      </c>
    </row>
    <row r="2862" spans="1:2" ht="52.8">
      <c r="A2862" s="127">
        <v>3000203</v>
      </c>
      <c r="B2862" s="126" t="s">
        <v>1039</v>
      </c>
    </row>
    <row r="2863" spans="1:2">
      <c r="A2863" s="127">
        <v>3000204</v>
      </c>
      <c r="B2863" s="125" t="s">
        <v>1854</v>
      </c>
    </row>
    <row r="2864" spans="1:2" ht="26.4">
      <c r="A2864" s="127">
        <v>3000205</v>
      </c>
      <c r="B2864" s="125" t="s">
        <v>1855</v>
      </c>
    </row>
    <row r="2865" spans="1:2" ht="39.6">
      <c r="A2865" s="127">
        <v>3000206</v>
      </c>
      <c r="B2865" s="125" t="s">
        <v>1971</v>
      </c>
    </row>
    <row r="2866" spans="1:2" ht="39.6">
      <c r="A2866" s="127">
        <v>3000207</v>
      </c>
      <c r="B2866" s="126" t="s">
        <v>1856</v>
      </c>
    </row>
    <row r="2867" spans="1:2" ht="26.4">
      <c r="A2867" s="127">
        <v>3000208</v>
      </c>
      <c r="B2867" s="125" t="s">
        <v>1857</v>
      </c>
    </row>
    <row r="2868" spans="1:2" ht="26.4">
      <c r="A2868" s="127">
        <v>3000209</v>
      </c>
      <c r="B2868" s="125" t="s">
        <v>421</v>
      </c>
    </row>
    <row r="2869" spans="1:2" ht="26.4">
      <c r="A2869" s="127">
        <v>3000300</v>
      </c>
      <c r="B2869" s="125" t="s">
        <v>422</v>
      </c>
    </row>
    <row r="2870" spans="1:2">
      <c r="A2870" s="127">
        <v>3010000</v>
      </c>
      <c r="B2870" s="125" t="s">
        <v>1040</v>
      </c>
    </row>
    <row r="2871" spans="1:2">
      <c r="A2871" s="127">
        <v>3010100</v>
      </c>
      <c r="B2871" s="125" t="s">
        <v>1041</v>
      </c>
    </row>
    <row r="2872" spans="1:2">
      <c r="A2872" s="127">
        <v>3010101</v>
      </c>
      <c r="B2872" s="125" t="s">
        <v>1042</v>
      </c>
    </row>
    <row r="2873" spans="1:2">
      <c r="A2873" s="127">
        <v>3010200</v>
      </c>
      <c r="B2873" s="125" t="s">
        <v>646</v>
      </c>
    </row>
    <row r="2874" spans="1:2">
      <c r="A2874" s="127">
        <v>3010201</v>
      </c>
      <c r="B2874" s="125" t="s">
        <v>1335</v>
      </c>
    </row>
    <row r="2875" spans="1:2">
      <c r="A2875" s="127">
        <v>3010202</v>
      </c>
      <c r="B2875" s="125" t="s">
        <v>950</v>
      </c>
    </row>
    <row r="2876" spans="1:2">
      <c r="A2876" s="127">
        <v>3010300</v>
      </c>
      <c r="B2876" s="125" t="s">
        <v>811</v>
      </c>
    </row>
    <row r="2877" spans="1:2">
      <c r="A2877" s="127">
        <v>3010301</v>
      </c>
      <c r="B2877" s="125" t="s">
        <v>502</v>
      </c>
    </row>
    <row r="2878" spans="1:2">
      <c r="A2878" s="127">
        <v>3010302</v>
      </c>
      <c r="B2878" s="125" t="s">
        <v>309</v>
      </c>
    </row>
    <row r="2879" spans="1:2">
      <c r="A2879" s="127">
        <v>3010303</v>
      </c>
      <c r="B2879" s="125" t="s">
        <v>837</v>
      </c>
    </row>
    <row r="2880" spans="1:2" ht="26.4">
      <c r="A2880" s="127">
        <v>3010304</v>
      </c>
      <c r="B2880" s="125" t="s">
        <v>423</v>
      </c>
    </row>
    <row r="2881" spans="1:2">
      <c r="A2881" s="127">
        <v>3017100</v>
      </c>
      <c r="B2881" s="125" t="s">
        <v>910</v>
      </c>
    </row>
    <row r="2882" spans="1:2">
      <c r="A2882" s="127">
        <v>3017101</v>
      </c>
      <c r="B2882" s="125" t="s">
        <v>313</v>
      </c>
    </row>
    <row r="2883" spans="1:2">
      <c r="A2883" s="127">
        <v>3017102</v>
      </c>
      <c r="B2883" s="125" t="s">
        <v>197</v>
      </c>
    </row>
    <row r="2884" spans="1:2">
      <c r="A2884" s="127">
        <v>3017103</v>
      </c>
      <c r="B2884" s="125" t="s">
        <v>198</v>
      </c>
    </row>
    <row r="2885" spans="1:2">
      <c r="A2885" s="127">
        <v>3017200</v>
      </c>
      <c r="B2885" s="125" t="s">
        <v>261</v>
      </c>
    </row>
    <row r="2886" spans="1:2">
      <c r="A2886" s="127">
        <v>3017201</v>
      </c>
      <c r="B2886" s="125" t="s">
        <v>651</v>
      </c>
    </row>
    <row r="2887" spans="1:2">
      <c r="A2887" s="127">
        <v>3017202</v>
      </c>
      <c r="B2887" s="125" t="s">
        <v>652</v>
      </c>
    </row>
    <row r="2888" spans="1:2">
      <c r="A2888" s="127">
        <v>3017203</v>
      </c>
      <c r="B2888" s="125" t="s">
        <v>595</v>
      </c>
    </row>
    <row r="2889" spans="1:2">
      <c r="A2889" s="127">
        <v>3020000</v>
      </c>
      <c r="B2889" s="125" t="s">
        <v>1335</v>
      </c>
    </row>
    <row r="2890" spans="1:2">
      <c r="A2890" s="127">
        <v>3020100</v>
      </c>
      <c r="B2890" s="125" t="s">
        <v>736</v>
      </c>
    </row>
    <row r="2891" spans="1:2">
      <c r="A2891" s="127">
        <v>3026800</v>
      </c>
      <c r="B2891" s="125" t="s">
        <v>637</v>
      </c>
    </row>
    <row r="2892" spans="1:2">
      <c r="A2892" s="127">
        <v>3026801</v>
      </c>
      <c r="B2892" s="125" t="s">
        <v>406</v>
      </c>
    </row>
    <row r="2893" spans="1:2">
      <c r="A2893" s="127">
        <v>3026802</v>
      </c>
      <c r="B2893" s="125" t="s">
        <v>189</v>
      </c>
    </row>
    <row r="2894" spans="1:2">
      <c r="A2894" s="127">
        <v>3027100</v>
      </c>
      <c r="B2894" s="125" t="s">
        <v>910</v>
      </c>
    </row>
    <row r="2895" spans="1:2">
      <c r="A2895" s="127">
        <v>3027101</v>
      </c>
      <c r="B2895" s="125" t="s">
        <v>313</v>
      </c>
    </row>
    <row r="2896" spans="1:2">
      <c r="A2896" s="127">
        <v>3027102</v>
      </c>
      <c r="B2896" s="125" t="s">
        <v>197</v>
      </c>
    </row>
    <row r="2897" spans="1:2">
      <c r="A2897" s="127">
        <v>3027103</v>
      </c>
      <c r="B2897" s="125" t="s">
        <v>198</v>
      </c>
    </row>
    <row r="2898" spans="1:2">
      <c r="A2898" s="127">
        <v>3027200</v>
      </c>
      <c r="B2898" s="125" t="s">
        <v>261</v>
      </c>
    </row>
    <row r="2899" spans="1:2">
      <c r="A2899" s="127">
        <v>3027201</v>
      </c>
      <c r="B2899" s="125" t="s">
        <v>651</v>
      </c>
    </row>
    <row r="2900" spans="1:2">
      <c r="A2900" s="127">
        <v>3027202</v>
      </c>
      <c r="B2900" s="125" t="s">
        <v>652</v>
      </c>
    </row>
    <row r="2901" spans="1:2">
      <c r="A2901" s="127">
        <v>3027203</v>
      </c>
      <c r="B2901" s="125" t="s">
        <v>595</v>
      </c>
    </row>
    <row r="2902" spans="1:2">
      <c r="A2902" s="127">
        <v>3029900</v>
      </c>
      <c r="B2902" s="125" t="s">
        <v>81</v>
      </c>
    </row>
    <row r="2903" spans="1:2">
      <c r="A2903" s="127">
        <v>3050000</v>
      </c>
      <c r="B2903" s="125" t="s">
        <v>1336</v>
      </c>
    </row>
    <row r="2904" spans="1:2">
      <c r="A2904" s="127">
        <v>3050100</v>
      </c>
      <c r="B2904" s="125" t="s">
        <v>1116</v>
      </c>
    </row>
    <row r="2905" spans="1:2" ht="26.4">
      <c r="A2905" s="127">
        <v>3050101</v>
      </c>
      <c r="B2905" s="125" t="s">
        <v>1392</v>
      </c>
    </row>
    <row r="2906" spans="1:2" ht="39.6">
      <c r="A2906" s="127">
        <v>3050102</v>
      </c>
      <c r="B2906" s="125" t="s">
        <v>186</v>
      </c>
    </row>
    <row r="2907" spans="1:2" ht="39.6">
      <c r="A2907" s="127">
        <v>3050103</v>
      </c>
      <c r="B2907" s="126" t="s">
        <v>0</v>
      </c>
    </row>
    <row r="2908" spans="1:2" ht="39.6">
      <c r="A2908" s="127">
        <v>3050104</v>
      </c>
      <c r="B2908" s="125" t="s">
        <v>431</v>
      </c>
    </row>
    <row r="2909" spans="1:2" ht="66">
      <c r="A2909" s="127">
        <v>3050105</v>
      </c>
      <c r="B2909" s="126" t="s">
        <v>1870</v>
      </c>
    </row>
    <row r="2910" spans="1:2" ht="26.4">
      <c r="A2910" s="127">
        <v>3050106</v>
      </c>
      <c r="B2910" s="125" t="s">
        <v>1639</v>
      </c>
    </row>
    <row r="2911" spans="1:2" ht="52.8">
      <c r="A2911" s="127">
        <v>3050107</v>
      </c>
      <c r="B2911" s="126" t="s">
        <v>1070</v>
      </c>
    </row>
    <row r="2912" spans="1:2" ht="66">
      <c r="A2912" s="127">
        <v>3050108</v>
      </c>
      <c r="B2912" s="126" t="s">
        <v>477</v>
      </c>
    </row>
    <row r="2913" spans="1:2" ht="39.6">
      <c r="A2913" s="127">
        <v>3050112</v>
      </c>
      <c r="B2913" s="125" t="s">
        <v>478</v>
      </c>
    </row>
    <row r="2914" spans="1:2" ht="52.8">
      <c r="A2914" s="127">
        <v>3050113</v>
      </c>
      <c r="B2914" s="126" t="s">
        <v>479</v>
      </c>
    </row>
    <row r="2915" spans="1:2">
      <c r="A2915" s="127">
        <v>3060000</v>
      </c>
      <c r="B2915" s="125" t="s">
        <v>480</v>
      </c>
    </row>
    <row r="2916" spans="1:2" ht="26.4">
      <c r="A2916" s="127">
        <v>3060100</v>
      </c>
      <c r="B2916" s="125" t="s">
        <v>481</v>
      </c>
    </row>
    <row r="2917" spans="1:2" ht="26.4">
      <c r="A2917" s="127">
        <v>3060200</v>
      </c>
      <c r="B2917" s="125" t="s">
        <v>482</v>
      </c>
    </row>
    <row r="2918" spans="1:2" ht="26.4">
      <c r="A2918" s="127">
        <v>3060300</v>
      </c>
      <c r="B2918" s="125" t="s">
        <v>483</v>
      </c>
    </row>
    <row r="2919" spans="1:2" ht="26.4">
      <c r="A2919" s="127">
        <v>3060400</v>
      </c>
      <c r="B2919" s="125" t="s">
        <v>484</v>
      </c>
    </row>
    <row r="2920" spans="1:2">
      <c r="A2920" s="127">
        <v>3100000</v>
      </c>
      <c r="B2920" s="125" t="s">
        <v>80</v>
      </c>
    </row>
    <row r="2921" spans="1:2">
      <c r="A2921" s="127">
        <v>3100100</v>
      </c>
      <c r="B2921" s="125" t="s">
        <v>187</v>
      </c>
    </row>
    <row r="2922" spans="1:2">
      <c r="A2922" s="127">
        <v>3100101</v>
      </c>
      <c r="B2922" s="125" t="s">
        <v>188</v>
      </c>
    </row>
    <row r="2923" spans="1:2">
      <c r="A2923" s="127">
        <v>3150000</v>
      </c>
      <c r="B2923" s="125" t="s">
        <v>387</v>
      </c>
    </row>
    <row r="2924" spans="1:2">
      <c r="A2924" s="127">
        <v>3150100</v>
      </c>
      <c r="B2924" s="125" t="s">
        <v>485</v>
      </c>
    </row>
    <row r="2925" spans="1:2">
      <c r="A2925" s="127">
        <v>3150101</v>
      </c>
      <c r="B2925" s="125" t="s">
        <v>385</v>
      </c>
    </row>
    <row r="2926" spans="1:2">
      <c r="A2926" s="127">
        <v>3150102</v>
      </c>
      <c r="B2926" s="125" t="s">
        <v>486</v>
      </c>
    </row>
    <row r="2927" spans="1:2">
      <c r="A2927" s="127">
        <v>3150200</v>
      </c>
      <c r="B2927" s="125" t="s">
        <v>1677</v>
      </c>
    </row>
    <row r="2928" spans="1:2" ht="26.4">
      <c r="A2928" s="127">
        <v>3150201</v>
      </c>
      <c r="B2928" s="125" t="s">
        <v>487</v>
      </c>
    </row>
    <row r="2929" spans="1:2">
      <c r="A2929" s="127">
        <v>3150202</v>
      </c>
      <c r="B2929" s="125" t="s">
        <v>750</v>
      </c>
    </row>
    <row r="2930" spans="1:2">
      <c r="A2930" s="127">
        <v>3150203</v>
      </c>
      <c r="B2930" s="125" t="s">
        <v>488</v>
      </c>
    </row>
    <row r="2931" spans="1:2" ht="26.4">
      <c r="A2931" s="127">
        <v>3150204</v>
      </c>
      <c r="B2931" s="125" t="s">
        <v>489</v>
      </c>
    </row>
    <row r="2932" spans="1:2" ht="26.4">
      <c r="A2932" s="127">
        <v>3150205</v>
      </c>
      <c r="B2932" s="125" t="s">
        <v>490</v>
      </c>
    </row>
    <row r="2933" spans="1:2" ht="26.4">
      <c r="A2933" s="127">
        <v>3150206</v>
      </c>
      <c r="B2933" s="125" t="s">
        <v>491</v>
      </c>
    </row>
    <row r="2934" spans="1:2">
      <c r="A2934" s="127">
        <v>3150300</v>
      </c>
      <c r="B2934" s="125" t="s">
        <v>751</v>
      </c>
    </row>
    <row r="2935" spans="1:2" ht="26.4">
      <c r="A2935" s="127">
        <v>3150301</v>
      </c>
      <c r="B2935" s="125" t="s">
        <v>1952</v>
      </c>
    </row>
    <row r="2936" spans="1:2" ht="26.4">
      <c r="A2936" s="127">
        <v>3150302</v>
      </c>
      <c r="B2936" s="125" t="s">
        <v>492</v>
      </c>
    </row>
    <row r="2937" spans="1:2">
      <c r="A2937" s="127">
        <v>3170000</v>
      </c>
      <c r="B2937" s="125" t="s">
        <v>1185</v>
      </c>
    </row>
    <row r="2938" spans="1:2">
      <c r="A2938" s="127">
        <v>3170100</v>
      </c>
      <c r="B2938" s="125" t="s">
        <v>1047</v>
      </c>
    </row>
    <row r="2939" spans="1:2" ht="26.4">
      <c r="A2939" s="127">
        <v>3170101</v>
      </c>
      <c r="B2939" s="125" t="s">
        <v>1538</v>
      </c>
    </row>
    <row r="2940" spans="1:2" ht="26.4">
      <c r="A2940" s="127">
        <v>3170110</v>
      </c>
      <c r="B2940" s="125" t="s">
        <v>1467</v>
      </c>
    </row>
    <row r="2941" spans="1:2">
      <c r="A2941" s="127">
        <v>3300000</v>
      </c>
      <c r="B2941" s="125" t="s">
        <v>943</v>
      </c>
    </row>
    <row r="2942" spans="1:2">
      <c r="A2942" s="127">
        <v>3300100</v>
      </c>
      <c r="B2942" s="125" t="s">
        <v>1267</v>
      </c>
    </row>
    <row r="2943" spans="1:2" ht="26.4">
      <c r="A2943" s="127">
        <v>3300101</v>
      </c>
      <c r="B2943" s="125" t="s">
        <v>493</v>
      </c>
    </row>
    <row r="2944" spans="1:2" ht="26.4">
      <c r="A2944" s="127">
        <v>3300102</v>
      </c>
      <c r="B2944" s="125" t="s">
        <v>494</v>
      </c>
    </row>
    <row r="2945" spans="1:2">
      <c r="A2945" s="127">
        <v>3300200</v>
      </c>
      <c r="B2945" s="125" t="s">
        <v>568</v>
      </c>
    </row>
    <row r="2946" spans="1:2">
      <c r="A2946" s="127">
        <v>3300201</v>
      </c>
      <c r="B2946" s="125" t="s">
        <v>569</v>
      </c>
    </row>
    <row r="2947" spans="1:2" ht="26.4">
      <c r="A2947" s="127">
        <v>3300202</v>
      </c>
      <c r="B2947" s="125" t="s">
        <v>238</v>
      </c>
    </row>
    <row r="2948" spans="1:2" ht="26.4">
      <c r="A2948" s="127">
        <v>3300203</v>
      </c>
      <c r="B2948" s="125" t="s">
        <v>1586</v>
      </c>
    </row>
    <row r="2949" spans="1:2">
      <c r="A2949" s="127">
        <v>3300204</v>
      </c>
      <c r="B2949" s="125" t="s">
        <v>1587</v>
      </c>
    </row>
    <row r="2950" spans="1:2">
      <c r="A2950" s="127">
        <v>3300205</v>
      </c>
      <c r="B2950" s="125" t="s">
        <v>1588</v>
      </c>
    </row>
    <row r="2951" spans="1:2">
      <c r="A2951" s="127">
        <v>3300206</v>
      </c>
      <c r="B2951" s="125" t="s">
        <v>239</v>
      </c>
    </row>
    <row r="2952" spans="1:2">
      <c r="A2952" s="127">
        <v>3300207</v>
      </c>
      <c r="B2952" s="125" t="s">
        <v>904</v>
      </c>
    </row>
    <row r="2953" spans="1:2" ht="26.4">
      <c r="A2953" s="127">
        <v>3300208</v>
      </c>
      <c r="B2953" s="125" t="s">
        <v>1899</v>
      </c>
    </row>
    <row r="2954" spans="1:2">
      <c r="A2954" s="127">
        <v>3300300</v>
      </c>
      <c r="B2954" s="125" t="s">
        <v>871</v>
      </c>
    </row>
    <row r="2955" spans="1:2">
      <c r="A2955" s="127">
        <v>3300301</v>
      </c>
      <c r="B2955" s="125" t="s">
        <v>1038</v>
      </c>
    </row>
    <row r="2956" spans="1:2">
      <c r="A2956" s="127">
        <v>3300400</v>
      </c>
      <c r="B2956" s="125" t="s">
        <v>1355</v>
      </c>
    </row>
    <row r="2957" spans="1:2">
      <c r="A2957" s="127">
        <v>3300401</v>
      </c>
      <c r="B2957" s="125" t="s">
        <v>1356</v>
      </c>
    </row>
    <row r="2958" spans="1:2" ht="39.6">
      <c r="A2958" s="127">
        <v>3300402</v>
      </c>
      <c r="B2958" s="125" t="s">
        <v>1357</v>
      </c>
    </row>
    <row r="2959" spans="1:2">
      <c r="A2959" s="127">
        <v>3300600</v>
      </c>
      <c r="B2959" s="125" t="s">
        <v>1358</v>
      </c>
    </row>
    <row r="2960" spans="1:2" ht="26.4">
      <c r="A2960" s="127">
        <v>3300700</v>
      </c>
      <c r="B2960" s="125" t="s">
        <v>1359</v>
      </c>
    </row>
    <row r="2961" spans="1:2">
      <c r="A2961" s="127">
        <v>3308200</v>
      </c>
      <c r="B2961" s="125" t="s">
        <v>1132</v>
      </c>
    </row>
    <row r="2962" spans="1:2">
      <c r="A2962" s="127">
        <v>3309900</v>
      </c>
      <c r="B2962" s="125" t="s">
        <v>81</v>
      </c>
    </row>
    <row r="2963" spans="1:2" ht="26.4">
      <c r="A2963" s="127">
        <v>3350000</v>
      </c>
      <c r="B2963" s="125" t="s">
        <v>944</v>
      </c>
    </row>
    <row r="2964" spans="1:2" ht="26.4">
      <c r="A2964" s="127">
        <v>3350100</v>
      </c>
      <c r="B2964" s="125" t="s">
        <v>328</v>
      </c>
    </row>
    <row r="2965" spans="1:2">
      <c r="A2965" s="127">
        <v>3350200</v>
      </c>
      <c r="B2965" s="125" t="s">
        <v>1400</v>
      </c>
    </row>
    <row r="2966" spans="1:2">
      <c r="A2966" s="127">
        <v>3350300</v>
      </c>
      <c r="B2966" s="125" t="s">
        <v>830</v>
      </c>
    </row>
    <row r="2967" spans="1:2">
      <c r="A2967" s="127">
        <v>3360000</v>
      </c>
      <c r="B2967" s="125" t="s">
        <v>1360</v>
      </c>
    </row>
    <row r="2968" spans="1:2" ht="26.4">
      <c r="A2968" s="127">
        <v>3360100</v>
      </c>
      <c r="B2968" s="125" t="s">
        <v>1361</v>
      </c>
    </row>
    <row r="2969" spans="1:2">
      <c r="A2969" s="127">
        <v>3370000</v>
      </c>
      <c r="B2969" s="125" t="s">
        <v>972</v>
      </c>
    </row>
    <row r="2970" spans="1:2">
      <c r="A2970" s="127">
        <v>3379900</v>
      </c>
      <c r="B2970" s="125" t="s">
        <v>81</v>
      </c>
    </row>
    <row r="2971" spans="1:2">
      <c r="A2971" s="127">
        <v>3390000</v>
      </c>
      <c r="B2971" s="125" t="s">
        <v>1598</v>
      </c>
    </row>
    <row r="2972" spans="1:2">
      <c r="A2972" s="127">
        <v>3399900</v>
      </c>
      <c r="B2972" s="125" t="s">
        <v>81</v>
      </c>
    </row>
    <row r="2973" spans="1:2">
      <c r="A2973" s="127">
        <v>3400000</v>
      </c>
      <c r="B2973" s="125" t="s">
        <v>1599</v>
      </c>
    </row>
    <row r="2974" spans="1:2">
      <c r="A2974" s="127">
        <v>3400100</v>
      </c>
      <c r="B2974" s="125" t="s">
        <v>831</v>
      </c>
    </row>
    <row r="2975" spans="1:2">
      <c r="A2975" s="127">
        <v>3400101</v>
      </c>
      <c r="B2975" s="125" t="s">
        <v>832</v>
      </c>
    </row>
    <row r="2976" spans="1:2">
      <c r="A2976" s="127">
        <v>3400102</v>
      </c>
      <c r="B2976" s="125" t="s">
        <v>1362</v>
      </c>
    </row>
    <row r="2977" spans="1:2">
      <c r="A2977" s="127">
        <v>3400103</v>
      </c>
      <c r="B2977" s="125" t="s">
        <v>833</v>
      </c>
    </row>
    <row r="2978" spans="1:2">
      <c r="A2978" s="127">
        <v>3400104</v>
      </c>
      <c r="B2978" s="125" t="s">
        <v>1363</v>
      </c>
    </row>
    <row r="2979" spans="1:2" ht="26.4">
      <c r="A2979" s="127">
        <v>3400105</v>
      </c>
      <c r="B2979" s="125" t="s">
        <v>543</v>
      </c>
    </row>
    <row r="2980" spans="1:2">
      <c r="A2980" s="127">
        <v>3400106</v>
      </c>
      <c r="B2980" s="125" t="s">
        <v>1125</v>
      </c>
    </row>
    <row r="2981" spans="1:2">
      <c r="A2981" s="127">
        <v>3400200</v>
      </c>
      <c r="B2981" s="125" t="s">
        <v>234</v>
      </c>
    </row>
    <row r="2982" spans="1:2">
      <c r="A2982" s="127">
        <v>3400300</v>
      </c>
      <c r="B2982" s="125" t="s">
        <v>1126</v>
      </c>
    </row>
    <row r="2983" spans="1:2">
      <c r="A2983" s="127">
        <v>3400400</v>
      </c>
      <c r="B2983" s="125" t="s">
        <v>1364</v>
      </c>
    </row>
    <row r="2984" spans="1:2" ht="26.4">
      <c r="A2984" s="127">
        <v>3400500</v>
      </c>
      <c r="B2984" s="125" t="s">
        <v>1201</v>
      </c>
    </row>
    <row r="2985" spans="1:2">
      <c r="A2985" s="127">
        <v>3400600</v>
      </c>
      <c r="B2985" s="125" t="s">
        <v>1693</v>
      </c>
    </row>
    <row r="2986" spans="1:2">
      <c r="A2986" s="127">
        <v>3400700</v>
      </c>
      <c r="B2986" s="125" t="s">
        <v>1365</v>
      </c>
    </row>
    <row r="2987" spans="1:2">
      <c r="A2987" s="127">
        <v>3400701</v>
      </c>
      <c r="B2987" s="125" t="s">
        <v>1366</v>
      </c>
    </row>
    <row r="2988" spans="1:2">
      <c r="A2988" s="127">
        <v>3400702</v>
      </c>
      <c r="B2988" s="125" t="s">
        <v>1367</v>
      </c>
    </row>
    <row r="2989" spans="1:2" ht="26.4">
      <c r="A2989" s="127">
        <v>3400800</v>
      </c>
      <c r="B2989" s="125" t="s">
        <v>1368</v>
      </c>
    </row>
    <row r="2990" spans="1:2" ht="39.6">
      <c r="A2990" s="127">
        <v>3400900</v>
      </c>
      <c r="B2990" s="125" t="s">
        <v>1909</v>
      </c>
    </row>
    <row r="2991" spans="1:2" ht="26.4">
      <c r="A2991" s="127">
        <v>3401000</v>
      </c>
      <c r="B2991" s="125" t="s">
        <v>1910</v>
      </c>
    </row>
    <row r="2992" spans="1:2" ht="26.4">
      <c r="A2992" s="127">
        <v>3401100</v>
      </c>
      <c r="B2992" s="125" t="s">
        <v>1911</v>
      </c>
    </row>
    <row r="2993" spans="1:2">
      <c r="A2993" s="127">
        <v>3401200</v>
      </c>
      <c r="B2993" s="125" t="s">
        <v>1912</v>
      </c>
    </row>
    <row r="2994" spans="1:2" ht="26.4">
      <c r="A2994" s="127">
        <v>3401500</v>
      </c>
      <c r="B2994" s="125" t="s">
        <v>1913</v>
      </c>
    </row>
    <row r="2995" spans="1:2" ht="26.4">
      <c r="A2995" s="127">
        <v>3401600</v>
      </c>
      <c r="B2995" s="125" t="s">
        <v>1914</v>
      </c>
    </row>
    <row r="2996" spans="1:2" ht="26.4">
      <c r="A2996" s="127">
        <v>3401700</v>
      </c>
      <c r="B2996" s="125" t="s">
        <v>1915</v>
      </c>
    </row>
    <row r="2997" spans="1:2" ht="26.4">
      <c r="A2997" s="127">
        <v>3401800</v>
      </c>
      <c r="B2997" s="125" t="s">
        <v>1916</v>
      </c>
    </row>
    <row r="2998" spans="1:2" ht="26.4">
      <c r="A2998" s="127">
        <v>3408000</v>
      </c>
      <c r="B2998" s="125" t="s">
        <v>1368</v>
      </c>
    </row>
    <row r="2999" spans="1:2">
      <c r="A2999" s="127">
        <v>3408300</v>
      </c>
      <c r="B2999" s="125" t="s">
        <v>206</v>
      </c>
    </row>
    <row r="3000" spans="1:2" ht="39.6">
      <c r="A3000" s="127">
        <v>3408301</v>
      </c>
      <c r="B3000" s="126" t="s">
        <v>1917</v>
      </c>
    </row>
    <row r="3001" spans="1:2" ht="52.8">
      <c r="A3001" s="127">
        <v>3408302</v>
      </c>
      <c r="B3001" s="126" t="s">
        <v>1918</v>
      </c>
    </row>
    <row r="3002" spans="1:2" ht="52.8">
      <c r="A3002" s="127">
        <v>3408303</v>
      </c>
      <c r="B3002" s="126" t="s">
        <v>1919</v>
      </c>
    </row>
    <row r="3003" spans="1:2" ht="39.6">
      <c r="A3003" s="127">
        <v>3408304</v>
      </c>
      <c r="B3003" s="125" t="s">
        <v>1714</v>
      </c>
    </row>
    <row r="3004" spans="1:2" ht="39.6">
      <c r="A3004" s="127">
        <v>3408305</v>
      </c>
      <c r="B3004" s="126" t="s">
        <v>75</v>
      </c>
    </row>
    <row r="3005" spans="1:2" ht="79.2">
      <c r="A3005" s="127">
        <v>3408306</v>
      </c>
      <c r="B3005" s="126" t="s">
        <v>1155</v>
      </c>
    </row>
    <row r="3006" spans="1:2" ht="39.6">
      <c r="A3006" s="127">
        <v>3408307</v>
      </c>
      <c r="B3006" s="126" t="s">
        <v>1161</v>
      </c>
    </row>
    <row r="3007" spans="1:2" ht="66">
      <c r="A3007" s="127">
        <v>3408308</v>
      </c>
      <c r="B3007" s="126" t="s">
        <v>1162</v>
      </c>
    </row>
    <row r="3008" spans="1:2" ht="52.8">
      <c r="A3008" s="127">
        <v>3408309</v>
      </c>
      <c r="B3008" s="126" t="s">
        <v>1163</v>
      </c>
    </row>
    <row r="3009" spans="1:2" ht="26.4">
      <c r="A3009" s="127">
        <v>3408310</v>
      </c>
      <c r="B3009" s="125" t="s">
        <v>719</v>
      </c>
    </row>
    <row r="3010" spans="1:2" ht="66">
      <c r="A3010" s="127">
        <v>3408311</v>
      </c>
      <c r="B3010" s="126" t="s">
        <v>1164</v>
      </c>
    </row>
    <row r="3011" spans="1:2" ht="52.8">
      <c r="A3011" s="127">
        <v>3408313</v>
      </c>
      <c r="B3011" s="126" t="s">
        <v>1165</v>
      </c>
    </row>
    <row r="3012" spans="1:2" ht="66">
      <c r="A3012" s="127">
        <v>3408314</v>
      </c>
      <c r="B3012" s="126" t="s">
        <v>1737</v>
      </c>
    </row>
    <row r="3013" spans="1:2" ht="52.8">
      <c r="A3013" s="127">
        <v>3408315</v>
      </c>
      <c r="B3013" s="126" t="s">
        <v>1961</v>
      </c>
    </row>
    <row r="3014" spans="1:2" ht="39.6">
      <c r="A3014" s="127">
        <v>3408316</v>
      </c>
      <c r="B3014" s="125" t="s">
        <v>1962</v>
      </c>
    </row>
    <row r="3015" spans="1:2" ht="39.6">
      <c r="A3015" s="127">
        <v>3408317</v>
      </c>
      <c r="B3015" s="126" t="s">
        <v>1963</v>
      </c>
    </row>
    <row r="3016" spans="1:2" ht="39.6">
      <c r="A3016" s="127">
        <v>3408318</v>
      </c>
      <c r="B3016" s="126" t="s">
        <v>1964</v>
      </c>
    </row>
    <row r="3017" spans="1:2" ht="66">
      <c r="A3017" s="127">
        <v>3408319</v>
      </c>
      <c r="B3017" s="126" t="s">
        <v>1764</v>
      </c>
    </row>
    <row r="3018" spans="1:2" ht="39.6">
      <c r="A3018" s="127">
        <v>3408320</v>
      </c>
      <c r="B3018" s="126" t="s">
        <v>1765</v>
      </c>
    </row>
    <row r="3019" spans="1:2" ht="66">
      <c r="A3019" s="127">
        <v>3408321</v>
      </c>
      <c r="B3019" s="126" t="s">
        <v>1766</v>
      </c>
    </row>
    <row r="3020" spans="1:2" ht="26.4">
      <c r="A3020" s="127">
        <v>3408322</v>
      </c>
      <c r="B3020" s="125" t="s">
        <v>1767</v>
      </c>
    </row>
    <row r="3021" spans="1:2">
      <c r="A3021" s="127">
        <v>3410000</v>
      </c>
      <c r="B3021" s="125" t="s">
        <v>971</v>
      </c>
    </row>
    <row r="3022" spans="1:2">
      <c r="A3022" s="127">
        <v>3419900</v>
      </c>
      <c r="B3022" s="125" t="s">
        <v>81</v>
      </c>
    </row>
    <row r="3023" spans="1:2">
      <c r="A3023" s="127">
        <v>3450000</v>
      </c>
      <c r="B3023" s="125" t="s">
        <v>1768</v>
      </c>
    </row>
    <row r="3024" spans="1:2" ht="26.4">
      <c r="A3024" s="127">
        <v>3450100</v>
      </c>
      <c r="B3024" s="125" t="s">
        <v>1769</v>
      </c>
    </row>
    <row r="3025" spans="1:2">
      <c r="A3025" s="127">
        <v>3500000</v>
      </c>
      <c r="B3025" s="125" t="s">
        <v>2139</v>
      </c>
    </row>
    <row r="3026" spans="1:2" ht="26.4">
      <c r="A3026" s="127">
        <v>3500100</v>
      </c>
      <c r="B3026" s="125" t="s">
        <v>607</v>
      </c>
    </row>
    <row r="3027" spans="1:2">
      <c r="A3027" s="127">
        <v>3500200</v>
      </c>
      <c r="B3027" s="125" t="s">
        <v>400</v>
      </c>
    </row>
    <row r="3028" spans="1:2" ht="26.4">
      <c r="A3028" s="127">
        <v>3500300</v>
      </c>
      <c r="B3028" s="125" t="s">
        <v>608</v>
      </c>
    </row>
    <row r="3029" spans="1:2" ht="26.4">
      <c r="A3029" s="127">
        <v>3500301</v>
      </c>
      <c r="B3029" s="125" t="s">
        <v>1323</v>
      </c>
    </row>
    <row r="3030" spans="1:2">
      <c r="A3030" s="127">
        <v>3510000</v>
      </c>
      <c r="B3030" s="125" t="s">
        <v>401</v>
      </c>
    </row>
    <row r="3031" spans="1:2" ht="26.4">
      <c r="A3031" s="127">
        <v>3510100</v>
      </c>
      <c r="B3031" s="125" t="s">
        <v>472</v>
      </c>
    </row>
    <row r="3032" spans="1:2" ht="26.4">
      <c r="A3032" s="127">
        <v>3510200</v>
      </c>
      <c r="B3032" s="125" t="s">
        <v>1107</v>
      </c>
    </row>
    <row r="3033" spans="1:2" ht="26.4">
      <c r="A3033" s="127">
        <v>3510300</v>
      </c>
      <c r="B3033" s="125" t="s">
        <v>179</v>
      </c>
    </row>
    <row r="3034" spans="1:2">
      <c r="A3034" s="127">
        <v>3510500</v>
      </c>
      <c r="B3034" s="125" t="s">
        <v>504</v>
      </c>
    </row>
    <row r="3035" spans="1:2">
      <c r="A3035" s="127">
        <v>3510600</v>
      </c>
      <c r="B3035" s="125" t="s">
        <v>748</v>
      </c>
    </row>
    <row r="3036" spans="1:2" ht="26.4">
      <c r="A3036" s="127">
        <v>3510700</v>
      </c>
      <c r="B3036" s="125" t="s">
        <v>747</v>
      </c>
    </row>
    <row r="3037" spans="1:2" ht="26.4">
      <c r="A3037" s="127">
        <v>3510800</v>
      </c>
      <c r="B3037" s="125" t="s">
        <v>2140</v>
      </c>
    </row>
    <row r="3038" spans="1:2">
      <c r="A3038" s="127">
        <v>3510900</v>
      </c>
      <c r="B3038" s="125" t="s">
        <v>2141</v>
      </c>
    </row>
    <row r="3039" spans="1:2" ht="26.4">
      <c r="A3039" s="127">
        <v>3511000</v>
      </c>
      <c r="B3039" s="125" t="s">
        <v>2189</v>
      </c>
    </row>
    <row r="3040" spans="1:2" ht="26.4">
      <c r="A3040" s="127">
        <v>3602600</v>
      </c>
      <c r="B3040" s="125" t="s">
        <v>609</v>
      </c>
    </row>
    <row r="3041" spans="1:2" ht="26.4">
      <c r="A3041" s="127">
        <v>3610000</v>
      </c>
      <c r="B3041" s="125" t="s">
        <v>610</v>
      </c>
    </row>
    <row r="3042" spans="1:2">
      <c r="A3042" s="127">
        <v>3610100</v>
      </c>
      <c r="B3042" s="125" t="s">
        <v>611</v>
      </c>
    </row>
    <row r="3043" spans="1:2">
      <c r="A3043" s="127">
        <v>3610101</v>
      </c>
      <c r="B3043" s="125" t="s">
        <v>612</v>
      </c>
    </row>
    <row r="3044" spans="1:2">
      <c r="A3044" s="127">
        <v>3610103</v>
      </c>
      <c r="B3044" s="125" t="s">
        <v>613</v>
      </c>
    </row>
    <row r="3045" spans="1:2" ht="26.4">
      <c r="A3045" s="127">
        <v>3610105</v>
      </c>
      <c r="B3045" s="125" t="s">
        <v>614</v>
      </c>
    </row>
    <row r="3046" spans="1:2" ht="26.4">
      <c r="A3046" s="127">
        <v>3610106</v>
      </c>
      <c r="B3046" s="125" t="s">
        <v>1220</v>
      </c>
    </row>
    <row r="3047" spans="1:2" ht="26.4">
      <c r="A3047" s="127">
        <v>3610107</v>
      </c>
      <c r="B3047" s="125" t="s">
        <v>2142</v>
      </c>
    </row>
    <row r="3048" spans="1:2">
      <c r="A3048" s="127">
        <v>3610300</v>
      </c>
      <c r="B3048" s="125" t="s">
        <v>1221</v>
      </c>
    </row>
    <row r="3049" spans="1:2">
      <c r="A3049" s="127">
        <v>3610301</v>
      </c>
      <c r="B3049" s="125" t="s">
        <v>1222</v>
      </c>
    </row>
    <row r="3050" spans="1:2">
      <c r="A3050" s="127">
        <v>3610302</v>
      </c>
      <c r="B3050" s="125" t="s">
        <v>1223</v>
      </c>
    </row>
    <row r="3051" spans="1:2">
      <c r="A3051" s="127">
        <v>3610303</v>
      </c>
      <c r="B3051" s="125" t="s">
        <v>1224</v>
      </c>
    </row>
    <row r="3052" spans="1:2">
      <c r="A3052" s="127">
        <v>3610304</v>
      </c>
      <c r="B3052" s="125" t="s">
        <v>1225</v>
      </c>
    </row>
    <row r="3053" spans="1:2">
      <c r="A3053" s="127">
        <v>3610305</v>
      </c>
      <c r="B3053" s="125" t="s">
        <v>1226</v>
      </c>
    </row>
    <row r="3054" spans="1:2">
      <c r="A3054" s="127">
        <v>3610400</v>
      </c>
      <c r="B3054" s="125" t="s">
        <v>1227</v>
      </c>
    </row>
    <row r="3055" spans="1:2" ht="26.4">
      <c r="A3055" s="127">
        <v>3610403</v>
      </c>
      <c r="B3055" s="125" t="s">
        <v>1228</v>
      </c>
    </row>
    <row r="3056" spans="1:2">
      <c r="A3056" s="127">
        <v>3610500</v>
      </c>
      <c r="B3056" s="125" t="s">
        <v>1229</v>
      </c>
    </row>
    <row r="3057" spans="1:2">
      <c r="A3057" s="127">
        <v>3610502</v>
      </c>
      <c r="B3057" s="125" t="s">
        <v>1230</v>
      </c>
    </row>
    <row r="3058" spans="1:2" ht="26.4">
      <c r="A3058" s="127">
        <v>3610600</v>
      </c>
      <c r="B3058" s="125" t="s">
        <v>1231</v>
      </c>
    </row>
    <row r="3059" spans="1:2">
      <c r="A3059" s="127">
        <v>4100000</v>
      </c>
      <c r="B3059" s="125" t="s">
        <v>821</v>
      </c>
    </row>
    <row r="3060" spans="1:2">
      <c r="A3060" s="127">
        <v>4100100</v>
      </c>
      <c r="B3060" s="125" t="s">
        <v>272</v>
      </c>
    </row>
    <row r="3061" spans="1:2">
      <c r="A3061" s="127">
        <v>4110000</v>
      </c>
      <c r="B3061" s="125" t="s">
        <v>64</v>
      </c>
    </row>
    <row r="3062" spans="1:2">
      <c r="A3062" s="127">
        <v>4119900</v>
      </c>
      <c r="B3062" s="125" t="s">
        <v>81</v>
      </c>
    </row>
    <row r="3063" spans="1:2">
      <c r="A3063" s="127">
        <v>4130000</v>
      </c>
      <c r="B3063" s="125" t="s">
        <v>1028</v>
      </c>
    </row>
    <row r="3064" spans="1:2">
      <c r="A3064" s="127">
        <v>4200000</v>
      </c>
      <c r="B3064" s="125" t="s">
        <v>108</v>
      </c>
    </row>
    <row r="3065" spans="1:2" ht="26.4">
      <c r="A3065" s="127">
        <v>4200100</v>
      </c>
      <c r="B3065" s="125" t="s">
        <v>2023</v>
      </c>
    </row>
    <row r="3066" spans="1:2">
      <c r="A3066" s="127">
        <v>4207100</v>
      </c>
      <c r="B3066" s="125" t="s">
        <v>910</v>
      </c>
    </row>
    <row r="3067" spans="1:2">
      <c r="A3067" s="127">
        <v>4207101</v>
      </c>
      <c r="B3067" s="125" t="s">
        <v>313</v>
      </c>
    </row>
    <row r="3068" spans="1:2">
      <c r="A3068" s="127">
        <v>4207102</v>
      </c>
      <c r="B3068" s="125" t="s">
        <v>197</v>
      </c>
    </row>
    <row r="3069" spans="1:2">
      <c r="A3069" s="127">
        <v>4207103</v>
      </c>
      <c r="B3069" s="125" t="s">
        <v>198</v>
      </c>
    </row>
    <row r="3070" spans="1:2">
      <c r="A3070" s="127">
        <v>4209900</v>
      </c>
      <c r="B3070" s="125" t="s">
        <v>81</v>
      </c>
    </row>
    <row r="3071" spans="1:2">
      <c r="A3071" s="127">
        <v>4210000</v>
      </c>
      <c r="B3071" s="125" t="s">
        <v>2024</v>
      </c>
    </row>
    <row r="3072" spans="1:2" ht="26.4">
      <c r="A3072" s="127">
        <v>4215600</v>
      </c>
      <c r="B3072" s="125" t="s">
        <v>342</v>
      </c>
    </row>
    <row r="3073" spans="1:2">
      <c r="A3073" s="127">
        <v>4215800</v>
      </c>
      <c r="B3073" s="125" t="s">
        <v>598</v>
      </c>
    </row>
    <row r="3074" spans="1:2">
      <c r="A3074" s="127">
        <v>4216800</v>
      </c>
      <c r="B3074" s="125" t="s">
        <v>637</v>
      </c>
    </row>
    <row r="3075" spans="1:2">
      <c r="A3075" s="127">
        <v>4216801</v>
      </c>
      <c r="B3075" s="125" t="s">
        <v>406</v>
      </c>
    </row>
    <row r="3076" spans="1:2">
      <c r="A3076" s="127">
        <v>4216802</v>
      </c>
      <c r="B3076" s="125" t="s">
        <v>189</v>
      </c>
    </row>
    <row r="3077" spans="1:2">
      <c r="A3077" s="127">
        <v>4217100</v>
      </c>
      <c r="B3077" s="125" t="s">
        <v>910</v>
      </c>
    </row>
    <row r="3078" spans="1:2">
      <c r="A3078" s="127">
        <v>4217101</v>
      </c>
      <c r="B3078" s="125" t="s">
        <v>313</v>
      </c>
    </row>
    <row r="3079" spans="1:2">
      <c r="A3079" s="127">
        <v>4217102</v>
      </c>
      <c r="B3079" s="125" t="s">
        <v>197</v>
      </c>
    </row>
    <row r="3080" spans="1:2">
      <c r="A3080" s="127">
        <v>4217103</v>
      </c>
      <c r="B3080" s="125" t="s">
        <v>198</v>
      </c>
    </row>
    <row r="3081" spans="1:2">
      <c r="A3081" s="127">
        <v>4217200</v>
      </c>
      <c r="B3081" s="125" t="s">
        <v>261</v>
      </c>
    </row>
    <row r="3082" spans="1:2">
      <c r="A3082" s="127">
        <v>4217201</v>
      </c>
      <c r="B3082" s="125" t="s">
        <v>651</v>
      </c>
    </row>
    <row r="3083" spans="1:2">
      <c r="A3083" s="127">
        <v>4217202</v>
      </c>
      <c r="B3083" s="125" t="s">
        <v>652</v>
      </c>
    </row>
    <row r="3084" spans="1:2">
      <c r="A3084" s="127">
        <v>4217203</v>
      </c>
      <c r="B3084" s="125" t="s">
        <v>595</v>
      </c>
    </row>
    <row r="3085" spans="1:2">
      <c r="A3085" s="127">
        <v>4219900</v>
      </c>
      <c r="B3085" s="125" t="s">
        <v>81</v>
      </c>
    </row>
    <row r="3086" spans="1:2">
      <c r="A3086" s="127">
        <v>4220000</v>
      </c>
      <c r="B3086" s="125" t="s">
        <v>1840</v>
      </c>
    </row>
    <row r="3087" spans="1:2">
      <c r="A3087" s="127">
        <v>4229900</v>
      </c>
      <c r="B3087" s="125" t="s">
        <v>81</v>
      </c>
    </row>
    <row r="3088" spans="1:2">
      <c r="A3088" s="127">
        <v>4230000</v>
      </c>
      <c r="B3088" s="125" t="s">
        <v>319</v>
      </c>
    </row>
    <row r="3089" spans="1:2">
      <c r="A3089" s="127">
        <v>4231200</v>
      </c>
      <c r="B3089" s="125" t="s">
        <v>185</v>
      </c>
    </row>
    <row r="3090" spans="1:2" ht="26.4">
      <c r="A3090" s="127">
        <v>4235600</v>
      </c>
      <c r="B3090" s="125" t="s">
        <v>342</v>
      </c>
    </row>
    <row r="3091" spans="1:2">
      <c r="A3091" s="127">
        <v>4239900</v>
      </c>
      <c r="B3091" s="125" t="s">
        <v>81</v>
      </c>
    </row>
    <row r="3092" spans="1:2">
      <c r="A3092" s="127">
        <v>4240000</v>
      </c>
      <c r="B3092" s="125" t="s">
        <v>967</v>
      </c>
    </row>
    <row r="3093" spans="1:2" ht="26.4">
      <c r="A3093" s="127">
        <v>4240200</v>
      </c>
      <c r="B3093" s="125" t="s">
        <v>656</v>
      </c>
    </row>
    <row r="3094" spans="1:2">
      <c r="A3094" s="127">
        <v>4249900</v>
      </c>
      <c r="B3094" s="125" t="s">
        <v>81</v>
      </c>
    </row>
    <row r="3095" spans="1:2">
      <c r="A3095" s="127">
        <v>4250000</v>
      </c>
      <c r="B3095" s="125" t="s">
        <v>1141</v>
      </c>
    </row>
    <row r="3096" spans="1:2">
      <c r="A3096" s="127">
        <v>4259900</v>
      </c>
      <c r="B3096" s="125" t="s">
        <v>81</v>
      </c>
    </row>
    <row r="3097" spans="1:2">
      <c r="A3097" s="127">
        <v>4260000</v>
      </c>
      <c r="B3097" s="125" t="s">
        <v>369</v>
      </c>
    </row>
    <row r="3098" spans="1:2">
      <c r="A3098" s="127">
        <v>4265800</v>
      </c>
      <c r="B3098" s="125" t="s">
        <v>598</v>
      </c>
    </row>
    <row r="3099" spans="1:2">
      <c r="A3099" s="127">
        <v>4269900</v>
      </c>
      <c r="B3099" s="125" t="s">
        <v>81</v>
      </c>
    </row>
    <row r="3100" spans="1:2">
      <c r="A3100" s="127">
        <v>4270000</v>
      </c>
      <c r="B3100" s="125" t="s">
        <v>370</v>
      </c>
    </row>
    <row r="3101" spans="1:2">
      <c r="A3101" s="127">
        <v>4275800</v>
      </c>
      <c r="B3101" s="125" t="s">
        <v>598</v>
      </c>
    </row>
    <row r="3102" spans="1:2">
      <c r="A3102" s="127">
        <v>4276800</v>
      </c>
      <c r="B3102" s="125" t="s">
        <v>637</v>
      </c>
    </row>
    <row r="3103" spans="1:2">
      <c r="A3103" s="127">
        <v>4276801</v>
      </c>
      <c r="B3103" s="125" t="s">
        <v>406</v>
      </c>
    </row>
    <row r="3104" spans="1:2">
      <c r="A3104" s="127">
        <v>4276802</v>
      </c>
      <c r="B3104" s="125" t="s">
        <v>189</v>
      </c>
    </row>
    <row r="3105" spans="1:2">
      <c r="A3105" s="127">
        <v>4277100</v>
      </c>
      <c r="B3105" s="125" t="s">
        <v>910</v>
      </c>
    </row>
    <row r="3106" spans="1:2">
      <c r="A3106" s="127">
        <v>4277101</v>
      </c>
      <c r="B3106" s="125" t="s">
        <v>313</v>
      </c>
    </row>
    <row r="3107" spans="1:2">
      <c r="A3107" s="127">
        <v>4277102</v>
      </c>
      <c r="B3107" s="125" t="s">
        <v>197</v>
      </c>
    </row>
    <row r="3108" spans="1:2">
      <c r="A3108" s="127">
        <v>4277103</v>
      </c>
      <c r="B3108" s="125" t="s">
        <v>198</v>
      </c>
    </row>
    <row r="3109" spans="1:2">
      <c r="A3109" s="127">
        <v>4277200</v>
      </c>
      <c r="B3109" s="125" t="s">
        <v>261</v>
      </c>
    </row>
    <row r="3110" spans="1:2">
      <c r="A3110" s="127">
        <v>4277201</v>
      </c>
      <c r="B3110" s="125" t="s">
        <v>651</v>
      </c>
    </row>
    <row r="3111" spans="1:2">
      <c r="A3111" s="127">
        <v>4277202</v>
      </c>
      <c r="B3111" s="125" t="s">
        <v>652</v>
      </c>
    </row>
    <row r="3112" spans="1:2">
      <c r="A3112" s="127">
        <v>4277203</v>
      </c>
      <c r="B3112" s="125" t="s">
        <v>595</v>
      </c>
    </row>
    <row r="3113" spans="1:2">
      <c r="A3113" s="127">
        <v>4277600</v>
      </c>
      <c r="B3113" s="125" t="s">
        <v>1198</v>
      </c>
    </row>
    <row r="3114" spans="1:2">
      <c r="A3114" s="127">
        <v>4279900</v>
      </c>
      <c r="B3114" s="125" t="s">
        <v>81</v>
      </c>
    </row>
    <row r="3115" spans="1:2">
      <c r="A3115" s="127">
        <v>4280000</v>
      </c>
      <c r="B3115" s="125" t="s">
        <v>371</v>
      </c>
    </row>
    <row r="3116" spans="1:2">
      <c r="A3116" s="127">
        <v>4280100</v>
      </c>
      <c r="B3116" s="125" t="s">
        <v>1399</v>
      </c>
    </row>
    <row r="3117" spans="1:2">
      <c r="A3117" s="127">
        <v>4285800</v>
      </c>
      <c r="B3117" s="125" t="s">
        <v>598</v>
      </c>
    </row>
    <row r="3118" spans="1:2">
      <c r="A3118" s="127">
        <v>4286800</v>
      </c>
      <c r="B3118" s="125" t="s">
        <v>637</v>
      </c>
    </row>
    <row r="3119" spans="1:2">
      <c r="A3119" s="127">
        <v>4286801</v>
      </c>
      <c r="B3119" s="125" t="s">
        <v>406</v>
      </c>
    </row>
    <row r="3120" spans="1:2">
      <c r="A3120" s="127">
        <v>4286802</v>
      </c>
      <c r="B3120" s="125" t="s">
        <v>189</v>
      </c>
    </row>
    <row r="3121" spans="1:2">
      <c r="A3121" s="127">
        <v>4287100</v>
      </c>
      <c r="B3121" s="125" t="s">
        <v>910</v>
      </c>
    </row>
    <row r="3122" spans="1:2">
      <c r="A3122" s="127">
        <v>4287101</v>
      </c>
      <c r="B3122" s="125" t="s">
        <v>313</v>
      </c>
    </row>
    <row r="3123" spans="1:2">
      <c r="A3123" s="127">
        <v>4287102</v>
      </c>
      <c r="B3123" s="125" t="s">
        <v>197</v>
      </c>
    </row>
    <row r="3124" spans="1:2">
      <c r="A3124" s="127">
        <v>4287103</v>
      </c>
      <c r="B3124" s="125" t="s">
        <v>198</v>
      </c>
    </row>
    <row r="3125" spans="1:2">
      <c r="A3125" s="127">
        <v>4287200</v>
      </c>
      <c r="B3125" s="125" t="s">
        <v>261</v>
      </c>
    </row>
    <row r="3126" spans="1:2">
      <c r="A3126" s="127">
        <v>4287201</v>
      </c>
      <c r="B3126" s="125" t="s">
        <v>651</v>
      </c>
    </row>
    <row r="3127" spans="1:2">
      <c r="A3127" s="127">
        <v>4287202</v>
      </c>
      <c r="B3127" s="125" t="s">
        <v>652</v>
      </c>
    </row>
    <row r="3128" spans="1:2">
      <c r="A3128" s="127">
        <v>4287203</v>
      </c>
      <c r="B3128" s="125" t="s">
        <v>595</v>
      </c>
    </row>
    <row r="3129" spans="1:2">
      <c r="A3129" s="127">
        <v>4287300</v>
      </c>
      <c r="B3129" s="125" t="s">
        <v>74</v>
      </c>
    </row>
    <row r="3130" spans="1:2">
      <c r="A3130" s="127">
        <v>4287600</v>
      </c>
      <c r="B3130" s="125" t="s">
        <v>1130</v>
      </c>
    </row>
    <row r="3131" spans="1:2">
      <c r="A3131" s="127">
        <v>4287800</v>
      </c>
      <c r="B3131" s="125" t="s">
        <v>341</v>
      </c>
    </row>
    <row r="3132" spans="1:2">
      <c r="A3132" s="127">
        <v>4289900</v>
      </c>
      <c r="B3132" s="125" t="s">
        <v>81</v>
      </c>
    </row>
    <row r="3133" spans="1:2">
      <c r="A3133" s="127">
        <v>4290000</v>
      </c>
      <c r="B3133" s="125" t="s">
        <v>1604</v>
      </c>
    </row>
    <row r="3134" spans="1:2">
      <c r="A3134" s="127">
        <v>4297800</v>
      </c>
      <c r="B3134" s="125" t="s">
        <v>341</v>
      </c>
    </row>
    <row r="3135" spans="1:2">
      <c r="A3135" s="127">
        <v>4299900</v>
      </c>
      <c r="B3135" s="125" t="s">
        <v>81</v>
      </c>
    </row>
    <row r="3136" spans="1:2">
      <c r="A3136" s="127">
        <v>4300000</v>
      </c>
      <c r="B3136" s="125" t="s">
        <v>1605</v>
      </c>
    </row>
    <row r="3137" spans="1:2">
      <c r="A3137" s="127">
        <v>4300100</v>
      </c>
      <c r="B3137" s="125" t="s">
        <v>1908</v>
      </c>
    </row>
    <row r="3138" spans="1:2">
      <c r="A3138" s="127">
        <v>4300200</v>
      </c>
      <c r="B3138" s="125" t="s">
        <v>536</v>
      </c>
    </row>
    <row r="3139" spans="1:2">
      <c r="A3139" s="127">
        <v>4300201</v>
      </c>
      <c r="B3139" s="125" t="s">
        <v>2025</v>
      </c>
    </row>
    <row r="3140" spans="1:2" ht="39.6">
      <c r="A3140" s="127">
        <v>4300202</v>
      </c>
      <c r="B3140" s="125" t="s">
        <v>2026</v>
      </c>
    </row>
    <row r="3141" spans="1:2">
      <c r="A3141" s="127">
        <v>4300300</v>
      </c>
      <c r="B3141" s="125" t="s">
        <v>549</v>
      </c>
    </row>
    <row r="3142" spans="1:2" ht="26.4">
      <c r="A3142" s="127">
        <v>4300400</v>
      </c>
      <c r="B3142" s="125" t="s">
        <v>2027</v>
      </c>
    </row>
    <row r="3143" spans="1:2" ht="39.6">
      <c r="A3143" s="127">
        <v>4300500</v>
      </c>
      <c r="B3143" s="125" t="s">
        <v>1842</v>
      </c>
    </row>
    <row r="3144" spans="1:2" ht="26.4">
      <c r="A3144" s="127">
        <v>4305600</v>
      </c>
      <c r="B3144" s="125" t="s">
        <v>342</v>
      </c>
    </row>
    <row r="3145" spans="1:2">
      <c r="A3145" s="127">
        <v>4305800</v>
      </c>
      <c r="B3145" s="125" t="s">
        <v>598</v>
      </c>
    </row>
    <row r="3146" spans="1:2">
      <c r="A3146" s="127">
        <v>4306200</v>
      </c>
      <c r="B3146" s="125" t="s">
        <v>182</v>
      </c>
    </row>
    <row r="3147" spans="1:2">
      <c r="A3147" s="127">
        <v>4306800</v>
      </c>
      <c r="B3147" s="125" t="s">
        <v>637</v>
      </c>
    </row>
    <row r="3148" spans="1:2">
      <c r="A3148" s="127">
        <v>4306801</v>
      </c>
      <c r="B3148" s="125" t="s">
        <v>406</v>
      </c>
    </row>
    <row r="3149" spans="1:2">
      <c r="A3149" s="127">
        <v>4306802</v>
      </c>
      <c r="B3149" s="125" t="s">
        <v>189</v>
      </c>
    </row>
    <row r="3150" spans="1:2">
      <c r="A3150" s="127">
        <v>4307100</v>
      </c>
      <c r="B3150" s="125" t="s">
        <v>910</v>
      </c>
    </row>
    <row r="3151" spans="1:2">
      <c r="A3151" s="127">
        <v>4307101</v>
      </c>
      <c r="B3151" s="125" t="s">
        <v>313</v>
      </c>
    </row>
    <row r="3152" spans="1:2">
      <c r="A3152" s="127">
        <v>4307102</v>
      </c>
      <c r="B3152" s="125" t="s">
        <v>197</v>
      </c>
    </row>
    <row r="3153" spans="1:2">
      <c r="A3153" s="127">
        <v>4307103</v>
      </c>
      <c r="B3153" s="125" t="s">
        <v>198</v>
      </c>
    </row>
    <row r="3154" spans="1:2">
      <c r="A3154" s="127">
        <v>4307200</v>
      </c>
      <c r="B3154" s="125" t="s">
        <v>261</v>
      </c>
    </row>
    <row r="3155" spans="1:2">
      <c r="A3155" s="127">
        <v>4307201</v>
      </c>
      <c r="B3155" s="125" t="s">
        <v>651</v>
      </c>
    </row>
    <row r="3156" spans="1:2">
      <c r="A3156" s="127">
        <v>4307202</v>
      </c>
      <c r="B3156" s="125" t="s">
        <v>652</v>
      </c>
    </row>
    <row r="3157" spans="1:2">
      <c r="A3157" s="127">
        <v>4307203</v>
      </c>
      <c r="B3157" s="125" t="s">
        <v>595</v>
      </c>
    </row>
    <row r="3158" spans="1:2">
      <c r="A3158" s="127">
        <v>4307300</v>
      </c>
      <c r="B3158" s="125" t="s">
        <v>74</v>
      </c>
    </row>
    <row r="3159" spans="1:2">
      <c r="A3159" s="127">
        <v>4307600</v>
      </c>
      <c r="B3159" s="125" t="s">
        <v>1130</v>
      </c>
    </row>
    <row r="3160" spans="1:2">
      <c r="A3160" s="127">
        <v>4309200</v>
      </c>
      <c r="B3160" s="125" t="s">
        <v>1637</v>
      </c>
    </row>
    <row r="3161" spans="1:2">
      <c r="A3161" s="127">
        <v>4309900</v>
      </c>
      <c r="B3161" s="125" t="s">
        <v>81</v>
      </c>
    </row>
    <row r="3162" spans="1:2">
      <c r="A3162" s="127">
        <v>4310000</v>
      </c>
      <c r="B3162" s="125" t="s">
        <v>304</v>
      </c>
    </row>
    <row r="3163" spans="1:2">
      <c r="A3163" s="127">
        <v>4310100</v>
      </c>
      <c r="B3163" s="125" t="s">
        <v>273</v>
      </c>
    </row>
    <row r="3164" spans="1:2">
      <c r="A3164" s="127">
        <v>4310102</v>
      </c>
      <c r="B3164" s="125" t="s">
        <v>2143</v>
      </c>
    </row>
    <row r="3165" spans="1:2">
      <c r="A3165" s="127">
        <v>4310104</v>
      </c>
      <c r="B3165" s="125" t="s">
        <v>273</v>
      </c>
    </row>
    <row r="3166" spans="1:2" ht="26.4">
      <c r="A3166" s="127">
        <v>4310200</v>
      </c>
      <c r="B3166" s="125" t="s">
        <v>1843</v>
      </c>
    </row>
    <row r="3167" spans="1:2">
      <c r="A3167" s="127">
        <v>4319400</v>
      </c>
      <c r="B3167" s="125" t="s">
        <v>642</v>
      </c>
    </row>
    <row r="3168" spans="1:2">
      <c r="A3168" s="127">
        <v>4319900</v>
      </c>
      <c r="B3168" s="125" t="s">
        <v>81</v>
      </c>
    </row>
    <row r="3169" spans="1:2">
      <c r="A3169" s="127">
        <v>4320000</v>
      </c>
      <c r="B3169" s="125" t="s">
        <v>235</v>
      </c>
    </row>
    <row r="3170" spans="1:2">
      <c r="A3170" s="127">
        <v>4320100</v>
      </c>
      <c r="B3170" s="125" t="s">
        <v>407</v>
      </c>
    </row>
    <row r="3171" spans="1:2">
      <c r="A3171" s="127">
        <v>4320200</v>
      </c>
      <c r="B3171" s="125" t="s">
        <v>1105</v>
      </c>
    </row>
    <row r="3172" spans="1:2">
      <c r="A3172" s="127">
        <v>4320201</v>
      </c>
      <c r="B3172" s="125" t="s">
        <v>668</v>
      </c>
    </row>
    <row r="3173" spans="1:2">
      <c r="A3173" s="127">
        <v>4320202</v>
      </c>
      <c r="B3173" s="125" t="s">
        <v>1844</v>
      </c>
    </row>
    <row r="3174" spans="1:2">
      <c r="A3174" s="127">
        <v>4320203</v>
      </c>
      <c r="B3174" s="125" t="s">
        <v>1972</v>
      </c>
    </row>
    <row r="3175" spans="1:2">
      <c r="A3175" s="127">
        <v>4325800</v>
      </c>
      <c r="B3175" s="125" t="s">
        <v>598</v>
      </c>
    </row>
    <row r="3176" spans="1:2">
      <c r="A3176" s="127">
        <v>4326200</v>
      </c>
      <c r="B3176" s="125" t="s">
        <v>182</v>
      </c>
    </row>
    <row r="3177" spans="1:2">
      <c r="A3177" s="127">
        <v>4326800</v>
      </c>
      <c r="B3177" s="125" t="s">
        <v>637</v>
      </c>
    </row>
    <row r="3178" spans="1:2">
      <c r="A3178" s="127">
        <v>4326801</v>
      </c>
      <c r="B3178" s="125" t="s">
        <v>406</v>
      </c>
    </row>
    <row r="3179" spans="1:2">
      <c r="A3179" s="127">
        <v>4326802</v>
      </c>
      <c r="B3179" s="125" t="s">
        <v>189</v>
      </c>
    </row>
    <row r="3180" spans="1:2">
      <c r="A3180" s="127">
        <v>4327100</v>
      </c>
      <c r="B3180" s="125" t="s">
        <v>910</v>
      </c>
    </row>
    <row r="3181" spans="1:2">
      <c r="A3181" s="127">
        <v>4327101</v>
      </c>
      <c r="B3181" s="125" t="s">
        <v>313</v>
      </c>
    </row>
    <row r="3182" spans="1:2">
      <c r="A3182" s="127">
        <v>4327102</v>
      </c>
      <c r="B3182" s="125" t="s">
        <v>197</v>
      </c>
    </row>
    <row r="3183" spans="1:2">
      <c r="A3183" s="127">
        <v>4327103</v>
      </c>
      <c r="B3183" s="125" t="s">
        <v>198</v>
      </c>
    </row>
    <row r="3184" spans="1:2">
      <c r="A3184" s="127">
        <v>4327200</v>
      </c>
      <c r="B3184" s="125" t="s">
        <v>261</v>
      </c>
    </row>
    <row r="3185" spans="1:2">
      <c r="A3185" s="127">
        <v>4327201</v>
      </c>
      <c r="B3185" s="125" t="s">
        <v>651</v>
      </c>
    </row>
    <row r="3186" spans="1:2">
      <c r="A3186" s="127">
        <v>4327202</v>
      </c>
      <c r="B3186" s="125" t="s">
        <v>652</v>
      </c>
    </row>
    <row r="3187" spans="1:2">
      <c r="A3187" s="127">
        <v>4327203</v>
      </c>
      <c r="B3187" s="125" t="s">
        <v>595</v>
      </c>
    </row>
    <row r="3188" spans="1:2">
      <c r="A3188" s="127">
        <v>4329900</v>
      </c>
      <c r="B3188" s="125" t="s">
        <v>81</v>
      </c>
    </row>
    <row r="3189" spans="1:2">
      <c r="A3189" s="127">
        <v>4350000</v>
      </c>
      <c r="B3189" s="125" t="s">
        <v>65</v>
      </c>
    </row>
    <row r="3190" spans="1:2">
      <c r="A3190" s="127">
        <v>4359900</v>
      </c>
      <c r="B3190" s="125" t="s">
        <v>81</v>
      </c>
    </row>
    <row r="3191" spans="1:2">
      <c r="A3191" s="127">
        <v>4360000</v>
      </c>
      <c r="B3191" s="125" t="s">
        <v>4</v>
      </c>
    </row>
    <row r="3192" spans="1:2">
      <c r="A3192" s="127">
        <v>4360100</v>
      </c>
      <c r="B3192" s="125" t="s">
        <v>248</v>
      </c>
    </row>
    <row r="3193" spans="1:2">
      <c r="A3193" s="127">
        <v>4360200</v>
      </c>
      <c r="B3193" s="125" t="s">
        <v>1106</v>
      </c>
    </row>
    <row r="3194" spans="1:2">
      <c r="A3194" s="127">
        <v>4360300</v>
      </c>
      <c r="B3194" s="125" t="s">
        <v>1033</v>
      </c>
    </row>
    <row r="3195" spans="1:2">
      <c r="A3195" s="127">
        <v>4360400</v>
      </c>
      <c r="B3195" s="125" t="s">
        <v>678</v>
      </c>
    </row>
    <row r="3196" spans="1:2">
      <c r="A3196" s="127">
        <v>4360500</v>
      </c>
      <c r="B3196" s="125" t="s">
        <v>59</v>
      </c>
    </row>
    <row r="3197" spans="1:2">
      <c r="A3197" s="127">
        <v>4360600</v>
      </c>
      <c r="B3197" s="125" t="s">
        <v>60</v>
      </c>
    </row>
    <row r="3198" spans="1:2">
      <c r="A3198" s="127">
        <v>4360700</v>
      </c>
      <c r="B3198" s="125" t="s">
        <v>547</v>
      </c>
    </row>
    <row r="3199" spans="1:2" ht="26.4">
      <c r="A3199" s="127">
        <v>4360800</v>
      </c>
      <c r="B3199" s="125" t="s">
        <v>1309</v>
      </c>
    </row>
    <row r="3200" spans="1:2">
      <c r="A3200" s="127">
        <v>4360900</v>
      </c>
      <c r="B3200" s="125" t="s">
        <v>273</v>
      </c>
    </row>
    <row r="3201" spans="1:2">
      <c r="A3201" s="127">
        <v>4361000</v>
      </c>
      <c r="B3201" s="125" t="s">
        <v>1244</v>
      </c>
    </row>
    <row r="3202" spans="1:2">
      <c r="A3202" s="127">
        <v>4361100</v>
      </c>
      <c r="B3202" s="125" t="s">
        <v>1310</v>
      </c>
    </row>
    <row r="3203" spans="1:2">
      <c r="A3203" s="127">
        <v>4361200</v>
      </c>
      <c r="B3203" s="125" t="s">
        <v>185</v>
      </c>
    </row>
    <row r="3204" spans="1:2">
      <c r="A3204" s="127">
        <v>4361400</v>
      </c>
      <c r="B3204" s="125" t="s">
        <v>1845</v>
      </c>
    </row>
    <row r="3205" spans="1:2" ht="26.4">
      <c r="A3205" s="127">
        <v>4361500</v>
      </c>
      <c r="B3205" s="125" t="s">
        <v>1846</v>
      </c>
    </row>
    <row r="3206" spans="1:2">
      <c r="A3206" s="127">
        <v>4361600</v>
      </c>
      <c r="B3206" s="125" t="s">
        <v>1847</v>
      </c>
    </row>
    <row r="3207" spans="1:2">
      <c r="A3207" s="127">
        <v>4361700</v>
      </c>
      <c r="B3207" s="125" t="s">
        <v>1848</v>
      </c>
    </row>
    <row r="3208" spans="1:2">
      <c r="A3208" s="127">
        <v>4361800</v>
      </c>
      <c r="B3208" s="125" t="s">
        <v>1849</v>
      </c>
    </row>
    <row r="3209" spans="1:2">
      <c r="A3209" s="127">
        <v>4361900</v>
      </c>
      <c r="B3209" s="125" t="s">
        <v>1850</v>
      </c>
    </row>
    <row r="3210" spans="1:2" ht="26.4">
      <c r="A3210" s="127">
        <v>4361901</v>
      </c>
      <c r="B3210" s="125" t="s">
        <v>1291</v>
      </c>
    </row>
    <row r="3211" spans="1:2" ht="26.4">
      <c r="A3211" s="127">
        <v>4361902</v>
      </c>
      <c r="B3211" s="125" t="s">
        <v>1292</v>
      </c>
    </row>
    <row r="3212" spans="1:2">
      <c r="A3212" s="127">
        <v>4362000</v>
      </c>
      <c r="B3212" s="125" t="s">
        <v>1293</v>
      </c>
    </row>
    <row r="3213" spans="1:2">
      <c r="A3213" s="127">
        <v>4362100</v>
      </c>
      <c r="B3213" s="125" t="s">
        <v>1294</v>
      </c>
    </row>
    <row r="3214" spans="1:2" ht="26.4">
      <c r="A3214" s="127">
        <v>4369300</v>
      </c>
      <c r="B3214" s="125" t="s">
        <v>677</v>
      </c>
    </row>
    <row r="3215" spans="1:2">
      <c r="A3215" s="127">
        <v>4369400</v>
      </c>
      <c r="B3215" s="125" t="s">
        <v>642</v>
      </c>
    </row>
    <row r="3216" spans="1:2">
      <c r="A3216" s="127">
        <v>4400000</v>
      </c>
      <c r="B3216" s="125" t="s">
        <v>1295</v>
      </c>
    </row>
    <row r="3217" spans="1:2">
      <c r="A3217" s="127">
        <v>4400100</v>
      </c>
      <c r="B3217" s="125" t="s">
        <v>1259</v>
      </c>
    </row>
    <row r="3218" spans="1:2">
      <c r="A3218" s="127">
        <v>4400200</v>
      </c>
      <c r="B3218" s="125" t="s">
        <v>981</v>
      </c>
    </row>
    <row r="3219" spans="1:2" ht="26.4">
      <c r="A3219" s="127">
        <v>4400300</v>
      </c>
      <c r="B3219" s="125" t="s">
        <v>2007</v>
      </c>
    </row>
    <row r="3220" spans="1:2">
      <c r="A3220" s="127">
        <v>4400400</v>
      </c>
      <c r="B3220" s="125" t="s">
        <v>2008</v>
      </c>
    </row>
    <row r="3221" spans="1:2">
      <c r="A3221" s="127">
        <v>4400500</v>
      </c>
      <c r="B3221" s="125" t="s">
        <v>1137</v>
      </c>
    </row>
    <row r="3222" spans="1:2">
      <c r="A3222" s="127">
        <v>4400600</v>
      </c>
      <c r="B3222" s="125" t="s">
        <v>462</v>
      </c>
    </row>
    <row r="3223" spans="1:2">
      <c r="A3223" s="127">
        <v>4400700</v>
      </c>
      <c r="B3223" s="125" t="s">
        <v>360</v>
      </c>
    </row>
    <row r="3224" spans="1:2" ht="26.4">
      <c r="A3224" s="127">
        <v>4400800</v>
      </c>
      <c r="B3224" s="125" t="s">
        <v>2009</v>
      </c>
    </row>
    <row r="3225" spans="1:2">
      <c r="A3225" s="127">
        <v>4400900</v>
      </c>
      <c r="B3225" s="125" t="s">
        <v>2010</v>
      </c>
    </row>
    <row r="3226" spans="1:2">
      <c r="A3226" s="127">
        <v>4405800</v>
      </c>
      <c r="B3226" s="125" t="s">
        <v>598</v>
      </c>
    </row>
    <row r="3227" spans="1:2">
      <c r="A3227" s="127">
        <v>4409200</v>
      </c>
      <c r="B3227" s="125" t="s">
        <v>1637</v>
      </c>
    </row>
    <row r="3228" spans="1:2">
      <c r="A3228" s="127">
        <v>4409400</v>
      </c>
      <c r="B3228" s="125" t="s">
        <v>642</v>
      </c>
    </row>
    <row r="3229" spans="1:2">
      <c r="A3229" s="127">
        <v>4409900</v>
      </c>
      <c r="B3229" s="125" t="s">
        <v>81</v>
      </c>
    </row>
    <row r="3230" spans="1:2">
      <c r="A3230" s="127">
        <v>4410000</v>
      </c>
      <c r="B3230" s="125" t="s">
        <v>1525</v>
      </c>
    </row>
    <row r="3231" spans="1:2">
      <c r="A3231" s="127">
        <v>4415800</v>
      </c>
      <c r="B3231" s="125" t="s">
        <v>598</v>
      </c>
    </row>
    <row r="3232" spans="1:2">
      <c r="A3232" s="127">
        <v>4417100</v>
      </c>
      <c r="B3232" s="125" t="s">
        <v>910</v>
      </c>
    </row>
    <row r="3233" spans="1:2">
      <c r="A3233" s="127">
        <v>4417101</v>
      </c>
      <c r="B3233" s="125" t="s">
        <v>313</v>
      </c>
    </row>
    <row r="3234" spans="1:2">
      <c r="A3234" s="127">
        <v>4417102</v>
      </c>
      <c r="B3234" s="125" t="s">
        <v>197</v>
      </c>
    </row>
    <row r="3235" spans="1:2">
      <c r="A3235" s="127">
        <v>4417103</v>
      </c>
      <c r="B3235" s="125" t="s">
        <v>198</v>
      </c>
    </row>
    <row r="3236" spans="1:2">
      <c r="A3236" s="127">
        <v>4417200</v>
      </c>
      <c r="B3236" s="125" t="s">
        <v>261</v>
      </c>
    </row>
    <row r="3237" spans="1:2">
      <c r="A3237" s="127">
        <v>4417201</v>
      </c>
      <c r="B3237" s="125" t="s">
        <v>651</v>
      </c>
    </row>
    <row r="3238" spans="1:2">
      <c r="A3238" s="127">
        <v>4417202</v>
      </c>
      <c r="B3238" s="125" t="s">
        <v>652</v>
      </c>
    </row>
    <row r="3239" spans="1:2">
      <c r="A3239" s="127">
        <v>4417203</v>
      </c>
      <c r="B3239" s="125" t="s">
        <v>595</v>
      </c>
    </row>
    <row r="3240" spans="1:2">
      <c r="A3240" s="127">
        <v>4419200</v>
      </c>
      <c r="B3240" s="125" t="s">
        <v>1637</v>
      </c>
    </row>
    <row r="3241" spans="1:2">
      <c r="A3241" s="127">
        <v>4419900</v>
      </c>
      <c r="B3241" s="125" t="s">
        <v>81</v>
      </c>
    </row>
    <row r="3242" spans="1:2">
      <c r="A3242" s="127">
        <v>4420000</v>
      </c>
      <c r="B3242" s="125" t="s">
        <v>320</v>
      </c>
    </row>
    <row r="3243" spans="1:2">
      <c r="A3243" s="127">
        <v>4420100</v>
      </c>
      <c r="B3243" s="125" t="s">
        <v>257</v>
      </c>
    </row>
    <row r="3244" spans="1:2">
      <c r="A3244" s="127">
        <v>4429200</v>
      </c>
      <c r="B3244" s="125" t="s">
        <v>1637</v>
      </c>
    </row>
    <row r="3245" spans="1:2">
      <c r="A3245" s="127">
        <v>4429900</v>
      </c>
      <c r="B3245" s="125" t="s">
        <v>81</v>
      </c>
    </row>
    <row r="3246" spans="1:2">
      <c r="A3246" s="127">
        <v>4430000</v>
      </c>
      <c r="B3246" s="125" t="s">
        <v>1548</v>
      </c>
    </row>
    <row r="3247" spans="1:2">
      <c r="A3247" s="127">
        <v>4430100</v>
      </c>
      <c r="B3247" s="125" t="s">
        <v>1686</v>
      </c>
    </row>
    <row r="3248" spans="1:2">
      <c r="A3248" s="127">
        <v>4438500</v>
      </c>
      <c r="B3248" s="125" t="s">
        <v>1539</v>
      </c>
    </row>
    <row r="3249" spans="1:2">
      <c r="A3249" s="127">
        <v>4439200</v>
      </c>
      <c r="B3249" s="125" t="s">
        <v>1637</v>
      </c>
    </row>
    <row r="3250" spans="1:2">
      <c r="A3250" s="127">
        <v>4439900</v>
      </c>
      <c r="B3250" s="125" t="s">
        <v>81</v>
      </c>
    </row>
    <row r="3251" spans="1:2">
      <c r="A3251" s="127">
        <v>4440000</v>
      </c>
      <c r="B3251" s="125" t="s">
        <v>2011</v>
      </c>
    </row>
    <row r="3252" spans="1:2">
      <c r="A3252" s="127">
        <v>4440100</v>
      </c>
      <c r="B3252" s="125" t="s">
        <v>2012</v>
      </c>
    </row>
    <row r="3253" spans="1:2">
      <c r="A3253" s="127">
        <v>4440200</v>
      </c>
      <c r="B3253" s="125" t="s">
        <v>2013</v>
      </c>
    </row>
    <row r="3254" spans="1:2">
      <c r="A3254" s="127">
        <v>4500000</v>
      </c>
      <c r="B3254" s="125" t="s">
        <v>2014</v>
      </c>
    </row>
    <row r="3255" spans="1:2">
      <c r="A3255" s="127">
        <v>4500100</v>
      </c>
      <c r="B3255" s="125" t="s">
        <v>1137</v>
      </c>
    </row>
    <row r="3256" spans="1:2">
      <c r="A3256" s="127">
        <v>4500200</v>
      </c>
      <c r="B3256" s="125" t="s">
        <v>462</v>
      </c>
    </row>
    <row r="3257" spans="1:2">
      <c r="A3257" s="127">
        <v>4500300</v>
      </c>
      <c r="B3257" s="125" t="s">
        <v>360</v>
      </c>
    </row>
    <row r="3258" spans="1:2">
      <c r="A3258" s="127">
        <v>4500500</v>
      </c>
      <c r="B3258" s="125" t="s">
        <v>199</v>
      </c>
    </row>
    <row r="3259" spans="1:2">
      <c r="A3259" s="127">
        <v>4500600</v>
      </c>
      <c r="B3259" s="125" t="s">
        <v>981</v>
      </c>
    </row>
    <row r="3260" spans="1:2" ht="26.4">
      <c r="A3260" s="127">
        <v>4500700</v>
      </c>
      <c r="B3260" s="125" t="s">
        <v>2015</v>
      </c>
    </row>
    <row r="3261" spans="1:2">
      <c r="A3261" s="127">
        <v>4505800</v>
      </c>
      <c r="B3261" s="125" t="s">
        <v>598</v>
      </c>
    </row>
    <row r="3262" spans="1:2">
      <c r="A3262" s="127">
        <v>4506700</v>
      </c>
      <c r="B3262" s="125" t="s">
        <v>77</v>
      </c>
    </row>
    <row r="3263" spans="1:2">
      <c r="A3263" s="127">
        <v>4508500</v>
      </c>
      <c r="B3263" s="125" t="s">
        <v>1539</v>
      </c>
    </row>
    <row r="3264" spans="1:2">
      <c r="A3264" s="127">
        <v>4509000</v>
      </c>
      <c r="B3264" s="125" t="s">
        <v>960</v>
      </c>
    </row>
    <row r="3265" spans="1:2" ht="26.4">
      <c r="A3265" s="127">
        <v>4509300</v>
      </c>
      <c r="B3265" s="125" t="s">
        <v>677</v>
      </c>
    </row>
    <row r="3266" spans="1:2">
      <c r="A3266" s="127">
        <v>4509400</v>
      </c>
      <c r="B3266" s="125" t="s">
        <v>642</v>
      </c>
    </row>
    <row r="3267" spans="1:2">
      <c r="A3267" s="127">
        <v>4510000</v>
      </c>
      <c r="B3267" s="125" t="s">
        <v>1549</v>
      </c>
    </row>
    <row r="3268" spans="1:2">
      <c r="A3268" s="127">
        <v>4510100</v>
      </c>
      <c r="B3268" s="125" t="s">
        <v>684</v>
      </c>
    </row>
    <row r="3269" spans="1:2" ht="79.2">
      <c r="A3269" s="127">
        <v>4510102</v>
      </c>
      <c r="B3269" s="126" t="s">
        <v>71</v>
      </c>
    </row>
    <row r="3270" spans="1:2" ht="66">
      <c r="A3270" s="127">
        <v>4510103</v>
      </c>
      <c r="B3270" s="126" t="s">
        <v>816</v>
      </c>
    </row>
    <row r="3271" spans="1:2">
      <c r="A3271" s="127">
        <v>4518500</v>
      </c>
      <c r="B3271" s="125" t="s">
        <v>1539</v>
      </c>
    </row>
    <row r="3272" spans="1:2" ht="26.4">
      <c r="A3272" s="127">
        <v>4520000</v>
      </c>
      <c r="B3272" s="125" t="s">
        <v>56</v>
      </c>
    </row>
    <row r="3273" spans="1:2">
      <c r="A3273" s="127">
        <v>4529900</v>
      </c>
      <c r="B3273" s="125" t="s">
        <v>81</v>
      </c>
    </row>
    <row r="3274" spans="1:2">
      <c r="A3274" s="127">
        <v>4530000</v>
      </c>
      <c r="B3274" s="125" t="s">
        <v>57</v>
      </c>
    </row>
    <row r="3275" spans="1:2">
      <c r="A3275" s="127">
        <v>4530100</v>
      </c>
      <c r="B3275" s="125" t="s">
        <v>58</v>
      </c>
    </row>
    <row r="3276" spans="1:2" ht="39.6">
      <c r="A3276" s="127">
        <v>4530101</v>
      </c>
      <c r="B3276" s="126" t="s">
        <v>928</v>
      </c>
    </row>
    <row r="3277" spans="1:2" ht="66">
      <c r="A3277" s="127">
        <v>4530102</v>
      </c>
      <c r="B3277" s="126" t="s">
        <v>279</v>
      </c>
    </row>
    <row r="3278" spans="1:2" ht="66">
      <c r="A3278" s="127">
        <v>4530103</v>
      </c>
      <c r="B3278" s="126" t="s">
        <v>2016</v>
      </c>
    </row>
    <row r="3279" spans="1:2" ht="52.8">
      <c r="A3279" s="127">
        <v>4530104</v>
      </c>
      <c r="B3279" s="126" t="s">
        <v>1154</v>
      </c>
    </row>
    <row r="3280" spans="1:2" ht="26.4">
      <c r="A3280" s="127">
        <v>4530105</v>
      </c>
      <c r="B3280" s="125" t="s">
        <v>2017</v>
      </c>
    </row>
    <row r="3281" spans="1:2" ht="39.6">
      <c r="A3281" s="127">
        <v>4530106</v>
      </c>
      <c r="B3281" s="125" t="s">
        <v>2018</v>
      </c>
    </row>
    <row r="3282" spans="1:2" ht="52.8">
      <c r="A3282" s="127">
        <v>4530107</v>
      </c>
      <c r="B3282" s="126" t="s">
        <v>2019</v>
      </c>
    </row>
    <row r="3283" spans="1:2" ht="26.4">
      <c r="A3283" s="127">
        <v>4530109</v>
      </c>
      <c r="B3283" s="125" t="s">
        <v>2020</v>
      </c>
    </row>
    <row r="3284" spans="1:2" ht="26.4">
      <c r="A3284" s="127">
        <v>4530111</v>
      </c>
      <c r="B3284" s="125" t="s">
        <v>2021</v>
      </c>
    </row>
    <row r="3285" spans="1:2">
      <c r="A3285" s="127">
        <v>4538500</v>
      </c>
      <c r="B3285" s="125" t="s">
        <v>1539</v>
      </c>
    </row>
    <row r="3286" spans="1:2">
      <c r="A3286" s="127">
        <v>4539400</v>
      </c>
      <c r="B3286" s="125" t="s">
        <v>642</v>
      </c>
    </row>
    <row r="3287" spans="1:2">
      <c r="A3287" s="127">
        <v>4539900</v>
      </c>
      <c r="B3287" s="125" t="s">
        <v>81</v>
      </c>
    </row>
    <row r="3288" spans="1:2">
      <c r="A3288" s="127">
        <v>4550000</v>
      </c>
      <c r="B3288" s="125" t="s">
        <v>824</v>
      </c>
    </row>
    <row r="3289" spans="1:2" ht="26.4">
      <c r="A3289" s="127">
        <v>4550100</v>
      </c>
      <c r="B3289" s="125" t="s">
        <v>516</v>
      </c>
    </row>
    <row r="3290" spans="1:2" ht="26.4">
      <c r="A3290" s="127">
        <v>4550101</v>
      </c>
      <c r="B3290" s="125" t="s">
        <v>274</v>
      </c>
    </row>
    <row r="3291" spans="1:2" ht="26.4">
      <c r="A3291" s="127">
        <v>4550102</v>
      </c>
      <c r="B3291" s="125" t="s">
        <v>437</v>
      </c>
    </row>
    <row r="3292" spans="1:2">
      <c r="A3292" s="127">
        <v>4555800</v>
      </c>
      <c r="B3292" s="125" t="s">
        <v>598</v>
      </c>
    </row>
    <row r="3293" spans="1:2">
      <c r="A3293" s="127">
        <v>4556800</v>
      </c>
      <c r="B3293" s="125" t="s">
        <v>637</v>
      </c>
    </row>
    <row r="3294" spans="1:2">
      <c r="A3294" s="127">
        <v>4556801</v>
      </c>
      <c r="B3294" s="125" t="s">
        <v>406</v>
      </c>
    </row>
    <row r="3295" spans="1:2" ht="13.5" customHeight="1">
      <c r="A3295" s="127">
        <v>4556802</v>
      </c>
      <c r="B3295" s="125" t="s">
        <v>189</v>
      </c>
    </row>
    <row r="3296" spans="1:2">
      <c r="A3296" s="127">
        <v>4557100</v>
      </c>
      <c r="B3296" s="125" t="s">
        <v>910</v>
      </c>
    </row>
    <row r="3297" spans="1:2">
      <c r="A3297" s="127">
        <v>4557101</v>
      </c>
      <c r="B3297" s="125" t="s">
        <v>313</v>
      </c>
    </row>
    <row r="3298" spans="1:2">
      <c r="A3298" s="127">
        <v>4557102</v>
      </c>
      <c r="B3298" s="125" t="s">
        <v>197</v>
      </c>
    </row>
    <row r="3299" spans="1:2">
      <c r="A3299" s="127">
        <v>4557103</v>
      </c>
      <c r="B3299" s="125" t="s">
        <v>198</v>
      </c>
    </row>
    <row r="3300" spans="1:2">
      <c r="A3300" s="127">
        <v>4557200</v>
      </c>
      <c r="B3300" s="125" t="s">
        <v>261</v>
      </c>
    </row>
    <row r="3301" spans="1:2">
      <c r="A3301" s="127">
        <v>4557201</v>
      </c>
      <c r="B3301" s="125" t="s">
        <v>651</v>
      </c>
    </row>
    <row r="3302" spans="1:2">
      <c r="A3302" s="127">
        <v>4557202</v>
      </c>
      <c r="B3302" s="125" t="s">
        <v>652</v>
      </c>
    </row>
    <row r="3303" spans="1:2">
      <c r="A3303" s="127">
        <v>4557203</v>
      </c>
      <c r="B3303" s="125" t="s">
        <v>595</v>
      </c>
    </row>
    <row r="3304" spans="1:2">
      <c r="A3304" s="127">
        <v>4558500</v>
      </c>
      <c r="B3304" s="125" t="s">
        <v>1539</v>
      </c>
    </row>
    <row r="3305" spans="1:2">
      <c r="A3305" s="127">
        <v>4559900</v>
      </c>
      <c r="B3305" s="125" t="s">
        <v>81</v>
      </c>
    </row>
    <row r="3306" spans="1:2">
      <c r="A3306" s="127">
        <v>4560000</v>
      </c>
      <c r="B3306" s="125" t="s">
        <v>84</v>
      </c>
    </row>
    <row r="3307" spans="1:2" ht="26.4">
      <c r="A3307" s="127">
        <v>4560100</v>
      </c>
      <c r="B3307" s="125" t="s">
        <v>1270</v>
      </c>
    </row>
    <row r="3308" spans="1:2">
      <c r="A3308" s="127">
        <v>4560101</v>
      </c>
      <c r="B3308" s="125" t="s">
        <v>1595</v>
      </c>
    </row>
    <row r="3309" spans="1:2">
      <c r="A3309" s="127">
        <v>4560102</v>
      </c>
      <c r="B3309" s="125" t="s">
        <v>1596</v>
      </c>
    </row>
    <row r="3310" spans="1:2">
      <c r="A3310" s="127">
        <v>4568500</v>
      </c>
      <c r="B3310" s="125" t="s">
        <v>1539</v>
      </c>
    </row>
    <row r="3311" spans="1:2">
      <c r="A3311" s="127">
        <v>4570000</v>
      </c>
      <c r="B3311" s="125" t="s">
        <v>888</v>
      </c>
    </row>
    <row r="3312" spans="1:2" ht="26.4">
      <c r="A3312" s="127">
        <v>4570100</v>
      </c>
      <c r="B3312" s="125" t="s">
        <v>2022</v>
      </c>
    </row>
    <row r="3313" spans="1:2">
      <c r="A3313" s="127">
        <v>4575800</v>
      </c>
      <c r="B3313" s="125" t="s">
        <v>598</v>
      </c>
    </row>
    <row r="3314" spans="1:2">
      <c r="A3314" s="127">
        <v>4577100</v>
      </c>
      <c r="B3314" s="125" t="s">
        <v>910</v>
      </c>
    </row>
    <row r="3315" spans="1:2">
      <c r="A3315" s="127">
        <v>4577101</v>
      </c>
      <c r="B3315" s="125" t="s">
        <v>313</v>
      </c>
    </row>
    <row r="3316" spans="1:2">
      <c r="A3316" s="127">
        <v>4577102</v>
      </c>
      <c r="B3316" s="125" t="s">
        <v>197</v>
      </c>
    </row>
    <row r="3317" spans="1:2">
      <c r="A3317" s="127">
        <v>4577103</v>
      </c>
      <c r="B3317" s="125" t="s">
        <v>198</v>
      </c>
    </row>
    <row r="3318" spans="1:2">
      <c r="A3318" s="127">
        <v>4577200</v>
      </c>
      <c r="B3318" s="125" t="s">
        <v>261</v>
      </c>
    </row>
    <row r="3319" spans="1:2">
      <c r="A3319" s="127">
        <v>4577201</v>
      </c>
      <c r="B3319" s="125" t="s">
        <v>651</v>
      </c>
    </row>
    <row r="3320" spans="1:2">
      <c r="A3320" s="127">
        <v>4577202</v>
      </c>
      <c r="B3320" s="125" t="s">
        <v>652</v>
      </c>
    </row>
    <row r="3321" spans="1:2">
      <c r="A3321" s="127">
        <v>4577203</v>
      </c>
      <c r="B3321" s="125" t="s">
        <v>595</v>
      </c>
    </row>
    <row r="3322" spans="1:2">
      <c r="A3322" s="127">
        <v>4577600</v>
      </c>
      <c r="B3322" s="125" t="s">
        <v>1130</v>
      </c>
    </row>
    <row r="3323" spans="1:2">
      <c r="A3323" s="127">
        <v>4578500</v>
      </c>
      <c r="B3323" s="125" t="s">
        <v>1539</v>
      </c>
    </row>
    <row r="3324" spans="1:2">
      <c r="A3324" s="127">
        <v>4579900</v>
      </c>
      <c r="B3324" s="125" t="s">
        <v>81</v>
      </c>
    </row>
    <row r="3325" spans="1:2">
      <c r="A3325" s="127">
        <v>4680000</v>
      </c>
      <c r="B3325" s="125" t="s">
        <v>497</v>
      </c>
    </row>
    <row r="3326" spans="1:2">
      <c r="A3326" s="127">
        <v>4689900</v>
      </c>
      <c r="B3326" s="125" t="s">
        <v>81</v>
      </c>
    </row>
    <row r="3327" spans="1:2">
      <c r="A3327" s="127">
        <v>4690000</v>
      </c>
      <c r="B3327" s="125" t="s">
        <v>889</v>
      </c>
    </row>
    <row r="3328" spans="1:2">
      <c r="A3328" s="127">
        <v>4695800</v>
      </c>
      <c r="B3328" s="125" t="s">
        <v>598</v>
      </c>
    </row>
    <row r="3329" spans="1:2">
      <c r="A3329" s="127">
        <v>4697100</v>
      </c>
      <c r="B3329" s="125" t="s">
        <v>910</v>
      </c>
    </row>
    <row r="3330" spans="1:2">
      <c r="A3330" s="127">
        <v>4697101</v>
      </c>
      <c r="B3330" s="125" t="s">
        <v>313</v>
      </c>
    </row>
    <row r="3331" spans="1:2">
      <c r="A3331" s="127">
        <v>4697102</v>
      </c>
      <c r="B3331" s="125" t="s">
        <v>197</v>
      </c>
    </row>
    <row r="3332" spans="1:2">
      <c r="A3332" s="127">
        <v>4697103</v>
      </c>
      <c r="B3332" s="125" t="s">
        <v>198</v>
      </c>
    </row>
    <row r="3333" spans="1:2">
      <c r="A3333" s="127">
        <v>4697200</v>
      </c>
      <c r="B3333" s="125" t="s">
        <v>261</v>
      </c>
    </row>
    <row r="3334" spans="1:2">
      <c r="A3334" s="127">
        <v>4697201</v>
      </c>
      <c r="B3334" s="125" t="s">
        <v>651</v>
      </c>
    </row>
    <row r="3335" spans="1:2">
      <c r="A3335" s="127">
        <v>4697202</v>
      </c>
      <c r="B3335" s="125" t="s">
        <v>652</v>
      </c>
    </row>
    <row r="3336" spans="1:2">
      <c r="A3336" s="127">
        <v>4697203</v>
      </c>
      <c r="B3336" s="125" t="s">
        <v>595</v>
      </c>
    </row>
    <row r="3337" spans="1:2">
      <c r="A3337" s="127">
        <v>4699900</v>
      </c>
      <c r="B3337" s="125" t="s">
        <v>81</v>
      </c>
    </row>
    <row r="3338" spans="1:2">
      <c r="A3338" s="127">
        <v>4700000</v>
      </c>
      <c r="B3338" s="125" t="s">
        <v>1413</v>
      </c>
    </row>
    <row r="3339" spans="1:2" ht="52.8">
      <c r="A3339" s="127">
        <v>4700100</v>
      </c>
      <c r="B3339" s="126" t="s">
        <v>1278</v>
      </c>
    </row>
    <row r="3340" spans="1:2">
      <c r="A3340" s="127">
        <v>4700200</v>
      </c>
      <c r="B3340" s="125" t="s">
        <v>499</v>
      </c>
    </row>
    <row r="3341" spans="1:2" ht="39.6">
      <c r="A3341" s="127">
        <v>4700300</v>
      </c>
      <c r="B3341" s="126" t="s">
        <v>1279</v>
      </c>
    </row>
    <row r="3342" spans="1:2">
      <c r="A3342" s="127">
        <v>4705800</v>
      </c>
      <c r="B3342" s="125" t="s">
        <v>598</v>
      </c>
    </row>
    <row r="3343" spans="1:2">
      <c r="A3343" s="127">
        <v>4706200</v>
      </c>
      <c r="B3343" s="125" t="s">
        <v>182</v>
      </c>
    </row>
    <row r="3344" spans="1:2">
      <c r="A3344" s="127">
        <v>4706800</v>
      </c>
      <c r="B3344" s="125" t="s">
        <v>637</v>
      </c>
    </row>
    <row r="3345" spans="1:2">
      <c r="A3345" s="127">
        <v>4706801</v>
      </c>
      <c r="B3345" s="125" t="s">
        <v>406</v>
      </c>
    </row>
    <row r="3346" spans="1:2">
      <c r="A3346" s="127">
        <v>4706802</v>
      </c>
      <c r="B3346" s="125" t="s">
        <v>189</v>
      </c>
    </row>
    <row r="3347" spans="1:2">
      <c r="A3347" s="127">
        <v>4707100</v>
      </c>
      <c r="B3347" s="125" t="s">
        <v>910</v>
      </c>
    </row>
    <row r="3348" spans="1:2">
      <c r="A3348" s="127">
        <v>4707101</v>
      </c>
      <c r="B3348" s="125" t="s">
        <v>313</v>
      </c>
    </row>
    <row r="3349" spans="1:2">
      <c r="A3349" s="127">
        <v>4707102</v>
      </c>
      <c r="B3349" s="125" t="s">
        <v>197</v>
      </c>
    </row>
    <row r="3350" spans="1:2">
      <c r="A3350" s="127">
        <v>4707103</v>
      </c>
      <c r="B3350" s="125" t="s">
        <v>198</v>
      </c>
    </row>
    <row r="3351" spans="1:2">
      <c r="A3351" s="127">
        <v>4707200</v>
      </c>
      <c r="B3351" s="125" t="s">
        <v>261</v>
      </c>
    </row>
    <row r="3352" spans="1:2">
      <c r="A3352" s="127">
        <v>4707201</v>
      </c>
      <c r="B3352" s="125" t="s">
        <v>651</v>
      </c>
    </row>
    <row r="3353" spans="1:2">
      <c r="A3353" s="127">
        <v>4707202</v>
      </c>
      <c r="B3353" s="125" t="s">
        <v>652</v>
      </c>
    </row>
    <row r="3354" spans="1:2">
      <c r="A3354" s="127">
        <v>4707203</v>
      </c>
      <c r="B3354" s="125" t="s">
        <v>595</v>
      </c>
    </row>
    <row r="3355" spans="1:2">
      <c r="A3355" s="127">
        <v>4707600</v>
      </c>
      <c r="B3355" s="125" t="s">
        <v>1130</v>
      </c>
    </row>
    <row r="3356" spans="1:2">
      <c r="A3356" s="127">
        <v>4709900</v>
      </c>
      <c r="B3356" s="125" t="s">
        <v>81</v>
      </c>
    </row>
    <row r="3357" spans="1:2">
      <c r="A3357" s="127">
        <v>4710000</v>
      </c>
      <c r="B3357" s="125" t="s">
        <v>890</v>
      </c>
    </row>
    <row r="3358" spans="1:2">
      <c r="A3358" s="127">
        <v>4715800</v>
      </c>
      <c r="B3358" s="125" t="s">
        <v>598</v>
      </c>
    </row>
    <row r="3359" spans="1:2">
      <c r="A3359" s="127">
        <v>4716200</v>
      </c>
      <c r="B3359" s="125" t="s">
        <v>182</v>
      </c>
    </row>
    <row r="3360" spans="1:2">
      <c r="A3360" s="127">
        <v>4716800</v>
      </c>
      <c r="B3360" s="125" t="s">
        <v>78</v>
      </c>
    </row>
    <row r="3361" spans="1:2">
      <c r="A3361" s="127">
        <v>4716801</v>
      </c>
      <c r="B3361" s="125" t="s">
        <v>406</v>
      </c>
    </row>
    <row r="3362" spans="1:2">
      <c r="A3362" s="127">
        <v>4716802</v>
      </c>
      <c r="B3362" s="125" t="s">
        <v>189</v>
      </c>
    </row>
    <row r="3363" spans="1:2">
      <c r="A3363" s="127">
        <v>4717100</v>
      </c>
      <c r="B3363" s="125" t="s">
        <v>910</v>
      </c>
    </row>
    <row r="3364" spans="1:2">
      <c r="A3364" s="127">
        <v>4717101</v>
      </c>
      <c r="B3364" s="125" t="s">
        <v>313</v>
      </c>
    </row>
    <row r="3365" spans="1:2">
      <c r="A3365" s="127">
        <v>4717102</v>
      </c>
      <c r="B3365" s="125" t="s">
        <v>197</v>
      </c>
    </row>
    <row r="3366" spans="1:2">
      <c r="A3366" s="127">
        <v>4717103</v>
      </c>
      <c r="B3366" s="125" t="s">
        <v>198</v>
      </c>
    </row>
    <row r="3367" spans="1:2">
      <c r="A3367" s="127">
        <v>4717200</v>
      </c>
      <c r="B3367" s="125" t="s">
        <v>261</v>
      </c>
    </row>
    <row r="3368" spans="1:2">
      <c r="A3368" s="127">
        <v>4717201</v>
      </c>
      <c r="B3368" s="125" t="s">
        <v>651</v>
      </c>
    </row>
    <row r="3369" spans="1:2">
      <c r="A3369" s="127">
        <v>4717202</v>
      </c>
      <c r="B3369" s="125" t="s">
        <v>652</v>
      </c>
    </row>
    <row r="3370" spans="1:2">
      <c r="A3370" s="127">
        <v>4717203</v>
      </c>
      <c r="B3370" s="125" t="s">
        <v>595</v>
      </c>
    </row>
    <row r="3371" spans="1:2">
      <c r="A3371" s="127">
        <v>4717600</v>
      </c>
      <c r="B3371" s="125" t="s">
        <v>1198</v>
      </c>
    </row>
    <row r="3372" spans="1:2">
      <c r="A3372" s="127">
        <v>4719900</v>
      </c>
      <c r="B3372" s="125" t="s">
        <v>81</v>
      </c>
    </row>
    <row r="3373" spans="1:2">
      <c r="A3373" s="127">
        <v>4720000</v>
      </c>
      <c r="B3373" s="125" t="s">
        <v>208</v>
      </c>
    </row>
    <row r="3374" spans="1:2">
      <c r="A3374" s="127">
        <v>4729900</v>
      </c>
      <c r="B3374" s="125" t="s">
        <v>81</v>
      </c>
    </row>
    <row r="3375" spans="1:2">
      <c r="A3375" s="127">
        <v>4730000</v>
      </c>
      <c r="B3375" s="125" t="s">
        <v>823</v>
      </c>
    </row>
    <row r="3376" spans="1:2">
      <c r="A3376" s="127">
        <v>4739900</v>
      </c>
      <c r="B3376" s="125" t="s">
        <v>81</v>
      </c>
    </row>
    <row r="3377" spans="1:2">
      <c r="A3377" s="127">
        <v>4740000</v>
      </c>
      <c r="B3377" s="125" t="s">
        <v>310</v>
      </c>
    </row>
    <row r="3378" spans="1:2">
      <c r="A3378" s="127">
        <v>4749900</v>
      </c>
      <c r="B3378" s="125" t="s">
        <v>81</v>
      </c>
    </row>
    <row r="3379" spans="1:2">
      <c r="A3379" s="127">
        <v>4750000</v>
      </c>
      <c r="B3379" s="125" t="s">
        <v>933</v>
      </c>
    </row>
    <row r="3380" spans="1:2">
      <c r="A3380" s="127">
        <v>4755800</v>
      </c>
      <c r="B3380" s="125" t="s">
        <v>598</v>
      </c>
    </row>
    <row r="3381" spans="1:2">
      <c r="A3381" s="127">
        <v>4756800</v>
      </c>
      <c r="B3381" s="125" t="s">
        <v>637</v>
      </c>
    </row>
    <row r="3382" spans="1:2">
      <c r="A3382" s="127">
        <v>4756801</v>
      </c>
      <c r="B3382" s="125" t="s">
        <v>406</v>
      </c>
    </row>
    <row r="3383" spans="1:2">
      <c r="A3383" s="127">
        <v>4756802</v>
      </c>
      <c r="B3383" s="125" t="s">
        <v>189</v>
      </c>
    </row>
    <row r="3384" spans="1:2">
      <c r="A3384" s="127">
        <v>4757100</v>
      </c>
      <c r="B3384" s="125" t="s">
        <v>910</v>
      </c>
    </row>
    <row r="3385" spans="1:2">
      <c r="A3385" s="127">
        <v>4757101</v>
      </c>
      <c r="B3385" s="125" t="s">
        <v>313</v>
      </c>
    </row>
    <row r="3386" spans="1:2">
      <c r="A3386" s="127">
        <v>4757102</v>
      </c>
      <c r="B3386" s="125" t="s">
        <v>197</v>
      </c>
    </row>
    <row r="3387" spans="1:2">
      <c r="A3387" s="127">
        <v>4757103</v>
      </c>
      <c r="B3387" s="125" t="s">
        <v>198</v>
      </c>
    </row>
    <row r="3388" spans="1:2">
      <c r="A3388" s="127">
        <v>4757200</v>
      </c>
      <c r="B3388" s="125" t="s">
        <v>261</v>
      </c>
    </row>
    <row r="3389" spans="1:2">
      <c r="A3389" s="127">
        <v>4757201</v>
      </c>
      <c r="B3389" s="125" t="s">
        <v>651</v>
      </c>
    </row>
    <row r="3390" spans="1:2">
      <c r="A3390" s="127">
        <v>4757202</v>
      </c>
      <c r="B3390" s="125" t="s">
        <v>652</v>
      </c>
    </row>
    <row r="3391" spans="1:2">
      <c r="A3391" s="127">
        <v>4757203</v>
      </c>
      <c r="B3391" s="125" t="s">
        <v>595</v>
      </c>
    </row>
    <row r="3392" spans="1:2">
      <c r="A3392" s="127">
        <v>4757600</v>
      </c>
      <c r="B3392" s="125" t="s">
        <v>1130</v>
      </c>
    </row>
    <row r="3393" spans="1:2">
      <c r="A3393" s="127">
        <v>4759900</v>
      </c>
      <c r="B3393" s="125" t="s">
        <v>81</v>
      </c>
    </row>
    <row r="3394" spans="1:2">
      <c r="A3394" s="127">
        <v>4790000</v>
      </c>
      <c r="B3394" s="125" t="s">
        <v>210</v>
      </c>
    </row>
    <row r="3395" spans="1:2">
      <c r="A3395" s="127">
        <v>4799900</v>
      </c>
      <c r="B3395" s="125" t="s">
        <v>81</v>
      </c>
    </row>
    <row r="3396" spans="1:2">
      <c r="A3396" s="127">
        <v>4800000</v>
      </c>
      <c r="B3396" s="125" t="s">
        <v>951</v>
      </c>
    </row>
    <row r="3397" spans="1:2">
      <c r="A3397" s="127">
        <v>4805800</v>
      </c>
      <c r="B3397" s="125" t="s">
        <v>598</v>
      </c>
    </row>
    <row r="3398" spans="1:2">
      <c r="A3398" s="127">
        <v>4806800</v>
      </c>
      <c r="B3398" s="125" t="s">
        <v>78</v>
      </c>
    </row>
    <row r="3399" spans="1:2">
      <c r="A3399" s="127">
        <v>4806801</v>
      </c>
      <c r="B3399" s="125" t="s">
        <v>406</v>
      </c>
    </row>
    <row r="3400" spans="1:2">
      <c r="A3400" s="127">
        <v>4806802</v>
      </c>
      <c r="B3400" s="125" t="s">
        <v>189</v>
      </c>
    </row>
    <row r="3401" spans="1:2">
      <c r="A3401" s="127">
        <v>4807100</v>
      </c>
      <c r="B3401" s="125" t="s">
        <v>910</v>
      </c>
    </row>
    <row r="3402" spans="1:2">
      <c r="A3402" s="127">
        <v>4807101</v>
      </c>
      <c r="B3402" s="125" t="s">
        <v>313</v>
      </c>
    </row>
    <row r="3403" spans="1:2">
      <c r="A3403" s="127">
        <v>4807102</v>
      </c>
      <c r="B3403" s="125" t="s">
        <v>197</v>
      </c>
    </row>
    <row r="3404" spans="1:2">
      <c r="A3404" s="127">
        <v>4807103</v>
      </c>
      <c r="B3404" s="125" t="s">
        <v>198</v>
      </c>
    </row>
    <row r="3405" spans="1:2">
      <c r="A3405" s="127">
        <v>4807200</v>
      </c>
      <c r="B3405" s="125" t="s">
        <v>261</v>
      </c>
    </row>
    <row r="3406" spans="1:2">
      <c r="A3406" s="127">
        <v>4807201</v>
      </c>
      <c r="B3406" s="125" t="s">
        <v>651</v>
      </c>
    </row>
    <row r="3407" spans="1:2">
      <c r="A3407" s="127">
        <v>4807202</v>
      </c>
      <c r="B3407" s="125" t="s">
        <v>652</v>
      </c>
    </row>
    <row r="3408" spans="1:2">
      <c r="A3408" s="127">
        <v>4807203</v>
      </c>
      <c r="B3408" s="125" t="s">
        <v>595</v>
      </c>
    </row>
    <row r="3409" spans="1:2">
      <c r="A3409" s="127">
        <v>4807600</v>
      </c>
      <c r="B3409" s="125" t="s">
        <v>1130</v>
      </c>
    </row>
    <row r="3410" spans="1:2">
      <c r="A3410" s="127">
        <v>4809900</v>
      </c>
      <c r="B3410" s="125" t="s">
        <v>81</v>
      </c>
    </row>
    <row r="3411" spans="1:2">
      <c r="A3411" s="127">
        <v>4810000</v>
      </c>
      <c r="B3411" s="125" t="s">
        <v>91</v>
      </c>
    </row>
    <row r="3412" spans="1:2">
      <c r="A3412" s="127">
        <v>4810100</v>
      </c>
      <c r="B3412" s="125" t="s">
        <v>512</v>
      </c>
    </row>
    <row r="3413" spans="1:2">
      <c r="A3413" s="127">
        <v>4810200</v>
      </c>
      <c r="B3413" s="125" t="s">
        <v>1636</v>
      </c>
    </row>
    <row r="3414" spans="1:2" ht="26.4">
      <c r="A3414" s="127">
        <v>4810300</v>
      </c>
      <c r="B3414" s="125" t="s">
        <v>1280</v>
      </c>
    </row>
    <row r="3415" spans="1:2" ht="26.4">
      <c r="A3415" s="127">
        <v>4810400</v>
      </c>
      <c r="B3415" s="125" t="s">
        <v>1281</v>
      </c>
    </row>
    <row r="3416" spans="1:2">
      <c r="A3416" s="127">
        <v>4817700</v>
      </c>
      <c r="B3416" s="125" t="s">
        <v>1255</v>
      </c>
    </row>
    <row r="3417" spans="1:2">
      <c r="A3417" s="127">
        <v>4820000</v>
      </c>
      <c r="B3417" s="125" t="s">
        <v>92</v>
      </c>
    </row>
    <row r="3418" spans="1:2">
      <c r="A3418" s="127">
        <v>4825800</v>
      </c>
      <c r="B3418" s="125" t="s">
        <v>598</v>
      </c>
    </row>
    <row r="3419" spans="1:2">
      <c r="A3419" s="127">
        <v>4827100</v>
      </c>
      <c r="B3419" s="125" t="s">
        <v>910</v>
      </c>
    </row>
    <row r="3420" spans="1:2">
      <c r="A3420" s="127">
        <v>4827101</v>
      </c>
      <c r="B3420" s="125" t="s">
        <v>313</v>
      </c>
    </row>
    <row r="3421" spans="1:2">
      <c r="A3421" s="127">
        <v>4827102</v>
      </c>
      <c r="B3421" s="125" t="s">
        <v>197</v>
      </c>
    </row>
    <row r="3422" spans="1:2">
      <c r="A3422" s="127">
        <v>4827103</v>
      </c>
      <c r="B3422" s="125" t="s">
        <v>198</v>
      </c>
    </row>
    <row r="3423" spans="1:2">
      <c r="A3423" s="127">
        <v>4827200</v>
      </c>
      <c r="B3423" s="125" t="s">
        <v>261</v>
      </c>
    </row>
    <row r="3424" spans="1:2">
      <c r="A3424" s="127">
        <v>4827201</v>
      </c>
      <c r="B3424" s="125" t="s">
        <v>651</v>
      </c>
    </row>
    <row r="3425" spans="1:2">
      <c r="A3425" s="127">
        <v>4827202</v>
      </c>
      <c r="B3425" s="125" t="s">
        <v>652</v>
      </c>
    </row>
    <row r="3426" spans="1:2">
      <c r="A3426" s="127">
        <v>4827203</v>
      </c>
      <c r="B3426" s="125" t="s">
        <v>595</v>
      </c>
    </row>
    <row r="3427" spans="1:2">
      <c r="A3427" s="127">
        <v>4829900</v>
      </c>
      <c r="B3427" s="125" t="s">
        <v>81</v>
      </c>
    </row>
    <row r="3428" spans="1:2">
      <c r="A3428" s="127">
        <v>4830000</v>
      </c>
      <c r="B3428" s="125" t="s">
        <v>93</v>
      </c>
    </row>
    <row r="3429" spans="1:2">
      <c r="A3429" s="127">
        <v>4839900</v>
      </c>
      <c r="B3429" s="125" t="s">
        <v>81</v>
      </c>
    </row>
    <row r="3430" spans="1:2">
      <c r="A3430" s="127">
        <v>4840000</v>
      </c>
      <c r="B3430" s="125" t="s">
        <v>288</v>
      </c>
    </row>
    <row r="3431" spans="1:2">
      <c r="A3431" s="127">
        <v>4849900</v>
      </c>
      <c r="B3431" s="125" t="s">
        <v>81</v>
      </c>
    </row>
    <row r="3432" spans="1:2">
      <c r="A3432" s="127">
        <v>4850000</v>
      </c>
      <c r="B3432" s="125" t="s">
        <v>1282</v>
      </c>
    </row>
    <row r="3433" spans="1:2">
      <c r="A3433" s="127">
        <v>4850100</v>
      </c>
      <c r="B3433" s="125" t="s">
        <v>378</v>
      </c>
    </row>
    <row r="3434" spans="1:2">
      <c r="A3434" s="127">
        <v>4850200</v>
      </c>
      <c r="B3434" s="125" t="s">
        <v>326</v>
      </c>
    </row>
    <row r="3435" spans="1:2" ht="39.6">
      <c r="A3435" s="127">
        <v>4850300</v>
      </c>
      <c r="B3435" s="126" t="s">
        <v>1283</v>
      </c>
    </row>
    <row r="3436" spans="1:2" ht="26.4">
      <c r="A3436" s="127">
        <v>4850400</v>
      </c>
      <c r="B3436" s="125" t="s">
        <v>1284</v>
      </c>
    </row>
    <row r="3437" spans="1:2">
      <c r="A3437" s="127">
        <v>4850500</v>
      </c>
      <c r="B3437" s="125" t="s">
        <v>1285</v>
      </c>
    </row>
    <row r="3438" spans="1:2">
      <c r="A3438" s="127">
        <v>4850600</v>
      </c>
      <c r="B3438" s="125" t="s">
        <v>308</v>
      </c>
    </row>
    <row r="3439" spans="1:2">
      <c r="A3439" s="127">
        <v>4850700</v>
      </c>
      <c r="B3439" s="125" t="s">
        <v>1244</v>
      </c>
    </row>
    <row r="3440" spans="1:2">
      <c r="A3440" s="127">
        <v>4850800</v>
      </c>
      <c r="B3440" s="125" t="s">
        <v>533</v>
      </c>
    </row>
    <row r="3441" spans="1:2">
      <c r="A3441" s="127">
        <v>4850900</v>
      </c>
      <c r="B3441" s="125" t="s">
        <v>209</v>
      </c>
    </row>
    <row r="3442" spans="1:2" ht="39.6">
      <c r="A3442" s="127">
        <v>4851000</v>
      </c>
      <c r="B3442" s="126" t="s">
        <v>692</v>
      </c>
    </row>
    <row r="3443" spans="1:2">
      <c r="A3443" s="127">
        <v>4851300</v>
      </c>
      <c r="B3443" s="125" t="s">
        <v>693</v>
      </c>
    </row>
    <row r="3444" spans="1:2" ht="52.8">
      <c r="A3444" s="127">
        <v>4851400</v>
      </c>
      <c r="B3444" s="126" t="s">
        <v>694</v>
      </c>
    </row>
    <row r="3445" spans="1:2">
      <c r="A3445" s="127">
        <v>4851600</v>
      </c>
      <c r="B3445" s="125" t="s">
        <v>695</v>
      </c>
    </row>
    <row r="3446" spans="1:2" ht="26.4">
      <c r="A3446" s="127">
        <v>4851700</v>
      </c>
      <c r="B3446" s="125" t="s">
        <v>696</v>
      </c>
    </row>
    <row r="3447" spans="1:2">
      <c r="A3447" s="127">
        <v>4851800</v>
      </c>
      <c r="B3447" s="125" t="s">
        <v>697</v>
      </c>
    </row>
    <row r="3448" spans="1:2" ht="26.4">
      <c r="A3448" s="127">
        <v>4851900</v>
      </c>
      <c r="B3448" s="125" t="s">
        <v>698</v>
      </c>
    </row>
    <row r="3449" spans="1:2">
      <c r="A3449" s="127">
        <v>4852000</v>
      </c>
      <c r="B3449" s="125" t="s">
        <v>699</v>
      </c>
    </row>
    <row r="3450" spans="1:2">
      <c r="A3450" s="127">
        <v>4852300</v>
      </c>
      <c r="B3450" s="125" t="s">
        <v>700</v>
      </c>
    </row>
    <row r="3451" spans="1:2">
      <c r="A3451" s="127">
        <v>4852400</v>
      </c>
      <c r="B3451" s="125" t="s">
        <v>1288</v>
      </c>
    </row>
    <row r="3452" spans="1:2">
      <c r="A3452" s="127">
        <v>4852500</v>
      </c>
      <c r="B3452" s="125" t="s">
        <v>1289</v>
      </c>
    </row>
    <row r="3453" spans="1:2">
      <c r="A3453" s="127">
        <v>4857700</v>
      </c>
      <c r="B3453" s="125" t="s">
        <v>1290</v>
      </c>
    </row>
    <row r="3454" spans="1:2">
      <c r="A3454" s="127">
        <v>4859700</v>
      </c>
      <c r="B3454" s="125" t="s">
        <v>1152</v>
      </c>
    </row>
    <row r="3455" spans="1:2">
      <c r="A3455" s="127">
        <v>4870000</v>
      </c>
      <c r="B3455" s="125" t="s">
        <v>701</v>
      </c>
    </row>
    <row r="3456" spans="1:2">
      <c r="A3456" s="127">
        <v>4870100</v>
      </c>
      <c r="B3456" s="125" t="s">
        <v>378</v>
      </c>
    </row>
    <row r="3457" spans="1:2" ht="26.4">
      <c r="A3457" s="127">
        <v>4870200</v>
      </c>
      <c r="B3457" s="125" t="s">
        <v>702</v>
      </c>
    </row>
    <row r="3458" spans="1:2">
      <c r="A3458" s="127">
        <v>4880000</v>
      </c>
      <c r="B3458" s="125" t="s">
        <v>703</v>
      </c>
    </row>
    <row r="3459" spans="1:2">
      <c r="A3459" s="127">
        <v>4900000</v>
      </c>
      <c r="B3459" s="125" t="s">
        <v>306</v>
      </c>
    </row>
    <row r="3460" spans="1:2" ht="39.6">
      <c r="A3460" s="127">
        <v>4900100</v>
      </c>
      <c r="B3460" s="126" t="s">
        <v>252</v>
      </c>
    </row>
    <row r="3461" spans="1:2" ht="26.4">
      <c r="A3461" s="127">
        <v>4900101</v>
      </c>
      <c r="B3461" s="125" t="s">
        <v>704</v>
      </c>
    </row>
    <row r="3462" spans="1:2" ht="39.6">
      <c r="A3462" s="127">
        <v>4900200</v>
      </c>
      <c r="B3462" s="125" t="s">
        <v>154</v>
      </c>
    </row>
    <row r="3463" spans="1:2">
      <c r="A3463" s="127">
        <v>4900201</v>
      </c>
      <c r="B3463" s="125" t="s">
        <v>155</v>
      </c>
    </row>
    <row r="3464" spans="1:2" ht="26.4">
      <c r="A3464" s="127">
        <v>4900300</v>
      </c>
      <c r="B3464" s="125" t="s">
        <v>705</v>
      </c>
    </row>
    <row r="3465" spans="1:2">
      <c r="A3465" s="127">
        <v>4900301</v>
      </c>
      <c r="B3465" s="125" t="s">
        <v>281</v>
      </c>
    </row>
    <row r="3466" spans="1:2">
      <c r="A3466" s="127">
        <v>4900400</v>
      </c>
      <c r="B3466" s="125" t="s">
        <v>706</v>
      </c>
    </row>
    <row r="3467" spans="1:2" ht="56.25" customHeight="1">
      <c r="A3467" s="127">
        <v>4900500</v>
      </c>
      <c r="B3467" s="125" t="s">
        <v>707</v>
      </c>
    </row>
    <row r="3468" spans="1:2">
      <c r="A3468" s="127">
        <v>4900501</v>
      </c>
      <c r="B3468" s="125" t="s">
        <v>708</v>
      </c>
    </row>
    <row r="3469" spans="1:2">
      <c r="A3469" s="127">
        <v>4910000</v>
      </c>
      <c r="B3469" s="125" t="s">
        <v>184</v>
      </c>
    </row>
    <row r="3470" spans="1:2">
      <c r="A3470" s="127">
        <v>4910100</v>
      </c>
      <c r="B3470" s="125" t="s">
        <v>913</v>
      </c>
    </row>
    <row r="3471" spans="1:2">
      <c r="A3471" s="127">
        <v>5000000</v>
      </c>
      <c r="B3471" s="125" t="s">
        <v>783</v>
      </c>
    </row>
    <row r="3472" spans="1:2">
      <c r="A3472" s="127">
        <v>5009900</v>
      </c>
      <c r="B3472" s="125" t="s">
        <v>81</v>
      </c>
    </row>
    <row r="3473" spans="1:2">
      <c r="A3473" s="127">
        <v>5010000</v>
      </c>
      <c r="B3473" s="125" t="s">
        <v>1948</v>
      </c>
    </row>
    <row r="3474" spans="1:2">
      <c r="A3474" s="127">
        <v>5019900</v>
      </c>
      <c r="B3474" s="125" t="s">
        <v>81</v>
      </c>
    </row>
    <row r="3475" spans="1:2">
      <c r="A3475" s="127">
        <v>5020000</v>
      </c>
      <c r="B3475" s="125" t="s">
        <v>1949</v>
      </c>
    </row>
    <row r="3476" spans="1:2">
      <c r="A3476" s="127">
        <v>5029900</v>
      </c>
      <c r="B3476" s="125" t="s">
        <v>81</v>
      </c>
    </row>
    <row r="3477" spans="1:2">
      <c r="A3477" s="127">
        <v>5050000</v>
      </c>
      <c r="B3477" s="125" t="s">
        <v>282</v>
      </c>
    </row>
    <row r="3478" spans="1:2" ht="26.4">
      <c r="A3478" s="127">
        <v>5050100</v>
      </c>
      <c r="B3478" s="125" t="s">
        <v>392</v>
      </c>
    </row>
    <row r="3479" spans="1:2" ht="26.4">
      <c r="A3479" s="127">
        <v>5050101</v>
      </c>
      <c r="B3479" s="125" t="s">
        <v>930</v>
      </c>
    </row>
    <row r="3480" spans="1:2" ht="26.4">
      <c r="A3480" s="127">
        <v>5050102</v>
      </c>
      <c r="B3480" s="125" t="s">
        <v>1526</v>
      </c>
    </row>
    <row r="3481" spans="1:2">
      <c r="A3481" s="127">
        <v>5050103</v>
      </c>
      <c r="B3481" s="125" t="s">
        <v>1464</v>
      </c>
    </row>
    <row r="3482" spans="1:2">
      <c r="A3482" s="127">
        <v>5050104</v>
      </c>
      <c r="B3482" s="125" t="s">
        <v>474</v>
      </c>
    </row>
    <row r="3483" spans="1:2">
      <c r="A3483" s="127">
        <v>5050105</v>
      </c>
      <c r="B3483" s="125" t="s">
        <v>743</v>
      </c>
    </row>
    <row r="3484" spans="1:2">
      <c r="A3484" s="127">
        <v>5050200</v>
      </c>
      <c r="B3484" s="125" t="s">
        <v>744</v>
      </c>
    </row>
    <row r="3485" spans="1:2" ht="26.4">
      <c r="A3485" s="127">
        <v>5050201</v>
      </c>
      <c r="B3485" s="125" t="s">
        <v>1623</v>
      </c>
    </row>
    <row r="3486" spans="1:2">
      <c r="A3486" s="127">
        <v>5050202</v>
      </c>
      <c r="B3486" s="125" t="s">
        <v>635</v>
      </c>
    </row>
    <row r="3487" spans="1:2">
      <c r="A3487" s="127">
        <v>5050300</v>
      </c>
      <c r="B3487" s="125" t="s">
        <v>709</v>
      </c>
    </row>
    <row r="3488" spans="1:2" ht="26.4">
      <c r="A3488" s="127">
        <v>5050301</v>
      </c>
      <c r="B3488" s="125" t="s">
        <v>710</v>
      </c>
    </row>
    <row r="3489" spans="1:2" ht="39.6">
      <c r="A3489" s="127">
        <v>5050302</v>
      </c>
      <c r="B3489" s="125" t="s">
        <v>711</v>
      </c>
    </row>
    <row r="3490" spans="1:2" ht="26.4">
      <c r="A3490" s="127">
        <v>5050303</v>
      </c>
      <c r="B3490" s="125" t="s">
        <v>1057</v>
      </c>
    </row>
    <row r="3491" spans="1:2">
      <c r="A3491" s="127">
        <v>5050304</v>
      </c>
      <c r="B3491" s="125" t="s">
        <v>712</v>
      </c>
    </row>
    <row r="3492" spans="1:2">
      <c r="A3492" s="127">
        <v>5050400</v>
      </c>
      <c r="B3492" s="125" t="s">
        <v>201</v>
      </c>
    </row>
    <row r="3493" spans="1:2">
      <c r="A3493" s="127">
        <v>5050401</v>
      </c>
      <c r="B3493" s="125" t="s">
        <v>2</v>
      </c>
    </row>
    <row r="3494" spans="1:2">
      <c r="A3494" s="127">
        <v>5050500</v>
      </c>
      <c r="B3494" s="125" t="s">
        <v>3</v>
      </c>
    </row>
    <row r="3495" spans="1:2" ht="26.4">
      <c r="A3495" s="127">
        <v>5050501</v>
      </c>
      <c r="B3495" s="125" t="s">
        <v>713</v>
      </c>
    </row>
    <row r="3496" spans="1:2">
      <c r="A3496" s="127">
        <v>5050502</v>
      </c>
      <c r="B3496" s="125" t="s">
        <v>382</v>
      </c>
    </row>
    <row r="3497" spans="1:2" ht="26.4">
      <c r="A3497" s="127">
        <v>5050503</v>
      </c>
      <c r="B3497" s="125" t="s">
        <v>1300</v>
      </c>
    </row>
    <row r="3498" spans="1:2" ht="26.4">
      <c r="A3498" s="127">
        <v>5050504</v>
      </c>
      <c r="B3498" s="125" t="s">
        <v>1301</v>
      </c>
    </row>
    <row r="3499" spans="1:2" ht="39.6">
      <c r="A3499" s="127">
        <v>5050505</v>
      </c>
      <c r="B3499" s="125" t="s">
        <v>1302</v>
      </c>
    </row>
    <row r="3500" spans="1:2">
      <c r="A3500" s="127">
        <v>5050506</v>
      </c>
      <c r="B3500" s="125" t="s">
        <v>544</v>
      </c>
    </row>
    <row r="3501" spans="1:2" ht="26.4">
      <c r="A3501" s="127">
        <v>5050507</v>
      </c>
      <c r="B3501" s="125" t="s">
        <v>2053</v>
      </c>
    </row>
    <row r="3502" spans="1:2" ht="39.6">
      <c r="A3502" s="127">
        <v>5050508</v>
      </c>
      <c r="B3502" s="125" t="s">
        <v>1568</v>
      </c>
    </row>
    <row r="3503" spans="1:2" ht="26.4">
      <c r="A3503" s="127">
        <v>5050509</v>
      </c>
      <c r="B3503" s="125" t="s">
        <v>1569</v>
      </c>
    </row>
    <row r="3504" spans="1:2" ht="26.4">
      <c r="A3504" s="127">
        <v>5050600</v>
      </c>
      <c r="B3504" s="125" t="s">
        <v>379</v>
      </c>
    </row>
    <row r="3505" spans="1:2" ht="26.4">
      <c r="A3505" s="127">
        <v>5050601</v>
      </c>
      <c r="B3505" s="125" t="s">
        <v>930</v>
      </c>
    </row>
    <row r="3506" spans="1:2" ht="26.4">
      <c r="A3506" s="127">
        <v>5050602</v>
      </c>
      <c r="B3506" s="125" t="s">
        <v>1526</v>
      </c>
    </row>
    <row r="3507" spans="1:2">
      <c r="A3507" s="127">
        <v>5050604</v>
      </c>
      <c r="B3507" s="125" t="s">
        <v>474</v>
      </c>
    </row>
    <row r="3508" spans="1:2" ht="39.6">
      <c r="A3508" s="127">
        <v>5050700</v>
      </c>
      <c r="B3508" s="125" t="s">
        <v>1570</v>
      </c>
    </row>
    <row r="3509" spans="1:2" ht="26.4">
      <c r="A3509" s="127">
        <v>5050701</v>
      </c>
      <c r="B3509" s="125" t="s">
        <v>930</v>
      </c>
    </row>
    <row r="3510" spans="1:2" ht="26.4">
      <c r="A3510" s="127">
        <v>5050702</v>
      </c>
      <c r="B3510" s="125" t="s">
        <v>1526</v>
      </c>
    </row>
    <row r="3511" spans="1:2">
      <c r="A3511" s="127">
        <v>5050703</v>
      </c>
      <c r="B3511" s="125" t="s">
        <v>1464</v>
      </c>
    </row>
    <row r="3512" spans="1:2">
      <c r="A3512" s="127">
        <v>5050704</v>
      </c>
      <c r="B3512" s="125" t="s">
        <v>474</v>
      </c>
    </row>
    <row r="3513" spans="1:2">
      <c r="A3513" s="127">
        <v>5050705</v>
      </c>
      <c r="B3513" s="125" t="s">
        <v>743</v>
      </c>
    </row>
    <row r="3514" spans="1:2" ht="26.4">
      <c r="A3514" s="127">
        <v>5050800</v>
      </c>
      <c r="B3514" s="125" t="s">
        <v>1408</v>
      </c>
    </row>
    <row r="3515" spans="1:2" ht="26.4">
      <c r="A3515" s="127">
        <v>5050801</v>
      </c>
      <c r="B3515" s="125" t="s">
        <v>202</v>
      </c>
    </row>
    <row r="3516" spans="1:2">
      <c r="A3516" s="127">
        <v>5050802</v>
      </c>
      <c r="B3516" s="125" t="s">
        <v>445</v>
      </c>
    </row>
    <row r="3517" spans="1:2" ht="26.4">
      <c r="A3517" s="127">
        <v>5050900</v>
      </c>
      <c r="B3517" s="125" t="s">
        <v>1571</v>
      </c>
    </row>
    <row r="3518" spans="1:2" ht="26.4">
      <c r="A3518" s="127">
        <v>5050901</v>
      </c>
      <c r="B3518" s="125" t="s">
        <v>592</v>
      </c>
    </row>
    <row r="3519" spans="1:2">
      <c r="A3519" s="127">
        <v>5050902</v>
      </c>
      <c r="B3519" s="125" t="s">
        <v>1572</v>
      </c>
    </row>
    <row r="3520" spans="1:2" ht="26.4">
      <c r="A3520" s="127">
        <v>5051000</v>
      </c>
      <c r="B3520" s="125" t="s">
        <v>908</v>
      </c>
    </row>
    <row r="3521" spans="1:2">
      <c r="A3521" s="127">
        <v>5051001</v>
      </c>
      <c r="B3521" s="125" t="s">
        <v>411</v>
      </c>
    </row>
    <row r="3522" spans="1:2" ht="39.6">
      <c r="A3522" s="127">
        <v>5051100</v>
      </c>
      <c r="B3522" s="125" t="s">
        <v>1573</v>
      </c>
    </row>
    <row r="3523" spans="1:2" ht="26.4">
      <c r="A3523" s="127">
        <v>5051101</v>
      </c>
      <c r="B3523" s="125" t="s">
        <v>1889</v>
      </c>
    </row>
    <row r="3524" spans="1:2" ht="26.4">
      <c r="A3524" s="127">
        <v>5051200</v>
      </c>
      <c r="B3524" s="125" t="s">
        <v>1890</v>
      </c>
    </row>
    <row r="3525" spans="1:2">
      <c r="A3525" s="127">
        <v>5051201</v>
      </c>
      <c r="B3525" s="125" t="s">
        <v>434</v>
      </c>
    </row>
    <row r="3526" spans="1:2">
      <c r="A3526" s="127">
        <v>5051300</v>
      </c>
      <c r="B3526" s="125" t="s">
        <v>119</v>
      </c>
    </row>
    <row r="3527" spans="1:2">
      <c r="A3527" s="127">
        <v>5051301</v>
      </c>
      <c r="B3527" s="125" t="s">
        <v>1187</v>
      </c>
    </row>
    <row r="3528" spans="1:2">
      <c r="A3528" s="127">
        <v>5051302</v>
      </c>
      <c r="B3528" s="125" t="s">
        <v>1274</v>
      </c>
    </row>
    <row r="3529" spans="1:2">
      <c r="A3529" s="127">
        <v>5051303</v>
      </c>
      <c r="B3529" s="125" t="s">
        <v>1115</v>
      </c>
    </row>
    <row r="3530" spans="1:2">
      <c r="A3530" s="127">
        <v>5051304</v>
      </c>
      <c r="B3530" s="125" t="s">
        <v>790</v>
      </c>
    </row>
    <row r="3531" spans="1:2" ht="26.4">
      <c r="A3531" s="127">
        <v>5051400</v>
      </c>
      <c r="B3531" s="125" t="s">
        <v>1398</v>
      </c>
    </row>
    <row r="3532" spans="1:2">
      <c r="A3532" s="127">
        <v>5051401</v>
      </c>
      <c r="B3532" s="125" t="s">
        <v>841</v>
      </c>
    </row>
    <row r="3533" spans="1:2" ht="26.4">
      <c r="A3533" s="127">
        <v>5051500</v>
      </c>
      <c r="B3533" s="125" t="s">
        <v>881</v>
      </c>
    </row>
    <row r="3534" spans="1:2">
      <c r="A3534" s="127">
        <v>5051501</v>
      </c>
      <c r="B3534" s="125" t="s">
        <v>347</v>
      </c>
    </row>
    <row r="3535" spans="1:2" ht="66">
      <c r="A3535" s="127">
        <v>5051600</v>
      </c>
      <c r="B3535" s="126" t="s">
        <v>1891</v>
      </c>
    </row>
    <row r="3536" spans="1:2">
      <c r="A3536" s="127">
        <v>5051601</v>
      </c>
      <c r="B3536" s="125" t="s">
        <v>1325</v>
      </c>
    </row>
    <row r="3537" spans="1:2" ht="26.4">
      <c r="A3537" s="127">
        <v>5051700</v>
      </c>
      <c r="B3537" s="125" t="s">
        <v>1892</v>
      </c>
    </row>
    <row r="3538" spans="1:2">
      <c r="A3538" s="127">
        <v>5051701</v>
      </c>
      <c r="B3538" s="125" t="s">
        <v>1265</v>
      </c>
    </row>
    <row r="3539" spans="1:2" ht="26.4">
      <c r="A3539" s="127">
        <v>5051702</v>
      </c>
      <c r="B3539" s="125" t="s">
        <v>192</v>
      </c>
    </row>
    <row r="3540" spans="1:2" ht="26.4">
      <c r="A3540" s="127">
        <v>5051703</v>
      </c>
      <c r="B3540" s="125" t="s">
        <v>829</v>
      </c>
    </row>
    <row r="3541" spans="1:2">
      <c r="A3541" s="127">
        <v>5051704</v>
      </c>
      <c r="B3541" s="125" t="s">
        <v>964</v>
      </c>
    </row>
    <row r="3542" spans="1:2" ht="26.4">
      <c r="A3542" s="127">
        <v>5051800</v>
      </c>
      <c r="B3542" s="125" t="s">
        <v>591</v>
      </c>
    </row>
    <row r="3543" spans="1:2" ht="26.4">
      <c r="A3543" s="127">
        <v>5051900</v>
      </c>
      <c r="B3543" s="125" t="s">
        <v>1893</v>
      </c>
    </row>
    <row r="3544" spans="1:2" ht="26.4">
      <c r="A3544" s="127">
        <v>5052000</v>
      </c>
      <c r="B3544" s="125" t="s">
        <v>1583</v>
      </c>
    </row>
    <row r="3545" spans="1:2">
      <c r="A3545" s="127">
        <v>5052001</v>
      </c>
      <c r="B3545" s="125" t="s">
        <v>1584</v>
      </c>
    </row>
    <row r="3546" spans="1:2" ht="26.4">
      <c r="A3546" s="127">
        <v>5052100</v>
      </c>
      <c r="B3546" s="125" t="s">
        <v>2144</v>
      </c>
    </row>
    <row r="3547" spans="1:2" ht="26.4">
      <c r="A3547" s="127">
        <v>5052102</v>
      </c>
      <c r="B3547" s="125" t="s">
        <v>1534</v>
      </c>
    </row>
    <row r="3548" spans="1:2">
      <c r="A3548" s="127">
        <v>5052200</v>
      </c>
      <c r="B3548" s="125" t="s">
        <v>966</v>
      </c>
    </row>
    <row r="3549" spans="1:2" ht="26.4">
      <c r="A3549" s="127">
        <v>5052201</v>
      </c>
      <c r="B3549" s="125" t="s">
        <v>1585</v>
      </c>
    </row>
    <row r="3550" spans="1:2" ht="26.4">
      <c r="A3550" s="127">
        <v>5052202</v>
      </c>
      <c r="B3550" s="125" t="s">
        <v>1351</v>
      </c>
    </row>
    <row r="3551" spans="1:2" ht="26.4">
      <c r="A3551" s="127">
        <v>5052203</v>
      </c>
      <c r="B3551" s="125" t="s">
        <v>1352</v>
      </c>
    </row>
    <row r="3552" spans="1:2" ht="26.4">
      <c r="A3552" s="127">
        <v>5052204</v>
      </c>
      <c r="B3552" s="125" t="s">
        <v>1353</v>
      </c>
    </row>
    <row r="3553" spans="1:2">
      <c r="A3553" s="127">
        <v>5052205</v>
      </c>
      <c r="B3553" s="125" t="s">
        <v>1354</v>
      </c>
    </row>
    <row r="3554" spans="1:2" ht="26.4">
      <c r="A3554" s="127">
        <v>5052300</v>
      </c>
      <c r="B3554" s="125" t="s">
        <v>1133</v>
      </c>
    </row>
    <row r="3555" spans="1:2" ht="26.4">
      <c r="A3555" s="127">
        <v>5052301</v>
      </c>
      <c r="B3555" s="125" t="s">
        <v>596</v>
      </c>
    </row>
    <row r="3556" spans="1:2">
      <c r="A3556" s="127">
        <v>5052302</v>
      </c>
      <c r="B3556" s="125" t="s">
        <v>190</v>
      </c>
    </row>
    <row r="3557" spans="1:2">
      <c r="A3557" s="127">
        <v>5052400</v>
      </c>
      <c r="B3557" s="125" t="s">
        <v>191</v>
      </c>
    </row>
    <row r="3558" spans="1:2" ht="26.4">
      <c r="A3558" s="127">
        <v>5052500</v>
      </c>
      <c r="B3558" s="125" t="s">
        <v>520</v>
      </c>
    </row>
    <row r="3559" spans="1:2">
      <c r="A3559" s="127">
        <v>5052501</v>
      </c>
      <c r="B3559" s="125" t="s">
        <v>521</v>
      </c>
    </row>
    <row r="3560" spans="1:2" ht="39.6">
      <c r="A3560" s="127">
        <v>5052600</v>
      </c>
      <c r="B3560" s="125" t="s">
        <v>757</v>
      </c>
    </row>
    <row r="3561" spans="1:2">
      <c r="A3561" s="127">
        <v>5052601</v>
      </c>
      <c r="B3561" s="125" t="s">
        <v>758</v>
      </c>
    </row>
    <row r="3562" spans="1:2" ht="39.6">
      <c r="A3562" s="127">
        <v>5052700</v>
      </c>
      <c r="B3562" s="125" t="s">
        <v>759</v>
      </c>
    </row>
    <row r="3563" spans="1:2" ht="26.4">
      <c r="A3563" s="127">
        <v>5052701</v>
      </c>
      <c r="B3563" s="125" t="s">
        <v>760</v>
      </c>
    </row>
    <row r="3564" spans="1:2">
      <c r="A3564" s="127">
        <v>5052800</v>
      </c>
      <c r="B3564" s="125" t="s">
        <v>901</v>
      </c>
    </row>
    <row r="3565" spans="1:2">
      <c r="A3565" s="127">
        <v>5052900</v>
      </c>
      <c r="B3565" s="125" t="s">
        <v>1150</v>
      </c>
    </row>
    <row r="3566" spans="1:2" ht="26.4">
      <c r="A3566" s="127">
        <v>5052901</v>
      </c>
      <c r="B3566" s="125" t="s">
        <v>761</v>
      </c>
    </row>
    <row r="3567" spans="1:2">
      <c r="A3567" s="127">
        <v>5053000</v>
      </c>
      <c r="B3567" s="125" t="s">
        <v>663</v>
      </c>
    </row>
    <row r="3568" spans="1:2">
      <c r="A3568" s="127">
        <v>5053100</v>
      </c>
      <c r="B3568" s="125" t="s">
        <v>663</v>
      </c>
    </row>
    <row r="3569" spans="1:2">
      <c r="A3569" s="127">
        <v>5053110</v>
      </c>
      <c r="B3569" s="125" t="s">
        <v>663</v>
      </c>
    </row>
    <row r="3570" spans="1:2">
      <c r="A3570" s="127">
        <v>5053120</v>
      </c>
      <c r="B3570" s="125" t="s">
        <v>663</v>
      </c>
    </row>
    <row r="3571" spans="1:2" ht="26.4">
      <c r="A3571" s="127">
        <v>5053200</v>
      </c>
      <c r="B3571" s="125" t="s">
        <v>762</v>
      </c>
    </row>
    <row r="3572" spans="1:2" ht="26.4">
      <c r="A3572" s="127">
        <v>5053201</v>
      </c>
      <c r="B3572" s="125" t="s">
        <v>763</v>
      </c>
    </row>
    <row r="3573" spans="1:2" ht="26.4">
      <c r="A3573" s="127">
        <v>5053202</v>
      </c>
      <c r="B3573" s="125" t="s">
        <v>764</v>
      </c>
    </row>
    <row r="3574" spans="1:2" ht="26.4">
      <c r="A3574" s="127">
        <v>5053204</v>
      </c>
      <c r="B3574" s="125" t="s">
        <v>765</v>
      </c>
    </row>
    <row r="3575" spans="1:2" ht="26.4">
      <c r="A3575" s="127">
        <v>5053205</v>
      </c>
      <c r="B3575" s="125" t="s">
        <v>766</v>
      </c>
    </row>
    <row r="3576" spans="1:2">
      <c r="A3576" s="127">
        <v>5053300</v>
      </c>
      <c r="B3576" s="125" t="s">
        <v>1315</v>
      </c>
    </row>
    <row r="3577" spans="1:2">
      <c r="A3577" s="127">
        <v>5053301</v>
      </c>
      <c r="B3577" s="125" t="s">
        <v>974</v>
      </c>
    </row>
    <row r="3578" spans="1:2">
      <c r="A3578" s="127">
        <v>5053302</v>
      </c>
      <c r="B3578" s="125" t="s">
        <v>412</v>
      </c>
    </row>
    <row r="3579" spans="1:2" ht="66">
      <c r="A3579" s="127">
        <v>5053400</v>
      </c>
      <c r="B3579" s="126" t="s">
        <v>767</v>
      </c>
    </row>
    <row r="3580" spans="1:2" ht="39.6">
      <c r="A3580" s="127">
        <v>5053401</v>
      </c>
      <c r="B3580" s="126" t="s">
        <v>768</v>
      </c>
    </row>
    <row r="3581" spans="1:2" ht="26.4">
      <c r="A3581" s="127">
        <v>5053402</v>
      </c>
      <c r="B3581" s="125" t="s">
        <v>769</v>
      </c>
    </row>
    <row r="3582" spans="1:2" ht="26.4">
      <c r="A3582" s="127">
        <v>5053500</v>
      </c>
      <c r="B3582" s="125" t="s">
        <v>770</v>
      </c>
    </row>
    <row r="3583" spans="1:2" ht="26.4">
      <c r="A3583" s="127">
        <v>5053600</v>
      </c>
      <c r="B3583" s="125" t="s">
        <v>1534</v>
      </c>
    </row>
    <row r="3584" spans="1:2" ht="26.4">
      <c r="A3584" s="127">
        <v>5053601</v>
      </c>
      <c r="B3584" s="125" t="s">
        <v>1534</v>
      </c>
    </row>
    <row r="3585" spans="1:2" ht="26.4">
      <c r="A3585" s="127">
        <v>5053602</v>
      </c>
      <c r="B3585" s="125" t="s">
        <v>771</v>
      </c>
    </row>
    <row r="3586" spans="1:2" ht="39.6">
      <c r="A3586" s="127">
        <v>5053700</v>
      </c>
      <c r="B3586" s="126" t="s">
        <v>834</v>
      </c>
    </row>
    <row r="3587" spans="1:2">
      <c r="A3587" s="127">
        <v>5053800</v>
      </c>
      <c r="B3587" s="125" t="s">
        <v>772</v>
      </c>
    </row>
    <row r="3588" spans="1:2" ht="26.4">
      <c r="A3588" s="127">
        <v>5053801</v>
      </c>
      <c r="B3588" s="125" t="s">
        <v>773</v>
      </c>
    </row>
    <row r="3589" spans="1:2" ht="26.4">
      <c r="A3589" s="127">
        <v>5053900</v>
      </c>
      <c r="B3589" s="125" t="s">
        <v>529</v>
      </c>
    </row>
    <row r="3590" spans="1:2" ht="26.4">
      <c r="A3590" s="127">
        <v>5053901</v>
      </c>
      <c r="B3590" s="125" t="s">
        <v>891</v>
      </c>
    </row>
    <row r="3591" spans="1:2">
      <c r="A3591" s="127">
        <v>5053902</v>
      </c>
      <c r="B3591" s="125" t="s">
        <v>249</v>
      </c>
    </row>
    <row r="3592" spans="1:2">
      <c r="A3592" s="127">
        <v>5053903</v>
      </c>
      <c r="B3592" s="125" t="s">
        <v>250</v>
      </c>
    </row>
    <row r="3593" spans="1:2" ht="26.4">
      <c r="A3593" s="127">
        <v>5053904</v>
      </c>
      <c r="B3593" s="125" t="s">
        <v>534</v>
      </c>
    </row>
    <row r="3594" spans="1:2">
      <c r="A3594" s="127">
        <v>5053905</v>
      </c>
      <c r="B3594" s="125" t="s">
        <v>535</v>
      </c>
    </row>
    <row r="3595" spans="1:2">
      <c r="A3595" s="127">
        <v>5053906</v>
      </c>
      <c r="B3595" s="125" t="s">
        <v>874</v>
      </c>
    </row>
    <row r="3596" spans="1:2">
      <c r="A3596" s="127">
        <v>5053907</v>
      </c>
      <c r="B3596" s="125" t="s">
        <v>875</v>
      </c>
    </row>
    <row r="3597" spans="1:2" ht="26.4">
      <c r="A3597" s="127">
        <v>5054000</v>
      </c>
      <c r="B3597" s="125" t="s">
        <v>1687</v>
      </c>
    </row>
    <row r="3598" spans="1:2" ht="66">
      <c r="A3598" s="127">
        <v>5054100</v>
      </c>
      <c r="B3598" s="126" t="s">
        <v>566</v>
      </c>
    </row>
    <row r="3599" spans="1:2" ht="26.4">
      <c r="A3599" s="127">
        <v>5054200</v>
      </c>
      <c r="B3599" s="125" t="s">
        <v>567</v>
      </c>
    </row>
    <row r="3600" spans="1:2">
      <c r="A3600" s="127">
        <v>5054201</v>
      </c>
      <c r="B3600" s="125" t="s">
        <v>774</v>
      </c>
    </row>
    <row r="3601" spans="1:2" ht="26.4">
      <c r="A3601" s="127">
        <v>5054202</v>
      </c>
      <c r="B3601" s="125" t="s">
        <v>1646</v>
      </c>
    </row>
    <row r="3602" spans="1:2">
      <c r="A3602" s="127">
        <v>5054300</v>
      </c>
      <c r="B3602" s="125" t="s">
        <v>1608</v>
      </c>
    </row>
    <row r="3603" spans="1:2">
      <c r="A3603" s="127">
        <v>5054301</v>
      </c>
      <c r="B3603" s="125" t="s">
        <v>1105</v>
      </c>
    </row>
    <row r="3604" spans="1:2">
      <c r="A3604" s="127">
        <v>5054302</v>
      </c>
      <c r="B3604" s="125" t="s">
        <v>1536</v>
      </c>
    </row>
    <row r="3605" spans="1:2">
      <c r="A3605" s="127">
        <v>5054400</v>
      </c>
      <c r="B3605" s="125" t="s">
        <v>1537</v>
      </c>
    </row>
    <row r="3606" spans="1:2" ht="26.4">
      <c r="A3606" s="127">
        <v>5054401</v>
      </c>
      <c r="B3606" s="125" t="s">
        <v>942</v>
      </c>
    </row>
    <row r="3607" spans="1:2" ht="26.4">
      <c r="A3607" s="127">
        <v>5054500</v>
      </c>
      <c r="B3607" s="125" t="s">
        <v>231</v>
      </c>
    </row>
    <row r="3608" spans="1:2">
      <c r="A3608" s="127">
        <v>5054600</v>
      </c>
      <c r="B3608" s="125" t="s">
        <v>1151</v>
      </c>
    </row>
    <row r="3609" spans="1:2">
      <c r="A3609" s="127">
        <v>5054700</v>
      </c>
      <c r="B3609" s="125" t="s">
        <v>663</v>
      </c>
    </row>
    <row r="3610" spans="1:2">
      <c r="A3610" s="127">
        <v>5054800</v>
      </c>
      <c r="B3610" s="125" t="s">
        <v>1836</v>
      </c>
    </row>
    <row r="3611" spans="1:2">
      <c r="A3611" s="127">
        <v>5054900</v>
      </c>
      <c r="B3611" s="125" t="s">
        <v>153</v>
      </c>
    </row>
    <row r="3612" spans="1:2">
      <c r="A3612" s="127">
        <v>5054901</v>
      </c>
      <c r="B3612" s="125" t="s">
        <v>196</v>
      </c>
    </row>
    <row r="3613" spans="1:2" ht="26.4">
      <c r="A3613" s="127">
        <v>5055000</v>
      </c>
      <c r="B3613" s="125" t="s">
        <v>1011</v>
      </c>
    </row>
    <row r="3614" spans="1:2">
      <c r="A3614" s="127">
        <v>5055100</v>
      </c>
      <c r="B3614" s="125" t="s">
        <v>1012</v>
      </c>
    </row>
    <row r="3615" spans="1:2">
      <c r="A3615" s="127">
        <v>5055101</v>
      </c>
      <c r="B3615" s="125" t="s">
        <v>314</v>
      </c>
    </row>
    <row r="3616" spans="1:2" ht="26.4">
      <c r="A3616" s="127">
        <v>5055200</v>
      </c>
      <c r="B3616" s="125" t="s">
        <v>1013</v>
      </c>
    </row>
    <row r="3617" spans="1:2">
      <c r="A3617" s="127">
        <v>5055201</v>
      </c>
      <c r="B3617" s="125" t="s">
        <v>1014</v>
      </c>
    </row>
    <row r="3618" spans="1:2" ht="26.4">
      <c r="A3618" s="127">
        <v>5055300</v>
      </c>
      <c r="B3618" s="125" t="s">
        <v>1015</v>
      </c>
    </row>
    <row r="3619" spans="1:2" ht="26.4">
      <c r="A3619" s="127">
        <v>5055400</v>
      </c>
      <c r="B3619" s="125" t="s">
        <v>1016</v>
      </c>
    </row>
    <row r="3620" spans="1:2" ht="39.6">
      <c r="A3620" s="127">
        <v>5055402</v>
      </c>
      <c r="B3620" s="125" t="s">
        <v>1017</v>
      </c>
    </row>
    <row r="3621" spans="1:2">
      <c r="A3621" s="127">
        <v>5055500</v>
      </c>
      <c r="B3621" s="125" t="s">
        <v>112</v>
      </c>
    </row>
    <row r="3622" spans="1:2">
      <c r="A3622" s="127">
        <v>5055510</v>
      </c>
      <c r="B3622" s="125" t="s">
        <v>1018</v>
      </c>
    </row>
    <row r="3623" spans="1:2">
      <c r="A3623" s="127">
        <v>5055520</v>
      </c>
      <c r="B3623" s="125" t="s">
        <v>1019</v>
      </c>
    </row>
    <row r="3624" spans="1:2">
      <c r="A3624" s="127">
        <v>5055521</v>
      </c>
      <c r="B3624" s="125" t="s">
        <v>113</v>
      </c>
    </row>
    <row r="3625" spans="1:2">
      <c r="A3625" s="127">
        <v>5055522</v>
      </c>
      <c r="B3625" s="125" t="s">
        <v>1135</v>
      </c>
    </row>
    <row r="3626" spans="1:2" ht="26.4">
      <c r="A3626" s="127">
        <v>5055530</v>
      </c>
      <c r="B3626" s="125" t="s">
        <v>1020</v>
      </c>
    </row>
    <row r="3627" spans="1:2" ht="26.4">
      <c r="A3627" s="127">
        <v>5055531</v>
      </c>
      <c r="B3627" s="125" t="s">
        <v>1020</v>
      </c>
    </row>
    <row r="3628" spans="1:2">
      <c r="A3628" s="127">
        <v>5055900</v>
      </c>
      <c r="B3628" s="125" t="s">
        <v>1021</v>
      </c>
    </row>
    <row r="3629" spans="1:2">
      <c r="A3629" s="127">
        <v>5055901</v>
      </c>
      <c r="B3629" s="125" t="s">
        <v>1022</v>
      </c>
    </row>
    <row r="3630" spans="1:2">
      <c r="A3630" s="127">
        <v>5055902</v>
      </c>
      <c r="B3630" s="125" t="s">
        <v>1023</v>
      </c>
    </row>
    <row r="3631" spans="1:2">
      <c r="A3631" s="127">
        <v>5055903</v>
      </c>
      <c r="B3631" s="125" t="s">
        <v>1024</v>
      </c>
    </row>
    <row r="3632" spans="1:2">
      <c r="A3632" s="127">
        <v>5055904</v>
      </c>
      <c r="B3632" s="125" t="s">
        <v>1025</v>
      </c>
    </row>
    <row r="3633" spans="1:2">
      <c r="A3633" s="127">
        <v>5056400</v>
      </c>
      <c r="B3633" s="125" t="s">
        <v>1056</v>
      </c>
    </row>
    <row r="3634" spans="1:2">
      <c r="A3634" s="127">
        <v>5057600</v>
      </c>
      <c r="B3634" s="125" t="s">
        <v>1198</v>
      </c>
    </row>
    <row r="3635" spans="1:2">
      <c r="A3635" s="127">
        <v>5058000</v>
      </c>
      <c r="B3635" s="125" t="s">
        <v>1026</v>
      </c>
    </row>
    <row r="3636" spans="1:2">
      <c r="A3636" s="127">
        <v>5058001</v>
      </c>
      <c r="B3636" s="125" t="s">
        <v>1027</v>
      </c>
    </row>
    <row r="3637" spans="1:2" ht="39.6">
      <c r="A3637" s="127">
        <v>5058100</v>
      </c>
      <c r="B3637" s="126" t="s">
        <v>1666</v>
      </c>
    </row>
    <row r="3638" spans="1:2" ht="26.4">
      <c r="A3638" s="127">
        <v>5058101</v>
      </c>
      <c r="B3638" s="125" t="s">
        <v>1667</v>
      </c>
    </row>
    <row r="3639" spans="1:2">
      <c r="A3639" s="127">
        <v>5058500</v>
      </c>
      <c r="B3639" s="125" t="s">
        <v>1273</v>
      </c>
    </row>
    <row r="3640" spans="1:2">
      <c r="A3640" s="127">
        <v>5058600</v>
      </c>
      <c r="B3640" s="125" t="s">
        <v>1273</v>
      </c>
    </row>
    <row r="3641" spans="1:2">
      <c r="A3641" s="127">
        <v>5058610</v>
      </c>
      <c r="B3641" s="125" t="s">
        <v>1200</v>
      </c>
    </row>
    <row r="3642" spans="1:2">
      <c r="A3642" s="127">
        <v>5060000</v>
      </c>
      <c r="B3642" s="125" t="s">
        <v>1613</v>
      </c>
    </row>
    <row r="3643" spans="1:2">
      <c r="A3643" s="127">
        <v>5060100</v>
      </c>
      <c r="B3643" s="125" t="s">
        <v>1668</v>
      </c>
    </row>
    <row r="3644" spans="1:2">
      <c r="A3644" s="127">
        <v>5060200</v>
      </c>
      <c r="B3644" s="125" t="s">
        <v>1705</v>
      </c>
    </row>
    <row r="3645" spans="1:2" ht="26.4">
      <c r="A3645" s="127">
        <v>5060300</v>
      </c>
      <c r="B3645" s="125" t="s">
        <v>1669</v>
      </c>
    </row>
    <row r="3646" spans="1:2">
      <c r="A3646" s="127">
        <v>5070000</v>
      </c>
      <c r="B3646" s="125" t="s">
        <v>1670</v>
      </c>
    </row>
    <row r="3647" spans="1:2">
      <c r="A3647" s="127">
        <v>5070100</v>
      </c>
      <c r="B3647" s="125" t="s">
        <v>1671</v>
      </c>
    </row>
    <row r="3648" spans="1:2">
      <c r="A3648" s="127">
        <v>5079900</v>
      </c>
      <c r="B3648" s="125" t="s">
        <v>663</v>
      </c>
    </row>
    <row r="3649" spans="1:2">
      <c r="A3649" s="127">
        <v>5080000</v>
      </c>
      <c r="B3649" s="125" t="s">
        <v>914</v>
      </c>
    </row>
    <row r="3650" spans="1:2">
      <c r="A3650" s="127">
        <v>5089900</v>
      </c>
      <c r="B3650" s="125" t="s">
        <v>81</v>
      </c>
    </row>
    <row r="3651" spans="1:2">
      <c r="A3651" s="127">
        <v>5090000</v>
      </c>
      <c r="B3651" s="125" t="s">
        <v>1672</v>
      </c>
    </row>
    <row r="3652" spans="1:2" ht="26.4">
      <c r="A3652" s="127">
        <v>5090100</v>
      </c>
      <c r="B3652" s="125" t="s">
        <v>1673</v>
      </c>
    </row>
    <row r="3653" spans="1:2">
      <c r="A3653" s="127">
        <v>5090101</v>
      </c>
      <c r="B3653" s="125" t="s">
        <v>1674</v>
      </c>
    </row>
    <row r="3654" spans="1:2" ht="26.4">
      <c r="A3654" s="127">
        <v>5090200</v>
      </c>
      <c r="B3654" s="125" t="s">
        <v>1959</v>
      </c>
    </row>
    <row r="3655" spans="1:2">
      <c r="A3655" s="127">
        <v>5090201</v>
      </c>
      <c r="B3655" s="125" t="s">
        <v>1960</v>
      </c>
    </row>
    <row r="3656" spans="1:2" ht="26.4">
      <c r="A3656" s="127">
        <v>5090300</v>
      </c>
      <c r="B3656" s="125" t="s">
        <v>1430</v>
      </c>
    </row>
    <row r="3657" spans="1:2">
      <c r="A3657" s="127">
        <v>5090301</v>
      </c>
      <c r="B3657" s="125" t="s">
        <v>1431</v>
      </c>
    </row>
    <row r="3658" spans="1:2" ht="26.4">
      <c r="A3658" s="127">
        <v>5090400</v>
      </c>
      <c r="B3658" s="125" t="s">
        <v>1432</v>
      </c>
    </row>
    <row r="3659" spans="1:2" ht="26.4">
      <c r="A3659" s="127">
        <v>5090401</v>
      </c>
      <c r="B3659" s="125" t="s">
        <v>1433</v>
      </c>
    </row>
    <row r="3660" spans="1:2" ht="52.8">
      <c r="A3660" s="127">
        <v>5090500</v>
      </c>
      <c r="B3660" s="126" t="s">
        <v>1434</v>
      </c>
    </row>
    <row r="3661" spans="1:2" ht="39.6">
      <c r="A3661" s="127">
        <v>5090501</v>
      </c>
      <c r="B3661" s="126" t="s">
        <v>1435</v>
      </c>
    </row>
    <row r="3662" spans="1:2" ht="26.4">
      <c r="A3662" s="127">
        <v>5090600</v>
      </c>
      <c r="B3662" s="125" t="s">
        <v>1436</v>
      </c>
    </row>
    <row r="3663" spans="1:2">
      <c r="A3663" s="127">
        <v>5090601</v>
      </c>
      <c r="B3663" s="125" t="s">
        <v>848</v>
      </c>
    </row>
    <row r="3664" spans="1:2" ht="26.4">
      <c r="A3664" s="127">
        <v>5090700</v>
      </c>
      <c r="B3664" s="125" t="s">
        <v>849</v>
      </c>
    </row>
    <row r="3665" spans="1:2">
      <c r="A3665" s="127">
        <v>5090701</v>
      </c>
      <c r="B3665" s="125" t="s">
        <v>850</v>
      </c>
    </row>
    <row r="3666" spans="1:2" ht="26.4">
      <c r="A3666" s="127">
        <v>5090800</v>
      </c>
      <c r="B3666" s="125" t="s">
        <v>851</v>
      </c>
    </row>
    <row r="3667" spans="1:2">
      <c r="A3667" s="127">
        <v>5090801</v>
      </c>
      <c r="B3667" s="125" t="s">
        <v>852</v>
      </c>
    </row>
    <row r="3668" spans="1:2" ht="26.4">
      <c r="A3668" s="127">
        <v>5090900</v>
      </c>
      <c r="B3668" s="125" t="s">
        <v>1444</v>
      </c>
    </row>
    <row r="3669" spans="1:2">
      <c r="A3669" s="127">
        <v>5090901</v>
      </c>
      <c r="B3669" s="125" t="s">
        <v>1445</v>
      </c>
    </row>
    <row r="3670" spans="1:2" ht="26.4">
      <c r="A3670" s="127">
        <v>5091000</v>
      </c>
      <c r="B3670" s="125" t="s">
        <v>1446</v>
      </c>
    </row>
    <row r="3671" spans="1:2">
      <c r="A3671" s="127">
        <v>5091001</v>
      </c>
      <c r="B3671" s="125" t="s">
        <v>1447</v>
      </c>
    </row>
    <row r="3672" spans="1:2" ht="26.4">
      <c r="A3672" s="127">
        <v>5091100</v>
      </c>
      <c r="B3672" s="125" t="s">
        <v>1448</v>
      </c>
    </row>
    <row r="3673" spans="1:2">
      <c r="A3673" s="127">
        <v>5091101</v>
      </c>
      <c r="B3673" s="125" t="s">
        <v>1449</v>
      </c>
    </row>
    <row r="3674" spans="1:2" ht="26.4">
      <c r="A3674" s="127">
        <v>5091200</v>
      </c>
      <c r="B3674" s="125" t="s">
        <v>1450</v>
      </c>
    </row>
    <row r="3675" spans="1:2">
      <c r="A3675" s="127">
        <v>5091201</v>
      </c>
      <c r="B3675" s="125" t="s">
        <v>1451</v>
      </c>
    </row>
    <row r="3676" spans="1:2" ht="26.4">
      <c r="A3676" s="127">
        <v>5091300</v>
      </c>
      <c r="B3676" s="125" t="s">
        <v>1452</v>
      </c>
    </row>
    <row r="3677" spans="1:2">
      <c r="A3677" s="127">
        <v>5091301</v>
      </c>
      <c r="B3677" s="125" t="s">
        <v>1453</v>
      </c>
    </row>
    <row r="3678" spans="1:2">
      <c r="A3678" s="127">
        <v>5100000</v>
      </c>
      <c r="B3678" s="125" t="s">
        <v>885</v>
      </c>
    </row>
    <row r="3679" spans="1:2">
      <c r="A3679" s="127">
        <v>5100100</v>
      </c>
      <c r="B3679" s="125" t="s">
        <v>741</v>
      </c>
    </row>
    <row r="3680" spans="1:2" ht="26.4">
      <c r="A3680" s="127">
        <v>5100200</v>
      </c>
      <c r="B3680" s="125" t="s">
        <v>570</v>
      </c>
    </row>
    <row r="3681" spans="1:2" ht="26.4">
      <c r="A3681" s="127">
        <v>5100300</v>
      </c>
      <c r="B3681" s="125" t="s">
        <v>355</v>
      </c>
    </row>
    <row r="3682" spans="1:2">
      <c r="A3682" s="127">
        <v>5110000</v>
      </c>
      <c r="B3682" s="125" t="s">
        <v>318</v>
      </c>
    </row>
    <row r="3683" spans="1:2" ht="26.4">
      <c r="A3683" s="127">
        <v>5110200</v>
      </c>
      <c r="B3683" s="125" t="s">
        <v>645</v>
      </c>
    </row>
    <row r="3684" spans="1:2">
      <c r="A3684" s="127">
        <v>5120000</v>
      </c>
      <c r="B3684" s="125" t="s">
        <v>1524</v>
      </c>
    </row>
    <row r="3685" spans="1:2">
      <c r="A3685" s="127">
        <v>5129400</v>
      </c>
      <c r="B3685" s="125" t="s">
        <v>642</v>
      </c>
    </row>
    <row r="3686" spans="1:2">
      <c r="A3686" s="127">
        <v>5129700</v>
      </c>
      <c r="B3686" s="125" t="s">
        <v>1152</v>
      </c>
    </row>
    <row r="3687" spans="1:2">
      <c r="A3687" s="127">
        <v>5130000</v>
      </c>
      <c r="B3687" s="125" t="s">
        <v>1950</v>
      </c>
    </row>
    <row r="3688" spans="1:2">
      <c r="A3688" s="127">
        <v>5139700</v>
      </c>
      <c r="B3688" s="125" t="s">
        <v>1152</v>
      </c>
    </row>
    <row r="3689" spans="1:2">
      <c r="A3689" s="127">
        <v>5140000</v>
      </c>
      <c r="B3689" s="125" t="s">
        <v>1951</v>
      </c>
    </row>
    <row r="3690" spans="1:2">
      <c r="A3690" s="127">
        <v>5140100</v>
      </c>
      <c r="B3690" s="125" t="s">
        <v>1315</v>
      </c>
    </row>
    <row r="3691" spans="1:2">
      <c r="A3691" s="127">
        <v>5140101</v>
      </c>
      <c r="B3691" s="125" t="s">
        <v>1454</v>
      </c>
    </row>
    <row r="3692" spans="1:2">
      <c r="A3692" s="127">
        <v>5140102</v>
      </c>
      <c r="B3692" s="125" t="s">
        <v>1455</v>
      </c>
    </row>
    <row r="3693" spans="1:2">
      <c r="A3693" s="127">
        <v>5140103</v>
      </c>
      <c r="B3693" s="125" t="s">
        <v>1454</v>
      </c>
    </row>
    <row r="3694" spans="1:2">
      <c r="A3694" s="127">
        <v>5140110</v>
      </c>
      <c r="B3694" s="125" t="s">
        <v>1060</v>
      </c>
    </row>
    <row r="3695" spans="1:2">
      <c r="A3695" s="127">
        <v>5140200</v>
      </c>
      <c r="B3695" s="125" t="s">
        <v>200</v>
      </c>
    </row>
    <row r="3696" spans="1:2">
      <c r="A3696" s="127">
        <v>5140300</v>
      </c>
      <c r="B3696" s="125" t="s">
        <v>1429</v>
      </c>
    </row>
    <row r="3697" spans="1:2">
      <c r="A3697" s="127">
        <v>5140400</v>
      </c>
      <c r="B3697" s="125" t="s">
        <v>1708</v>
      </c>
    </row>
    <row r="3698" spans="1:2">
      <c r="A3698" s="127">
        <v>5140500</v>
      </c>
      <c r="B3698" s="125" t="s">
        <v>1709</v>
      </c>
    </row>
    <row r="3699" spans="1:2" ht="26.4">
      <c r="A3699" s="127">
        <v>5140600</v>
      </c>
      <c r="B3699" s="125" t="s">
        <v>1456</v>
      </c>
    </row>
    <row r="3700" spans="1:2">
      <c r="A3700" s="127">
        <v>5140700</v>
      </c>
      <c r="B3700" s="125" t="s">
        <v>1710</v>
      </c>
    </row>
    <row r="3701" spans="1:2">
      <c r="A3701" s="127">
        <v>5140800</v>
      </c>
      <c r="B3701" s="125" t="s">
        <v>1457</v>
      </c>
    </row>
    <row r="3702" spans="1:2">
      <c r="A3702" s="127">
        <v>5140900</v>
      </c>
      <c r="B3702" s="125" t="s">
        <v>1458</v>
      </c>
    </row>
    <row r="3703" spans="1:2" ht="39.6">
      <c r="A3703" s="127">
        <v>5141000</v>
      </c>
      <c r="B3703" s="126" t="s">
        <v>1920</v>
      </c>
    </row>
    <row r="3704" spans="1:2" ht="26.4">
      <c r="A3704" s="127">
        <v>5141500</v>
      </c>
      <c r="B3704" s="126" t="s">
        <v>2186</v>
      </c>
    </row>
    <row r="3705" spans="1:2" ht="39.6">
      <c r="A3705" s="127">
        <v>5142000</v>
      </c>
      <c r="B3705" s="125" t="s">
        <v>730</v>
      </c>
    </row>
    <row r="3706" spans="1:2">
      <c r="A3706" s="127">
        <v>5142100</v>
      </c>
      <c r="B3706" s="125" t="s">
        <v>1680</v>
      </c>
    </row>
    <row r="3707" spans="1:2">
      <c r="A3707" s="127">
        <v>5142200</v>
      </c>
      <c r="B3707" s="125" t="s">
        <v>1921</v>
      </c>
    </row>
    <row r="3708" spans="1:2" ht="26.4">
      <c r="A3708" s="127">
        <v>5142201</v>
      </c>
      <c r="B3708" s="125" t="s">
        <v>1922</v>
      </c>
    </row>
    <row r="3709" spans="1:2">
      <c r="A3709" s="127">
        <v>5142202</v>
      </c>
      <c r="B3709" s="125" t="s">
        <v>1923</v>
      </c>
    </row>
    <row r="3710" spans="1:2">
      <c r="A3710" s="127">
        <v>5142300</v>
      </c>
      <c r="B3710" s="125" t="s">
        <v>1924</v>
      </c>
    </row>
    <row r="3711" spans="1:2" ht="39.6">
      <c r="A3711" s="127">
        <v>5142301</v>
      </c>
      <c r="B3711" s="125" t="s">
        <v>1715</v>
      </c>
    </row>
    <row r="3712" spans="1:2" ht="39.6">
      <c r="A3712" s="127">
        <v>5142400</v>
      </c>
      <c r="B3712" s="125" t="s">
        <v>1716</v>
      </c>
    </row>
    <row r="3713" spans="1:2" ht="26.4">
      <c r="A3713" s="127">
        <v>5142401</v>
      </c>
      <c r="B3713" s="125" t="s">
        <v>1717</v>
      </c>
    </row>
    <row r="3714" spans="1:2">
      <c r="A3714" s="127">
        <v>5142500</v>
      </c>
      <c r="B3714" s="125" t="s">
        <v>1718</v>
      </c>
    </row>
    <row r="3715" spans="1:2">
      <c r="A3715" s="127">
        <v>5142501</v>
      </c>
      <c r="B3715" s="125" t="s">
        <v>1719</v>
      </c>
    </row>
    <row r="3716" spans="1:2">
      <c r="A3716" s="127">
        <v>5142600</v>
      </c>
      <c r="B3716" s="125" t="s">
        <v>1720</v>
      </c>
    </row>
    <row r="3717" spans="1:2" ht="26.4">
      <c r="A3717" s="127">
        <v>5142601</v>
      </c>
      <c r="B3717" s="125" t="s">
        <v>1721</v>
      </c>
    </row>
    <row r="3718" spans="1:2">
      <c r="A3718" s="127">
        <v>5142800</v>
      </c>
      <c r="B3718" s="125" t="s">
        <v>1722</v>
      </c>
    </row>
    <row r="3719" spans="1:2" ht="26.4">
      <c r="A3719" s="127">
        <v>5142801</v>
      </c>
      <c r="B3719" s="125" t="s">
        <v>1723</v>
      </c>
    </row>
    <row r="3720" spans="1:2">
      <c r="A3720" s="127">
        <v>5142900</v>
      </c>
      <c r="B3720" s="125" t="s">
        <v>1724</v>
      </c>
    </row>
    <row r="3721" spans="1:2" ht="26.4">
      <c r="A3721" s="127">
        <v>5142901</v>
      </c>
      <c r="B3721" s="125" t="s">
        <v>1725</v>
      </c>
    </row>
    <row r="3722" spans="1:2">
      <c r="A3722" s="127">
        <v>5143100</v>
      </c>
      <c r="B3722" s="125" t="s">
        <v>1726</v>
      </c>
    </row>
    <row r="3723" spans="1:2" ht="39.6">
      <c r="A3723" s="127">
        <v>5143101</v>
      </c>
      <c r="B3723" s="126" t="s">
        <v>1727</v>
      </c>
    </row>
    <row r="3724" spans="1:2">
      <c r="A3724" s="127">
        <v>5143300</v>
      </c>
      <c r="B3724" s="125" t="s">
        <v>1728</v>
      </c>
    </row>
    <row r="3725" spans="1:2" ht="26.4">
      <c r="A3725" s="127">
        <v>5143301</v>
      </c>
      <c r="B3725" s="125" t="s">
        <v>1729</v>
      </c>
    </row>
    <row r="3726" spans="1:2">
      <c r="A3726" s="127">
        <v>5143400</v>
      </c>
      <c r="B3726" s="125" t="s">
        <v>1730</v>
      </c>
    </row>
    <row r="3727" spans="1:2">
      <c r="A3727" s="127">
        <v>5143401</v>
      </c>
      <c r="B3727" s="125" t="s">
        <v>1731</v>
      </c>
    </row>
    <row r="3728" spans="1:2" ht="26.4">
      <c r="A3728" s="127">
        <v>5143500</v>
      </c>
      <c r="B3728" s="125" t="s">
        <v>1732</v>
      </c>
    </row>
    <row r="3729" spans="1:2">
      <c r="A3729" s="127">
        <v>5143501</v>
      </c>
      <c r="B3729" s="125" t="s">
        <v>1733</v>
      </c>
    </row>
    <row r="3730" spans="1:2" ht="39.6">
      <c r="A3730" s="127">
        <v>5143600</v>
      </c>
      <c r="B3730" s="126" t="s">
        <v>1734</v>
      </c>
    </row>
    <row r="3731" spans="1:2">
      <c r="A3731" s="127">
        <v>5143601</v>
      </c>
      <c r="B3731" s="125" t="s">
        <v>1735</v>
      </c>
    </row>
    <row r="3732" spans="1:2" ht="39.6">
      <c r="A3732" s="127">
        <v>5143700</v>
      </c>
      <c r="B3732" s="126" t="s">
        <v>1736</v>
      </c>
    </row>
    <row r="3733" spans="1:2" ht="39.6">
      <c r="A3733" s="127">
        <v>5143701</v>
      </c>
      <c r="B3733" s="125" t="s">
        <v>2003</v>
      </c>
    </row>
    <row r="3734" spans="1:2" ht="26.4">
      <c r="A3734" s="127">
        <v>5143800</v>
      </c>
      <c r="B3734" s="125" t="s">
        <v>2004</v>
      </c>
    </row>
    <row r="3735" spans="1:2" ht="26.4">
      <c r="A3735" s="127">
        <v>5143801</v>
      </c>
      <c r="B3735" s="125" t="s">
        <v>2005</v>
      </c>
    </row>
    <row r="3736" spans="1:2" ht="92.4">
      <c r="A3736" s="127">
        <v>5143900</v>
      </c>
      <c r="B3736" s="126" t="s">
        <v>1496</v>
      </c>
    </row>
    <row r="3737" spans="1:2" ht="52.8">
      <c r="A3737" s="127">
        <v>5143901</v>
      </c>
      <c r="B3737" s="126" t="s">
        <v>1286</v>
      </c>
    </row>
    <row r="3738" spans="1:2">
      <c r="A3738" s="127">
        <v>5144000</v>
      </c>
      <c r="B3738" s="125" t="s">
        <v>1287</v>
      </c>
    </row>
    <row r="3739" spans="1:2" ht="39.6">
      <c r="A3739" s="127">
        <v>5144001</v>
      </c>
      <c r="B3739" s="126" t="s">
        <v>1369</v>
      </c>
    </row>
    <row r="3740" spans="1:2" ht="39.6">
      <c r="A3740" s="127">
        <v>5144100</v>
      </c>
      <c r="B3740" s="125" t="s">
        <v>1370</v>
      </c>
    </row>
    <row r="3741" spans="1:2" ht="39.6">
      <c r="A3741" s="127">
        <v>5150000</v>
      </c>
      <c r="B3741" s="125" t="s">
        <v>664</v>
      </c>
    </row>
    <row r="3742" spans="1:2" ht="39.6">
      <c r="A3742" s="127">
        <v>5150100</v>
      </c>
      <c r="B3742" s="125" t="s">
        <v>664</v>
      </c>
    </row>
    <row r="3743" spans="1:2">
      <c r="A3743" s="127">
        <v>5160000</v>
      </c>
      <c r="B3743" s="125" t="s">
        <v>665</v>
      </c>
    </row>
    <row r="3744" spans="1:2">
      <c r="A3744" s="127">
        <v>5160100</v>
      </c>
      <c r="B3744" s="125" t="s">
        <v>665</v>
      </c>
    </row>
    <row r="3745" spans="1:2">
      <c r="A3745" s="127">
        <v>5160130</v>
      </c>
      <c r="B3745" s="125" t="s">
        <v>1253</v>
      </c>
    </row>
    <row r="3746" spans="1:2">
      <c r="A3746" s="127">
        <v>5170000</v>
      </c>
      <c r="B3746" s="125" t="s">
        <v>666</v>
      </c>
    </row>
    <row r="3747" spans="1:2">
      <c r="A3747" s="127">
        <v>5170100</v>
      </c>
      <c r="B3747" s="125" t="s">
        <v>211</v>
      </c>
    </row>
    <row r="3748" spans="1:2">
      <c r="A3748" s="127">
        <v>5170200</v>
      </c>
      <c r="B3748" s="125" t="s">
        <v>1545</v>
      </c>
    </row>
    <row r="3749" spans="1:2">
      <c r="A3749" s="127">
        <v>5170220</v>
      </c>
      <c r="B3749" s="125" t="s">
        <v>414</v>
      </c>
    </row>
    <row r="3750" spans="1:2">
      <c r="A3750" s="127">
        <v>5170400</v>
      </c>
      <c r="B3750" s="125" t="s">
        <v>1543</v>
      </c>
    </row>
    <row r="3751" spans="1:2">
      <c r="A3751" s="127">
        <v>5170500</v>
      </c>
      <c r="B3751" s="125" t="s">
        <v>1465</v>
      </c>
    </row>
    <row r="3752" spans="1:2">
      <c r="A3752" s="127">
        <v>5170600</v>
      </c>
      <c r="B3752" s="125" t="s">
        <v>506</v>
      </c>
    </row>
    <row r="3753" spans="1:2">
      <c r="A3753" s="127">
        <v>5170700</v>
      </c>
      <c r="B3753" s="125" t="s">
        <v>1371</v>
      </c>
    </row>
    <row r="3754" spans="1:2" ht="26.4">
      <c r="A3754" s="127">
        <v>5171000</v>
      </c>
      <c r="B3754" s="125" t="s">
        <v>2145</v>
      </c>
    </row>
    <row r="3755" spans="1:2">
      <c r="A3755" s="127">
        <v>5180000</v>
      </c>
      <c r="B3755" s="125" t="s">
        <v>507</v>
      </c>
    </row>
    <row r="3756" spans="1:2">
      <c r="A3756" s="127">
        <v>5180100</v>
      </c>
      <c r="B3756" s="125" t="s">
        <v>1262</v>
      </c>
    </row>
    <row r="3757" spans="1:2">
      <c r="A3757" s="127">
        <v>5180101</v>
      </c>
      <c r="B3757" s="125" t="s">
        <v>1372</v>
      </c>
    </row>
    <row r="3758" spans="1:2">
      <c r="A3758" s="127">
        <v>5180200</v>
      </c>
      <c r="B3758" s="125" t="s">
        <v>375</v>
      </c>
    </row>
    <row r="3759" spans="1:2">
      <c r="A3759" s="127">
        <v>5190000</v>
      </c>
      <c r="B3759" s="125" t="s">
        <v>1373</v>
      </c>
    </row>
    <row r="3760" spans="1:2" ht="26.4">
      <c r="A3760" s="127">
        <v>5190100</v>
      </c>
      <c r="B3760" s="125" t="s">
        <v>1374</v>
      </c>
    </row>
    <row r="3761" spans="1:2">
      <c r="A3761" s="127">
        <v>5200000</v>
      </c>
      <c r="B3761" s="125" t="s">
        <v>990</v>
      </c>
    </row>
    <row r="3762" spans="1:2">
      <c r="A3762" s="127">
        <v>5200100</v>
      </c>
      <c r="B3762" s="125" t="s">
        <v>780</v>
      </c>
    </row>
    <row r="3763" spans="1:2">
      <c r="A3763" s="127">
        <v>5200200</v>
      </c>
      <c r="B3763" s="125" t="s">
        <v>877</v>
      </c>
    </row>
    <row r="3764" spans="1:2" ht="26.4">
      <c r="A3764" s="127">
        <v>5200300</v>
      </c>
      <c r="B3764" s="125" t="s">
        <v>515</v>
      </c>
    </row>
    <row r="3765" spans="1:2" ht="26.4">
      <c r="A3765" s="127">
        <v>5200302</v>
      </c>
      <c r="B3765" s="125" t="s">
        <v>1375</v>
      </c>
    </row>
    <row r="3766" spans="1:2">
      <c r="A3766" s="127">
        <v>5200400</v>
      </c>
      <c r="B3766" s="125" t="s">
        <v>346</v>
      </c>
    </row>
    <row r="3767" spans="1:2" ht="26.4">
      <c r="A3767" s="127">
        <v>5200402</v>
      </c>
      <c r="B3767" s="125" t="s">
        <v>1376</v>
      </c>
    </row>
    <row r="3768" spans="1:2">
      <c r="A3768" s="127">
        <v>5200500</v>
      </c>
      <c r="B3768" s="125" t="s">
        <v>233</v>
      </c>
    </row>
    <row r="3769" spans="1:2">
      <c r="A3769" s="127">
        <v>5200600</v>
      </c>
      <c r="B3769" s="125" t="s">
        <v>1248</v>
      </c>
    </row>
    <row r="3770" spans="1:2" ht="26.4">
      <c r="A3770" s="127">
        <v>5200700</v>
      </c>
      <c r="B3770" s="125" t="s">
        <v>537</v>
      </c>
    </row>
    <row r="3771" spans="1:2">
      <c r="A3771" s="127">
        <v>5200800</v>
      </c>
      <c r="B3771" s="125" t="s">
        <v>366</v>
      </c>
    </row>
    <row r="3772" spans="1:2">
      <c r="A3772" s="127">
        <v>5200900</v>
      </c>
      <c r="B3772" s="125" t="s">
        <v>367</v>
      </c>
    </row>
    <row r="3773" spans="1:2">
      <c r="A3773" s="127">
        <v>5200901</v>
      </c>
      <c r="B3773" s="125" t="s">
        <v>367</v>
      </c>
    </row>
    <row r="3774" spans="1:2" ht="26.4">
      <c r="A3774" s="127">
        <v>5201000</v>
      </c>
      <c r="B3774" s="125" t="s">
        <v>791</v>
      </c>
    </row>
    <row r="3775" spans="1:2">
      <c r="A3775" s="127">
        <v>5201001</v>
      </c>
      <c r="B3775" s="125" t="s">
        <v>2146</v>
      </c>
    </row>
    <row r="3776" spans="1:2">
      <c r="A3776" s="127">
        <v>5201100</v>
      </c>
      <c r="B3776" s="125" t="s">
        <v>1310</v>
      </c>
    </row>
    <row r="3777" spans="1:2">
      <c r="A3777" s="127">
        <v>5201200</v>
      </c>
      <c r="B3777" s="125" t="s">
        <v>792</v>
      </c>
    </row>
    <row r="3778" spans="1:2">
      <c r="A3778" s="127">
        <v>5201300</v>
      </c>
      <c r="B3778" s="125" t="s">
        <v>1252</v>
      </c>
    </row>
    <row r="3779" spans="1:2">
      <c r="A3779" s="127">
        <v>5201301</v>
      </c>
      <c r="B3779" s="125" t="s">
        <v>1252</v>
      </c>
    </row>
    <row r="3780" spans="1:2">
      <c r="A3780" s="127">
        <v>5201311</v>
      </c>
      <c r="B3780" s="125" t="s">
        <v>212</v>
      </c>
    </row>
    <row r="3781" spans="1:2">
      <c r="A3781" s="127">
        <v>5201312</v>
      </c>
      <c r="B3781" s="125" t="s">
        <v>214</v>
      </c>
    </row>
    <row r="3782" spans="1:2">
      <c r="A3782" s="127">
        <v>5201313</v>
      </c>
      <c r="B3782" s="125" t="s">
        <v>453</v>
      </c>
    </row>
    <row r="3783" spans="1:2">
      <c r="A3783" s="127">
        <v>5201320</v>
      </c>
      <c r="B3783" s="125" t="s">
        <v>453</v>
      </c>
    </row>
    <row r="3784" spans="1:2">
      <c r="A3784" s="127">
        <v>5201400</v>
      </c>
      <c r="B3784" s="125" t="s">
        <v>975</v>
      </c>
    </row>
    <row r="3785" spans="1:2" ht="26.4">
      <c r="A3785" s="127">
        <v>5201500</v>
      </c>
      <c r="B3785" s="125" t="s">
        <v>1377</v>
      </c>
    </row>
    <row r="3786" spans="1:2" ht="26.4">
      <c r="A3786" s="127">
        <v>5201600</v>
      </c>
      <c r="B3786" s="125" t="s">
        <v>1702</v>
      </c>
    </row>
    <row r="3787" spans="1:2" ht="26.4">
      <c r="A3787" s="127">
        <v>5201800</v>
      </c>
      <c r="B3787" s="125" t="s">
        <v>157</v>
      </c>
    </row>
    <row r="3788" spans="1:2">
      <c r="A3788" s="127">
        <v>5202000</v>
      </c>
      <c r="B3788" s="125" t="s">
        <v>1378</v>
      </c>
    </row>
    <row r="3789" spans="1:2" ht="52.8">
      <c r="A3789" s="127">
        <v>5202100</v>
      </c>
      <c r="B3789" s="126" t="s">
        <v>522</v>
      </c>
    </row>
    <row r="3790" spans="1:2">
      <c r="A3790" s="127">
        <v>5202300</v>
      </c>
      <c r="B3790" s="125" t="s">
        <v>1379</v>
      </c>
    </row>
    <row r="3791" spans="1:2">
      <c r="A3791" s="127">
        <v>5202400</v>
      </c>
      <c r="B3791" s="125" t="s">
        <v>1380</v>
      </c>
    </row>
    <row r="3792" spans="1:2" ht="26.4">
      <c r="A3792" s="127">
        <v>5202500</v>
      </c>
      <c r="B3792" s="125" t="s">
        <v>1381</v>
      </c>
    </row>
    <row r="3793" spans="1:2">
      <c r="A3793" s="127">
        <v>5202600</v>
      </c>
      <c r="B3793" s="125" t="s">
        <v>1382</v>
      </c>
    </row>
    <row r="3794" spans="1:2" ht="39.6">
      <c r="A3794" s="127">
        <v>5202700</v>
      </c>
      <c r="B3794" s="126" t="s">
        <v>1383</v>
      </c>
    </row>
    <row r="3795" spans="1:2">
      <c r="A3795" s="127">
        <v>5202800</v>
      </c>
      <c r="B3795" s="125" t="s">
        <v>1384</v>
      </c>
    </row>
    <row r="3796" spans="1:2">
      <c r="A3796" s="127">
        <v>5203010</v>
      </c>
      <c r="B3796" s="125" t="s">
        <v>1385</v>
      </c>
    </row>
    <row r="3797" spans="1:2">
      <c r="A3797" s="127">
        <v>5203012</v>
      </c>
      <c r="B3797" s="125" t="s">
        <v>114</v>
      </c>
    </row>
    <row r="3798" spans="1:2">
      <c r="A3798" s="127">
        <v>5210000</v>
      </c>
      <c r="B3798" s="126" t="s">
        <v>2125</v>
      </c>
    </row>
    <row r="3799" spans="1:2" ht="26.4">
      <c r="A3799" s="127">
        <v>5210100</v>
      </c>
      <c r="B3799" s="126" t="s">
        <v>2188</v>
      </c>
    </row>
    <row r="3800" spans="1:2">
      <c r="A3800" s="127">
        <v>5210110</v>
      </c>
      <c r="B3800" s="125" t="s">
        <v>1386</v>
      </c>
    </row>
    <row r="3801" spans="1:2">
      <c r="A3801" s="127">
        <v>5210112</v>
      </c>
      <c r="B3801" s="125" t="s">
        <v>90</v>
      </c>
    </row>
    <row r="3802" spans="1:2" ht="26.4">
      <c r="A3802" s="127">
        <v>5210113</v>
      </c>
      <c r="B3802" s="125" t="s">
        <v>1876</v>
      </c>
    </row>
    <row r="3803" spans="1:2">
      <c r="A3803" s="127">
        <v>5210114</v>
      </c>
      <c r="B3803" s="125" t="s">
        <v>1877</v>
      </c>
    </row>
    <row r="3804" spans="1:2" ht="26.4">
      <c r="A3804" s="127">
        <v>5210125</v>
      </c>
      <c r="B3804" s="125" t="s">
        <v>2079</v>
      </c>
    </row>
    <row r="3805" spans="1:2">
      <c r="A3805" s="127">
        <v>5210129</v>
      </c>
      <c r="B3805" s="125" t="s">
        <v>2147</v>
      </c>
    </row>
    <row r="3806" spans="1:2">
      <c r="A3806" s="127">
        <v>5210300</v>
      </c>
      <c r="B3806" s="125" t="s">
        <v>1878</v>
      </c>
    </row>
    <row r="3807" spans="1:2">
      <c r="A3807" s="127">
        <v>5210301</v>
      </c>
      <c r="B3807" s="125" t="s">
        <v>721</v>
      </c>
    </row>
    <row r="3808" spans="1:2" ht="26.4">
      <c r="A3808" s="127">
        <v>5210302</v>
      </c>
      <c r="B3808" s="125" t="s">
        <v>979</v>
      </c>
    </row>
    <row r="3809" spans="1:2" ht="26.4">
      <c r="A3809" s="127">
        <v>5210303</v>
      </c>
      <c r="B3809" s="125" t="s">
        <v>980</v>
      </c>
    </row>
    <row r="3810" spans="1:2">
      <c r="A3810" s="127">
        <v>5220000</v>
      </c>
      <c r="B3810" s="125" t="s">
        <v>503</v>
      </c>
    </row>
    <row r="3811" spans="1:2">
      <c r="A3811" s="127">
        <v>5220100</v>
      </c>
      <c r="B3811" s="125" t="s">
        <v>1879</v>
      </c>
    </row>
    <row r="3812" spans="1:2">
      <c r="A3812" s="127">
        <v>5220200</v>
      </c>
      <c r="B3812" s="125" t="s">
        <v>1642</v>
      </c>
    </row>
    <row r="3813" spans="1:2" ht="26.4">
      <c r="A3813" s="127">
        <v>5220202</v>
      </c>
      <c r="B3813" s="125" t="s">
        <v>1119</v>
      </c>
    </row>
    <row r="3814" spans="1:2">
      <c r="A3814" s="127">
        <v>5220400</v>
      </c>
      <c r="B3814" s="125" t="s">
        <v>1784</v>
      </c>
    </row>
    <row r="3815" spans="1:2" ht="26.4">
      <c r="A3815" s="127">
        <v>5220700</v>
      </c>
      <c r="B3815" s="125" t="s">
        <v>1785</v>
      </c>
    </row>
    <row r="3816" spans="1:2">
      <c r="A3816" s="127">
        <v>5220900</v>
      </c>
      <c r="B3816" s="125" t="s">
        <v>1973</v>
      </c>
    </row>
    <row r="3817" spans="1:2">
      <c r="A3817" s="127">
        <v>5221200</v>
      </c>
      <c r="B3817" s="125" t="s">
        <v>1786</v>
      </c>
    </row>
    <row r="3818" spans="1:2">
      <c r="A3818" s="127">
        <v>5221201</v>
      </c>
      <c r="B3818" s="125" t="s">
        <v>1787</v>
      </c>
    </row>
    <row r="3819" spans="1:2" ht="26.4">
      <c r="A3819" s="127">
        <v>5221202</v>
      </c>
      <c r="B3819" s="125" t="s">
        <v>2148</v>
      </c>
    </row>
    <row r="3820" spans="1:2">
      <c r="A3820" s="127">
        <v>5221300</v>
      </c>
      <c r="B3820" s="125" t="s">
        <v>1788</v>
      </c>
    </row>
    <row r="3821" spans="1:2">
      <c r="A3821" s="127">
        <v>5221301</v>
      </c>
      <c r="B3821" s="125" t="s">
        <v>1973</v>
      </c>
    </row>
    <row r="3822" spans="1:2">
      <c r="A3822" s="127">
        <v>5221302</v>
      </c>
      <c r="B3822" s="125" t="s">
        <v>1454</v>
      </c>
    </row>
    <row r="3823" spans="1:2">
      <c r="A3823" s="127">
        <v>5221303</v>
      </c>
      <c r="B3823" s="125" t="s">
        <v>1454</v>
      </c>
    </row>
    <row r="3824" spans="1:2">
      <c r="A3824" s="127">
        <v>5221304</v>
      </c>
      <c r="B3824" s="125" t="s">
        <v>1454</v>
      </c>
    </row>
    <row r="3825" spans="1:2">
      <c r="A3825" s="127">
        <v>5221305</v>
      </c>
      <c r="B3825" s="125" t="s">
        <v>1454</v>
      </c>
    </row>
    <row r="3826" spans="1:2">
      <c r="A3826" s="127">
        <v>5221306</v>
      </c>
      <c r="B3826" s="125" t="s">
        <v>1789</v>
      </c>
    </row>
    <row r="3827" spans="1:2">
      <c r="A3827" s="127">
        <v>5221307</v>
      </c>
      <c r="B3827" s="125" t="s">
        <v>1454</v>
      </c>
    </row>
    <row r="3828" spans="1:2">
      <c r="A3828" s="127">
        <v>5221308</v>
      </c>
      <c r="B3828" s="125" t="s">
        <v>1790</v>
      </c>
    </row>
    <row r="3829" spans="1:2" ht="26.4">
      <c r="A3829" s="127">
        <v>5221309</v>
      </c>
      <c r="B3829" s="125" t="s">
        <v>1791</v>
      </c>
    </row>
    <row r="3830" spans="1:2">
      <c r="A3830" s="127">
        <v>5221310</v>
      </c>
      <c r="B3830" s="125" t="s">
        <v>1792</v>
      </c>
    </row>
    <row r="3831" spans="1:2">
      <c r="A3831" s="127">
        <v>5221312</v>
      </c>
      <c r="B3831" s="125" t="s">
        <v>1974</v>
      </c>
    </row>
    <row r="3832" spans="1:2">
      <c r="A3832" s="127">
        <v>5221313</v>
      </c>
      <c r="B3832" s="125" t="s">
        <v>2212</v>
      </c>
    </row>
    <row r="3833" spans="1:2" ht="26.4">
      <c r="A3833" s="127">
        <v>5221314</v>
      </c>
      <c r="B3833" s="125" t="s">
        <v>2149</v>
      </c>
    </row>
    <row r="3834" spans="1:2">
      <c r="A3834" s="127">
        <v>5221315</v>
      </c>
      <c r="B3834" s="125" t="s">
        <v>2150</v>
      </c>
    </row>
    <row r="3835" spans="1:2">
      <c r="A3835" s="127">
        <v>5221400</v>
      </c>
      <c r="B3835" s="125" t="s">
        <v>2151</v>
      </c>
    </row>
    <row r="3836" spans="1:2">
      <c r="A3836" s="127">
        <v>5221401</v>
      </c>
      <c r="B3836" s="125" t="s">
        <v>1793</v>
      </c>
    </row>
    <row r="3837" spans="1:2">
      <c r="A3837" s="127">
        <v>5221900</v>
      </c>
      <c r="B3837" s="125" t="s">
        <v>1794</v>
      </c>
    </row>
    <row r="3838" spans="1:2" ht="26.4">
      <c r="A3838" s="127">
        <v>5222100</v>
      </c>
      <c r="B3838" s="125" t="s">
        <v>2193</v>
      </c>
    </row>
    <row r="3839" spans="1:2" ht="26.4">
      <c r="A3839" s="127">
        <v>5222101</v>
      </c>
      <c r="B3839" s="125" t="s">
        <v>2194</v>
      </c>
    </row>
    <row r="3840" spans="1:2" ht="26.4">
      <c r="A3840" s="127">
        <v>5222900</v>
      </c>
      <c r="B3840" s="125" t="s">
        <v>723</v>
      </c>
    </row>
    <row r="3841" spans="1:2" ht="26.4">
      <c r="A3841" s="127">
        <v>5222902</v>
      </c>
      <c r="B3841" s="125" t="s">
        <v>723</v>
      </c>
    </row>
    <row r="3842" spans="1:2">
      <c r="A3842" s="127">
        <v>5223100</v>
      </c>
      <c r="B3842" s="125" t="s">
        <v>1795</v>
      </c>
    </row>
    <row r="3843" spans="1:2">
      <c r="A3843" s="127">
        <v>5223101</v>
      </c>
      <c r="B3843" s="125" t="s">
        <v>1796</v>
      </c>
    </row>
    <row r="3844" spans="1:2" ht="26.4">
      <c r="A3844" s="127">
        <v>5223102</v>
      </c>
      <c r="B3844" s="125" t="s">
        <v>1797</v>
      </c>
    </row>
    <row r="3845" spans="1:2" ht="26.4">
      <c r="A3845" s="127">
        <v>5223103</v>
      </c>
      <c r="B3845" s="125" t="s">
        <v>1798</v>
      </c>
    </row>
    <row r="3846" spans="1:2">
      <c r="A3846" s="127">
        <v>5223200</v>
      </c>
      <c r="B3846" s="125" t="s">
        <v>1799</v>
      </c>
    </row>
    <row r="3847" spans="1:2">
      <c r="A3847" s="127">
        <v>5223300</v>
      </c>
      <c r="B3847" s="125" t="s">
        <v>793</v>
      </c>
    </row>
    <row r="3848" spans="1:2" ht="39.6">
      <c r="A3848" s="127">
        <v>5223302</v>
      </c>
      <c r="B3848" s="125" t="s">
        <v>1800</v>
      </c>
    </row>
    <row r="3849" spans="1:2" ht="26.4">
      <c r="A3849" s="127">
        <v>5223400</v>
      </c>
      <c r="B3849" s="125" t="s">
        <v>1801</v>
      </c>
    </row>
    <row r="3850" spans="1:2">
      <c r="A3850" s="127">
        <v>5223500</v>
      </c>
      <c r="B3850" s="125" t="s">
        <v>1802</v>
      </c>
    </row>
    <row r="3851" spans="1:2">
      <c r="A3851" s="127">
        <v>5223502</v>
      </c>
      <c r="B3851" s="125" t="s">
        <v>1802</v>
      </c>
    </row>
    <row r="3852" spans="1:2" ht="26.4">
      <c r="A3852" s="127">
        <v>5223800</v>
      </c>
      <c r="B3852" s="125" t="s">
        <v>542</v>
      </c>
    </row>
    <row r="3853" spans="1:2" ht="26.4">
      <c r="A3853" s="127">
        <v>5223803</v>
      </c>
      <c r="B3853" s="125" t="s">
        <v>1975</v>
      </c>
    </row>
    <row r="3854" spans="1:2">
      <c r="A3854" s="127">
        <v>5224000</v>
      </c>
      <c r="B3854" s="125" t="s">
        <v>1830</v>
      </c>
    </row>
    <row r="3855" spans="1:2">
      <c r="A3855" s="127">
        <v>5224002</v>
      </c>
      <c r="B3855" s="125" t="s">
        <v>1803</v>
      </c>
    </row>
    <row r="3856" spans="1:2">
      <c r="A3856" s="127">
        <v>5224005</v>
      </c>
      <c r="B3856" s="125" t="s">
        <v>1804</v>
      </c>
    </row>
    <row r="3857" spans="1:2">
      <c r="A3857" s="127">
        <v>5224400</v>
      </c>
      <c r="B3857" s="125" t="s">
        <v>373</v>
      </c>
    </row>
    <row r="3858" spans="1:2" ht="26.4">
      <c r="A3858" s="127">
        <v>5224600</v>
      </c>
      <c r="B3858" s="125" t="s">
        <v>2152</v>
      </c>
    </row>
    <row r="3859" spans="1:2" ht="26.4">
      <c r="A3859" s="127">
        <v>5224602</v>
      </c>
      <c r="B3859" s="125" t="s">
        <v>2187</v>
      </c>
    </row>
    <row r="3860" spans="1:2" ht="39.6">
      <c r="A3860" s="127">
        <v>5224603</v>
      </c>
      <c r="B3860" s="126" t="s">
        <v>2153</v>
      </c>
    </row>
    <row r="3861" spans="1:2" ht="26.4">
      <c r="A3861" s="127">
        <v>5225100</v>
      </c>
      <c r="B3861" s="125" t="s">
        <v>1062</v>
      </c>
    </row>
    <row r="3862" spans="1:2">
      <c r="A3862" s="127">
        <v>5225101</v>
      </c>
      <c r="B3862" s="125" t="s">
        <v>2049</v>
      </c>
    </row>
    <row r="3863" spans="1:2">
      <c r="A3863" s="127">
        <v>5225300</v>
      </c>
      <c r="B3863" s="125" t="s">
        <v>1124</v>
      </c>
    </row>
    <row r="3864" spans="1:2" ht="26.4">
      <c r="A3864" s="127">
        <v>5225301</v>
      </c>
      <c r="B3864" s="125" t="s">
        <v>151</v>
      </c>
    </row>
    <row r="3865" spans="1:2">
      <c r="A3865" s="127">
        <v>5225302</v>
      </c>
      <c r="B3865" s="125" t="s">
        <v>152</v>
      </c>
    </row>
    <row r="3866" spans="1:2">
      <c r="A3866" s="127">
        <v>5225600</v>
      </c>
      <c r="B3866" s="125" t="s">
        <v>2050</v>
      </c>
    </row>
    <row r="3867" spans="1:2">
      <c r="A3867" s="127">
        <v>5225700</v>
      </c>
      <c r="B3867" s="125" t="s">
        <v>343</v>
      </c>
    </row>
    <row r="3868" spans="1:2">
      <c r="A3868" s="127">
        <v>5225705</v>
      </c>
      <c r="B3868" s="125" t="s">
        <v>344</v>
      </c>
    </row>
    <row r="3869" spans="1:2" ht="26.4">
      <c r="A3869" s="127">
        <v>5225800</v>
      </c>
      <c r="B3869" s="125" t="s">
        <v>2154</v>
      </c>
    </row>
    <row r="3870" spans="1:2" ht="26.4">
      <c r="A3870" s="127">
        <v>5225803</v>
      </c>
      <c r="B3870" s="125" t="s">
        <v>2051</v>
      </c>
    </row>
    <row r="3871" spans="1:2" ht="39.6">
      <c r="A3871" s="127">
        <v>5225900</v>
      </c>
      <c r="B3871" s="125" t="s">
        <v>2052</v>
      </c>
    </row>
    <row r="3872" spans="1:2" ht="26.4">
      <c r="A3872" s="127">
        <v>5225901</v>
      </c>
      <c r="B3872" s="125" t="s">
        <v>1557</v>
      </c>
    </row>
    <row r="3873" spans="1:2">
      <c r="A3873" s="127">
        <v>5226000</v>
      </c>
      <c r="B3873" s="164" t="s">
        <v>2155</v>
      </c>
    </row>
    <row r="3874" spans="1:2" ht="26.4">
      <c r="A3874" s="127">
        <v>5226003</v>
      </c>
      <c r="B3874" s="125" t="s">
        <v>1254</v>
      </c>
    </row>
    <row r="3875" spans="1:2" ht="26.4">
      <c r="A3875" s="127">
        <v>5226004</v>
      </c>
      <c r="B3875" s="125" t="s">
        <v>1558</v>
      </c>
    </row>
    <row r="3876" spans="1:2" ht="26.4">
      <c r="A3876" s="127">
        <v>5226006</v>
      </c>
      <c r="B3876" s="199" t="s">
        <v>194</v>
      </c>
    </row>
    <row r="3877" spans="1:2">
      <c r="A3877" s="127">
        <v>5226100</v>
      </c>
      <c r="B3877" s="125" t="s">
        <v>1559</v>
      </c>
    </row>
    <row r="3878" spans="1:2">
      <c r="A3878" s="127">
        <v>5226102</v>
      </c>
      <c r="B3878" s="125" t="s">
        <v>1560</v>
      </c>
    </row>
    <row r="3879" spans="1:2">
      <c r="A3879" s="127">
        <v>5226400</v>
      </c>
      <c r="B3879" s="125" t="s">
        <v>2156</v>
      </c>
    </row>
    <row r="3880" spans="1:2" ht="26.4">
      <c r="A3880" s="127">
        <v>5226401</v>
      </c>
      <c r="B3880" s="125" t="s">
        <v>1561</v>
      </c>
    </row>
    <row r="3881" spans="1:2" ht="26.4">
      <c r="A3881" s="127">
        <v>5226404</v>
      </c>
      <c r="B3881" s="125" t="s">
        <v>2157</v>
      </c>
    </row>
    <row r="3882" spans="1:2">
      <c r="A3882" s="127">
        <v>5226900</v>
      </c>
      <c r="B3882" s="125" t="s">
        <v>1615</v>
      </c>
    </row>
    <row r="3883" spans="1:2" ht="26.4">
      <c r="A3883" s="127">
        <v>5226902</v>
      </c>
      <c r="B3883" s="125" t="s">
        <v>1562</v>
      </c>
    </row>
    <row r="3884" spans="1:2">
      <c r="A3884" s="127">
        <v>5226904</v>
      </c>
      <c r="B3884" s="125" t="s">
        <v>1616</v>
      </c>
    </row>
    <row r="3885" spans="1:2" ht="26.4">
      <c r="A3885" s="127">
        <v>5226905</v>
      </c>
      <c r="B3885" s="125" t="s">
        <v>440</v>
      </c>
    </row>
    <row r="3886" spans="1:2">
      <c r="A3886" s="127">
        <v>5227200</v>
      </c>
      <c r="B3886" s="125" t="s">
        <v>2184</v>
      </c>
    </row>
    <row r="3887" spans="1:2">
      <c r="A3887" s="127">
        <v>5227201</v>
      </c>
      <c r="B3887" s="125" t="s">
        <v>2185</v>
      </c>
    </row>
    <row r="3888" spans="1:2" ht="26.4">
      <c r="A3888" s="127">
        <v>5227209</v>
      </c>
      <c r="B3888" s="125" t="s">
        <v>2218</v>
      </c>
    </row>
    <row r="3889" spans="1:2">
      <c r="A3889" s="127">
        <v>5227210</v>
      </c>
      <c r="B3889" s="125" t="s">
        <v>2216</v>
      </c>
    </row>
    <row r="3890" spans="1:2">
      <c r="A3890" s="127">
        <v>5228000</v>
      </c>
      <c r="B3890" s="125" t="s">
        <v>2160</v>
      </c>
    </row>
    <row r="3891" spans="1:2" ht="26.4">
      <c r="A3891" s="127">
        <v>5228001</v>
      </c>
      <c r="B3891" s="125" t="s">
        <v>2161</v>
      </c>
    </row>
    <row r="3892" spans="1:2">
      <c r="A3892" s="127">
        <v>5230000</v>
      </c>
      <c r="B3892" s="125" t="s">
        <v>685</v>
      </c>
    </row>
    <row r="3893" spans="1:2">
      <c r="A3893" s="127">
        <v>5230100</v>
      </c>
      <c r="B3893" s="125" t="s">
        <v>1688</v>
      </c>
    </row>
    <row r="3894" spans="1:2" ht="26.4">
      <c r="A3894" s="127">
        <v>5260000</v>
      </c>
      <c r="B3894" s="125" t="s">
        <v>1563</v>
      </c>
    </row>
    <row r="3895" spans="1:2" ht="26.4">
      <c r="A3895" s="127">
        <v>5260100</v>
      </c>
      <c r="B3895" s="125" t="s">
        <v>1689</v>
      </c>
    </row>
    <row r="3896" spans="1:2" ht="26.4">
      <c r="A3896" s="127">
        <v>5260200</v>
      </c>
      <c r="B3896" s="125" t="s">
        <v>1564</v>
      </c>
    </row>
    <row r="3897" spans="1:2">
      <c r="A3897" s="127">
        <v>5268200</v>
      </c>
      <c r="B3897" s="125" t="s">
        <v>1132</v>
      </c>
    </row>
    <row r="3898" spans="1:2" ht="26.4">
      <c r="A3898" s="127">
        <v>5270000</v>
      </c>
      <c r="B3898" s="125" t="s">
        <v>1565</v>
      </c>
    </row>
    <row r="3899" spans="1:2" ht="52.8">
      <c r="A3899" s="127">
        <v>5300000</v>
      </c>
      <c r="B3899" s="126" t="s">
        <v>1409</v>
      </c>
    </row>
    <row r="3900" spans="1:2">
      <c r="A3900" s="127">
        <v>5300100</v>
      </c>
      <c r="B3900" s="125" t="s">
        <v>1410</v>
      </c>
    </row>
    <row r="3901" spans="1:2" ht="26.4">
      <c r="A3901" s="127">
        <v>5500000</v>
      </c>
      <c r="B3901" s="125" t="s">
        <v>1566</v>
      </c>
    </row>
    <row r="3902" spans="1:2">
      <c r="A3902" s="127">
        <v>5500200</v>
      </c>
      <c r="B3902" s="125" t="s">
        <v>234</v>
      </c>
    </row>
    <row r="3903" spans="1:2">
      <c r="A3903" s="127">
        <v>5500300</v>
      </c>
      <c r="B3903" s="125" t="s">
        <v>1567</v>
      </c>
    </row>
    <row r="3904" spans="1:2">
      <c r="A3904" s="127">
        <v>5500301</v>
      </c>
      <c r="B3904" s="125" t="s">
        <v>1010</v>
      </c>
    </row>
    <row r="3905" spans="1:2">
      <c r="A3905" s="127">
        <v>5500302</v>
      </c>
      <c r="B3905" s="125" t="s">
        <v>1000</v>
      </c>
    </row>
    <row r="3906" spans="1:2" ht="26.4">
      <c r="A3906" s="127">
        <v>5500303</v>
      </c>
      <c r="B3906" s="125" t="s">
        <v>1001</v>
      </c>
    </row>
    <row r="3907" spans="1:2">
      <c r="A3907" s="127">
        <v>5500400</v>
      </c>
      <c r="B3907" s="125" t="s">
        <v>1112</v>
      </c>
    </row>
    <row r="3908" spans="1:2">
      <c r="A3908" s="127">
        <v>5500500</v>
      </c>
      <c r="B3908" s="125" t="s">
        <v>1193</v>
      </c>
    </row>
    <row r="3909" spans="1:2">
      <c r="A3909" s="127">
        <v>5500600</v>
      </c>
      <c r="B3909" s="125" t="s">
        <v>1002</v>
      </c>
    </row>
    <row r="3910" spans="1:2">
      <c r="A3910" s="127">
        <v>5500601</v>
      </c>
      <c r="B3910" s="125" t="s">
        <v>1003</v>
      </c>
    </row>
    <row r="3911" spans="1:2">
      <c r="A3911" s="127">
        <v>6000000</v>
      </c>
      <c r="B3911" s="125" t="s">
        <v>352</v>
      </c>
    </row>
    <row r="3912" spans="1:2">
      <c r="A3912" s="127">
        <v>6000100</v>
      </c>
      <c r="B3912" s="125" t="s">
        <v>330</v>
      </c>
    </row>
    <row r="3913" spans="1:2" ht="26.4">
      <c r="A3913" s="127">
        <v>6000200</v>
      </c>
      <c r="B3913" s="125" t="s">
        <v>229</v>
      </c>
    </row>
    <row r="3914" spans="1:2">
      <c r="A3914" s="127">
        <v>6000300</v>
      </c>
      <c r="B3914" s="125" t="s">
        <v>230</v>
      </c>
    </row>
    <row r="3915" spans="1:2">
      <c r="A3915" s="127">
        <v>6000400</v>
      </c>
      <c r="B3915" s="125" t="s">
        <v>1004</v>
      </c>
    </row>
    <row r="3916" spans="1:2">
      <c r="A3916" s="127">
        <v>6000500</v>
      </c>
      <c r="B3916" s="125" t="s">
        <v>527</v>
      </c>
    </row>
    <row r="3917" spans="1:2" ht="26.4">
      <c r="A3917" s="127">
        <v>6010000</v>
      </c>
      <c r="B3917" s="125" t="s">
        <v>1005</v>
      </c>
    </row>
    <row r="3918" spans="1:2">
      <c r="A3918" s="127">
        <v>7010000</v>
      </c>
      <c r="B3918" s="125" t="s">
        <v>1006</v>
      </c>
    </row>
    <row r="3919" spans="1:2">
      <c r="A3919" s="127">
        <v>7010100</v>
      </c>
      <c r="B3919" s="125" t="s">
        <v>1007</v>
      </c>
    </row>
    <row r="3920" spans="1:2" ht="26.4">
      <c r="A3920" s="127">
        <v>7050000</v>
      </c>
      <c r="B3920" s="125" t="s">
        <v>724</v>
      </c>
    </row>
    <row r="3921" spans="1:2" ht="26.4">
      <c r="A3921" s="127">
        <v>7050100</v>
      </c>
      <c r="B3921" s="125" t="s">
        <v>236</v>
      </c>
    </row>
    <row r="3922" spans="1:2" ht="26.4">
      <c r="A3922" s="127">
        <v>7050200</v>
      </c>
      <c r="B3922" s="125" t="s">
        <v>76</v>
      </c>
    </row>
    <row r="3923" spans="1:2" ht="26.4">
      <c r="A3923" s="127">
        <v>7050300</v>
      </c>
      <c r="B3923" s="125" t="s">
        <v>1263</v>
      </c>
    </row>
    <row r="3924" spans="1:2" ht="26.4">
      <c r="A3924" s="127">
        <v>7050400</v>
      </c>
      <c r="B3924" s="125" t="s">
        <v>408</v>
      </c>
    </row>
    <row r="3925" spans="1:2">
      <c r="A3925" s="127">
        <v>7050401</v>
      </c>
      <c r="B3925" s="125" t="s">
        <v>409</v>
      </c>
    </row>
    <row r="3926" spans="1:2">
      <c r="A3926" s="127">
        <v>7050402</v>
      </c>
      <c r="B3926" s="125" t="s">
        <v>946</v>
      </c>
    </row>
    <row r="3927" spans="1:2">
      <c r="A3927" s="127">
        <v>7050403</v>
      </c>
      <c r="B3927" s="125" t="s">
        <v>539</v>
      </c>
    </row>
    <row r="3928" spans="1:2">
      <c r="A3928" s="127">
        <v>7050404</v>
      </c>
      <c r="B3928" s="125" t="s">
        <v>1268</v>
      </c>
    </row>
    <row r="3929" spans="1:2">
      <c r="A3929" s="127">
        <v>7050405</v>
      </c>
      <c r="B3929" s="125" t="s">
        <v>876</v>
      </c>
    </row>
    <row r="3930" spans="1:2">
      <c r="A3930" s="127">
        <v>7050406</v>
      </c>
      <c r="B3930" s="125" t="s">
        <v>1470</v>
      </c>
    </row>
    <row r="3931" spans="1:2">
      <c r="A3931" s="127">
        <v>7050407</v>
      </c>
      <c r="B3931" s="125" t="s">
        <v>1471</v>
      </c>
    </row>
    <row r="3932" spans="1:2">
      <c r="A3932" s="127">
        <v>7050408</v>
      </c>
      <c r="B3932" s="125" t="s">
        <v>938</v>
      </c>
    </row>
    <row r="3933" spans="1:2">
      <c r="A3933" s="127">
        <v>7050409</v>
      </c>
      <c r="B3933" s="125" t="s">
        <v>1407</v>
      </c>
    </row>
    <row r="3934" spans="1:2" ht="26.4">
      <c r="A3934" s="127">
        <v>7050500</v>
      </c>
      <c r="B3934" s="125" t="s">
        <v>965</v>
      </c>
    </row>
    <row r="3935" spans="1:2">
      <c r="A3935" s="127">
        <v>7050501</v>
      </c>
      <c r="B3935" s="125" t="s">
        <v>409</v>
      </c>
    </row>
    <row r="3936" spans="1:2">
      <c r="A3936" s="127">
        <v>7050502</v>
      </c>
      <c r="B3936" s="125" t="s">
        <v>946</v>
      </c>
    </row>
    <row r="3937" spans="1:2">
      <c r="A3937" s="127">
        <v>7050503</v>
      </c>
      <c r="B3937" s="125" t="s">
        <v>539</v>
      </c>
    </row>
    <row r="3938" spans="1:2">
      <c r="A3938" s="127">
        <v>7050505</v>
      </c>
      <c r="B3938" s="125" t="s">
        <v>876</v>
      </c>
    </row>
    <row r="3939" spans="1:2">
      <c r="A3939" s="127">
        <v>7050506</v>
      </c>
      <c r="B3939" s="125" t="s">
        <v>1470</v>
      </c>
    </row>
    <row r="3940" spans="1:2">
      <c r="A3940" s="127">
        <v>7050507</v>
      </c>
      <c r="B3940" s="125" t="s">
        <v>1471</v>
      </c>
    </row>
    <row r="3941" spans="1:2">
      <c r="A3941" s="127">
        <v>7050508</v>
      </c>
      <c r="B3941" s="125" t="s">
        <v>938</v>
      </c>
    </row>
    <row r="3942" spans="1:2">
      <c r="A3942" s="127">
        <v>7050509</v>
      </c>
      <c r="B3942" s="125" t="s">
        <v>1407</v>
      </c>
    </row>
    <row r="3943" spans="1:2" ht="26.4">
      <c r="A3943" s="127">
        <v>7050600</v>
      </c>
      <c r="B3943" s="125" t="s">
        <v>1104</v>
      </c>
    </row>
    <row r="3944" spans="1:2">
      <c r="A3944" s="127">
        <v>7050601</v>
      </c>
      <c r="B3944" s="125" t="s">
        <v>409</v>
      </c>
    </row>
    <row r="3945" spans="1:2">
      <c r="A3945" s="127">
        <v>7050602</v>
      </c>
      <c r="B3945" s="125" t="s">
        <v>946</v>
      </c>
    </row>
    <row r="3946" spans="1:2">
      <c r="A3946" s="127">
        <v>7050603</v>
      </c>
      <c r="B3946" s="125" t="s">
        <v>539</v>
      </c>
    </row>
    <row r="3947" spans="1:2">
      <c r="A3947" s="127">
        <v>7050604</v>
      </c>
      <c r="B3947" s="125" t="s">
        <v>1268</v>
      </c>
    </row>
    <row r="3948" spans="1:2">
      <c r="A3948" s="127">
        <v>7050605</v>
      </c>
      <c r="B3948" s="125" t="s">
        <v>876</v>
      </c>
    </row>
    <row r="3949" spans="1:2">
      <c r="A3949" s="127">
        <v>7050606</v>
      </c>
      <c r="B3949" s="125" t="s">
        <v>1470</v>
      </c>
    </row>
    <row r="3950" spans="1:2">
      <c r="A3950" s="127">
        <v>7050607</v>
      </c>
      <c r="B3950" s="125" t="s">
        <v>1471</v>
      </c>
    </row>
    <row r="3951" spans="1:2">
      <c r="A3951" s="127">
        <v>7050608</v>
      </c>
      <c r="B3951" s="125" t="s">
        <v>938</v>
      </c>
    </row>
    <row r="3952" spans="1:2">
      <c r="A3952" s="127">
        <v>7050609</v>
      </c>
      <c r="B3952" s="125" t="s">
        <v>1407</v>
      </c>
    </row>
    <row r="3953" spans="1:2" ht="26.4">
      <c r="A3953" s="127">
        <v>7050700</v>
      </c>
      <c r="B3953" s="125" t="s">
        <v>449</v>
      </c>
    </row>
    <row r="3954" spans="1:2">
      <c r="A3954" s="127">
        <v>7050703</v>
      </c>
      <c r="B3954" s="125" t="s">
        <v>539</v>
      </c>
    </row>
    <row r="3955" spans="1:2">
      <c r="A3955" s="127">
        <v>7050706</v>
      </c>
      <c r="B3955" s="125" t="s">
        <v>1470</v>
      </c>
    </row>
    <row r="3956" spans="1:2">
      <c r="A3956" s="127">
        <v>7050707</v>
      </c>
      <c r="B3956" s="125" t="s">
        <v>1471</v>
      </c>
    </row>
    <row r="3957" spans="1:2">
      <c r="A3957" s="127">
        <v>7050708</v>
      </c>
      <c r="B3957" s="125" t="s">
        <v>938</v>
      </c>
    </row>
    <row r="3958" spans="1:2">
      <c r="A3958" s="127">
        <v>7050709</v>
      </c>
      <c r="B3958" s="125" t="s">
        <v>1407</v>
      </c>
    </row>
    <row r="3959" spans="1:2">
      <c r="A3959" s="127">
        <v>7950000</v>
      </c>
      <c r="B3959" s="125" t="s">
        <v>1037</v>
      </c>
    </row>
    <row r="3960" spans="1:2">
      <c r="A3960" s="127">
        <v>7950100</v>
      </c>
      <c r="B3960" s="125" t="s">
        <v>2178</v>
      </c>
    </row>
    <row r="3961" spans="1:2">
      <c r="A3961" s="127">
        <v>7950200</v>
      </c>
      <c r="B3961" s="125" t="s">
        <v>2195</v>
      </c>
    </row>
    <row r="3962" spans="1:2">
      <c r="A3962" s="127">
        <v>7950300</v>
      </c>
      <c r="B3962" s="125" t="s">
        <v>1008</v>
      </c>
    </row>
    <row r="3963" spans="1:2">
      <c r="A3963" s="127">
        <v>7950400</v>
      </c>
      <c r="B3963" s="125" t="s">
        <v>1411</v>
      </c>
    </row>
    <row r="3964" spans="1:2" ht="26.4">
      <c r="A3964" s="127">
        <v>7950500</v>
      </c>
      <c r="B3964" s="125" t="s">
        <v>1976</v>
      </c>
    </row>
    <row r="3965" spans="1:2" ht="26.4">
      <c r="A3965" s="127">
        <v>7950600</v>
      </c>
      <c r="B3965" s="125" t="s">
        <v>1412</v>
      </c>
    </row>
    <row r="3966" spans="1:2" ht="26.4">
      <c r="A3966" s="127">
        <v>7950700</v>
      </c>
      <c r="B3966" s="125" t="s">
        <v>2177</v>
      </c>
    </row>
    <row r="3967" spans="1:2" ht="15" customHeight="1">
      <c r="A3967" s="127">
        <v>7950800</v>
      </c>
      <c r="B3967" s="125" t="s">
        <v>94</v>
      </c>
    </row>
    <row r="3968" spans="1:2">
      <c r="A3968" s="127">
        <v>7950900</v>
      </c>
      <c r="B3968" s="125" t="s">
        <v>2181</v>
      </c>
    </row>
    <row r="3969" spans="1:2">
      <c r="A3969" s="127">
        <v>7951000</v>
      </c>
      <c r="B3969" s="125" t="s">
        <v>1965</v>
      </c>
    </row>
    <row r="3970" spans="1:2">
      <c r="A3970" s="127">
        <v>7951100</v>
      </c>
      <c r="B3970" s="125" t="s">
        <v>749</v>
      </c>
    </row>
    <row r="3971" spans="1:2">
      <c r="A3971" s="127">
        <v>7951200</v>
      </c>
      <c r="B3971" s="125" t="s">
        <v>1966</v>
      </c>
    </row>
    <row r="3972" spans="1:2">
      <c r="A3972" s="127">
        <v>7951300</v>
      </c>
      <c r="B3972" s="125" t="s">
        <v>302</v>
      </c>
    </row>
    <row r="3973" spans="1:2" ht="26.4">
      <c r="A3973" s="127">
        <v>7951301</v>
      </c>
      <c r="B3973" s="125" t="s">
        <v>2158</v>
      </c>
    </row>
    <row r="3974" spans="1:2" ht="26.4">
      <c r="A3974" s="127">
        <v>7951302</v>
      </c>
      <c r="B3974" s="125" t="s">
        <v>1770</v>
      </c>
    </row>
    <row r="3975" spans="1:2" ht="26.4">
      <c r="A3975" s="127">
        <v>7951303</v>
      </c>
      <c r="B3975" s="125" t="s">
        <v>14</v>
      </c>
    </row>
    <row r="3976" spans="1:2" ht="26.4">
      <c r="A3976" s="127">
        <v>7951304</v>
      </c>
      <c r="B3976" s="125" t="s">
        <v>15</v>
      </c>
    </row>
    <row r="3977" spans="1:2" ht="26.4">
      <c r="A3977" s="127">
        <v>7951400</v>
      </c>
      <c r="B3977" s="125" t="s">
        <v>2162</v>
      </c>
    </row>
    <row r="3978" spans="1:2" ht="17.25" customHeight="1">
      <c r="A3978" s="127">
        <v>7951500</v>
      </c>
      <c r="B3978" s="125" t="s">
        <v>2163</v>
      </c>
    </row>
    <row r="3979" spans="1:2">
      <c r="A3979" s="127">
        <v>7951600</v>
      </c>
      <c r="B3979" s="125" t="s">
        <v>2164</v>
      </c>
    </row>
    <row r="3980" spans="1:2">
      <c r="A3980" s="127">
        <v>7951700</v>
      </c>
      <c r="B3980" s="125" t="s">
        <v>2192</v>
      </c>
    </row>
    <row r="3981" spans="1:2">
      <c r="A3981" s="127">
        <v>7951800</v>
      </c>
      <c r="B3981" s="125" t="s">
        <v>2175</v>
      </c>
    </row>
    <row r="3982" spans="1:2">
      <c r="A3982" s="127">
        <v>7951900</v>
      </c>
      <c r="B3982" s="125" t="s">
        <v>2176</v>
      </c>
    </row>
    <row r="3983" spans="1:2">
      <c r="A3983" s="127">
        <v>7952000</v>
      </c>
      <c r="B3983" s="125" t="s">
        <v>2179</v>
      </c>
    </row>
    <row r="3984" spans="1:2">
      <c r="A3984" s="127">
        <v>7952100</v>
      </c>
      <c r="B3984" s="125" t="s">
        <v>2180</v>
      </c>
    </row>
    <row r="3985" spans="1:2">
      <c r="A3985" s="127">
        <v>7952200</v>
      </c>
      <c r="B3985" s="125" t="s">
        <v>2183</v>
      </c>
    </row>
    <row r="3986" spans="1:2">
      <c r="A3986" s="127">
        <v>7952300</v>
      </c>
      <c r="B3986" s="217" t="s">
        <v>2197</v>
      </c>
    </row>
    <row r="3987" spans="1:2" ht="26.4">
      <c r="A3987" s="127">
        <v>7952400</v>
      </c>
      <c r="B3987" s="217" t="s">
        <v>2213</v>
      </c>
    </row>
    <row r="3988" spans="1:2" ht="26.4">
      <c r="A3988" s="127">
        <v>9907123</v>
      </c>
      <c r="B3988" s="217" t="s">
        <v>2500</v>
      </c>
    </row>
    <row r="3989" spans="1:2">
      <c r="A3989" s="127">
        <v>9907294</v>
      </c>
      <c r="B3989" s="217" t="s">
        <v>2482</v>
      </c>
    </row>
    <row r="3990" spans="1:2">
      <c r="A3990" s="127">
        <v>9980000</v>
      </c>
      <c r="B3990" s="125" t="s">
        <v>2159</v>
      </c>
    </row>
    <row r="3991" spans="1:2">
      <c r="A3991" s="127">
        <v>9990000</v>
      </c>
      <c r="B3991" s="125" t="s">
        <v>1967</v>
      </c>
    </row>
  </sheetData>
  <sheetProtection selectLockedCells="1" selectUnlockedCells="1"/>
  <phoneticPr fontId="0" type="noConversion"/>
  <pageMargins left="0.75" right="0.75" top="1" bottom="1" header="0.5" footer="0.5"/>
  <pageSetup paperSize="9" orientation="portrait" r:id="rId1"/>
  <headerFooter alignWithMargins="0"/>
</worksheet>
</file>

<file path=xl/worksheets/sheet51.xml><?xml version="1.0" encoding="utf-8"?>
<worksheet xmlns="http://schemas.openxmlformats.org/spreadsheetml/2006/main" xmlns:r="http://schemas.openxmlformats.org/officeDocument/2006/relationships">
  <dimension ref="A1"/>
  <sheetViews>
    <sheetView workbookViewId="0">
      <selection activeCell="N27" sqref="N27"/>
    </sheetView>
  </sheetViews>
  <sheetFormatPr defaultRowHeight="13.2"/>
  <sheetData/>
  <pageMargins left="0.7" right="0.7" top="0.75" bottom="0.75" header="0.3" footer="0.3"/>
  <pageSetup paperSize="9" orientation="portrait" verticalDpi="0" r:id="rId1"/>
</worksheet>
</file>

<file path=xl/worksheets/sheet52.xml><?xml version="1.0" encoding="utf-8"?>
<worksheet xmlns="http://schemas.openxmlformats.org/spreadsheetml/2006/main" xmlns:r="http://schemas.openxmlformats.org/officeDocument/2006/relationships">
  <dimension ref="A1"/>
  <sheetViews>
    <sheetView workbookViewId="0">
      <selection activeCell="N41" sqref="N40:O41"/>
    </sheetView>
  </sheetViews>
  <sheetFormatPr defaultRowHeight="13.2"/>
  <sheetData/>
  <pageMargins left="0.7" right="0.7" top="0.75" bottom="0.75" header="0.3" footer="0.3"/>
</worksheet>
</file>

<file path=xl/worksheets/sheet53.xml><?xml version="1.0" encoding="utf-8"?>
<worksheet xmlns="http://schemas.openxmlformats.org/spreadsheetml/2006/main" xmlns:r="http://schemas.openxmlformats.org/officeDocument/2006/relationships">
  <dimension ref="A1"/>
  <sheetViews>
    <sheetView workbookViewId="0"/>
  </sheetViews>
  <sheetFormatPr defaultRowHeight="13.2"/>
  <sheetData/>
  <pageMargins left="0.7" right="0.7" top="0.75" bottom="0.75" header="0.3" footer="0.3"/>
</worksheet>
</file>

<file path=xl/worksheets/sheet54.xml><?xml version="1.0" encoding="utf-8"?>
<worksheet xmlns="http://schemas.openxmlformats.org/spreadsheetml/2006/main" xmlns:r="http://schemas.openxmlformats.org/officeDocument/2006/relationships">
  <sheetPr>
    <pageSetUpPr fitToPage="1"/>
  </sheetPr>
  <dimension ref="A1:I81"/>
  <sheetViews>
    <sheetView view="pageBreakPreview" topLeftCell="A64" zoomScaleSheetLayoutView="100" workbookViewId="0">
      <selection activeCell="J16" sqref="J16"/>
    </sheetView>
  </sheetViews>
  <sheetFormatPr defaultColWidth="9.109375" defaultRowHeight="15.6"/>
  <cols>
    <col min="1" max="1" width="4.109375" style="284" customWidth="1"/>
    <col min="2" max="2" width="61.88671875" style="284" customWidth="1"/>
    <col min="3" max="3" width="15.44140625" style="284" hidden="1" customWidth="1"/>
    <col min="4" max="4" width="12.88671875" style="284" hidden="1" customWidth="1"/>
    <col min="5" max="5" width="14" style="284" customWidth="1"/>
    <col min="6" max="6" width="16.5546875" style="284" customWidth="1"/>
    <col min="7" max="7" width="13.88671875" style="284" customWidth="1"/>
    <col min="8" max="16384" width="9.109375" style="284"/>
  </cols>
  <sheetData>
    <row r="1" spans="1:9">
      <c r="B1" s="892" t="s">
        <v>2493</v>
      </c>
      <c r="C1" s="892"/>
      <c r="D1" s="892"/>
      <c r="E1" s="892"/>
      <c r="F1" s="892"/>
      <c r="G1" s="892"/>
    </row>
    <row r="2" spans="1:9">
      <c r="B2" s="892" t="s">
        <v>1069</v>
      </c>
      <c r="C2" s="892"/>
      <c r="D2" s="892"/>
      <c r="E2" s="892"/>
      <c r="F2" s="892"/>
      <c r="G2" s="892"/>
    </row>
    <row r="3" spans="1:9">
      <c r="B3" s="892" t="s">
        <v>720</v>
      </c>
      <c r="C3" s="892"/>
      <c r="D3" s="892"/>
      <c r="E3" s="892"/>
      <c r="F3" s="892"/>
      <c r="G3" s="892"/>
    </row>
    <row r="4" spans="1:9" ht="14.25" customHeight="1">
      <c r="B4" s="892" t="s">
        <v>3148</v>
      </c>
      <c r="C4" s="892"/>
      <c r="D4" s="892"/>
      <c r="E4" s="892"/>
      <c r="F4" s="892"/>
      <c r="G4" s="892"/>
    </row>
    <row r="5" spans="1:9" ht="2.25" customHeight="1">
      <c r="B5" s="606"/>
      <c r="C5" s="606"/>
    </row>
    <row r="6" spans="1:9" ht="0.75" customHeight="1"/>
    <row r="7" spans="1:9" ht="34.5" customHeight="1">
      <c r="A7" s="901" t="s">
        <v>2639</v>
      </c>
      <c r="B7" s="901"/>
      <c r="C7" s="901"/>
      <c r="D7" s="901"/>
      <c r="E7" s="901"/>
      <c r="F7" s="901"/>
      <c r="G7" s="901"/>
    </row>
    <row r="8" spans="1:9" ht="25.5" customHeight="1" thickBot="1">
      <c r="A8" s="956" t="s">
        <v>2606</v>
      </c>
      <c r="B8" s="956"/>
      <c r="C8" s="956"/>
      <c r="D8" s="956"/>
      <c r="E8" s="956"/>
      <c r="F8" s="956"/>
      <c r="G8" s="956"/>
    </row>
    <row r="9" spans="1:9" ht="31.2">
      <c r="A9" s="957" t="s">
        <v>1645</v>
      </c>
      <c r="B9" s="958"/>
      <c r="C9" s="753" t="s">
        <v>3229</v>
      </c>
      <c r="D9" s="607" t="s">
        <v>1140</v>
      </c>
      <c r="E9" s="148" t="s">
        <v>3234</v>
      </c>
      <c r="F9" s="607" t="s">
        <v>1140</v>
      </c>
      <c r="G9" s="609" t="s">
        <v>2415</v>
      </c>
      <c r="I9" s="314"/>
    </row>
    <row r="10" spans="1:9" ht="17.25" customHeight="1">
      <c r="A10" s="959" t="s">
        <v>9</v>
      </c>
      <c r="B10" s="960"/>
      <c r="C10" s="287">
        <v>7500000</v>
      </c>
      <c r="D10" s="287">
        <v>12783000</v>
      </c>
      <c r="E10" s="287">
        <v>8007420</v>
      </c>
      <c r="F10" s="671"/>
      <c r="G10" s="672">
        <f>SUM(E10:F10)</f>
        <v>8007420</v>
      </c>
      <c r="I10" s="314"/>
    </row>
    <row r="11" spans="1:9" ht="17.25" customHeight="1">
      <c r="A11" s="959" t="s">
        <v>1395</v>
      </c>
      <c r="B11" s="960"/>
      <c r="C11" s="560"/>
      <c r="D11" s="560"/>
      <c r="E11" s="560">
        <v>1000000</v>
      </c>
      <c r="F11" s="673"/>
      <c r="G11" s="672">
        <f t="shared" ref="G11:G12" si="0">SUM(E11:F11)</f>
        <v>1000000</v>
      </c>
      <c r="I11" s="314"/>
    </row>
    <row r="12" spans="1:9" ht="17.25" customHeight="1">
      <c r="A12" s="959" t="s">
        <v>655</v>
      </c>
      <c r="B12" s="960"/>
      <c r="C12" s="560"/>
      <c r="D12" s="560"/>
      <c r="E12" s="560">
        <v>1000000</v>
      </c>
      <c r="F12" s="673"/>
      <c r="G12" s="672">
        <f t="shared" si="0"/>
        <v>1000000</v>
      </c>
      <c r="I12" s="314"/>
    </row>
    <row r="13" spans="1:9" ht="21.75" customHeight="1" thickBot="1">
      <c r="A13" s="961" t="s">
        <v>1148</v>
      </c>
      <c r="B13" s="962"/>
      <c r="C13" s="409">
        <f>SUM(C10:C10)</f>
        <v>7500000</v>
      </c>
      <c r="D13" s="409">
        <f t="shared" ref="D13" si="1">SUM(D10:D10)</f>
        <v>12783000</v>
      </c>
      <c r="E13" s="409">
        <v>10007420</v>
      </c>
      <c r="F13" s="674">
        <f>F10+F11+F12</f>
        <v>0</v>
      </c>
      <c r="G13" s="676">
        <f>SUM(E13:F13)</f>
        <v>10007420</v>
      </c>
    </row>
    <row r="14" spans="1:9" ht="15" customHeight="1">
      <c r="A14" s="675"/>
      <c r="B14" s="675"/>
      <c r="C14" s="313"/>
      <c r="D14" s="313"/>
      <c r="E14" s="313"/>
      <c r="F14" s="313"/>
      <c r="G14" s="313"/>
    </row>
    <row r="15" spans="1:9" ht="69" customHeight="1" thickBot="1">
      <c r="A15" s="956" t="s">
        <v>3002</v>
      </c>
      <c r="B15" s="956"/>
      <c r="C15" s="956"/>
      <c r="D15" s="956"/>
      <c r="E15" s="956"/>
      <c r="F15" s="956"/>
      <c r="G15" s="956"/>
    </row>
    <row r="16" spans="1:9" ht="31.2">
      <c r="A16" s="957" t="s">
        <v>1645</v>
      </c>
      <c r="B16" s="958"/>
      <c r="C16" s="753" t="s">
        <v>3229</v>
      </c>
      <c r="D16" s="607" t="s">
        <v>1140</v>
      </c>
      <c r="E16" s="148" t="s">
        <v>3234</v>
      </c>
      <c r="F16" s="607" t="s">
        <v>1140</v>
      </c>
      <c r="G16" s="609" t="s">
        <v>2415</v>
      </c>
    </row>
    <row r="17" spans="1:7">
      <c r="A17" s="959" t="s">
        <v>9</v>
      </c>
      <c r="B17" s="960"/>
      <c r="C17" s="287">
        <v>19247000</v>
      </c>
      <c r="D17" s="287">
        <v>1000000</v>
      </c>
      <c r="E17" s="287">
        <v>19399159</v>
      </c>
      <c r="F17" s="671"/>
      <c r="G17" s="611">
        <f>SUM(E17:F17)</f>
        <v>19399159</v>
      </c>
    </row>
    <row r="18" spans="1:7">
      <c r="A18" s="959" t="s">
        <v>1395</v>
      </c>
      <c r="B18" s="960"/>
      <c r="C18" s="287">
        <v>500000</v>
      </c>
      <c r="D18" s="287"/>
      <c r="E18" s="287">
        <v>500000</v>
      </c>
      <c r="F18" s="522"/>
      <c r="G18" s="611">
        <f t="shared" ref="G18:G20" si="2">SUM(E18:F18)</f>
        <v>500000</v>
      </c>
    </row>
    <row r="19" spans="1:7" ht="15.75" customHeight="1">
      <c r="A19" s="959" t="s">
        <v>2190</v>
      </c>
      <c r="B19" s="960"/>
      <c r="C19" s="287">
        <v>1000000</v>
      </c>
      <c r="D19" s="287">
        <v>-1000000</v>
      </c>
      <c r="E19" s="287">
        <v>847841</v>
      </c>
      <c r="F19" s="671"/>
      <c r="G19" s="611">
        <f t="shared" si="2"/>
        <v>847841</v>
      </c>
    </row>
    <row r="20" spans="1:7">
      <c r="A20" s="959" t="s">
        <v>8</v>
      </c>
      <c r="B20" s="960"/>
      <c r="C20" s="287">
        <v>1500000</v>
      </c>
      <c r="D20" s="287"/>
      <c r="E20" s="287">
        <v>1500000</v>
      </c>
      <c r="F20" s="522"/>
      <c r="G20" s="611">
        <f t="shared" si="2"/>
        <v>1500000</v>
      </c>
    </row>
    <row r="21" spans="1:7" ht="14.25" customHeight="1" thickBot="1">
      <c r="A21" s="961" t="s">
        <v>1148</v>
      </c>
      <c r="B21" s="962"/>
      <c r="C21" s="409">
        <f>C17+C18+C19+C20</f>
        <v>22247000</v>
      </c>
      <c r="D21" s="409">
        <f t="shared" ref="D21" si="3">D17+D18+D19+D20</f>
        <v>0</v>
      </c>
      <c r="E21" s="409">
        <v>22247000</v>
      </c>
      <c r="F21" s="409">
        <f>SUM(F17:F20)</f>
        <v>0</v>
      </c>
      <c r="G21" s="612">
        <f>SUM(G17:G20)</f>
        <v>22247000</v>
      </c>
    </row>
    <row r="22" spans="1:7" ht="15" customHeight="1">
      <c r="A22" s="965"/>
      <c r="B22" s="965"/>
      <c r="C22" s="313"/>
      <c r="D22" s="313"/>
      <c r="E22" s="313"/>
    </row>
    <row r="23" spans="1:7" ht="49.5" customHeight="1" thickBot="1">
      <c r="A23" s="903" t="s">
        <v>3135</v>
      </c>
      <c r="B23" s="903"/>
      <c r="C23" s="903"/>
      <c r="D23" s="903"/>
      <c r="E23" s="903"/>
      <c r="F23" s="903"/>
      <c r="G23" s="903"/>
    </row>
    <row r="24" spans="1:7" ht="31.2">
      <c r="A24" s="957" t="s">
        <v>1645</v>
      </c>
      <c r="B24" s="958"/>
      <c r="C24" s="753" t="s">
        <v>3229</v>
      </c>
      <c r="D24" s="668" t="s">
        <v>1140</v>
      </c>
      <c r="E24" s="148" t="s">
        <v>3234</v>
      </c>
      <c r="F24" s="668" t="s">
        <v>1140</v>
      </c>
      <c r="G24" s="609" t="s">
        <v>2415</v>
      </c>
    </row>
    <row r="25" spans="1:7">
      <c r="A25" s="959" t="s">
        <v>9</v>
      </c>
      <c r="B25" s="960"/>
      <c r="C25" s="287">
        <v>7500000</v>
      </c>
      <c r="D25" s="287">
        <v>12783000</v>
      </c>
      <c r="E25" s="287">
        <v>10440000</v>
      </c>
      <c r="F25" s="610"/>
      <c r="G25" s="611">
        <f>E25+F25</f>
        <v>10440000</v>
      </c>
    </row>
    <row r="26" spans="1:7" ht="16.2" thickBot="1">
      <c r="A26" s="961" t="s">
        <v>1148</v>
      </c>
      <c r="B26" s="962"/>
      <c r="C26" s="409">
        <f>SUM(C25:C25)</f>
        <v>7500000</v>
      </c>
      <c r="D26" s="409">
        <f t="shared" ref="D26" si="4">SUM(D25:D25)</f>
        <v>12783000</v>
      </c>
      <c r="E26" s="409">
        <v>10440000</v>
      </c>
      <c r="F26" s="409">
        <f t="shared" ref="F26:G26" si="5">F25</f>
        <v>0</v>
      </c>
      <c r="G26" s="669">
        <f t="shared" si="5"/>
        <v>10440000</v>
      </c>
    </row>
    <row r="27" spans="1:7">
      <c r="B27" s="613"/>
      <c r="C27" s="613"/>
      <c r="D27" s="613"/>
      <c r="E27" s="613"/>
      <c r="F27" s="613"/>
      <c r="G27" s="614"/>
    </row>
    <row r="28" spans="1:7" ht="57" customHeight="1" thickBot="1">
      <c r="A28" s="903" t="s">
        <v>3152</v>
      </c>
      <c r="B28" s="903"/>
      <c r="C28" s="903"/>
      <c r="D28" s="903"/>
      <c r="E28" s="903"/>
      <c r="F28" s="903"/>
      <c r="G28" s="903"/>
    </row>
    <row r="29" spans="1:7" ht="31.2">
      <c r="A29" s="957" t="s">
        <v>1645</v>
      </c>
      <c r="B29" s="958"/>
      <c r="C29" s="753" t="s">
        <v>3229</v>
      </c>
      <c r="D29" s="670" t="s">
        <v>1140</v>
      </c>
      <c r="E29" s="148" t="s">
        <v>3234</v>
      </c>
      <c r="F29" s="670" t="s">
        <v>1140</v>
      </c>
      <c r="G29" s="609" t="s">
        <v>2415</v>
      </c>
    </row>
    <row r="30" spans="1:7">
      <c r="A30" s="959" t="s">
        <v>9</v>
      </c>
      <c r="B30" s="960"/>
      <c r="C30" s="287">
        <v>7500000</v>
      </c>
      <c r="D30" s="287">
        <v>12783000</v>
      </c>
      <c r="E30" s="287">
        <v>2914615.88</v>
      </c>
      <c r="F30" s="610"/>
      <c r="G30" s="611">
        <f>E30+F30</f>
        <v>2914615.88</v>
      </c>
    </row>
    <row r="31" spans="1:7" ht="16.2" thickBot="1">
      <c r="A31" s="961" t="s">
        <v>1148</v>
      </c>
      <c r="B31" s="962"/>
      <c r="C31" s="409">
        <f>SUM(C30:C30)</f>
        <v>7500000</v>
      </c>
      <c r="D31" s="409">
        <f t="shared" ref="D31" si="6">SUM(D30:D30)</f>
        <v>12783000</v>
      </c>
      <c r="E31" s="409">
        <v>2914615.88</v>
      </c>
      <c r="F31" s="409">
        <f t="shared" ref="F31:G31" si="7">F30</f>
        <v>0</v>
      </c>
      <c r="G31" s="669">
        <f t="shared" si="7"/>
        <v>2914615.88</v>
      </c>
    </row>
    <row r="32" spans="1:7" ht="11.25" customHeight="1">
      <c r="B32" s="613"/>
      <c r="C32" s="613"/>
      <c r="D32" s="613"/>
      <c r="E32" s="614"/>
      <c r="F32" s="614"/>
      <c r="G32" s="614"/>
    </row>
    <row r="33" spans="1:7" ht="99.75" customHeight="1" thickBot="1">
      <c r="A33" s="903" t="s">
        <v>3153</v>
      </c>
      <c r="B33" s="903"/>
      <c r="C33" s="903"/>
      <c r="D33" s="903"/>
      <c r="E33" s="903"/>
      <c r="F33" s="903"/>
      <c r="G33" s="903"/>
    </row>
    <row r="34" spans="1:7" ht="31.2">
      <c r="A34" s="957" t="s">
        <v>1645</v>
      </c>
      <c r="B34" s="958"/>
      <c r="C34" s="753" t="s">
        <v>3229</v>
      </c>
      <c r="D34" s="677" t="s">
        <v>1140</v>
      </c>
      <c r="E34" s="148" t="s">
        <v>3234</v>
      </c>
      <c r="F34" s="677" t="s">
        <v>1140</v>
      </c>
      <c r="G34" s="609" t="s">
        <v>2415</v>
      </c>
    </row>
    <row r="35" spans="1:7">
      <c r="A35" s="959" t="s">
        <v>9</v>
      </c>
      <c r="B35" s="960"/>
      <c r="C35" s="287">
        <v>7500000</v>
      </c>
      <c r="D35" s="287">
        <v>12783000</v>
      </c>
      <c r="E35" s="287">
        <v>9255747</v>
      </c>
      <c r="F35" s="610"/>
      <c r="G35" s="611">
        <f>E35+F35</f>
        <v>9255747</v>
      </c>
    </row>
    <row r="36" spans="1:7">
      <c r="A36" s="959" t="s">
        <v>8</v>
      </c>
      <c r="B36" s="960"/>
      <c r="C36" s="560"/>
      <c r="D36" s="560"/>
      <c r="E36" s="560">
        <v>26441429.399999999</v>
      </c>
      <c r="F36" s="678"/>
      <c r="G36" s="611">
        <f>E36+F36</f>
        <v>26441429.399999999</v>
      </c>
    </row>
    <row r="37" spans="1:7" ht="16.2" thickBot="1">
      <c r="A37" s="961" t="s">
        <v>1148</v>
      </c>
      <c r="B37" s="962"/>
      <c r="C37" s="409">
        <f>SUM(C35:C35)</f>
        <v>7500000</v>
      </c>
      <c r="D37" s="409">
        <f t="shared" ref="D37" si="8">SUM(D35:D35)</f>
        <v>12783000</v>
      </c>
      <c r="E37" s="409">
        <v>35697176.399999999</v>
      </c>
      <c r="F37" s="409">
        <f>SUM(F35:F36)</f>
        <v>0</v>
      </c>
      <c r="G37" s="409">
        <f>SUM(G35:G36)</f>
        <v>35697176.399999999</v>
      </c>
    </row>
    <row r="39" spans="1:7" ht="92.25" customHeight="1" thickBot="1">
      <c r="A39" s="903" t="s">
        <v>3154</v>
      </c>
      <c r="B39" s="903"/>
      <c r="C39" s="903"/>
      <c r="D39" s="903"/>
      <c r="E39" s="903"/>
      <c r="F39" s="903"/>
      <c r="G39" s="903"/>
    </row>
    <row r="40" spans="1:7" ht="31.2">
      <c r="A40" s="957" t="s">
        <v>1645</v>
      </c>
      <c r="B40" s="958"/>
      <c r="C40" s="753" t="s">
        <v>3229</v>
      </c>
      <c r="D40" s="677" t="s">
        <v>1140</v>
      </c>
      <c r="E40" s="148" t="s">
        <v>3234</v>
      </c>
      <c r="F40" s="677" t="s">
        <v>1140</v>
      </c>
      <c r="G40" s="609" t="s">
        <v>2415</v>
      </c>
    </row>
    <row r="41" spans="1:7">
      <c r="A41" s="959" t="s">
        <v>9</v>
      </c>
      <c r="B41" s="960"/>
      <c r="C41" s="287">
        <v>7500000</v>
      </c>
      <c r="D41" s="287">
        <v>12783000</v>
      </c>
      <c r="E41" s="287">
        <v>462787.35</v>
      </c>
      <c r="F41" s="610"/>
      <c r="G41" s="611">
        <f>E41+F41</f>
        <v>462787.35</v>
      </c>
    </row>
    <row r="42" spans="1:7">
      <c r="A42" s="959" t="s">
        <v>8</v>
      </c>
      <c r="B42" s="960"/>
      <c r="C42" s="560"/>
      <c r="D42" s="560"/>
      <c r="E42" s="560">
        <v>1708386.77</v>
      </c>
      <c r="F42" s="678"/>
      <c r="G42" s="611">
        <f>E42+F42</f>
        <v>1708386.77</v>
      </c>
    </row>
    <row r="43" spans="1:7" ht="16.2" thickBot="1">
      <c r="A43" s="961" t="s">
        <v>1148</v>
      </c>
      <c r="B43" s="962"/>
      <c r="C43" s="409">
        <f>SUM(C41:C41)</f>
        <v>7500000</v>
      </c>
      <c r="D43" s="409">
        <f t="shared" ref="D43" si="9">SUM(D41:D41)</f>
        <v>12783000</v>
      </c>
      <c r="E43" s="409">
        <v>2171174.12</v>
      </c>
      <c r="F43" s="409">
        <f>SUM(F41:F42)</f>
        <v>0</v>
      </c>
      <c r="G43" s="409">
        <f>SUM(G41:G42)</f>
        <v>2171174.12</v>
      </c>
    </row>
    <row r="45" spans="1:7" ht="32.25" customHeight="1" thickBot="1">
      <c r="A45" s="903" t="s">
        <v>3155</v>
      </c>
      <c r="B45" s="903"/>
      <c r="C45" s="903"/>
      <c r="D45" s="903"/>
      <c r="E45" s="903"/>
      <c r="F45" s="903"/>
      <c r="G45" s="903"/>
    </row>
    <row r="46" spans="1:7" ht="31.2">
      <c r="A46" s="957" t="s">
        <v>1645</v>
      </c>
      <c r="B46" s="958"/>
      <c r="C46" s="753" t="s">
        <v>3229</v>
      </c>
      <c r="D46" s="677" t="s">
        <v>1140</v>
      </c>
      <c r="E46" s="148" t="s">
        <v>3234</v>
      </c>
      <c r="F46" s="677" t="s">
        <v>1140</v>
      </c>
      <c r="G46" s="609" t="s">
        <v>2415</v>
      </c>
    </row>
    <row r="47" spans="1:7">
      <c r="A47" s="959" t="s">
        <v>2191</v>
      </c>
      <c r="B47" s="960"/>
      <c r="C47" s="560"/>
      <c r="D47" s="560"/>
      <c r="E47" s="560">
        <v>1696999.72</v>
      </c>
      <c r="F47" s="678"/>
      <c r="G47" s="611">
        <f>E47+F47</f>
        <v>1696999.72</v>
      </c>
    </row>
    <row r="48" spans="1:7" ht="16.2" thickBot="1">
      <c r="A48" s="961" t="s">
        <v>1148</v>
      </c>
      <c r="B48" s="962"/>
      <c r="C48" s="409" t="e">
        <f>SUM(#REF!)</f>
        <v>#REF!</v>
      </c>
      <c r="D48" s="409" t="e">
        <f>SUM(#REF!)</f>
        <v>#REF!</v>
      </c>
      <c r="E48" s="409">
        <v>1696999.72</v>
      </c>
      <c r="F48" s="409">
        <f>SUM(F47:F47)</f>
        <v>0</v>
      </c>
      <c r="G48" s="409">
        <f>SUM(G47:G47)</f>
        <v>1696999.72</v>
      </c>
    </row>
    <row r="50" spans="1:7" ht="59.25" customHeight="1" thickBot="1">
      <c r="A50" s="956" t="s">
        <v>3191</v>
      </c>
      <c r="B50" s="956"/>
      <c r="C50" s="956"/>
      <c r="D50" s="956"/>
      <c r="E50" s="956"/>
      <c r="F50" s="956"/>
      <c r="G50" s="956"/>
    </row>
    <row r="51" spans="1:7" ht="31.2">
      <c r="A51" s="957" t="s">
        <v>1645</v>
      </c>
      <c r="B51" s="958"/>
      <c r="C51" s="753" t="s">
        <v>3229</v>
      </c>
      <c r="D51" s="702" t="s">
        <v>1140</v>
      </c>
      <c r="E51" s="148" t="s">
        <v>3234</v>
      </c>
      <c r="F51" s="702" t="s">
        <v>1140</v>
      </c>
      <c r="G51" s="609" t="s">
        <v>2415</v>
      </c>
    </row>
    <row r="52" spans="1:7">
      <c r="A52" s="959" t="s">
        <v>9</v>
      </c>
      <c r="B52" s="960"/>
      <c r="C52" s="287">
        <v>19247000</v>
      </c>
      <c r="D52" s="287">
        <v>1000000</v>
      </c>
      <c r="E52" s="287">
        <v>12134900</v>
      </c>
      <c r="F52" s="610"/>
      <c r="G52" s="611">
        <f>SUM(E52:F52)</f>
        <v>12134900</v>
      </c>
    </row>
    <row r="53" spans="1:7">
      <c r="A53" s="959" t="s">
        <v>1395</v>
      </c>
      <c r="B53" s="960"/>
      <c r="C53" s="287">
        <v>500000</v>
      </c>
      <c r="D53" s="287"/>
      <c r="E53" s="287">
        <v>463000</v>
      </c>
      <c r="F53" s="610"/>
      <c r="G53" s="611">
        <f t="shared" ref="G53:G56" si="10">SUM(E53:F53)</f>
        <v>463000</v>
      </c>
    </row>
    <row r="54" spans="1:7">
      <c r="A54" s="959" t="s">
        <v>2190</v>
      </c>
      <c r="B54" s="960"/>
      <c r="C54" s="287">
        <v>1000000</v>
      </c>
      <c r="D54" s="287">
        <v>-1000000</v>
      </c>
      <c r="E54" s="287">
        <v>338300</v>
      </c>
      <c r="F54" s="610"/>
      <c r="G54" s="611">
        <f t="shared" si="10"/>
        <v>338300</v>
      </c>
    </row>
    <row r="55" spans="1:7">
      <c r="A55" s="959" t="s">
        <v>8</v>
      </c>
      <c r="B55" s="960"/>
      <c r="C55" s="287">
        <v>1500000</v>
      </c>
      <c r="D55" s="287"/>
      <c r="E55" s="287">
        <v>1959800</v>
      </c>
      <c r="F55" s="610"/>
      <c r="G55" s="611">
        <f t="shared" si="10"/>
        <v>1959800</v>
      </c>
    </row>
    <row r="56" spans="1:7">
      <c r="A56" s="959" t="s">
        <v>2191</v>
      </c>
      <c r="B56" s="960"/>
      <c r="C56" s="560"/>
      <c r="D56" s="560"/>
      <c r="E56" s="560">
        <v>1121900</v>
      </c>
      <c r="F56" s="678"/>
      <c r="G56" s="704">
        <f t="shared" si="10"/>
        <v>1121900</v>
      </c>
    </row>
    <row r="57" spans="1:7" ht="16.2" thickBot="1">
      <c r="A57" s="961" t="s">
        <v>1148</v>
      </c>
      <c r="B57" s="962"/>
      <c r="C57" s="409">
        <f>C52+C53+C54+C55</f>
        <v>22247000</v>
      </c>
      <c r="D57" s="409">
        <f t="shared" ref="D57" si="11">D52+D53+D54+D55</f>
        <v>0</v>
      </c>
      <c r="E57" s="409">
        <v>16017900</v>
      </c>
      <c r="F57" s="409">
        <f>SUM(F52:F56)</f>
        <v>0</v>
      </c>
      <c r="G57" s="409">
        <f>SUM(G52:G56)</f>
        <v>16017900</v>
      </c>
    </row>
    <row r="59" spans="1:7" ht="55.5" customHeight="1" thickBot="1">
      <c r="A59" s="903" t="s">
        <v>3192</v>
      </c>
      <c r="B59" s="903"/>
      <c r="C59" s="903"/>
      <c r="D59" s="903"/>
      <c r="E59" s="903"/>
      <c r="F59" s="903"/>
      <c r="G59" s="903"/>
    </row>
    <row r="60" spans="1:7" ht="31.2">
      <c r="A60" s="957" t="s">
        <v>1645</v>
      </c>
      <c r="B60" s="958"/>
      <c r="C60" s="753" t="s">
        <v>3229</v>
      </c>
      <c r="D60" s="702" t="s">
        <v>1140</v>
      </c>
      <c r="E60" s="148" t="s">
        <v>3234</v>
      </c>
      <c r="F60" s="702" t="s">
        <v>1140</v>
      </c>
      <c r="G60" s="609" t="s">
        <v>2415</v>
      </c>
    </row>
    <row r="61" spans="1:7">
      <c r="A61" s="959" t="s">
        <v>9</v>
      </c>
      <c r="B61" s="960"/>
      <c r="C61" s="287">
        <v>7500000</v>
      </c>
      <c r="D61" s="287">
        <v>12783000</v>
      </c>
      <c r="E61" s="287">
        <v>8994676</v>
      </c>
      <c r="F61" s="610"/>
      <c r="G61" s="611">
        <f>E61+F61</f>
        <v>8994676</v>
      </c>
    </row>
    <row r="62" spans="1:7" ht="16.2" thickBot="1">
      <c r="A62" s="961" t="s">
        <v>1148</v>
      </c>
      <c r="B62" s="962"/>
      <c r="C62" s="409">
        <f>SUM(C61:C61)</f>
        <v>7500000</v>
      </c>
      <c r="D62" s="409">
        <f t="shared" ref="D62" si="12">SUM(D61:D61)</f>
        <v>12783000</v>
      </c>
      <c r="E62" s="409">
        <v>8994676</v>
      </c>
      <c r="F62" s="409">
        <f t="shared" ref="F62:G62" si="13">F61</f>
        <v>0</v>
      </c>
      <c r="G62" s="409">
        <f t="shared" si="13"/>
        <v>8994676</v>
      </c>
    </row>
    <row r="64" spans="1:7" ht="52.5" customHeight="1" thickBot="1">
      <c r="A64" s="903" t="s">
        <v>3212</v>
      </c>
      <c r="B64" s="903"/>
      <c r="C64" s="903"/>
      <c r="D64" s="903"/>
      <c r="E64" s="903"/>
      <c r="F64" s="903"/>
      <c r="G64" s="903"/>
    </row>
    <row r="65" spans="1:7" ht="31.2">
      <c r="A65" s="957" t="s">
        <v>1645</v>
      </c>
      <c r="B65" s="958"/>
      <c r="C65" s="753" t="s">
        <v>3229</v>
      </c>
      <c r="D65" s="706" t="s">
        <v>1140</v>
      </c>
      <c r="E65" s="148" t="s">
        <v>3234</v>
      </c>
      <c r="F65" s="706" t="s">
        <v>1140</v>
      </c>
      <c r="G65" s="609" t="s">
        <v>2415</v>
      </c>
    </row>
    <row r="66" spans="1:7">
      <c r="A66" s="959" t="s">
        <v>9</v>
      </c>
      <c r="B66" s="960"/>
      <c r="C66" s="287">
        <v>7500000</v>
      </c>
      <c r="D66" s="287">
        <v>12783000</v>
      </c>
      <c r="E66" s="287">
        <v>1500000</v>
      </c>
      <c r="F66" s="610"/>
      <c r="G66" s="611">
        <f>E66+F66</f>
        <v>1500000</v>
      </c>
    </row>
    <row r="67" spans="1:7">
      <c r="A67" s="959" t="s">
        <v>1395</v>
      </c>
      <c r="B67" s="960"/>
      <c r="C67" s="560"/>
      <c r="D67" s="560"/>
      <c r="E67" s="560">
        <v>300000</v>
      </c>
      <c r="F67" s="678"/>
      <c r="G67" s="704">
        <v>300000</v>
      </c>
    </row>
    <row r="68" spans="1:7" ht="16.2" thickBot="1">
      <c r="A68" s="961" t="s">
        <v>1148</v>
      </c>
      <c r="B68" s="962"/>
      <c r="C68" s="409">
        <f>SUM(C66:C66)</f>
        <v>7500000</v>
      </c>
      <c r="D68" s="409">
        <f t="shared" ref="D68" si="14">SUM(D66:D66)</f>
        <v>12783000</v>
      </c>
      <c r="E68" s="409">
        <v>1800000</v>
      </c>
      <c r="F68" s="409">
        <f t="shared" ref="F68:G68" si="15">SUM(F66:F67)</f>
        <v>0</v>
      </c>
      <c r="G68" s="409">
        <f t="shared" si="15"/>
        <v>1800000</v>
      </c>
    </row>
    <row r="70" spans="1:7" ht="56.25" customHeight="1" thickBot="1">
      <c r="A70" s="903" t="s">
        <v>3213</v>
      </c>
      <c r="B70" s="903"/>
      <c r="C70" s="903"/>
      <c r="D70" s="903"/>
      <c r="E70" s="903"/>
      <c r="F70" s="903"/>
      <c r="G70" s="903"/>
    </row>
    <row r="71" spans="1:7" ht="31.2">
      <c r="A71" s="957" t="s">
        <v>1645</v>
      </c>
      <c r="B71" s="958"/>
      <c r="C71" s="753" t="s">
        <v>3229</v>
      </c>
      <c r="D71" s="702" t="s">
        <v>1140</v>
      </c>
      <c r="E71" s="148" t="s">
        <v>3234</v>
      </c>
      <c r="F71" s="702" t="s">
        <v>1140</v>
      </c>
      <c r="G71" s="609" t="s">
        <v>2415</v>
      </c>
    </row>
    <row r="72" spans="1:7">
      <c r="A72" s="959" t="s">
        <v>9</v>
      </c>
      <c r="B72" s="960"/>
      <c r="C72" s="287">
        <v>7500000</v>
      </c>
      <c r="D72" s="287">
        <v>12783000</v>
      </c>
      <c r="E72" s="287">
        <v>1295456.2</v>
      </c>
      <c r="F72" s="610"/>
      <c r="G72" s="611">
        <f>E72+F72</f>
        <v>1295456.2</v>
      </c>
    </row>
    <row r="73" spans="1:7">
      <c r="A73" s="959" t="s">
        <v>1395</v>
      </c>
      <c r="B73" s="960"/>
      <c r="C73" s="560"/>
      <c r="D73" s="560"/>
      <c r="E73" s="560">
        <v>215909.37</v>
      </c>
      <c r="F73" s="678"/>
      <c r="G73" s="704">
        <v>215909.37</v>
      </c>
    </row>
    <row r="74" spans="1:7" ht="16.2" thickBot="1">
      <c r="A74" s="961" t="s">
        <v>1148</v>
      </c>
      <c r="B74" s="962"/>
      <c r="C74" s="409">
        <f>SUM(C72:C72)</f>
        <v>7500000</v>
      </c>
      <c r="D74" s="409">
        <f t="shared" ref="D74" si="16">SUM(D72:D72)</f>
        <v>12783000</v>
      </c>
      <c r="E74" s="409">
        <v>1511365.5699999998</v>
      </c>
      <c r="F74" s="409">
        <f t="shared" ref="F74:G74" si="17">SUM(F72:F73)</f>
        <v>0</v>
      </c>
      <c r="G74" s="409">
        <f t="shared" si="17"/>
        <v>1511365.5699999998</v>
      </c>
    </row>
    <row r="75" spans="1:7">
      <c r="A75" s="675"/>
      <c r="B75" s="675"/>
      <c r="C75" s="313"/>
      <c r="D75" s="313"/>
      <c r="E75" s="313"/>
      <c r="F75" s="313"/>
      <c r="G75" s="313"/>
    </row>
    <row r="76" spans="1:7" ht="64.5" customHeight="1" thickBot="1">
      <c r="A76" s="903" t="s">
        <v>3214</v>
      </c>
      <c r="B76" s="903"/>
      <c r="C76" s="903"/>
      <c r="D76" s="903"/>
      <c r="E76" s="903"/>
      <c r="F76" s="903"/>
      <c r="G76" s="903"/>
    </row>
    <row r="77" spans="1:7" ht="31.2">
      <c r="A77" s="957" t="s">
        <v>1645</v>
      </c>
      <c r="B77" s="958"/>
      <c r="C77" s="753" t="s">
        <v>3229</v>
      </c>
      <c r="D77" s="707" t="s">
        <v>1140</v>
      </c>
      <c r="E77" s="148" t="s">
        <v>3234</v>
      </c>
      <c r="F77" s="707" t="s">
        <v>1140</v>
      </c>
      <c r="G77" s="609" t="s">
        <v>2415</v>
      </c>
    </row>
    <row r="78" spans="1:7">
      <c r="A78" s="959" t="s">
        <v>9</v>
      </c>
      <c r="B78" s="960"/>
      <c r="C78" s="287">
        <v>7500000</v>
      </c>
      <c r="D78" s="287">
        <v>12783000</v>
      </c>
      <c r="E78" s="287">
        <v>15874326</v>
      </c>
      <c r="F78" s="610"/>
      <c r="G78" s="611">
        <f>E78+F78</f>
        <v>15874326</v>
      </c>
    </row>
    <row r="79" spans="1:7" ht="16.2" thickBot="1">
      <c r="A79" s="961" t="s">
        <v>1148</v>
      </c>
      <c r="B79" s="962"/>
      <c r="C79" s="409">
        <f>SUM(C78:C78)</f>
        <v>7500000</v>
      </c>
      <c r="D79" s="409">
        <f t="shared" ref="D79" si="18">SUM(D78:D78)</f>
        <v>12783000</v>
      </c>
      <c r="E79" s="409">
        <v>15874326</v>
      </c>
      <c r="F79" s="409">
        <f t="shared" ref="F79:G79" si="19">F78</f>
        <v>0</v>
      </c>
      <c r="G79" s="409">
        <f t="shared" si="19"/>
        <v>15874326</v>
      </c>
    </row>
    <row r="80" spans="1:7">
      <c r="A80" s="675"/>
      <c r="B80" s="675"/>
      <c r="C80" s="313"/>
      <c r="D80" s="313"/>
      <c r="E80" s="313"/>
      <c r="F80" s="313"/>
      <c r="G80" s="313"/>
    </row>
    <row r="81" spans="2:7">
      <c r="B81" s="613" t="s">
        <v>2203</v>
      </c>
      <c r="C81" s="613"/>
      <c r="D81" s="613"/>
      <c r="E81" s="614">
        <v>129372653.69</v>
      </c>
      <c r="F81" s="614">
        <f>F13+F21+F26+F31+F37+F43+F48+F57+F62+F74+F68+F79</f>
        <v>0</v>
      </c>
      <c r="G81" s="614">
        <f>G13+G21+G26+G31+G37+G43+G48+G57+G62+G74+G68+G79</f>
        <v>129372653.69</v>
      </c>
    </row>
  </sheetData>
  <mergeCells count="67">
    <mergeCell ref="A76:G76"/>
    <mergeCell ref="A77:B77"/>
    <mergeCell ref="A78:B78"/>
    <mergeCell ref="A79:B79"/>
    <mergeCell ref="A72:B72"/>
    <mergeCell ref="A74:B74"/>
    <mergeCell ref="A73:B73"/>
    <mergeCell ref="A61:B61"/>
    <mergeCell ref="A62:B62"/>
    <mergeCell ref="A70:G70"/>
    <mergeCell ref="A71:B71"/>
    <mergeCell ref="A64:G64"/>
    <mergeCell ref="A65:B65"/>
    <mergeCell ref="A66:B66"/>
    <mergeCell ref="A67:B67"/>
    <mergeCell ref="A68:B68"/>
    <mergeCell ref="A55:B55"/>
    <mergeCell ref="A57:B57"/>
    <mergeCell ref="A56:B56"/>
    <mergeCell ref="A59:G59"/>
    <mergeCell ref="A60:B60"/>
    <mergeCell ref="A50:G50"/>
    <mergeCell ref="A51:B51"/>
    <mergeCell ref="A52:B52"/>
    <mergeCell ref="A53:B53"/>
    <mergeCell ref="A54:B54"/>
    <mergeCell ref="A45:G45"/>
    <mergeCell ref="A46:B46"/>
    <mergeCell ref="A47:B47"/>
    <mergeCell ref="A48:B48"/>
    <mergeCell ref="A40:B40"/>
    <mergeCell ref="A41:B41"/>
    <mergeCell ref="A43:B43"/>
    <mergeCell ref="A36:B36"/>
    <mergeCell ref="A42:B42"/>
    <mergeCell ref="A33:G33"/>
    <mergeCell ref="A34:B34"/>
    <mergeCell ref="A35:B35"/>
    <mergeCell ref="A37:B37"/>
    <mergeCell ref="A39:G39"/>
    <mergeCell ref="B1:G1"/>
    <mergeCell ref="A9:B9"/>
    <mergeCell ref="A10:B10"/>
    <mergeCell ref="A13:B13"/>
    <mergeCell ref="A16:B16"/>
    <mergeCell ref="A8:G8"/>
    <mergeCell ref="A7:G7"/>
    <mergeCell ref="B4:G4"/>
    <mergeCell ref="B3:G3"/>
    <mergeCell ref="B2:G2"/>
    <mergeCell ref="A11:B11"/>
    <mergeCell ref="A12:B12"/>
    <mergeCell ref="A17:B17"/>
    <mergeCell ref="A15:G15"/>
    <mergeCell ref="A23:G23"/>
    <mergeCell ref="A24:B24"/>
    <mergeCell ref="A25:B25"/>
    <mergeCell ref="A18:B18"/>
    <mergeCell ref="A19:B19"/>
    <mergeCell ref="A20:B20"/>
    <mergeCell ref="A21:B21"/>
    <mergeCell ref="A22:B22"/>
    <mergeCell ref="A28:G28"/>
    <mergeCell ref="A29:B29"/>
    <mergeCell ref="A30:B30"/>
    <mergeCell ref="A31:B31"/>
    <mergeCell ref="A26:B26"/>
  </mergeCells>
  <pageMargins left="0.70866141732283472" right="0.70866141732283472" top="0.74803149606299213" bottom="0.74803149606299213" header="0.31496062992125984" footer="0.31496062992125984"/>
  <pageSetup paperSize="9" scale="80" fitToHeight="0" orientation="portrait" r:id="rId1"/>
  <headerFooter alignWithMargins="0">
    <oddFooter>&amp;C&amp;P</oddFooter>
  </headerFooter>
</worksheet>
</file>

<file path=xl/worksheets/sheet55.xml><?xml version="1.0" encoding="utf-8"?>
<worksheet xmlns="http://schemas.openxmlformats.org/spreadsheetml/2006/main" xmlns:r="http://schemas.openxmlformats.org/officeDocument/2006/relationships">
  <sheetPr>
    <pageSetUpPr fitToPage="1"/>
  </sheetPr>
  <dimension ref="A1:G27"/>
  <sheetViews>
    <sheetView view="pageBreakPreview" zoomScale="85" zoomScaleSheetLayoutView="85" workbookViewId="0">
      <selection activeCell="K8" sqref="K8"/>
    </sheetView>
  </sheetViews>
  <sheetFormatPr defaultColWidth="9.109375" defaultRowHeight="13.2"/>
  <cols>
    <col min="1" max="1" width="43.109375" style="157" customWidth="1"/>
    <col min="2" max="2" width="12.109375" style="157" customWidth="1"/>
    <col min="3" max="3" width="12.6640625" style="157" customWidth="1"/>
    <col min="4" max="4" width="15.44140625" style="157" customWidth="1"/>
    <col min="5" max="5" width="15.5546875" style="157" customWidth="1"/>
    <col min="6" max="6" width="9.6640625" style="157" customWidth="1"/>
    <col min="7" max="16384" width="9.109375" style="157"/>
  </cols>
  <sheetData>
    <row r="1" spans="1:7" ht="15.6">
      <c r="A1" s="782" t="s">
        <v>2483</v>
      </c>
      <c r="B1" s="782"/>
      <c r="C1" s="782"/>
      <c r="D1" s="782"/>
      <c r="E1" s="782"/>
      <c r="F1" s="782"/>
      <c r="G1" s="782"/>
    </row>
    <row r="2" spans="1:7" ht="15.6">
      <c r="A2" s="782" t="s">
        <v>1069</v>
      </c>
      <c r="B2" s="782"/>
      <c r="C2" s="782"/>
      <c r="D2" s="782"/>
      <c r="E2" s="782"/>
      <c r="F2" s="782"/>
      <c r="G2" s="782"/>
    </row>
    <row r="3" spans="1:7" ht="15.6">
      <c r="A3" s="782" t="s">
        <v>720</v>
      </c>
      <c r="B3" s="782"/>
      <c r="C3" s="782"/>
      <c r="D3" s="782"/>
      <c r="E3" s="782"/>
      <c r="F3" s="782"/>
      <c r="G3" s="782"/>
    </row>
    <row r="4" spans="1:7" ht="15.6">
      <c r="A4" s="782" t="s">
        <v>3148</v>
      </c>
      <c r="B4" s="782"/>
      <c r="C4" s="782"/>
      <c r="D4" s="782"/>
      <c r="E4" s="782"/>
      <c r="F4" s="782"/>
      <c r="G4" s="782"/>
    </row>
    <row r="5" spans="1:7">
      <c r="A5" s="591"/>
      <c r="B5" s="591"/>
      <c r="C5" s="591"/>
      <c r="D5" s="591"/>
      <c r="E5" s="970"/>
      <c r="F5" s="970"/>
      <c r="G5" s="970"/>
    </row>
    <row r="6" spans="1:7">
      <c r="A6"/>
      <c r="B6"/>
      <c r="C6"/>
      <c r="D6"/>
      <c r="E6" s="970"/>
      <c r="F6" s="970"/>
      <c r="G6" s="970"/>
    </row>
    <row r="7" spans="1:7" ht="54.75" customHeight="1">
      <c r="A7" s="783" t="s">
        <v>3196</v>
      </c>
      <c r="B7" s="783"/>
      <c r="C7" s="783"/>
      <c r="D7" s="783"/>
      <c r="E7" s="783"/>
      <c r="F7" s="783"/>
      <c r="G7" s="783"/>
    </row>
    <row r="8" spans="1:7" ht="17.399999999999999">
      <c r="A8" s="701"/>
      <c r="B8" s="701"/>
      <c r="C8" s="701"/>
      <c r="D8" s="701"/>
      <c r="E8" s="970"/>
      <c r="F8" s="970"/>
      <c r="G8" s="970"/>
    </row>
    <row r="9" spans="1:7" ht="39.75" customHeight="1">
      <c r="A9" s="783" t="s">
        <v>3197</v>
      </c>
      <c r="B9" s="783"/>
      <c r="C9" s="783"/>
      <c r="D9" s="783"/>
      <c r="E9" s="783"/>
      <c r="F9" s="783"/>
      <c r="G9" s="783"/>
    </row>
    <row r="10" spans="1:7" ht="18" thickBot="1">
      <c r="A10" s="23"/>
      <c r="B10" s="23"/>
      <c r="C10" s="23"/>
      <c r="D10" s="23"/>
      <c r="E10" s="971"/>
      <c r="F10" s="971"/>
      <c r="G10" s="971"/>
    </row>
    <row r="11" spans="1:7" ht="46.8">
      <c r="A11" s="147" t="s">
        <v>1645</v>
      </c>
      <c r="B11" s="148" t="s">
        <v>3234</v>
      </c>
      <c r="C11" s="148" t="s">
        <v>636</v>
      </c>
      <c r="D11" s="609" t="s">
        <v>2525</v>
      </c>
      <c r="E11" s="609" t="s">
        <v>2618</v>
      </c>
      <c r="F11" s="609" t="s">
        <v>3228</v>
      </c>
      <c r="G11" s="609" t="s">
        <v>2618</v>
      </c>
    </row>
    <row r="12" spans="1:7" ht="15.6">
      <c r="A12" s="959" t="s">
        <v>9</v>
      </c>
      <c r="B12" s="960"/>
      <c r="C12" s="254"/>
      <c r="D12" s="618">
        <v>1333685</v>
      </c>
      <c r="E12" s="252">
        <v>0</v>
      </c>
      <c r="F12" s="252">
        <v>0</v>
      </c>
      <c r="G12" s="252">
        <f>SUM(E12:F12)</f>
        <v>0</v>
      </c>
    </row>
    <row r="13" spans="1:7" ht="16.2" thickBot="1">
      <c r="A13" s="150" t="s">
        <v>1148</v>
      </c>
      <c r="B13" s="399">
        <v>1380000</v>
      </c>
      <c r="C13" s="253">
        <f>SUM(C12:C12)</f>
        <v>0</v>
      </c>
      <c r="D13" s="620">
        <f>SUM(D12:D12)</f>
        <v>1333685</v>
      </c>
      <c r="E13" s="399"/>
      <c r="F13" s="399"/>
      <c r="G13" s="252">
        <f>SUM(E13:F13)</f>
        <v>0</v>
      </c>
    </row>
    <row r="14" spans="1:7" ht="40.5" customHeight="1">
      <c r="A14" s="972" t="s">
        <v>2400</v>
      </c>
      <c r="B14" s="972"/>
      <c r="C14" s="972"/>
      <c r="D14" s="972"/>
      <c r="E14" s="972"/>
      <c r="F14" s="972"/>
      <c r="G14" s="972"/>
    </row>
    <row r="15" spans="1:7" ht="21" customHeight="1" thickBot="1">
      <c r="A15" s="23"/>
      <c r="B15" s="973"/>
      <c r="C15" s="973"/>
      <c r="D15" s="973"/>
      <c r="E15" s="973"/>
      <c r="F15" s="973"/>
      <c r="G15" s="973"/>
    </row>
    <row r="16" spans="1:7" ht="46.8">
      <c r="A16" s="147" t="s">
        <v>1645</v>
      </c>
      <c r="B16" s="148" t="s">
        <v>3234</v>
      </c>
      <c r="C16" s="148" t="s">
        <v>636</v>
      </c>
      <c r="D16" s="609" t="s">
        <v>2525</v>
      </c>
      <c r="E16" s="609" t="s">
        <v>2618</v>
      </c>
      <c r="F16" s="609" t="s">
        <v>3228</v>
      </c>
      <c r="G16" s="609" t="s">
        <v>2618</v>
      </c>
    </row>
    <row r="17" spans="1:7" ht="15.6">
      <c r="A17" s="959" t="s">
        <v>9</v>
      </c>
      <c r="B17" s="960"/>
      <c r="C17" s="254"/>
      <c r="D17" s="618">
        <v>5631697</v>
      </c>
      <c r="E17" s="252">
        <v>0</v>
      </c>
      <c r="F17" s="252">
        <v>0</v>
      </c>
      <c r="G17" s="252">
        <f>SUM(E17:F17)</f>
        <v>0</v>
      </c>
    </row>
    <row r="18" spans="1:7" ht="16.2" thickBot="1">
      <c r="A18" s="150" t="s">
        <v>1148</v>
      </c>
      <c r="B18" s="399">
        <v>1380000</v>
      </c>
      <c r="C18" s="253">
        <f>SUM(C17:C17)</f>
        <v>0</v>
      </c>
      <c r="D18" s="620">
        <f>SUM(D17:D17)</f>
        <v>5631697</v>
      </c>
      <c r="E18" s="399"/>
      <c r="F18" s="399"/>
      <c r="G18" s="252">
        <f>SUM(E18:F18)</f>
        <v>0</v>
      </c>
    </row>
    <row r="19" spans="1:7" ht="50.25" customHeight="1">
      <c r="A19" s="972" t="s">
        <v>3215</v>
      </c>
      <c r="B19" s="972"/>
      <c r="C19" s="972"/>
      <c r="D19" s="972"/>
      <c r="E19" s="972"/>
      <c r="F19" s="972"/>
      <c r="G19" s="972"/>
    </row>
    <row r="20" spans="1:7" ht="18" thickBot="1">
      <c r="A20" s="973"/>
      <c r="B20" s="973"/>
      <c r="C20" s="973"/>
      <c r="D20" s="973"/>
      <c r="E20" s="973"/>
      <c r="F20" s="973"/>
      <c r="G20" s="973"/>
    </row>
    <row r="21" spans="1:7" ht="46.8">
      <c r="A21" s="147" t="s">
        <v>1645</v>
      </c>
      <c r="B21" s="148" t="s">
        <v>3234</v>
      </c>
      <c r="C21" s="148" t="s">
        <v>636</v>
      </c>
      <c r="D21" s="609" t="s">
        <v>2525</v>
      </c>
      <c r="E21" s="609" t="s">
        <v>3229</v>
      </c>
      <c r="F21" s="609" t="s">
        <v>3228</v>
      </c>
      <c r="G21" s="609" t="s">
        <v>2618</v>
      </c>
    </row>
    <row r="22" spans="1:7" ht="15.6">
      <c r="A22" s="754" t="s">
        <v>9</v>
      </c>
      <c r="B22" s="756">
        <v>700000</v>
      </c>
      <c r="C22" s="711"/>
      <c r="D22" s="712">
        <v>700000</v>
      </c>
      <c r="E22" s="713">
        <v>700000</v>
      </c>
      <c r="F22" s="713"/>
      <c r="G22" s="713">
        <f>SUM(E22:F22)</f>
        <v>700000</v>
      </c>
    </row>
    <row r="23" spans="1:7" ht="15.6">
      <c r="A23" s="709" t="s">
        <v>8</v>
      </c>
      <c r="B23" s="710">
        <v>350000</v>
      </c>
      <c r="C23" s="711"/>
      <c r="D23" s="712">
        <v>350000</v>
      </c>
      <c r="E23" s="713">
        <v>350000</v>
      </c>
      <c r="F23" s="713"/>
      <c r="G23" s="713">
        <f t="shared" ref="G23:G25" si="0">SUM(E23:F23)</f>
        <v>350000</v>
      </c>
    </row>
    <row r="24" spans="1:7" ht="15.6">
      <c r="A24" s="755" t="s">
        <v>1395</v>
      </c>
      <c r="B24" s="756">
        <v>350000</v>
      </c>
      <c r="C24" s="254"/>
      <c r="D24" s="618">
        <v>350000</v>
      </c>
      <c r="E24" s="252">
        <v>350000</v>
      </c>
      <c r="F24" s="252"/>
      <c r="G24" s="713">
        <f t="shared" si="0"/>
        <v>350000</v>
      </c>
    </row>
    <row r="25" spans="1:7" ht="15.6">
      <c r="A25" s="719" t="s">
        <v>1148</v>
      </c>
      <c r="B25" s="720">
        <v>1400000</v>
      </c>
      <c r="C25" s="721">
        <f>SUM(C24:C24)</f>
        <v>0</v>
      </c>
      <c r="D25" s="722">
        <f>SUM(D22:D24)</f>
        <v>1400000</v>
      </c>
      <c r="E25" s="722">
        <f>SUM(E22:E24)</f>
        <v>1400000</v>
      </c>
      <c r="F25" s="722">
        <f>SUM(F22:F24)</f>
        <v>0</v>
      </c>
      <c r="G25" s="713">
        <f t="shared" si="0"/>
        <v>1400000</v>
      </c>
    </row>
    <row r="26" spans="1:7">
      <c r="A26" s="263"/>
      <c r="B26" s="263"/>
      <c r="C26" s="263"/>
      <c r="D26" s="263"/>
      <c r="E26" s="263"/>
      <c r="F26" s="263"/>
      <c r="G26" s="263"/>
    </row>
    <row r="27" spans="1:7">
      <c r="A27" s="723" t="s">
        <v>2203</v>
      </c>
      <c r="B27" s="724">
        <v>8365382</v>
      </c>
      <c r="C27" s="724"/>
      <c r="D27" s="725">
        <f>D13+D18+D25</f>
        <v>8365382</v>
      </c>
      <c r="E27" s="725">
        <f>E13+E18+E25</f>
        <v>1400000</v>
      </c>
      <c r="F27" s="725">
        <f>F13+F18+F25</f>
        <v>0</v>
      </c>
      <c r="G27" s="725">
        <f>G13+G18+G25</f>
        <v>1400000</v>
      </c>
    </row>
  </sheetData>
  <mergeCells count="15">
    <mergeCell ref="A17:B17"/>
    <mergeCell ref="A19:G19"/>
    <mergeCell ref="A20:G20"/>
    <mergeCell ref="A14:G14"/>
    <mergeCell ref="B15:G15"/>
    <mergeCell ref="A12:B12"/>
    <mergeCell ref="A9:G9"/>
    <mergeCell ref="E10:G10"/>
    <mergeCell ref="A7:G7"/>
    <mergeCell ref="E8:G8"/>
    <mergeCell ref="A1:G1"/>
    <mergeCell ref="A2:G2"/>
    <mergeCell ref="A3:G3"/>
    <mergeCell ref="A4:G4"/>
    <mergeCell ref="E5:G6"/>
  </mergeCells>
  <pageMargins left="0.70866141732283472" right="0.70866141732283472" top="0.74803149606299213" bottom="0.74803149606299213" header="0.31496062992125984" footer="0.31496062992125984"/>
  <pageSetup paperSize="9" scale="75" fitToHeight="0" orientation="portrait" r:id="rId1"/>
  <headerFooter alignWithMargins="0">
    <oddFooter>&amp;C&amp;P</oddFooter>
  </headerFooter>
</worksheet>
</file>

<file path=xl/worksheets/sheet56.xml><?xml version="1.0" encoding="utf-8"?>
<worksheet xmlns="http://schemas.openxmlformats.org/spreadsheetml/2006/main" xmlns:r="http://schemas.openxmlformats.org/officeDocument/2006/relationships">
  <sheetPr>
    <pageSetUpPr fitToPage="1"/>
  </sheetPr>
  <dimension ref="A1:F17"/>
  <sheetViews>
    <sheetView showGridLines="0" view="pageBreakPreview" zoomScale="115" zoomScaleSheetLayoutView="115" workbookViewId="0">
      <selection activeCell="C13" sqref="C13:C16"/>
    </sheetView>
  </sheetViews>
  <sheetFormatPr defaultColWidth="9.109375" defaultRowHeight="13.2"/>
  <cols>
    <col min="1" max="1" width="59" style="425" customWidth="1"/>
    <col min="2" max="2" width="13.109375" style="425" customWidth="1"/>
    <col min="3" max="3" width="12.6640625" style="425" customWidth="1"/>
    <col min="4" max="4" width="16.109375" style="425" customWidth="1"/>
    <col min="5" max="6" width="9.109375" style="425" hidden="1" customWidth="1"/>
    <col min="7" max="16384" width="9.109375" style="425"/>
  </cols>
  <sheetData>
    <row r="1" spans="1:4" ht="15.6">
      <c r="A1" s="782" t="s">
        <v>52</v>
      </c>
      <c r="B1" s="782"/>
      <c r="C1" s="782"/>
      <c r="D1" s="782"/>
    </row>
    <row r="2" spans="1:4" ht="15.6">
      <c r="A2" s="782" t="s">
        <v>1069</v>
      </c>
      <c r="B2" s="782"/>
      <c r="C2" s="782"/>
      <c r="D2" s="782"/>
    </row>
    <row r="3" spans="1:4" ht="15.6">
      <c r="A3" s="782" t="s">
        <v>720</v>
      </c>
      <c r="B3" s="782"/>
      <c r="C3" s="782"/>
      <c r="D3" s="782"/>
    </row>
    <row r="4" spans="1:4" ht="15.6">
      <c r="A4" s="782" t="s">
        <v>3148</v>
      </c>
      <c r="B4" s="782"/>
      <c r="C4" s="782"/>
      <c r="D4" s="782"/>
    </row>
    <row r="5" spans="1:4">
      <c r="A5" s="421"/>
      <c r="B5" s="591"/>
      <c r="C5"/>
      <c r="D5"/>
    </row>
    <row r="6" spans="1:4">
      <c r="A6"/>
      <c r="B6"/>
      <c r="C6"/>
      <c r="D6"/>
    </row>
    <row r="7" spans="1:4" ht="34.5" customHeight="1">
      <c r="A7" s="783" t="s">
        <v>2640</v>
      </c>
      <c r="B7" s="783"/>
      <c r="C7" s="783"/>
      <c r="D7" s="783"/>
    </row>
    <row r="8" spans="1:4" ht="17.399999999999999">
      <c r="A8" s="419"/>
      <c r="B8" s="419"/>
      <c r="C8"/>
      <c r="D8"/>
    </row>
    <row r="9" spans="1:4" ht="56.4" customHeight="1">
      <c r="A9" s="783" t="s">
        <v>739</v>
      </c>
      <c r="B9" s="783"/>
      <c r="C9" s="783"/>
      <c r="D9" s="783"/>
    </row>
    <row r="10" spans="1:4" ht="17.399999999999999">
      <c r="A10" s="23"/>
      <c r="B10" s="23"/>
      <c r="C10"/>
      <c r="D10"/>
    </row>
    <row r="11" spans="1:4" ht="18" thickBot="1">
      <c r="A11" s="23"/>
      <c r="B11" s="23"/>
      <c r="C11"/>
      <c r="D11"/>
    </row>
    <row r="12" spans="1:4" ht="31.2">
      <c r="A12" s="147" t="s">
        <v>1645</v>
      </c>
      <c r="B12" s="148" t="s">
        <v>3234</v>
      </c>
      <c r="C12" s="590" t="s">
        <v>1140</v>
      </c>
      <c r="D12" s="590" t="s">
        <v>2415</v>
      </c>
    </row>
    <row r="13" spans="1:4" ht="15.6">
      <c r="A13" s="149" t="s">
        <v>1395</v>
      </c>
      <c r="B13" s="254">
        <v>71886</v>
      </c>
      <c r="C13" s="252"/>
      <c r="D13" s="252">
        <f>B13+C13</f>
        <v>71886</v>
      </c>
    </row>
    <row r="14" spans="1:4" ht="15.6">
      <c r="A14" s="149" t="s">
        <v>654</v>
      </c>
      <c r="B14" s="254">
        <v>71886</v>
      </c>
      <c r="C14" s="252"/>
      <c r="D14" s="252">
        <f t="shared" ref="D14:D17" si="0">B14+C14</f>
        <v>71886</v>
      </c>
    </row>
    <row r="15" spans="1:4" ht="15.6">
      <c r="A15" s="149" t="s">
        <v>8</v>
      </c>
      <c r="B15" s="254">
        <v>359420</v>
      </c>
      <c r="C15" s="252"/>
      <c r="D15" s="252">
        <f t="shared" si="0"/>
        <v>359420</v>
      </c>
    </row>
    <row r="16" spans="1:4" ht="15.6">
      <c r="A16" s="149" t="s">
        <v>655</v>
      </c>
      <c r="B16" s="254">
        <v>179710</v>
      </c>
      <c r="C16" s="252"/>
      <c r="D16" s="252">
        <f t="shared" si="0"/>
        <v>179710</v>
      </c>
    </row>
    <row r="17" spans="1:4" ht="16.2" thickBot="1">
      <c r="A17" s="150" t="s">
        <v>1148</v>
      </c>
      <c r="B17" s="253">
        <v>682902</v>
      </c>
      <c r="C17" s="399">
        <f t="shared" ref="C17" si="1">SUM(C13:C16)</f>
        <v>0</v>
      </c>
      <c r="D17" s="386">
        <f t="shared" si="0"/>
        <v>682902</v>
      </c>
    </row>
  </sheetData>
  <mergeCells count="6">
    <mergeCell ref="A9:D9"/>
    <mergeCell ref="A1:D1"/>
    <mergeCell ref="A2:D2"/>
    <mergeCell ref="A3:D3"/>
    <mergeCell ref="A4:D4"/>
    <mergeCell ref="A7:D7"/>
  </mergeCells>
  <pageMargins left="0.70866141732283472" right="0.70866141732283472" top="0.74803149606299213" bottom="0.74803149606299213" header="0.31496062992125984" footer="0.31496062992125984"/>
  <pageSetup paperSize="9" scale="88" fitToHeight="0" orientation="portrait" r:id="rId1"/>
  <headerFooter alignWithMargins="0">
    <oddFooter>&amp;C&amp;P</oddFooter>
  </headerFooter>
</worksheet>
</file>

<file path=xl/worksheets/sheet57.xml><?xml version="1.0" encoding="utf-8"?>
<worksheet xmlns="http://schemas.openxmlformats.org/spreadsheetml/2006/main" xmlns:r="http://schemas.openxmlformats.org/officeDocument/2006/relationships">
  <sheetPr>
    <pageSetUpPr fitToPage="1"/>
  </sheetPr>
  <dimension ref="A1:D26"/>
  <sheetViews>
    <sheetView view="pageBreakPreview" zoomScale="115" zoomScaleSheetLayoutView="115" workbookViewId="0">
      <selection activeCell="C20" sqref="C20:C22"/>
    </sheetView>
  </sheetViews>
  <sheetFormatPr defaultColWidth="9.109375" defaultRowHeight="13.2"/>
  <cols>
    <col min="1" max="1" width="39.6640625" style="157" bestFit="1" customWidth="1"/>
    <col min="2" max="2" width="12.33203125" style="157" bestFit="1" customWidth="1"/>
    <col min="3" max="3" width="11.33203125" style="157" bestFit="1" customWidth="1"/>
    <col min="4" max="4" width="12.6640625" style="157" bestFit="1" customWidth="1"/>
    <col min="5" max="16384" width="9.109375" style="157"/>
  </cols>
  <sheetData>
    <row r="1" spans="1:4" ht="15.6">
      <c r="A1" s="782" t="s">
        <v>2288</v>
      </c>
      <c r="B1" s="782"/>
      <c r="C1" s="782"/>
      <c r="D1" s="782"/>
    </row>
    <row r="2" spans="1:4" ht="15.6">
      <c r="A2" s="782" t="s">
        <v>1069</v>
      </c>
      <c r="B2" s="782"/>
      <c r="C2" s="782"/>
      <c r="D2" s="782"/>
    </row>
    <row r="3" spans="1:4" ht="15.6">
      <c r="A3" s="782" t="s">
        <v>720</v>
      </c>
      <c r="B3" s="782"/>
      <c r="C3" s="782"/>
      <c r="D3" s="782"/>
    </row>
    <row r="4" spans="1:4" ht="15.6">
      <c r="A4" s="782" t="s">
        <v>3148</v>
      </c>
      <c r="B4" s="782"/>
      <c r="C4" s="782"/>
      <c r="D4" s="782"/>
    </row>
    <row r="5" spans="1:4">
      <c r="A5" s="591"/>
      <c r="B5" s="591"/>
      <c r="C5" s="591"/>
      <c r="D5"/>
    </row>
    <row r="6" spans="1:4">
      <c r="A6"/>
      <c r="B6"/>
      <c r="C6"/>
      <c r="D6"/>
    </row>
    <row r="7" spans="1:4" ht="45" customHeight="1">
      <c r="A7" s="783" t="s">
        <v>3136</v>
      </c>
      <c r="B7" s="783"/>
      <c r="C7" s="783"/>
      <c r="D7" s="783"/>
    </row>
    <row r="8" spans="1:4" ht="17.399999999999999">
      <c r="A8" s="605"/>
      <c r="B8" s="605"/>
      <c r="C8" s="605"/>
      <c r="D8"/>
    </row>
    <row r="9" spans="1:4" ht="48" customHeight="1">
      <c r="A9" s="901" t="s">
        <v>3150</v>
      </c>
      <c r="B9" s="901"/>
      <c r="C9" s="901"/>
      <c r="D9" s="901"/>
    </row>
    <row r="10" spans="1:4" ht="16.2" thickBot="1">
      <c r="A10" s="320"/>
      <c r="B10" s="320"/>
      <c r="C10" s="320"/>
      <c r="D10" s="284"/>
    </row>
    <row r="11" spans="1:4" ht="31.2">
      <c r="A11" s="726" t="s">
        <v>1645</v>
      </c>
      <c r="B11" s="753" t="s">
        <v>3234</v>
      </c>
      <c r="C11" s="727" t="s">
        <v>636</v>
      </c>
      <c r="D11" s="609" t="s">
        <v>2415</v>
      </c>
    </row>
    <row r="12" spans="1:4" ht="15.6" hidden="1">
      <c r="A12" s="317" t="s">
        <v>1395</v>
      </c>
      <c r="B12" s="735"/>
      <c r="C12" s="736"/>
      <c r="D12" s="735">
        <f>B12+C12</f>
        <v>0</v>
      </c>
    </row>
    <row r="13" spans="1:4" ht="15.6">
      <c r="A13" s="317" t="s">
        <v>655</v>
      </c>
      <c r="B13" s="735">
        <v>800000</v>
      </c>
      <c r="C13" s="736"/>
      <c r="D13" s="735">
        <v>800000</v>
      </c>
    </row>
    <row r="14" spans="1:4" ht="15.6">
      <c r="A14" s="734" t="s">
        <v>1395</v>
      </c>
      <c r="B14" s="737">
        <v>580000</v>
      </c>
      <c r="C14" s="738"/>
      <c r="D14" s="737">
        <v>580000</v>
      </c>
    </row>
    <row r="15" spans="1:4" ht="16.2" thickBot="1">
      <c r="A15" s="318" t="s">
        <v>1148</v>
      </c>
      <c r="B15" s="323">
        <v>1380000</v>
      </c>
      <c r="C15" s="739">
        <f>SUM(C13:C14)</f>
        <v>0</v>
      </c>
      <c r="D15" s="323">
        <f>SUM(D12:D14)</f>
        <v>1380000</v>
      </c>
    </row>
    <row r="16" spans="1:4" ht="15.6">
      <c r="A16" s="298"/>
      <c r="B16" s="298"/>
      <c r="C16" s="298"/>
      <c r="D16" s="298"/>
    </row>
    <row r="17" spans="1:4" ht="44.25" customHeight="1">
      <c r="A17" s="974" t="s">
        <v>3227</v>
      </c>
      <c r="B17" s="974"/>
      <c r="C17" s="974"/>
      <c r="D17" s="974"/>
    </row>
    <row r="18" spans="1:4" ht="18" customHeight="1" thickBot="1">
      <c r="A18" s="740"/>
      <c r="B18" s="740"/>
      <c r="C18" s="740"/>
      <c r="D18" s="740"/>
    </row>
    <row r="19" spans="1:4" ht="31.8" thickBot="1">
      <c r="A19" s="741" t="s">
        <v>1645</v>
      </c>
      <c r="B19" s="742" t="s">
        <v>3234</v>
      </c>
      <c r="C19" s="742" t="s">
        <v>636</v>
      </c>
      <c r="D19" s="743" t="s">
        <v>2415</v>
      </c>
    </row>
    <row r="20" spans="1:4" ht="15.6">
      <c r="A20" s="744" t="s">
        <v>9</v>
      </c>
      <c r="B20" s="747">
        <v>290000</v>
      </c>
      <c r="C20" s="747"/>
      <c r="D20" s="748">
        <f>B20+C20</f>
        <v>290000</v>
      </c>
    </row>
    <row r="21" spans="1:4" ht="15.6" hidden="1">
      <c r="A21" s="745" t="s">
        <v>8</v>
      </c>
      <c r="B21" s="749">
        <v>0</v>
      </c>
      <c r="C21" s="749"/>
      <c r="D21" s="748">
        <f t="shared" ref="D21:D22" si="0">B21+C21</f>
        <v>0</v>
      </c>
    </row>
    <row r="22" spans="1:4" ht="15.6">
      <c r="A22" s="745" t="s">
        <v>655</v>
      </c>
      <c r="B22" s="749">
        <v>99850</v>
      </c>
      <c r="C22" s="749"/>
      <c r="D22" s="748">
        <f t="shared" si="0"/>
        <v>99850</v>
      </c>
    </row>
    <row r="23" spans="1:4" s="527" customFormat="1" ht="15.6">
      <c r="A23" s="746" t="s">
        <v>1148</v>
      </c>
      <c r="B23" s="750">
        <v>389850</v>
      </c>
      <c r="C23" s="750">
        <f>C20+C22</f>
        <v>0</v>
      </c>
      <c r="D23" s="750">
        <f>D20+D22</f>
        <v>389850</v>
      </c>
    </row>
    <row r="24" spans="1:4" ht="15.6">
      <c r="A24" s="319"/>
      <c r="B24" s="319"/>
      <c r="C24" s="319"/>
      <c r="D24" s="319"/>
    </row>
    <row r="25" spans="1:4" ht="15.6">
      <c r="A25" s="319"/>
      <c r="B25" s="319"/>
      <c r="C25" s="319"/>
      <c r="D25" s="319"/>
    </row>
    <row r="26" spans="1:4" ht="75" customHeight="1"/>
  </sheetData>
  <mergeCells count="7">
    <mergeCell ref="A17:D17"/>
    <mergeCell ref="A9:D9"/>
    <mergeCell ref="A1:D1"/>
    <mergeCell ref="A2:D2"/>
    <mergeCell ref="A3:D3"/>
    <mergeCell ref="A4:D4"/>
    <mergeCell ref="A7:D7"/>
  </mergeCells>
  <pageMargins left="0.70866141732283472" right="0.70866141732283472" top="0.74803149606299213" bottom="0.74803149606299213" header="0.31496062992125984" footer="0.31496062992125984"/>
  <pageSetup paperSize="9" fitToHeight="0" orientation="portrait" r:id="rId1"/>
  <headerFooter alignWithMargins="0">
    <oddFooter>&amp;C&amp;P</oddFooter>
  </headerFooter>
</worksheet>
</file>

<file path=xl/worksheets/sheet58.xml><?xml version="1.0" encoding="utf-8"?>
<worksheet xmlns="http://schemas.openxmlformats.org/spreadsheetml/2006/main" xmlns:r="http://schemas.openxmlformats.org/officeDocument/2006/relationships">
  <sheetPr>
    <pageSetUpPr fitToPage="1"/>
  </sheetPr>
  <dimension ref="A1:E15"/>
  <sheetViews>
    <sheetView topLeftCell="A7" workbookViewId="0">
      <selection activeCell="G33" sqref="G33"/>
    </sheetView>
  </sheetViews>
  <sheetFormatPr defaultColWidth="9.109375" defaultRowHeight="13.2"/>
  <cols>
    <col min="1" max="1" width="43.109375" style="157" customWidth="1"/>
    <col min="2" max="2" width="12.109375" style="157" customWidth="1"/>
    <col min="3" max="3" width="12.6640625" style="157" customWidth="1"/>
    <col min="4" max="4" width="15.44140625" style="157" customWidth="1"/>
    <col min="5" max="5" width="15.5546875" style="157" customWidth="1"/>
    <col min="6" max="16384" width="9.109375" style="157"/>
  </cols>
  <sheetData>
    <row r="1" spans="1:5" ht="15.6">
      <c r="A1" s="782" t="s">
        <v>2529</v>
      </c>
      <c r="B1" s="782"/>
      <c r="C1" s="782"/>
      <c r="D1" s="782"/>
      <c r="E1" s="782"/>
    </row>
    <row r="2" spans="1:5" ht="15.6">
      <c r="A2" s="782" t="s">
        <v>1069</v>
      </c>
      <c r="B2" s="782"/>
      <c r="C2" s="782"/>
      <c r="D2" s="782"/>
      <c r="E2" s="782"/>
    </row>
    <row r="3" spans="1:5" ht="15.6">
      <c r="A3" s="782" t="s">
        <v>720</v>
      </c>
      <c r="B3" s="782"/>
      <c r="C3" s="782"/>
      <c r="D3" s="782"/>
      <c r="E3" s="782"/>
    </row>
    <row r="4" spans="1:5" ht="15.6">
      <c r="A4" s="782" t="s">
        <v>3148</v>
      </c>
      <c r="B4" s="782"/>
      <c r="C4" s="782"/>
      <c r="D4" s="782"/>
      <c r="E4" s="782"/>
    </row>
    <row r="5" spans="1:5">
      <c r="A5" s="591"/>
      <c r="B5" s="591"/>
      <c r="C5" s="591"/>
      <c r="D5" s="591"/>
      <c r="E5"/>
    </row>
    <row r="6" spans="1:5">
      <c r="A6"/>
      <c r="B6"/>
      <c r="C6"/>
      <c r="D6"/>
      <c r="E6"/>
    </row>
    <row r="7" spans="1:5" ht="54.75" customHeight="1">
      <c r="A7" s="783" t="s">
        <v>3137</v>
      </c>
      <c r="B7" s="783"/>
      <c r="C7" s="783"/>
      <c r="D7" s="783"/>
      <c r="E7" s="783"/>
    </row>
    <row r="8" spans="1:5" ht="17.399999999999999">
      <c r="A8" s="605"/>
      <c r="B8" s="605"/>
      <c r="C8" s="605"/>
      <c r="D8" s="605"/>
      <c r="E8"/>
    </row>
    <row r="9" spans="1:5" ht="39.75" customHeight="1">
      <c r="A9" s="783" t="s">
        <v>3151</v>
      </c>
      <c r="B9" s="783"/>
      <c r="C9" s="783"/>
      <c r="D9" s="783"/>
      <c r="E9" s="783"/>
    </row>
    <row r="10" spans="1:5" ht="17.399999999999999">
      <c r="A10" s="23"/>
      <c r="B10" s="23"/>
      <c r="C10" s="23"/>
      <c r="D10" s="23"/>
      <c r="E10"/>
    </row>
    <row r="11" spans="1:5" ht="18" thickBot="1">
      <c r="A11" s="23"/>
      <c r="B11" s="23"/>
      <c r="C11" s="23"/>
      <c r="D11" s="23"/>
      <c r="E11"/>
    </row>
    <row r="12" spans="1:5" ht="31.2">
      <c r="A12" s="147" t="s">
        <v>1645</v>
      </c>
      <c r="B12" s="148" t="s">
        <v>3234</v>
      </c>
      <c r="C12" s="148" t="s">
        <v>636</v>
      </c>
      <c r="D12" s="609" t="s">
        <v>2525</v>
      </c>
      <c r="E12" s="609" t="s">
        <v>2618</v>
      </c>
    </row>
    <row r="13" spans="1:5" ht="15.6">
      <c r="A13" s="149" t="s">
        <v>655</v>
      </c>
      <c r="B13" s="252">
        <v>800000</v>
      </c>
      <c r="C13" s="254"/>
      <c r="D13" s="618">
        <v>800000</v>
      </c>
      <c r="E13" s="252">
        <v>0</v>
      </c>
    </row>
    <row r="14" spans="1:5" ht="15.6">
      <c r="A14" s="615" t="s">
        <v>1395</v>
      </c>
      <c r="B14" s="616">
        <v>580000</v>
      </c>
      <c r="C14" s="617"/>
      <c r="D14" s="619">
        <v>580000</v>
      </c>
      <c r="E14" s="616">
        <v>0</v>
      </c>
    </row>
    <row r="15" spans="1:5" ht="16.2" thickBot="1">
      <c r="A15" s="150" t="s">
        <v>1148</v>
      </c>
      <c r="B15" s="399">
        <v>1380000</v>
      </c>
      <c r="C15" s="253">
        <f>SUM(C13:C14)</f>
        <v>0</v>
      </c>
      <c r="D15" s="620">
        <f>SUM(D13:D14)</f>
        <v>1380000</v>
      </c>
      <c r="E15" s="399">
        <f>SUM(E13:E14)</f>
        <v>0</v>
      </c>
    </row>
  </sheetData>
  <mergeCells count="6">
    <mergeCell ref="A9:E9"/>
    <mergeCell ref="A1:E1"/>
    <mergeCell ref="A2:E2"/>
    <mergeCell ref="A3:E3"/>
    <mergeCell ref="A4:E4"/>
    <mergeCell ref="A7:E7"/>
  </mergeCells>
  <pageMargins left="0.70866141732283472" right="0.70866141732283472" top="0.74803149606299213" bottom="0.74803149606299213" header="0.31496062992125984" footer="0.31496062992125984"/>
  <pageSetup paperSize="9" fitToHeight="0" orientation="portrait" r:id="rId1"/>
  <headerFooter alignWithMargins="0">
    <oddFooter>&amp;C&amp;P</oddFooter>
  </headerFooter>
</worksheet>
</file>

<file path=xl/worksheets/sheet59.xml><?xml version="1.0" encoding="utf-8"?>
<worksheet xmlns="http://schemas.openxmlformats.org/spreadsheetml/2006/main" xmlns:r="http://schemas.openxmlformats.org/officeDocument/2006/relationships">
  <sheetPr codeName="Лист38">
    <pageSetUpPr fitToPage="1"/>
  </sheetPr>
  <dimension ref="A1:B123"/>
  <sheetViews>
    <sheetView topLeftCell="A37" workbookViewId="0">
      <selection activeCell="B46" sqref="B46"/>
    </sheetView>
  </sheetViews>
  <sheetFormatPr defaultColWidth="9.109375" defaultRowHeight="15.6"/>
  <cols>
    <col min="1" max="1" width="19.5546875" style="451" customWidth="1"/>
    <col min="2" max="2" width="80.88671875" style="451" customWidth="1"/>
    <col min="3" max="16384" width="9.109375" style="451"/>
  </cols>
  <sheetData>
    <row r="1" spans="1:2" ht="16.2" thickBot="1">
      <c r="A1" s="462" t="s">
        <v>2289</v>
      </c>
      <c r="B1" s="463" t="s">
        <v>2292</v>
      </c>
    </row>
    <row r="2" spans="1:2" ht="31.8" thickBot="1">
      <c r="A2" s="453" t="s">
        <v>2721</v>
      </c>
      <c r="B2" s="602" t="s">
        <v>2719</v>
      </c>
    </row>
    <row r="3" spans="1:2" s="452" customFormat="1">
      <c r="A3" s="464" t="s">
        <v>2722</v>
      </c>
      <c r="B3" s="465" t="s">
        <v>2558</v>
      </c>
    </row>
    <row r="4" spans="1:2" ht="31.2">
      <c r="A4" s="466" t="s">
        <v>2723</v>
      </c>
      <c r="B4" s="467" t="s">
        <v>2720</v>
      </c>
    </row>
    <row r="5" spans="1:2" s="452" customFormat="1" ht="46.8">
      <c r="A5" s="468" t="s">
        <v>2724</v>
      </c>
      <c r="B5" s="469" t="s">
        <v>2559</v>
      </c>
    </row>
    <row r="6" spans="1:2" ht="46.8">
      <c r="A6" s="466" t="s">
        <v>2725</v>
      </c>
      <c r="B6" s="467" t="s">
        <v>2893</v>
      </c>
    </row>
    <row r="7" spans="1:2">
      <c r="A7" s="466" t="s">
        <v>3143</v>
      </c>
      <c r="B7" s="467" t="s">
        <v>3144</v>
      </c>
    </row>
    <row r="8" spans="1:2" s="452" customFormat="1" ht="31.2">
      <c r="A8" s="468" t="s">
        <v>2726</v>
      </c>
      <c r="B8" s="469" t="s">
        <v>2560</v>
      </c>
    </row>
    <row r="9" spans="1:2">
      <c r="A9" s="466" t="s">
        <v>2727</v>
      </c>
      <c r="B9" s="467" t="s">
        <v>2854</v>
      </c>
    </row>
    <row r="10" spans="1:2" s="452" customFormat="1" ht="31.2">
      <c r="A10" s="468" t="s">
        <v>2728</v>
      </c>
      <c r="B10" s="469" t="s">
        <v>2561</v>
      </c>
    </row>
    <row r="11" spans="1:2">
      <c r="A11" s="466" t="s">
        <v>2729</v>
      </c>
      <c r="B11" s="467" t="s">
        <v>2730</v>
      </c>
    </row>
    <row r="12" spans="1:2">
      <c r="A12" s="466" t="s">
        <v>2731</v>
      </c>
      <c r="B12" s="467" t="s">
        <v>2732</v>
      </c>
    </row>
    <row r="13" spans="1:2">
      <c r="A13" s="466" t="s">
        <v>2734</v>
      </c>
      <c r="B13" s="467" t="s">
        <v>2733</v>
      </c>
    </row>
    <row r="14" spans="1:2">
      <c r="A14" s="466" t="s">
        <v>2735</v>
      </c>
      <c r="B14" s="467" t="s">
        <v>2742</v>
      </c>
    </row>
    <row r="15" spans="1:2" s="452" customFormat="1" ht="31.2">
      <c r="A15" s="468" t="s">
        <v>2736</v>
      </c>
      <c r="B15" s="469" t="s">
        <v>2562</v>
      </c>
    </row>
    <row r="16" spans="1:2" ht="16.2" thickBot="1">
      <c r="A16" s="470" t="s">
        <v>2737</v>
      </c>
      <c r="B16" s="471" t="s">
        <v>2738</v>
      </c>
    </row>
    <row r="17" spans="1:2" ht="31.8" thickBot="1">
      <c r="A17" s="453" t="s">
        <v>2739</v>
      </c>
      <c r="B17" s="455" t="s">
        <v>2894</v>
      </c>
    </row>
    <row r="18" spans="1:2" s="452" customFormat="1" ht="31.2">
      <c r="A18" s="464" t="s">
        <v>2740</v>
      </c>
      <c r="B18" s="465" t="s">
        <v>2563</v>
      </c>
    </row>
    <row r="19" spans="1:2" ht="31.2">
      <c r="A19" s="466" t="s">
        <v>2741</v>
      </c>
      <c r="B19" s="467" t="s">
        <v>2744</v>
      </c>
    </row>
    <row r="20" spans="1:2" ht="31.2">
      <c r="A20" s="466" t="s">
        <v>2746</v>
      </c>
      <c r="B20" s="467" t="s">
        <v>2745</v>
      </c>
    </row>
    <row r="21" spans="1:2" ht="31.2">
      <c r="A21" s="466" t="s">
        <v>2747</v>
      </c>
      <c r="B21" s="467" t="s">
        <v>2748</v>
      </c>
    </row>
    <row r="22" spans="1:2" ht="31.2">
      <c r="A22" s="466" t="s">
        <v>2749</v>
      </c>
      <c r="B22" s="467" t="s">
        <v>2895</v>
      </c>
    </row>
    <row r="23" spans="1:2" ht="31.2">
      <c r="A23" s="466" t="s">
        <v>2750</v>
      </c>
      <c r="B23" s="467" t="s">
        <v>2752</v>
      </c>
    </row>
    <row r="24" spans="1:2">
      <c r="A24" s="466" t="s">
        <v>2751</v>
      </c>
      <c r="B24" s="467" t="s">
        <v>2743</v>
      </c>
    </row>
    <row r="25" spans="1:2" ht="31.2">
      <c r="A25" s="466" t="s">
        <v>2855</v>
      </c>
      <c r="B25" s="469" t="s">
        <v>3069</v>
      </c>
    </row>
    <row r="26" spans="1:2" ht="31.2">
      <c r="A26" s="470" t="s">
        <v>2857</v>
      </c>
      <c r="B26" s="485" t="s">
        <v>2859</v>
      </c>
    </row>
    <row r="27" spans="1:2" ht="31.2">
      <c r="A27" s="470" t="s">
        <v>2856</v>
      </c>
      <c r="B27" s="496" t="s">
        <v>2564</v>
      </c>
    </row>
    <row r="28" spans="1:2" ht="46.8">
      <c r="A28" s="470" t="s">
        <v>2858</v>
      </c>
      <c r="B28" s="485" t="s">
        <v>2861</v>
      </c>
    </row>
    <row r="29" spans="1:2">
      <c r="A29" s="470" t="s">
        <v>2860</v>
      </c>
      <c r="B29" s="485" t="s">
        <v>2987</v>
      </c>
    </row>
    <row r="30" spans="1:2" ht="31.8" thickBot="1">
      <c r="A30" s="497" t="s">
        <v>2988</v>
      </c>
      <c r="B30" s="498" t="s">
        <v>2995</v>
      </c>
    </row>
    <row r="31" spans="1:2" ht="31.8" thickBot="1">
      <c r="A31" s="453" t="s">
        <v>2809</v>
      </c>
      <c r="B31" s="455" t="s">
        <v>2810</v>
      </c>
    </row>
    <row r="32" spans="1:2" ht="31.2">
      <c r="A32" s="473" t="s">
        <v>2811</v>
      </c>
      <c r="B32" s="465" t="s">
        <v>2565</v>
      </c>
    </row>
    <row r="33" spans="1:2" ht="31.2">
      <c r="A33" s="499" t="s">
        <v>2862</v>
      </c>
      <c r="B33" s="414" t="s">
        <v>3005</v>
      </c>
    </row>
    <row r="34" spans="1:2" ht="31.2">
      <c r="A34" s="499" t="s">
        <v>2863</v>
      </c>
      <c r="B34" s="414" t="s">
        <v>2864</v>
      </c>
    </row>
    <row r="35" spans="1:2" ht="31.2">
      <c r="A35" s="499" t="s">
        <v>2865</v>
      </c>
      <c r="B35" s="414" t="s">
        <v>2866</v>
      </c>
    </row>
    <row r="36" spans="1:2" ht="31.2">
      <c r="A36" s="470" t="s">
        <v>2851</v>
      </c>
      <c r="B36" s="525" t="s">
        <v>2868</v>
      </c>
    </row>
    <row r="37" spans="1:2" ht="31.8" thickBot="1">
      <c r="A37" s="470" t="s">
        <v>2970</v>
      </c>
      <c r="B37" s="526" t="s">
        <v>2962</v>
      </c>
    </row>
    <row r="38" spans="1:2" ht="16.2" thickBot="1">
      <c r="A38" s="453" t="s">
        <v>2867</v>
      </c>
      <c r="B38" s="455" t="s">
        <v>2870</v>
      </c>
    </row>
    <row r="39" spans="1:2" ht="47.4" thickBot="1">
      <c r="A39" s="474" t="s">
        <v>2869</v>
      </c>
      <c r="B39" s="501" t="s">
        <v>2896</v>
      </c>
    </row>
    <row r="40" spans="1:2" ht="36" customHeight="1" thickBot="1">
      <c r="A40" s="456" t="s">
        <v>2753</v>
      </c>
      <c r="B40" s="457" t="s">
        <v>2754</v>
      </c>
    </row>
    <row r="41" spans="1:2" ht="46.8">
      <c r="A41" s="476" t="s">
        <v>2755</v>
      </c>
      <c r="B41" s="477" t="s">
        <v>2756</v>
      </c>
    </row>
    <row r="42" spans="1:2" ht="31.2">
      <c r="A42" s="478" t="s">
        <v>2757</v>
      </c>
      <c r="B42" s="479" t="s">
        <v>2758</v>
      </c>
    </row>
    <row r="43" spans="1:2">
      <c r="A43" s="478" t="s">
        <v>2819</v>
      </c>
      <c r="B43" s="479" t="s">
        <v>2820</v>
      </c>
    </row>
    <row r="44" spans="1:2" ht="46.8">
      <c r="A44" s="480" t="s">
        <v>2759</v>
      </c>
      <c r="B44" s="481" t="s">
        <v>2760</v>
      </c>
    </row>
    <row r="45" spans="1:2" ht="31.2">
      <c r="A45" s="478" t="s">
        <v>2761</v>
      </c>
      <c r="B45" s="482" t="s">
        <v>2762</v>
      </c>
    </row>
    <row r="46" spans="1:2" ht="46.8">
      <c r="A46" s="478" t="s">
        <v>2763</v>
      </c>
      <c r="B46" s="482" t="s">
        <v>2764</v>
      </c>
    </row>
    <row r="47" spans="1:2" ht="32.25" customHeight="1">
      <c r="A47" s="480" t="s">
        <v>2765</v>
      </c>
      <c r="B47" s="481" t="s">
        <v>2766</v>
      </c>
    </row>
    <row r="48" spans="1:2" ht="31.2">
      <c r="A48" s="480" t="s">
        <v>2767</v>
      </c>
      <c r="B48" s="482" t="s">
        <v>2768</v>
      </c>
    </row>
    <row r="49" spans="1:2" ht="46.8">
      <c r="A49" s="480" t="s">
        <v>2769</v>
      </c>
      <c r="B49" s="482" t="s">
        <v>2770</v>
      </c>
    </row>
    <row r="50" spans="1:2" ht="46.8">
      <c r="A50" s="480" t="s">
        <v>2771</v>
      </c>
      <c r="B50" s="481" t="s">
        <v>3006</v>
      </c>
    </row>
    <row r="51" spans="1:2" ht="31.2">
      <c r="A51" s="478" t="s">
        <v>2772</v>
      </c>
      <c r="B51" s="479" t="s">
        <v>2773</v>
      </c>
    </row>
    <row r="52" spans="1:2" ht="31.2">
      <c r="A52" s="478" t="s">
        <v>2774</v>
      </c>
      <c r="B52" s="479" t="s">
        <v>2775</v>
      </c>
    </row>
    <row r="53" spans="1:2" ht="31.8" thickBot="1">
      <c r="A53" s="483" t="s">
        <v>2776</v>
      </c>
      <c r="B53" s="484" t="s">
        <v>2777</v>
      </c>
    </row>
    <row r="54" spans="1:2" ht="31.8" thickBot="1">
      <c r="A54" s="453" t="s">
        <v>2778</v>
      </c>
      <c r="B54" s="455" t="s">
        <v>2779</v>
      </c>
    </row>
    <row r="55" spans="1:2" ht="47.4" thickBot="1">
      <c r="A55" s="474" t="s">
        <v>2836</v>
      </c>
      <c r="B55" s="475" t="s">
        <v>2812</v>
      </c>
    </row>
    <row r="56" spans="1:2" ht="31.8" thickBot="1">
      <c r="A56" s="453" t="s">
        <v>2821</v>
      </c>
      <c r="B56" s="455" t="s">
        <v>2822</v>
      </c>
    </row>
    <row r="57" spans="1:2" ht="31.2">
      <c r="A57" s="464" t="s">
        <v>2823</v>
      </c>
      <c r="B57" s="465" t="s">
        <v>2566</v>
      </c>
    </row>
    <row r="58" spans="1:2">
      <c r="A58" s="466" t="s">
        <v>2824</v>
      </c>
      <c r="B58" s="472" t="s">
        <v>2829</v>
      </c>
    </row>
    <row r="59" spans="1:2" ht="31.2">
      <c r="A59" s="468" t="s">
        <v>2825</v>
      </c>
      <c r="B59" s="469" t="s">
        <v>2567</v>
      </c>
    </row>
    <row r="60" spans="1:2" ht="19.5" customHeight="1" thickBot="1">
      <c r="A60" s="470" t="s">
        <v>2826</v>
      </c>
      <c r="B60" s="485" t="s">
        <v>2828</v>
      </c>
    </row>
    <row r="61" spans="1:2" ht="33.75" customHeight="1" thickBot="1">
      <c r="A61" s="458" t="s">
        <v>2780</v>
      </c>
      <c r="B61" s="459" t="s">
        <v>2897</v>
      </c>
    </row>
    <row r="62" spans="1:2" ht="46.8">
      <c r="A62" s="476" t="s">
        <v>2781</v>
      </c>
      <c r="B62" s="486" t="s">
        <v>2904</v>
      </c>
    </row>
    <row r="63" spans="1:2" ht="62.4">
      <c r="A63" s="478" t="s">
        <v>2782</v>
      </c>
      <c r="B63" s="487" t="s">
        <v>2898</v>
      </c>
    </row>
    <row r="64" spans="1:2" ht="31.2">
      <c r="A64" s="480" t="s">
        <v>2783</v>
      </c>
      <c r="B64" s="488" t="s">
        <v>2905</v>
      </c>
    </row>
    <row r="65" spans="1:2" ht="35.25" customHeight="1">
      <c r="A65" s="478" t="s">
        <v>2784</v>
      </c>
      <c r="B65" s="487" t="s">
        <v>2899</v>
      </c>
    </row>
    <row r="66" spans="1:2" ht="46.8">
      <c r="A66" s="480" t="s">
        <v>2785</v>
      </c>
      <c r="B66" s="488" t="s">
        <v>2906</v>
      </c>
    </row>
    <row r="67" spans="1:2" ht="31.2">
      <c r="A67" s="478" t="s">
        <v>2786</v>
      </c>
      <c r="B67" s="487" t="s">
        <v>2808</v>
      </c>
    </row>
    <row r="68" spans="1:2" ht="31.2">
      <c r="A68" s="480" t="s">
        <v>2787</v>
      </c>
      <c r="B68" s="488" t="s">
        <v>2907</v>
      </c>
    </row>
    <row r="69" spans="1:2" ht="31.8" thickBot="1">
      <c r="A69" s="489" t="s">
        <v>2788</v>
      </c>
      <c r="B69" s="490" t="s">
        <v>2789</v>
      </c>
    </row>
    <row r="70" spans="1:2" ht="47.4" thickBot="1">
      <c r="A70" s="453" t="s">
        <v>2813</v>
      </c>
      <c r="B70" s="457" t="s">
        <v>2827</v>
      </c>
    </row>
    <row r="71" spans="1:2" ht="31.2">
      <c r="A71" s="464" t="s">
        <v>2830</v>
      </c>
      <c r="B71" s="477" t="s">
        <v>2568</v>
      </c>
    </row>
    <row r="72" spans="1:2" ht="46.8">
      <c r="A72" s="466" t="s">
        <v>2831</v>
      </c>
      <c r="B72" s="482" t="s">
        <v>2832</v>
      </c>
    </row>
    <row r="73" spans="1:2" ht="31.2">
      <c r="A73" s="466" t="s">
        <v>2833</v>
      </c>
      <c r="B73" s="482" t="s">
        <v>2834</v>
      </c>
    </row>
    <row r="74" spans="1:2" ht="31.2">
      <c r="A74" s="466" t="s">
        <v>2814</v>
      </c>
      <c r="B74" s="488" t="s">
        <v>2909</v>
      </c>
    </row>
    <row r="75" spans="1:2" ht="31.2">
      <c r="A75" s="466" t="s">
        <v>2815</v>
      </c>
      <c r="B75" s="479" t="s">
        <v>2816</v>
      </c>
    </row>
    <row r="76" spans="1:2" ht="31.2">
      <c r="A76" s="466" t="s">
        <v>2817</v>
      </c>
      <c r="B76" s="488" t="s">
        <v>2908</v>
      </c>
    </row>
    <row r="77" spans="1:2" ht="31.2">
      <c r="A77" s="466" t="s">
        <v>2818</v>
      </c>
      <c r="B77" s="479" t="s">
        <v>2846</v>
      </c>
    </row>
    <row r="78" spans="1:2">
      <c r="A78" s="466" t="s">
        <v>2847</v>
      </c>
      <c r="B78" s="479" t="s">
        <v>2848</v>
      </c>
    </row>
    <row r="79" spans="1:2" ht="46.8">
      <c r="A79" s="466" t="s">
        <v>2849</v>
      </c>
      <c r="B79" s="479" t="s">
        <v>2850</v>
      </c>
    </row>
    <row r="80" spans="1:2" ht="46.8">
      <c r="A80" s="474" t="s">
        <v>3156</v>
      </c>
      <c r="B80" s="679" t="s">
        <v>3157</v>
      </c>
    </row>
    <row r="81" spans="1:2" s="450" customFormat="1" ht="31.8" thickBot="1">
      <c r="A81" s="461" t="s">
        <v>2839</v>
      </c>
      <c r="B81" s="500" t="s">
        <v>2871</v>
      </c>
    </row>
    <row r="82" spans="1:2" s="450" customFormat="1">
      <c r="A82" s="473" t="s">
        <v>2840</v>
      </c>
      <c r="B82" s="491" t="s">
        <v>2841</v>
      </c>
    </row>
    <row r="83" spans="1:2" s="450" customFormat="1">
      <c r="A83" s="466" t="s">
        <v>2842</v>
      </c>
      <c r="B83" s="492" t="s">
        <v>2843</v>
      </c>
    </row>
    <row r="84" spans="1:2" ht="31.2">
      <c r="A84" s="466" t="s">
        <v>2844</v>
      </c>
      <c r="B84" s="492" t="s">
        <v>2872</v>
      </c>
    </row>
    <row r="85" spans="1:2">
      <c r="A85" s="466" t="s">
        <v>2873</v>
      </c>
      <c r="B85" s="502" t="s">
        <v>2875</v>
      </c>
    </row>
    <row r="86" spans="1:2" ht="31.2">
      <c r="A86" s="466" t="s">
        <v>2845</v>
      </c>
      <c r="B86" s="492" t="s">
        <v>2569</v>
      </c>
    </row>
    <row r="87" spans="1:2" ht="31.8" thickBot="1">
      <c r="A87" s="470" t="s">
        <v>2874</v>
      </c>
      <c r="B87" s="503" t="s">
        <v>2876</v>
      </c>
    </row>
    <row r="88" spans="1:2" ht="31.8" thickBot="1">
      <c r="A88" s="453" t="s">
        <v>2880</v>
      </c>
      <c r="B88" s="454" t="s">
        <v>2570</v>
      </c>
    </row>
    <row r="89" spans="1:2" ht="16.2" thickBot="1">
      <c r="A89" s="474" t="s">
        <v>2881</v>
      </c>
      <c r="B89" s="504" t="s">
        <v>2924</v>
      </c>
    </row>
    <row r="90" spans="1:2" s="450" customFormat="1" ht="31.8" thickBot="1">
      <c r="A90" s="453" t="s">
        <v>2882</v>
      </c>
      <c r="B90" s="454" t="s">
        <v>2890</v>
      </c>
    </row>
    <row r="91" spans="1:2" s="450" customFormat="1">
      <c r="A91" s="505" t="s">
        <v>2883</v>
      </c>
      <c r="B91" s="506" t="s">
        <v>2892</v>
      </c>
    </row>
    <row r="92" spans="1:2" ht="31.8" thickBot="1">
      <c r="A92" s="474" t="s">
        <v>2891</v>
      </c>
      <c r="B92" s="504" t="s">
        <v>2923</v>
      </c>
    </row>
    <row r="93" spans="1:2" s="450" customFormat="1" ht="47.4" thickBot="1">
      <c r="A93" s="453" t="s">
        <v>2884</v>
      </c>
      <c r="B93" s="454" t="s">
        <v>2886</v>
      </c>
    </row>
    <row r="94" spans="1:2" s="450" customFormat="1" ht="31.2">
      <c r="A94" s="505" t="s">
        <v>2885</v>
      </c>
      <c r="B94" s="506" t="s">
        <v>2889</v>
      </c>
    </row>
    <row r="95" spans="1:2" ht="31.8" thickBot="1">
      <c r="A95" s="474" t="s">
        <v>2888</v>
      </c>
      <c r="B95" s="504" t="s">
        <v>2887</v>
      </c>
    </row>
    <row r="96" spans="1:2" s="450" customFormat="1" ht="31.8" thickBot="1">
      <c r="A96" s="453" t="s">
        <v>2877</v>
      </c>
      <c r="B96" s="454" t="s">
        <v>2878</v>
      </c>
    </row>
    <row r="97" spans="1:2">
      <c r="A97" s="474" t="s">
        <v>2879</v>
      </c>
      <c r="B97" s="504" t="s">
        <v>2900</v>
      </c>
    </row>
    <row r="98" spans="1:2" ht="16.2" thickBot="1">
      <c r="A98" s="474" t="s">
        <v>3064</v>
      </c>
      <c r="B98" s="504" t="s">
        <v>3065</v>
      </c>
    </row>
    <row r="99" spans="1:2" ht="30" customHeight="1" thickBot="1">
      <c r="A99" s="453" t="s">
        <v>2910</v>
      </c>
      <c r="B99" s="460" t="s">
        <v>2835</v>
      </c>
    </row>
    <row r="100" spans="1:2" ht="46.8">
      <c r="A100" s="473" t="s">
        <v>2911</v>
      </c>
      <c r="B100" s="493" t="s">
        <v>2837</v>
      </c>
    </row>
    <row r="101" spans="1:2" ht="46.8">
      <c r="A101" s="466" t="s">
        <v>2912</v>
      </c>
      <c r="B101" s="482" t="s">
        <v>2838</v>
      </c>
    </row>
    <row r="102" spans="1:2" ht="31.2">
      <c r="A102" s="466" t="s">
        <v>2913</v>
      </c>
      <c r="B102" s="482" t="s">
        <v>2903</v>
      </c>
    </row>
    <row r="103" spans="1:2" ht="31.8" thickBot="1">
      <c r="A103" s="474" t="s">
        <v>3070</v>
      </c>
      <c r="B103" s="622" t="s">
        <v>3145</v>
      </c>
    </row>
    <row r="104" spans="1:2" ht="31.8" thickBot="1">
      <c r="A104" s="456" t="s">
        <v>2790</v>
      </c>
      <c r="B104" s="460" t="s">
        <v>2791</v>
      </c>
    </row>
    <row r="105" spans="1:2" ht="34.5" customHeight="1">
      <c r="A105" s="476" t="s">
        <v>2792</v>
      </c>
      <c r="B105" s="486" t="s">
        <v>2793</v>
      </c>
    </row>
    <row r="106" spans="1:2" ht="31.2">
      <c r="A106" s="509" t="s">
        <v>2804</v>
      </c>
      <c r="B106" s="510" t="s">
        <v>2805</v>
      </c>
    </row>
    <row r="107" spans="1:2" ht="30.75" customHeight="1">
      <c r="A107" s="476" t="s">
        <v>2914</v>
      </c>
      <c r="B107" s="486" t="s">
        <v>2918</v>
      </c>
    </row>
    <row r="108" spans="1:2" ht="34.5" customHeight="1">
      <c r="A108" s="476" t="s">
        <v>2915</v>
      </c>
      <c r="B108" s="511" t="s">
        <v>3001</v>
      </c>
    </row>
    <row r="109" spans="1:2" ht="17.25" customHeight="1">
      <c r="A109" s="476" t="s">
        <v>2916</v>
      </c>
      <c r="B109" s="511" t="s">
        <v>2919</v>
      </c>
    </row>
    <row r="110" spans="1:2">
      <c r="A110" s="476" t="s">
        <v>2917</v>
      </c>
      <c r="B110" s="510" t="s">
        <v>2920</v>
      </c>
    </row>
    <row r="111" spans="1:2" ht="31.8" thickBot="1">
      <c r="A111" s="507" t="s">
        <v>2794</v>
      </c>
      <c r="B111" s="508" t="s">
        <v>2803</v>
      </c>
    </row>
    <row r="112" spans="1:2" ht="31.2">
      <c r="A112" s="476" t="s">
        <v>2795</v>
      </c>
      <c r="B112" s="477" t="s">
        <v>2796</v>
      </c>
    </row>
    <row r="113" spans="1:2" ht="31.2">
      <c r="A113" s="478" t="s">
        <v>2797</v>
      </c>
      <c r="B113" s="479" t="s">
        <v>2901</v>
      </c>
    </row>
    <row r="114" spans="1:2" ht="31.2">
      <c r="A114" s="480" t="s">
        <v>2798</v>
      </c>
      <c r="B114" s="481" t="s">
        <v>2902</v>
      </c>
    </row>
    <row r="115" spans="1:2" ht="31.2">
      <c r="A115" s="478" t="s">
        <v>2799</v>
      </c>
      <c r="B115" s="487" t="s">
        <v>2800</v>
      </c>
    </row>
    <row r="116" spans="1:2" ht="31.2">
      <c r="A116" s="478" t="s">
        <v>2801</v>
      </c>
      <c r="B116" s="487" t="s">
        <v>2806</v>
      </c>
    </row>
    <row r="117" spans="1:2" ht="16.2" thickBot="1">
      <c r="A117" s="516" t="s">
        <v>2802</v>
      </c>
      <c r="B117" s="517" t="s">
        <v>2807</v>
      </c>
    </row>
    <row r="118" spans="1:2" ht="31.8" thickBot="1">
      <c r="A118" s="453" t="s">
        <v>2921</v>
      </c>
      <c r="B118" s="518" t="s">
        <v>2925</v>
      </c>
    </row>
    <row r="119" spans="1:2" ht="20.25" customHeight="1">
      <c r="A119" s="509" t="s">
        <v>2922</v>
      </c>
      <c r="B119" s="513" t="s">
        <v>2926</v>
      </c>
    </row>
    <row r="120" spans="1:2" ht="20.25" customHeight="1">
      <c r="A120" s="509"/>
      <c r="B120" s="513"/>
    </row>
    <row r="121" spans="1:2">
      <c r="A121" s="515" t="s">
        <v>2852</v>
      </c>
      <c r="B121" s="438" t="s">
        <v>2405</v>
      </c>
    </row>
    <row r="122" spans="1:2" ht="16.2" thickBot="1">
      <c r="A122" s="514" t="s">
        <v>2853</v>
      </c>
      <c r="B122" s="512" t="s">
        <v>2397</v>
      </c>
    </row>
    <row r="123" spans="1:2">
      <c r="A123" s="494"/>
      <c r="B123" s="495"/>
    </row>
  </sheetData>
  <pageMargins left="0.70866141732283472" right="0.70866141732283472" top="0.74803149606299213" bottom="0.74803149606299213" header="0.31496062992125984" footer="0.31496062992125984"/>
  <pageSetup paperSize="9" scale="81" fitToHeight="4" orientation="portrait" r:id="rId1"/>
</worksheet>
</file>

<file path=xl/worksheets/sheet6.xml><?xml version="1.0" encoding="utf-8"?>
<worksheet xmlns="http://schemas.openxmlformats.org/spreadsheetml/2006/main" xmlns:r="http://schemas.openxmlformats.org/officeDocument/2006/relationships">
  <sheetPr codeName="Лист6">
    <pageSetUpPr fitToPage="1"/>
  </sheetPr>
  <dimension ref="A1:H24"/>
  <sheetViews>
    <sheetView showGridLines="0" view="pageBreakPreview" zoomScaleSheetLayoutView="100" workbookViewId="0">
      <selection activeCell="F10" sqref="F1:G1048576"/>
    </sheetView>
  </sheetViews>
  <sheetFormatPr defaultColWidth="9.109375" defaultRowHeight="13.2"/>
  <cols>
    <col min="1" max="1" width="25" style="154" customWidth="1"/>
    <col min="2" max="2" width="30.5546875" style="154" customWidth="1"/>
    <col min="3" max="3" width="18.109375" style="154" hidden="1" customWidth="1"/>
    <col min="4" max="4" width="16" style="154" hidden="1" customWidth="1"/>
    <col min="5" max="5" width="14.88671875" style="154" customWidth="1"/>
    <col min="6" max="6" width="15.109375" style="154" hidden="1" customWidth="1"/>
    <col min="7" max="7" width="13.44140625" style="154" hidden="1" customWidth="1"/>
    <col min="8" max="8" width="16.33203125" style="154" customWidth="1"/>
    <col min="9" max="16384" width="9.109375" style="154"/>
  </cols>
  <sheetData>
    <row r="1" spans="1:8" ht="15.6">
      <c r="A1" s="782" t="s">
        <v>2069</v>
      </c>
      <c r="B1" s="782"/>
      <c r="C1" s="782"/>
      <c r="D1" s="782"/>
      <c r="E1" s="782"/>
      <c r="F1" s="782"/>
      <c r="G1" s="782"/>
      <c r="H1" s="782"/>
    </row>
    <row r="2" spans="1:8" ht="15.6">
      <c r="A2" s="782" t="s">
        <v>1069</v>
      </c>
      <c r="B2" s="782"/>
      <c r="C2" s="782"/>
      <c r="D2" s="782"/>
      <c r="E2" s="782"/>
      <c r="F2" s="782"/>
      <c r="G2" s="782"/>
      <c r="H2" s="782"/>
    </row>
    <row r="3" spans="1:8" ht="15.6">
      <c r="A3" s="782" t="s">
        <v>720</v>
      </c>
      <c r="B3" s="782"/>
      <c r="C3" s="782"/>
      <c r="D3" s="782"/>
      <c r="E3" s="782"/>
      <c r="F3" s="782"/>
      <c r="G3" s="782"/>
      <c r="H3" s="782"/>
    </row>
    <row r="4" spans="1:8" ht="15.6">
      <c r="A4" s="782" t="s">
        <v>3148</v>
      </c>
      <c r="B4" s="782"/>
      <c r="C4" s="782"/>
      <c r="D4" s="782"/>
      <c r="E4" s="782"/>
      <c r="F4" s="782"/>
      <c r="G4" s="782"/>
      <c r="H4" s="782"/>
    </row>
    <row r="5" spans="1:8">
      <c r="A5"/>
      <c r="B5"/>
      <c r="C5" s="155"/>
      <c r="D5" s="593"/>
      <c r="E5" s="593"/>
      <c r="F5" s="593"/>
      <c r="G5" s="593"/>
      <c r="H5" s="593"/>
    </row>
    <row r="6" spans="1:8" ht="15.6">
      <c r="A6" s="42"/>
      <c r="B6" s="1"/>
      <c r="C6" s="155"/>
      <c r="D6" s="593"/>
      <c r="E6" s="593"/>
      <c r="F6" s="593"/>
      <c r="G6" s="593"/>
      <c r="H6" s="593"/>
    </row>
    <row r="7" spans="1:8" ht="58.5" customHeight="1">
      <c r="A7" s="794" t="s">
        <v>3021</v>
      </c>
      <c r="B7" s="794"/>
      <c r="C7" s="794"/>
      <c r="D7" s="794"/>
      <c r="E7" s="794"/>
      <c r="F7" s="794"/>
      <c r="G7" s="794"/>
      <c r="H7" s="794"/>
    </row>
    <row r="8" spans="1:8" ht="18" thickBot="1">
      <c r="A8" s="6"/>
      <c r="B8" s="1"/>
      <c r="C8" s="155"/>
      <c r="D8" s="593"/>
      <c r="E8" s="593"/>
      <c r="F8" s="593"/>
      <c r="G8" s="593"/>
      <c r="H8" s="593"/>
    </row>
    <row r="9" spans="1:8" ht="31.8" thickBot="1">
      <c r="A9" s="349" t="s">
        <v>969</v>
      </c>
      <c r="B9" s="349" t="s">
        <v>264</v>
      </c>
      <c r="C9" s="349" t="s">
        <v>3268</v>
      </c>
      <c r="D9" s="349" t="s">
        <v>1140</v>
      </c>
      <c r="E9" s="349" t="s">
        <v>2524</v>
      </c>
      <c r="F9" s="349" t="s">
        <v>3269</v>
      </c>
      <c r="G9" s="349" t="s">
        <v>1140</v>
      </c>
      <c r="H9" s="349" t="s">
        <v>2617</v>
      </c>
    </row>
    <row r="10" spans="1:8" ht="47.4" thickBot="1">
      <c r="A10" s="357" t="s">
        <v>873</v>
      </c>
      <c r="B10" s="358" t="s">
        <v>67</v>
      </c>
      <c r="C10" s="352">
        <f t="shared" ref="C10:D10" si="0">C11+C13</f>
        <v>18650000</v>
      </c>
      <c r="D10" s="352">
        <f t="shared" si="0"/>
        <v>3272000</v>
      </c>
      <c r="E10" s="352">
        <f>SUM(C10:D10)</f>
        <v>21922000</v>
      </c>
      <c r="F10" s="352">
        <v>6325000</v>
      </c>
      <c r="G10" s="352">
        <f t="shared" ref="G10" si="1">G11+G13</f>
        <v>2454000</v>
      </c>
      <c r="H10" s="352">
        <f>SUM(F10:G10)</f>
        <v>8779000</v>
      </c>
    </row>
    <row r="11" spans="1:8" ht="63" thickBot="1">
      <c r="A11" s="357" t="s">
        <v>68</v>
      </c>
      <c r="B11" s="359" t="s">
        <v>1404</v>
      </c>
      <c r="C11" s="355">
        <v>37807598</v>
      </c>
      <c r="D11" s="355">
        <f t="shared" ref="D11" si="2">D12</f>
        <v>-2329000</v>
      </c>
      <c r="E11" s="352">
        <f t="shared" ref="E11:E24" si="3">SUM(C11:D11)</f>
        <v>35478598</v>
      </c>
      <c r="F11" s="355">
        <v>29875098</v>
      </c>
      <c r="G11" s="355">
        <f t="shared" ref="G11" si="4">G12</f>
        <v>2454000</v>
      </c>
      <c r="H11" s="352">
        <f t="shared" ref="H11:H24" si="5">SUM(F11:G11)</f>
        <v>32329098</v>
      </c>
    </row>
    <row r="12" spans="1:8" ht="78.599999999999994" thickBot="1">
      <c r="A12" s="357" t="s">
        <v>1405</v>
      </c>
      <c r="B12" s="359" t="s">
        <v>1535</v>
      </c>
      <c r="C12" s="355">
        <v>37807598</v>
      </c>
      <c r="D12" s="355">
        <v>-2329000</v>
      </c>
      <c r="E12" s="352">
        <f t="shared" si="3"/>
        <v>35478598</v>
      </c>
      <c r="F12" s="361">
        <v>29875098</v>
      </c>
      <c r="G12" s="361">
        <v>2454000</v>
      </c>
      <c r="H12" s="352">
        <f t="shared" si="5"/>
        <v>32329098</v>
      </c>
    </row>
    <row r="13" spans="1:8" ht="63" thickBot="1">
      <c r="A13" s="357" t="s">
        <v>1331</v>
      </c>
      <c r="B13" s="359" t="s">
        <v>1330</v>
      </c>
      <c r="C13" s="355">
        <v>-19157598</v>
      </c>
      <c r="D13" s="355">
        <f t="shared" ref="D13" si="6">D14</f>
        <v>5601000</v>
      </c>
      <c r="E13" s="352">
        <f t="shared" si="3"/>
        <v>-13556598</v>
      </c>
      <c r="F13" s="355">
        <v>-23550098</v>
      </c>
      <c r="G13" s="355">
        <f t="shared" ref="G13" si="7">G14</f>
        <v>0</v>
      </c>
      <c r="H13" s="352">
        <f t="shared" si="5"/>
        <v>-23550098</v>
      </c>
    </row>
    <row r="14" spans="1:8" ht="78.599999999999994" thickBot="1">
      <c r="A14" s="357" t="s">
        <v>794</v>
      </c>
      <c r="B14" s="359" t="s">
        <v>1622</v>
      </c>
      <c r="C14" s="355">
        <v>-19157598</v>
      </c>
      <c r="D14" s="355">
        <f>5601000</f>
        <v>5601000</v>
      </c>
      <c r="E14" s="352">
        <f t="shared" si="3"/>
        <v>-13556598</v>
      </c>
      <c r="F14" s="361">
        <v>-23550098</v>
      </c>
      <c r="G14" s="361"/>
      <c r="H14" s="352">
        <f t="shared" si="5"/>
        <v>-23550098</v>
      </c>
    </row>
    <row r="15" spans="1:8" ht="63" thickBot="1">
      <c r="A15" s="357" t="s">
        <v>973</v>
      </c>
      <c r="B15" s="358" t="s">
        <v>1811</v>
      </c>
      <c r="C15" s="352">
        <f t="shared" ref="C15:D15" si="8">C16</f>
        <v>-23662566</v>
      </c>
      <c r="D15" s="352">
        <f t="shared" si="8"/>
        <v>-3272000</v>
      </c>
      <c r="E15" s="352">
        <f t="shared" si="3"/>
        <v>-26934566</v>
      </c>
      <c r="F15" s="352">
        <v>-9337566</v>
      </c>
      <c r="G15" s="352">
        <f t="shared" ref="G15:G16" si="9">G16</f>
        <v>-2454000</v>
      </c>
      <c r="H15" s="352">
        <f t="shared" si="5"/>
        <v>-11791566</v>
      </c>
    </row>
    <row r="16" spans="1:8" ht="94.2" thickBot="1">
      <c r="A16" s="357" t="s">
        <v>2234</v>
      </c>
      <c r="B16" s="359" t="s">
        <v>599</v>
      </c>
      <c r="C16" s="355">
        <v>-23662566</v>
      </c>
      <c r="D16" s="355">
        <f>D17</f>
        <v>-3272000</v>
      </c>
      <c r="E16" s="352">
        <f t="shared" si="3"/>
        <v>-26934566</v>
      </c>
      <c r="F16" s="362">
        <v>-9337566</v>
      </c>
      <c r="G16" s="362">
        <f t="shared" si="9"/>
        <v>-2454000</v>
      </c>
      <c r="H16" s="352">
        <f t="shared" si="5"/>
        <v>-11791566</v>
      </c>
    </row>
    <row r="17" spans="1:8" ht="109.8" thickBot="1">
      <c r="A17" s="357" t="s">
        <v>2235</v>
      </c>
      <c r="B17" s="359" t="s">
        <v>418</v>
      </c>
      <c r="C17" s="355">
        <v>-23662566</v>
      </c>
      <c r="D17" s="355">
        <v>-3272000</v>
      </c>
      <c r="E17" s="352">
        <f t="shared" si="3"/>
        <v>-26934566</v>
      </c>
      <c r="F17" s="362">
        <v>-9337566</v>
      </c>
      <c r="G17" s="362">
        <f>-818000-818000-818000</f>
        <v>-2454000</v>
      </c>
      <c r="H17" s="352">
        <f t="shared" si="5"/>
        <v>-11791566</v>
      </c>
    </row>
    <row r="18" spans="1:8" ht="47.4" thickBot="1">
      <c r="A18" s="357" t="s">
        <v>1332</v>
      </c>
      <c r="B18" s="358" t="s">
        <v>753</v>
      </c>
      <c r="C18" s="352">
        <f t="shared" ref="C18:D18" si="10">C19+C20</f>
        <v>5000000</v>
      </c>
      <c r="D18" s="352">
        <f t="shared" ca="1" si="10"/>
        <v>0</v>
      </c>
      <c r="E18" s="352">
        <f t="shared" ca="1" si="3"/>
        <v>5000000</v>
      </c>
      <c r="F18" s="352">
        <v>3000000</v>
      </c>
      <c r="G18" s="352">
        <f t="shared" ref="G18" si="11">G19+G20</f>
        <v>0</v>
      </c>
      <c r="H18" s="352">
        <f t="shared" si="5"/>
        <v>3000000</v>
      </c>
    </row>
    <row r="19" spans="1:8" ht="47.4" thickBot="1">
      <c r="A19" s="357" t="s">
        <v>754</v>
      </c>
      <c r="B19" s="359" t="s">
        <v>1032</v>
      </c>
      <c r="C19" s="355">
        <v>-1414806249</v>
      </c>
      <c r="D19" s="355">
        <f>-Пр.2!K113-D11</f>
        <v>-14782567</v>
      </c>
      <c r="E19" s="352">
        <f t="shared" si="3"/>
        <v>-1429588816</v>
      </c>
      <c r="F19" s="355">
        <v>-1297221884</v>
      </c>
      <c r="G19" s="355"/>
      <c r="H19" s="352">
        <f t="shared" si="5"/>
        <v>-1297221884</v>
      </c>
    </row>
    <row r="20" spans="1:8" ht="51" customHeight="1" thickBot="1">
      <c r="A20" s="357" t="s">
        <v>740</v>
      </c>
      <c r="B20" s="432" t="s">
        <v>380</v>
      </c>
      <c r="C20" s="355">
        <v>1419806249</v>
      </c>
      <c r="D20" s="355">
        <f ca="1">'Пр. 4'!D121-D16-D14</f>
        <v>14782567</v>
      </c>
      <c r="E20" s="352">
        <f t="shared" ca="1" si="3"/>
        <v>1434588816</v>
      </c>
      <c r="F20" s="355">
        <v>1300221884</v>
      </c>
      <c r="G20" s="355"/>
      <c r="H20" s="352">
        <f t="shared" si="5"/>
        <v>1300221884</v>
      </c>
    </row>
    <row r="21" spans="1:8" ht="63" thickBot="1">
      <c r="A21" s="357" t="s">
        <v>584</v>
      </c>
      <c r="B21" s="358" t="s">
        <v>505</v>
      </c>
      <c r="C21" s="352">
        <v>12566</v>
      </c>
      <c r="D21" s="352">
        <f t="shared" ref="D21:D22" si="12">D22</f>
        <v>0</v>
      </c>
      <c r="E21" s="352">
        <f t="shared" si="3"/>
        <v>12566</v>
      </c>
      <c r="F21" s="363">
        <v>12566</v>
      </c>
      <c r="G21" s="363">
        <f t="shared" ref="G21:G22" si="13">G22</f>
        <v>0</v>
      </c>
      <c r="H21" s="352">
        <f t="shared" si="5"/>
        <v>12566</v>
      </c>
    </row>
    <row r="22" spans="1:8" ht="63" thickBot="1">
      <c r="A22" s="357" t="s">
        <v>585</v>
      </c>
      <c r="B22" s="359" t="s">
        <v>574</v>
      </c>
      <c r="C22" s="355">
        <v>12566</v>
      </c>
      <c r="D22" s="355">
        <f t="shared" si="12"/>
        <v>0</v>
      </c>
      <c r="E22" s="352">
        <f t="shared" si="3"/>
        <v>12566</v>
      </c>
      <c r="F22" s="355">
        <v>12566</v>
      </c>
      <c r="G22" s="355">
        <f t="shared" si="13"/>
        <v>0</v>
      </c>
      <c r="H22" s="352">
        <f t="shared" si="5"/>
        <v>12566</v>
      </c>
    </row>
    <row r="23" spans="1:8" ht="94.2" thickBot="1">
      <c r="A23" s="357" t="s">
        <v>1136</v>
      </c>
      <c r="B23" s="359" t="s">
        <v>1544</v>
      </c>
      <c r="C23" s="355">
        <v>12566</v>
      </c>
      <c r="D23" s="355"/>
      <c r="E23" s="352">
        <f t="shared" si="3"/>
        <v>12566</v>
      </c>
      <c r="F23" s="362">
        <v>12566</v>
      </c>
      <c r="G23" s="362"/>
      <c r="H23" s="352">
        <f t="shared" si="5"/>
        <v>12566</v>
      </c>
    </row>
    <row r="24" spans="1:8" ht="16.2" thickBot="1">
      <c r="A24" s="793" t="s">
        <v>526</v>
      </c>
      <c r="B24" s="793"/>
      <c r="C24" s="356">
        <f t="shared" ref="C24" si="14">C21+C18+C15+C10</f>
        <v>0</v>
      </c>
      <c r="D24" s="356">
        <f ca="1">D21+D18+D15+D10</f>
        <v>0</v>
      </c>
      <c r="E24" s="352">
        <f t="shared" ca="1" si="3"/>
        <v>0</v>
      </c>
      <c r="F24" s="352">
        <v>0</v>
      </c>
      <c r="G24" s="352">
        <f t="shared" ref="G24" si="15">G10+G15+G18+G21</f>
        <v>0</v>
      </c>
      <c r="H24" s="352">
        <f t="shared" si="5"/>
        <v>0</v>
      </c>
    </row>
  </sheetData>
  <mergeCells count="6">
    <mergeCell ref="A24:B24"/>
    <mergeCell ref="A7:H7"/>
    <mergeCell ref="A1:H1"/>
    <mergeCell ref="A2:H2"/>
    <mergeCell ref="A3:H3"/>
    <mergeCell ref="A4:H4"/>
  </mergeCells>
  <phoneticPr fontId="36" type="noConversion"/>
  <pageMargins left="0.70866141732283472" right="0.70866141732283472" top="0.74803149606299213" bottom="0.74803149606299213" header="0.31496062992125984" footer="0.31496062992125984"/>
  <pageSetup paperSize="9" fitToHeight="0" orientation="portrait" r:id="rId1"/>
  <headerFooter alignWithMargins="0">
    <oddFooter>&amp;C&amp;P</oddFooter>
  </headerFooter>
</worksheet>
</file>

<file path=xl/worksheets/sheet60.xml><?xml version="1.0" encoding="utf-8"?>
<worksheet xmlns="http://schemas.openxmlformats.org/spreadsheetml/2006/main" xmlns:r="http://schemas.openxmlformats.org/officeDocument/2006/relationships">
  <dimension ref="A1"/>
  <sheetViews>
    <sheetView workbookViewId="0"/>
  </sheetViews>
  <sheetFormatPr defaultRowHeight="13.2"/>
  <sheetData/>
  <pageMargins left="0.7" right="0.7" top="0.75" bottom="0.75" header="0.3" footer="0.3"/>
</worksheet>
</file>

<file path=xl/worksheets/sheet61.xml><?xml version="1.0" encoding="utf-8"?>
<worksheet xmlns="http://schemas.openxmlformats.org/spreadsheetml/2006/main" xmlns:r="http://schemas.openxmlformats.org/officeDocument/2006/relationships">
  <dimension ref="A1:I86"/>
  <sheetViews>
    <sheetView view="pageBreakPreview" topLeftCell="A43" zoomScaleSheetLayoutView="100" workbookViewId="0">
      <selection activeCell="A37" sqref="A37:B37"/>
    </sheetView>
  </sheetViews>
  <sheetFormatPr defaultColWidth="9.109375" defaultRowHeight="15.6"/>
  <cols>
    <col min="1" max="1" width="4.109375" style="284" customWidth="1"/>
    <col min="2" max="2" width="61.88671875" style="284" customWidth="1"/>
    <col min="3" max="3" width="15.44140625" style="284" hidden="1" customWidth="1"/>
    <col min="4" max="4" width="12.88671875" style="284" hidden="1" customWidth="1"/>
    <col min="5" max="5" width="14" style="284" hidden="1" customWidth="1"/>
    <col min="6" max="6" width="16.5546875" style="284" hidden="1" customWidth="1"/>
    <col min="7" max="7" width="15.88671875" style="284" customWidth="1"/>
    <col min="8" max="16384" width="9.109375" style="284"/>
  </cols>
  <sheetData>
    <row r="1" spans="1:9">
      <c r="B1" s="892" t="s">
        <v>2493</v>
      </c>
      <c r="C1" s="892"/>
      <c r="D1" s="892"/>
      <c r="E1" s="892"/>
      <c r="F1" s="892"/>
      <c r="G1" s="892"/>
    </row>
    <row r="2" spans="1:9">
      <c r="B2" s="892" t="s">
        <v>1069</v>
      </c>
      <c r="C2" s="892"/>
      <c r="D2" s="892"/>
      <c r="E2" s="892"/>
      <c r="F2" s="892"/>
      <c r="G2" s="892"/>
    </row>
    <row r="3" spans="1:9">
      <c r="B3" s="892" t="s">
        <v>720</v>
      </c>
      <c r="C3" s="892"/>
      <c r="D3" s="892"/>
      <c r="E3" s="892"/>
      <c r="F3" s="892"/>
      <c r="G3" s="892"/>
    </row>
    <row r="4" spans="1:9" ht="14.25" customHeight="1">
      <c r="B4" s="892" t="s">
        <v>3148</v>
      </c>
      <c r="C4" s="892"/>
      <c r="D4" s="892"/>
      <c r="E4" s="892"/>
      <c r="F4" s="892"/>
      <c r="G4" s="892"/>
    </row>
    <row r="5" spans="1:9" ht="2.25" customHeight="1">
      <c r="B5" s="757"/>
      <c r="C5" s="757"/>
    </row>
    <row r="6" spans="1:9" ht="0.75" customHeight="1"/>
    <row r="7" spans="1:9" ht="34.5" customHeight="1">
      <c r="A7" s="901" t="s">
        <v>2639</v>
      </c>
      <c r="B7" s="901"/>
      <c r="C7" s="901"/>
      <c r="D7" s="901"/>
      <c r="E7" s="901"/>
      <c r="F7" s="901"/>
      <c r="G7" s="901"/>
    </row>
    <row r="8" spans="1:9" ht="25.5" customHeight="1" thickBot="1">
      <c r="A8" s="956" t="s">
        <v>2606</v>
      </c>
      <c r="B8" s="956"/>
      <c r="C8" s="956"/>
      <c r="D8" s="956"/>
      <c r="E8" s="956"/>
      <c r="F8" s="956"/>
      <c r="G8" s="956"/>
    </row>
    <row r="9" spans="1:9" ht="31.2">
      <c r="A9" s="957" t="s">
        <v>1645</v>
      </c>
      <c r="B9" s="958"/>
      <c r="C9" s="758" t="s">
        <v>3236</v>
      </c>
      <c r="D9" s="758" t="s">
        <v>1140</v>
      </c>
      <c r="E9" s="148" t="s">
        <v>3238</v>
      </c>
      <c r="F9" s="758" t="s">
        <v>1140</v>
      </c>
      <c r="G9" s="609" t="s">
        <v>2415</v>
      </c>
      <c r="I9" s="314"/>
    </row>
    <row r="10" spans="1:9" ht="17.25" customHeight="1">
      <c r="A10" s="959" t="s">
        <v>9</v>
      </c>
      <c r="B10" s="960"/>
      <c r="C10" s="287">
        <v>7500000</v>
      </c>
      <c r="D10" s="287">
        <v>12783000</v>
      </c>
      <c r="E10" s="287">
        <v>8007420</v>
      </c>
      <c r="F10" s="671"/>
      <c r="G10" s="672">
        <f>SUM(E10:F10)</f>
        <v>8007420</v>
      </c>
      <c r="I10" s="314"/>
    </row>
    <row r="11" spans="1:9" ht="17.25" customHeight="1">
      <c r="A11" s="959" t="s">
        <v>1395</v>
      </c>
      <c r="B11" s="960"/>
      <c r="C11" s="560"/>
      <c r="D11" s="560"/>
      <c r="E11" s="560">
        <v>1000000</v>
      </c>
      <c r="F11" s="673"/>
      <c r="G11" s="672">
        <f t="shared" ref="G11:G12" si="0">SUM(E11:F11)</f>
        <v>1000000</v>
      </c>
      <c r="I11" s="314"/>
    </row>
    <row r="12" spans="1:9" ht="17.25" customHeight="1">
      <c r="A12" s="959" t="s">
        <v>655</v>
      </c>
      <c r="B12" s="960"/>
      <c r="C12" s="560"/>
      <c r="D12" s="560"/>
      <c r="E12" s="560">
        <v>1000000</v>
      </c>
      <c r="F12" s="673"/>
      <c r="G12" s="672">
        <f t="shared" si="0"/>
        <v>1000000</v>
      </c>
      <c r="I12" s="314"/>
    </row>
    <row r="13" spans="1:9" ht="21.75" customHeight="1" thickBot="1">
      <c r="A13" s="961" t="s">
        <v>1148</v>
      </c>
      <c r="B13" s="962"/>
      <c r="C13" s="409">
        <f>SUM(C10:C10)</f>
        <v>7500000</v>
      </c>
      <c r="D13" s="409">
        <f t="shared" ref="D13" si="1">SUM(D10:D10)</f>
        <v>12783000</v>
      </c>
      <c r="E13" s="409">
        <v>10007420</v>
      </c>
      <c r="F13" s="674">
        <f>F10+F11+F12</f>
        <v>0</v>
      </c>
      <c r="G13" s="676">
        <f>SUM(G10:G12)</f>
        <v>10007420</v>
      </c>
    </row>
    <row r="14" spans="1:9" ht="15" customHeight="1">
      <c r="A14" s="675"/>
      <c r="B14" s="675"/>
      <c r="C14" s="313"/>
      <c r="D14" s="313"/>
      <c r="E14" s="313"/>
      <c r="F14" s="313"/>
      <c r="G14" s="313"/>
    </row>
    <row r="15" spans="1:9" ht="69" customHeight="1" thickBot="1">
      <c r="A15" s="956" t="s">
        <v>3002</v>
      </c>
      <c r="B15" s="956"/>
      <c r="C15" s="956"/>
      <c r="D15" s="956"/>
      <c r="E15" s="956"/>
      <c r="F15" s="956"/>
      <c r="G15" s="956"/>
    </row>
    <row r="16" spans="1:9" ht="31.2">
      <c r="A16" s="957" t="s">
        <v>1645</v>
      </c>
      <c r="B16" s="958"/>
      <c r="C16" s="758" t="s">
        <v>3236</v>
      </c>
      <c r="D16" s="758" t="s">
        <v>1140</v>
      </c>
      <c r="E16" s="148" t="s">
        <v>3238</v>
      </c>
      <c r="F16" s="758" t="s">
        <v>1140</v>
      </c>
      <c r="G16" s="609" t="s">
        <v>2415</v>
      </c>
    </row>
    <row r="17" spans="1:7">
      <c r="A17" s="959" t="s">
        <v>9</v>
      </c>
      <c r="B17" s="960"/>
      <c r="C17" s="287">
        <v>19247000</v>
      </c>
      <c r="D17" s="287">
        <v>1000000</v>
      </c>
      <c r="E17" s="287">
        <v>19399159</v>
      </c>
      <c r="F17" s="671"/>
      <c r="G17" s="611">
        <f>SUM(E17:F17)</f>
        <v>19399159</v>
      </c>
    </row>
    <row r="18" spans="1:7">
      <c r="A18" s="959" t="s">
        <v>1395</v>
      </c>
      <c r="B18" s="960"/>
      <c r="C18" s="287">
        <v>500000</v>
      </c>
      <c r="D18" s="287"/>
      <c r="E18" s="287">
        <v>500000</v>
      </c>
      <c r="F18" s="522"/>
      <c r="G18" s="611">
        <f t="shared" ref="G18:G20" si="2">SUM(E18:F18)</f>
        <v>500000</v>
      </c>
    </row>
    <row r="19" spans="1:7">
      <c r="A19" s="959" t="s">
        <v>2190</v>
      </c>
      <c r="B19" s="960"/>
      <c r="C19" s="287">
        <v>1000000</v>
      </c>
      <c r="D19" s="287">
        <v>-1000000</v>
      </c>
      <c r="E19" s="287">
        <v>847841</v>
      </c>
      <c r="F19" s="671"/>
      <c r="G19" s="611">
        <f t="shared" si="2"/>
        <v>847841</v>
      </c>
    </row>
    <row r="20" spans="1:7">
      <c r="A20" s="959" t="s">
        <v>8</v>
      </c>
      <c r="B20" s="960"/>
      <c r="C20" s="287">
        <v>1500000</v>
      </c>
      <c r="D20" s="287"/>
      <c r="E20" s="287">
        <v>1500000</v>
      </c>
      <c r="F20" s="522"/>
      <c r="G20" s="611">
        <f t="shared" si="2"/>
        <v>1500000</v>
      </c>
    </row>
    <row r="21" spans="1:7" ht="16.2" thickBot="1">
      <c r="A21" s="961" t="s">
        <v>1148</v>
      </c>
      <c r="B21" s="962"/>
      <c r="C21" s="409">
        <f>C17+C18+C19+C20</f>
        <v>22247000</v>
      </c>
      <c r="D21" s="409">
        <f t="shared" ref="D21" si="3">D17+D18+D19+D20</f>
        <v>0</v>
      </c>
      <c r="E21" s="409">
        <v>22247000</v>
      </c>
      <c r="F21" s="409">
        <f>SUM(F17:F20)</f>
        <v>0</v>
      </c>
      <c r="G21" s="612">
        <f>SUM(G17:G20)</f>
        <v>22247000</v>
      </c>
    </row>
    <row r="22" spans="1:7">
      <c r="A22" s="965"/>
      <c r="B22" s="965"/>
      <c r="C22" s="313"/>
      <c r="D22" s="313"/>
      <c r="E22" s="313"/>
    </row>
    <row r="23" spans="1:7" ht="43.5" customHeight="1" thickBot="1">
      <c r="A23" s="903" t="s">
        <v>3135</v>
      </c>
      <c r="B23" s="903"/>
      <c r="C23" s="903"/>
      <c r="D23" s="903"/>
      <c r="E23" s="903"/>
      <c r="F23" s="903"/>
      <c r="G23" s="903"/>
    </row>
    <row r="24" spans="1:7" ht="31.2">
      <c r="A24" s="957" t="s">
        <v>1645</v>
      </c>
      <c r="B24" s="958"/>
      <c r="C24" s="758" t="s">
        <v>3236</v>
      </c>
      <c r="D24" s="758" t="s">
        <v>1140</v>
      </c>
      <c r="E24" s="148" t="s">
        <v>3238</v>
      </c>
      <c r="F24" s="758" t="s">
        <v>1140</v>
      </c>
      <c r="G24" s="609" t="s">
        <v>2415</v>
      </c>
    </row>
    <row r="25" spans="1:7">
      <c r="A25" s="959" t="s">
        <v>9</v>
      </c>
      <c r="B25" s="960"/>
      <c r="C25" s="287">
        <v>7500000</v>
      </c>
      <c r="D25" s="287">
        <v>12783000</v>
      </c>
      <c r="E25" s="287">
        <v>10440000</v>
      </c>
      <c r="F25" s="610">
        <v>5072316</v>
      </c>
      <c r="G25" s="611">
        <f>E25+F25</f>
        <v>15512316</v>
      </c>
    </row>
    <row r="26" spans="1:7" ht="16.2" thickBot="1">
      <c r="A26" s="961" t="s">
        <v>1148</v>
      </c>
      <c r="B26" s="962"/>
      <c r="C26" s="409">
        <f>SUM(C25:C25)</f>
        <v>7500000</v>
      </c>
      <c r="D26" s="409">
        <f t="shared" ref="D26" si="4">SUM(D25:D25)</f>
        <v>12783000</v>
      </c>
      <c r="E26" s="409">
        <v>10440000</v>
      </c>
      <c r="F26" s="409">
        <f t="shared" ref="F26:G26" si="5">F25</f>
        <v>5072316</v>
      </c>
      <c r="G26" s="669">
        <f t="shared" si="5"/>
        <v>15512316</v>
      </c>
    </row>
    <row r="27" spans="1:7">
      <c r="B27" s="613"/>
      <c r="C27" s="613"/>
      <c r="D27" s="613"/>
      <c r="E27" s="613"/>
      <c r="F27" s="613"/>
      <c r="G27" s="614"/>
    </row>
    <row r="28" spans="1:7" ht="60" customHeight="1" thickBot="1">
      <c r="A28" s="903" t="s">
        <v>3152</v>
      </c>
      <c r="B28" s="903"/>
      <c r="C28" s="903"/>
      <c r="D28" s="903"/>
      <c r="E28" s="903"/>
      <c r="F28" s="903"/>
      <c r="G28" s="903"/>
    </row>
    <row r="29" spans="1:7" ht="31.2">
      <c r="A29" s="957" t="s">
        <v>1645</v>
      </c>
      <c r="B29" s="958"/>
      <c r="C29" s="758" t="s">
        <v>3236</v>
      </c>
      <c r="D29" s="758" t="s">
        <v>1140</v>
      </c>
      <c r="E29" s="148" t="s">
        <v>3238</v>
      </c>
      <c r="F29" s="758" t="s">
        <v>1140</v>
      </c>
      <c r="G29" s="609" t="s">
        <v>2415</v>
      </c>
    </row>
    <row r="30" spans="1:7">
      <c r="A30" s="959" t="s">
        <v>9</v>
      </c>
      <c r="B30" s="960"/>
      <c r="C30" s="287">
        <v>7500000</v>
      </c>
      <c r="D30" s="287">
        <v>12783000</v>
      </c>
      <c r="E30" s="287">
        <v>2914615.88</v>
      </c>
      <c r="F30" s="610"/>
      <c r="G30" s="611">
        <f>E30+F30</f>
        <v>2914615.88</v>
      </c>
    </row>
    <row r="31" spans="1:7" ht="16.2" thickBot="1">
      <c r="A31" s="961" t="s">
        <v>1148</v>
      </c>
      <c r="B31" s="962"/>
      <c r="C31" s="409">
        <f>SUM(C30:C30)</f>
        <v>7500000</v>
      </c>
      <c r="D31" s="409">
        <f t="shared" ref="D31" si="6">SUM(D30:D30)</f>
        <v>12783000</v>
      </c>
      <c r="E31" s="409">
        <v>2914615.88</v>
      </c>
      <c r="F31" s="409">
        <f t="shared" ref="F31:G31" si="7">F30</f>
        <v>0</v>
      </c>
      <c r="G31" s="669">
        <f t="shared" si="7"/>
        <v>2914615.88</v>
      </c>
    </row>
    <row r="32" spans="1:7">
      <c r="B32" s="613"/>
      <c r="C32" s="613"/>
      <c r="D32" s="613"/>
      <c r="E32" s="614"/>
      <c r="F32" s="614"/>
      <c r="G32" s="614"/>
    </row>
    <row r="33" spans="1:7" ht="106.5" customHeight="1" thickBot="1">
      <c r="A33" s="903" t="s">
        <v>3153</v>
      </c>
      <c r="B33" s="903"/>
      <c r="C33" s="903"/>
      <c r="D33" s="903"/>
      <c r="E33" s="903"/>
      <c r="F33" s="903"/>
      <c r="G33" s="903"/>
    </row>
    <row r="34" spans="1:7" ht="31.2">
      <c r="A34" s="957" t="s">
        <v>1645</v>
      </c>
      <c r="B34" s="958"/>
      <c r="C34" s="758" t="s">
        <v>3236</v>
      </c>
      <c r="D34" s="758" t="s">
        <v>1140</v>
      </c>
      <c r="E34" s="148" t="s">
        <v>3238</v>
      </c>
      <c r="F34" s="758" t="s">
        <v>1140</v>
      </c>
      <c r="G34" s="609" t="s">
        <v>2415</v>
      </c>
    </row>
    <row r="35" spans="1:7">
      <c r="A35" s="959" t="s">
        <v>9</v>
      </c>
      <c r="B35" s="960"/>
      <c r="C35" s="287">
        <v>7500000</v>
      </c>
      <c r="D35" s="287">
        <v>12783000</v>
      </c>
      <c r="E35" s="287">
        <v>9255747</v>
      </c>
      <c r="F35" s="610"/>
      <c r="G35" s="611">
        <f>E35+F35</f>
        <v>9255747</v>
      </c>
    </row>
    <row r="36" spans="1:7">
      <c r="A36" s="959" t="s">
        <v>8</v>
      </c>
      <c r="B36" s="960"/>
      <c r="C36" s="560"/>
      <c r="D36" s="560"/>
      <c r="E36" s="560">
        <v>26441429.399999999</v>
      </c>
      <c r="F36" s="678"/>
      <c r="G36" s="611">
        <f>E36+F36</f>
        <v>26441429.399999999</v>
      </c>
    </row>
    <row r="37" spans="1:7" ht="16.2" thickBot="1">
      <c r="A37" s="961" t="s">
        <v>1148</v>
      </c>
      <c r="B37" s="962"/>
      <c r="C37" s="409">
        <f>SUM(C35:C35)</f>
        <v>7500000</v>
      </c>
      <c r="D37" s="409">
        <f t="shared" ref="D37" si="8">SUM(D35:D35)</f>
        <v>12783000</v>
      </c>
      <c r="E37" s="409">
        <v>35697176.399999999</v>
      </c>
      <c r="F37" s="409">
        <f>SUM(F35:F36)</f>
        <v>0</v>
      </c>
      <c r="G37" s="409">
        <f>SUM(G35:G36)</f>
        <v>35697176.399999999</v>
      </c>
    </row>
    <row r="39" spans="1:7" ht="91.5" customHeight="1" thickBot="1">
      <c r="A39" s="903" t="s">
        <v>3154</v>
      </c>
      <c r="B39" s="903"/>
      <c r="C39" s="903"/>
      <c r="D39" s="903"/>
      <c r="E39" s="903"/>
      <c r="F39" s="903"/>
      <c r="G39" s="903"/>
    </row>
    <row r="40" spans="1:7" ht="31.2">
      <c r="A40" s="957" t="s">
        <v>1645</v>
      </c>
      <c r="B40" s="958"/>
      <c r="C40" s="758" t="s">
        <v>3236</v>
      </c>
      <c r="D40" s="758" t="s">
        <v>1140</v>
      </c>
      <c r="E40" s="148" t="s">
        <v>3238</v>
      </c>
      <c r="F40" s="758" t="s">
        <v>1140</v>
      </c>
      <c r="G40" s="609" t="s">
        <v>2415</v>
      </c>
    </row>
    <row r="41" spans="1:7">
      <c r="A41" s="959" t="s">
        <v>9</v>
      </c>
      <c r="B41" s="960"/>
      <c r="C41" s="287">
        <v>7500000</v>
      </c>
      <c r="D41" s="287">
        <v>12783000</v>
      </c>
      <c r="E41" s="287">
        <v>462787.35</v>
      </c>
      <c r="F41" s="610">
        <v>4165086.15</v>
      </c>
      <c r="G41" s="611">
        <f>E41+F41</f>
        <v>4627873.5</v>
      </c>
    </row>
    <row r="42" spans="1:7">
      <c r="A42" s="959" t="s">
        <v>8</v>
      </c>
      <c r="B42" s="960"/>
      <c r="C42" s="560"/>
      <c r="D42" s="560"/>
      <c r="E42" s="560">
        <v>1708386.77</v>
      </c>
      <c r="F42" s="678">
        <v>6833547.0999999996</v>
      </c>
      <c r="G42" s="611">
        <f>E42+F42</f>
        <v>8541933.8699999992</v>
      </c>
    </row>
    <row r="43" spans="1:7" ht="16.2" thickBot="1">
      <c r="A43" s="961" t="s">
        <v>1148</v>
      </c>
      <c r="B43" s="962"/>
      <c r="C43" s="409">
        <f>SUM(C41:C41)</f>
        <v>7500000</v>
      </c>
      <c r="D43" s="409">
        <f t="shared" ref="D43" si="9">SUM(D41:D41)</f>
        <v>12783000</v>
      </c>
      <c r="E43" s="409">
        <v>2171174.12</v>
      </c>
      <c r="F43" s="409">
        <f>SUM(F41:F42)</f>
        <v>10998633.25</v>
      </c>
      <c r="G43" s="409">
        <f>SUM(G41:G42)</f>
        <v>13169807.369999999</v>
      </c>
    </row>
    <row r="45" spans="1:7" ht="36" customHeight="1" thickBot="1">
      <c r="A45" s="903" t="s">
        <v>3155</v>
      </c>
      <c r="B45" s="903"/>
      <c r="C45" s="903"/>
      <c r="D45" s="903"/>
      <c r="E45" s="903"/>
      <c r="F45" s="903"/>
      <c r="G45" s="903"/>
    </row>
    <row r="46" spans="1:7" ht="31.2">
      <c r="A46" s="957" t="s">
        <v>1645</v>
      </c>
      <c r="B46" s="958"/>
      <c r="C46" s="758" t="s">
        <v>3236</v>
      </c>
      <c r="D46" s="758" t="s">
        <v>1140</v>
      </c>
      <c r="E46" s="148" t="s">
        <v>3238</v>
      </c>
      <c r="F46" s="758" t="s">
        <v>1140</v>
      </c>
      <c r="G46" s="609" t="s">
        <v>2415</v>
      </c>
    </row>
    <row r="47" spans="1:7">
      <c r="A47" s="959" t="s">
        <v>2191</v>
      </c>
      <c r="B47" s="960"/>
      <c r="C47" s="560"/>
      <c r="D47" s="560"/>
      <c r="E47" s="560">
        <v>1696999.72</v>
      </c>
      <c r="F47" s="678"/>
      <c r="G47" s="611">
        <f>E47+F47</f>
        <v>1696999.72</v>
      </c>
    </row>
    <row r="48" spans="1:7" ht="16.2" thickBot="1">
      <c r="A48" s="961" t="s">
        <v>1148</v>
      </c>
      <c r="B48" s="962"/>
      <c r="C48" s="409" t="e">
        <f>SUM(#REF!)</f>
        <v>#REF!</v>
      </c>
      <c r="D48" s="409" t="e">
        <f>SUM(#REF!)</f>
        <v>#REF!</v>
      </c>
      <c r="E48" s="409">
        <v>1696999.72</v>
      </c>
      <c r="F48" s="409">
        <f>SUM(F47:F47)</f>
        <v>0</v>
      </c>
      <c r="G48" s="409">
        <f>SUM(G47:G47)</f>
        <v>1696999.72</v>
      </c>
    </row>
    <row r="50" spans="1:7" ht="48.75" customHeight="1" thickBot="1">
      <c r="A50" s="956" t="s">
        <v>3191</v>
      </c>
      <c r="B50" s="956"/>
      <c r="C50" s="956"/>
      <c r="D50" s="956"/>
      <c r="E50" s="956"/>
      <c r="F50" s="956"/>
      <c r="G50" s="956"/>
    </row>
    <row r="51" spans="1:7" ht="31.2">
      <c r="A51" s="957" t="s">
        <v>1645</v>
      </c>
      <c r="B51" s="958"/>
      <c r="C51" s="758" t="s">
        <v>3236</v>
      </c>
      <c r="D51" s="758" t="s">
        <v>1140</v>
      </c>
      <c r="E51" s="148" t="s">
        <v>3238</v>
      </c>
      <c r="F51" s="758" t="s">
        <v>1140</v>
      </c>
      <c r="G51" s="609" t="s">
        <v>2415</v>
      </c>
    </row>
    <row r="52" spans="1:7">
      <c r="A52" s="959" t="s">
        <v>9</v>
      </c>
      <c r="B52" s="960"/>
      <c r="C52" s="287">
        <v>19247000</v>
      </c>
      <c r="D52" s="287">
        <v>1000000</v>
      </c>
      <c r="E52" s="287">
        <v>12134900</v>
      </c>
      <c r="F52" s="610"/>
      <c r="G52" s="611">
        <f>SUM(E52:F52)</f>
        <v>12134900</v>
      </c>
    </row>
    <row r="53" spans="1:7">
      <c r="A53" s="959" t="s">
        <v>1395</v>
      </c>
      <c r="B53" s="960"/>
      <c r="C53" s="287">
        <v>500000</v>
      </c>
      <c r="D53" s="287"/>
      <c r="E53" s="287">
        <v>463000</v>
      </c>
      <c r="F53" s="610">
        <v>360000</v>
      </c>
      <c r="G53" s="611">
        <f t="shared" ref="G53:G56" si="10">SUM(E53:F53)</f>
        <v>823000</v>
      </c>
    </row>
    <row r="54" spans="1:7">
      <c r="A54" s="959" t="s">
        <v>2190</v>
      </c>
      <c r="B54" s="960"/>
      <c r="C54" s="287">
        <v>1000000</v>
      </c>
      <c r="D54" s="287">
        <v>-1000000</v>
      </c>
      <c r="E54" s="287">
        <v>338300</v>
      </c>
      <c r="F54" s="610"/>
      <c r="G54" s="611">
        <f t="shared" si="10"/>
        <v>338300</v>
      </c>
    </row>
    <row r="55" spans="1:7">
      <c r="A55" s="959" t="s">
        <v>8</v>
      </c>
      <c r="B55" s="960"/>
      <c r="C55" s="287">
        <v>1500000</v>
      </c>
      <c r="D55" s="287"/>
      <c r="E55" s="287">
        <v>1959800</v>
      </c>
      <c r="F55" s="610"/>
      <c r="G55" s="611">
        <f t="shared" si="10"/>
        <v>1959800</v>
      </c>
    </row>
    <row r="56" spans="1:7">
      <c r="A56" s="959" t="s">
        <v>2191</v>
      </c>
      <c r="B56" s="960"/>
      <c r="C56" s="560"/>
      <c r="D56" s="560"/>
      <c r="E56" s="560">
        <v>1121900</v>
      </c>
      <c r="F56" s="678"/>
      <c r="G56" s="704">
        <f t="shared" si="10"/>
        <v>1121900</v>
      </c>
    </row>
    <row r="57" spans="1:7" ht="16.2" thickBot="1">
      <c r="A57" s="961" t="s">
        <v>1148</v>
      </c>
      <c r="B57" s="962"/>
      <c r="C57" s="409">
        <f>C52+C53+C54+C55</f>
        <v>22247000</v>
      </c>
      <c r="D57" s="409">
        <f t="shared" ref="D57" si="11">D52+D53+D54+D55</f>
        <v>0</v>
      </c>
      <c r="E57" s="409">
        <v>16017900</v>
      </c>
      <c r="F57" s="409">
        <f>SUM(F52:F56)</f>
        <v>360000</v>
      </c>
      <c r="G57" s="409">
        <f>SUM(G52:G56)</f>
        <v>16377900</v>
      </c>
    </row>
    <row r="59" spans="1:7" ht="59.25" customHeight="1" thickBot="1">
      <c r="A59" s="903" t="s">
        <v>3192</v>
      </c>
      <c r="B59" s="903"/>
      <c r="C59" s="903"/>
      <c r="D59" s="903"/>
      <c r="E59" s="903"/>
      <c r="F59" s="903"/>
      <c r="G59" s="903"/>
    </row>
    <row r="60" spans="1:7" ht="31.2">
      <c r="A60" s="957" t="s">
        <v>1645</v>
      </c>
      <c r="B60" s="958"/>
      <c r="C60" s="758" t="s">
        <v>3236</v>
      </c>
      <c r="D60" s="758" t="s">
        <v>1140</v>
      </c>
      <c r="E60" s="148" t="s">
        <v>3238</v>
      </c>
      <c r="F60" s="758" t="s">
        <v>1140</v>
      </c>
      <c r="G60" s="609" t="s">
        <v>2415</v>
      </c>
    </row>
    <row r="61" spans="1:7">
      <c r="A61" s="959" t="s">
        <v>9</v>
      </c>
      <c r="B61" s="960"/>
      <c r="C61" s="287">
        <v>7500000</v>
      </c>
      <c r="D61" s="287">
        <v>12783000</v>
      </c>
      <c r="E61" s="287">
        <v>8994676</v>
      </c>
      <c r="F61" s="610"/>
      <c r="G61" s="611">
        <f>E61+F61</f>
        <v>8994676</v>
      </c>
    </row>
    <row r="62" spans="1:7" ht="16.2" thickBot="1">
      <c r="A62" s="961" t="s">
        <v>1148</v>
      </c>
      <c r="B62" s="962"/>
      <c r="C62" s="409">
        <f>SUM(C61:C61)</f>
        <v>7500000</v>
      </c>
      <c r="D62" s="409">
        <f t="shared" ref="D62" si="12">SUM(D61:D61)</f>
        <v>12783000</v>
      </c>
      <c r="E62" s="409">
        <v>8994676</v>
      </c>
      <c r="F62" s="409">
        <f t="shared" ref="F62:G62" si="13">F61</f>
        <v>0</v>
      </c>
      <c r="G62" s="409">
        <f t="shared" si="13"/>
        <v>8994676</v>
      </c>
    </row>
    <row r="64" spans="1:7" ht="64.5" customHeight="1" thickBot="1">
      <c r="A64" s="903" t="s">
        <v>3212</v>
      </c>
      <c r="B64" s="903"/>
      <c r="C64" s="903"/>
      <c r="D64" s="903"/>
      <c r="E64" s="903"/>
      <c r="F64" s="903"/>
      <c r="G64" s="903"/>
    </row>
    <row r="65" spans="1:7" ht="31.2">
      <c r="A65" s="957" t="s">
        <v>1645</v>
      </c>
      <c r="B65" s="958"/>
      <c r="C65" s="758" t="s">
        <v>3236</v>
      </c>
      <c r="D65" s="758" t="s">
        <v>1140</v>
      </c>
      <c r="E65" s="148" t="s">
        <v>3238</v>
      </c>
      <c r="F65" s="758" t="s">
        <v>1140</v>
      </c>
      <c r="G65" s="609" t="s">
        <v>2415</v>
      </c>
    </row>
    <row r="66" spans="1:7">
      <c r="A66" s="959" t="s">
        <v>9</v>
      </c>
      <c r="B66" s="960"/>
      <c r="C66" s="287">
        <v>7500000</v>
      </c>
      <c r="D66" s="287">
        <v>12783000</v>
      </c>
      <c r="E66" s="287">
        <v>1500000</v>
      </c>
      <c r="F66" s="610"/>
      <c r="G66" s="611">
        <f>E66+F66</f>
        <v>1500000</v>
      </c>
    </row>
    <row r="67" spans="1:7">
      <c r="A67" s="959" t="s">
        <v>1395</v>
      </c>
      <c r="B67" s="960"/>
      <c r="C67" s="560"/>
      <c r="D67" s="560"/>
      <c r="E67" s="560">
        <v>300000</v>
      </c>
      <c r="F67" s="678"/>
      <c r="G67" s="704">
        <v>300000</v>
      </c>
    </row>
    <row r="68" spans="1:7" ht="16.2" thickBot="1">
      <c r="A68" s="961" t="s">
        <v>1148</v>
      </c>
      <c r="B68" s="962"/>
      <c r="C68" s="409">
        <f>SUM(C66:C66)</f>
        <v>7500000</v>
      </c>
      <c r="D68" s="409">
        <f t="shared" ref="D68" si="14">SUM(D66:D66)</f>
        <v>12783000</v>
      </c>
      <c r="E68" s="409">
        <v>1800000</v>
      </c>
      <c r="F68" s="409">
        <f t="shared" ref="F68:G68" si="15">SUM(F66:F67)</f>
        <v>0</v>
      </c>
      <c r="G68" s="409">
        <f t="shared" si="15"/>
        <v>1800000</v>
      </c>
    </row>
    <row r="70" spans="1:7" ht="63" customHeight="1" thickBot="1">
      <c r="A70" s="903" t="s">
        <v>3213</v>
      </c>
      <c r="B70" s="903"/>
      <c r="C70" s="903"/>
      <c r="D70" s="903"/>
      <c r="E70" s="903"/>
      <c r="F70" s="903"/>
      <c r="G70" s="903"/>
    </row>
    <row r="71" spans="1:7" ht="31.2">
      <c r="A71" s="957" t="s">
        <v>1645</v>
      </c>
      <c r="B71" s="958"/>
      <c r="C71" s="758" t="s">
        <v>3236</v>
      </c>
      <c r="D71" s="758" t="s">
        <v>1140</v>
      </c>
      <c r="E71" s="148" t="s">
        <v>3238</v>
      </c>
      <c r="F71" s="758" t="s">
        <v>1140</v>
      </c>
      <c r="G71" s="609" t="s">
        <v>2415</v>
      </c>
    </row>
    <row r="72" spans="1:7">
      <c r="A72" s="959" t="s">
        <v>9</v>
      </c>
      <c r="B72" s="960"/>
      <c r="C72" s="287">
        <v>7500000</v>
      </c>
      <c r="D72" s="287">
        <v>12783000</v>
      </c>
      <c r="E72" s="287">
        <v>1295456.2</v>
      </c>
      <c r="F72" s="610"/>
      <c r="G72" s="611">
        <f>E72+F72</f>
        <v>1295456.2</v>
      </c>
    </row>
    <row r="73" spans="1:7">
      <c r="A73" s="959" t="s">
        <v>1395</v>
      </c>
      <c r="B73" s="960"/>
      <c r="C73" s="560"/>
      <c r="D73" s="560"/>
      <c r="E73" s="560">
        <v>215909.37</v>
      </c>
      <c r="F73" s="678"/>
      <c r="G73" s="704">
        <v>215909.37</v>
      </c>
    </row>
    <row r="74" spans="1:7" ht="16.2" thickBot="1">
      <c r="A74" s="961" t="s">
        <v>1148</v>
      </c>
      <c r="B74" s="962"/>
      <c r="C74" s="409">
        <f>SUM(C72:C72)</f>
        <v>7500000</v>
      </c>
      <c r="D74" s="409">
        <f t="shared" ref="D74" si="16">SUM(D72:D72)</f>
        <v>12783000</v>
      </c>
      <c r="E74" s="409">
        <v>1511365.5699999998</v>
      </c>
      <c r="F74" s="409">
        <f t="shared" ref="F74:G74" si="17">SUM(F72:F73)</f>
        <v>0</v>
      </c>
      <c r="G74" s="409">
        <f t="shared" si="17"/>
        <v>1511365.5699999998</v>
      </c>
    </row>
    <row r="75" spans="1:7">
      <c r="A75" s="675"/>
      <c r="B75" s="675"/>
      <c r="C75" s="313"/>
      <c r="D75" s="313"/>
      <c r="E75" s="313"/>
      <c r="F75" s="313"/>
      <c r="G75" s="313"/>
    </row>
    <row r="76" spans="1:7" ht="59.25" customHeight="1" thickBot="1">
      <c r="A76" s="903" t="s">
        <v>3214</v>
      </c>
      <c r="B76" s="903"/>
      <c r="C76" s="903"/>
      <c r="D76" s="903"/>
      <c r="E76" s="903"/>
      <c r="F76" s="903"/>
      <c r="G76" s="903"/>
    </row>
    <row r="77" spans="1:7" ht="31.2">
      <c r="A77" s="957" t="s">
        <v>1645</v>
      </c>
      <c r="B77" s="958"/>
      <c r="C77" s="758" t="s">
        <v>3236</v>
      </c>
      <c r="D77" s="758" t="s">
        <v>1140</v>
      </c>
      <c r="E77" s="148" t="s">
        <v>3238</v>
      </c>
      <c r="F77" s="758" t="s">
        <v>1140</v>
      </c>
      <c r="G77" s="609" t="s">
        <v>2415</v>
      </c>
    </row>
    <row r="78" spans="1:7">
      <c r="A78" s="959" t="s">
        <v>9</v>
      </c>
      <c r="B78" s="960"/>
      <c r="C78" s="287">
        <v>7500000</v>
      </c>
      <c r="D78" s="287">
        <v>12783000</v>
      </c>
      <c r="E78" s="287">
        <v>15874326</v>
      </c>
      <c r="F78" s="610"/>
      <c r="G78" s="611">
        <f>E78+F78</f>
        <v>15874326</v>
      </c>
    </row>
    <row r="79" spans="1:7" ht="16.2" thickBot="1">
      <c r="A79" s="961" t="s">
        <v>1148</v>
      </c>
      <c r="B79" s="962"/>
      <c r="C79" s="409">
        <f>SUM(C78:C78)</f>
        <v>7500000</v>
      </c>
      <c r="D79" s="409">
        <f t="shared" ref="D79" si="18">SUM(D78:D78)</f>
        <v>12783000</v>
      </c>
      <c r="E79" s="409">
        <v>15874326</v>
      </c>
      <c r="F79" s="409">
        <f t="shared" ref="F79:G79" si="19">F78</f>
        <v>0</v>
      </c>
      <c r="G79" s="409">
        <f t="shared" si="19"/>
        <v>15874326</v>
      </c>
    </row>
    <row r="80" spans="1:7">
      <c r="A80" s="675"/>
      <c r="B80" s="675"/>
      <c r="C80" s="313"/>
      <c r="D80" s="313"/>
      <c r="E80" s="313"/>
      <c r="F80" s="313"/>
      <c r="G80" s="313"/>
    </row>
    <row r="81" spans="1:7" ht="54.75" customHeight="1" thickBot="1">
      <c r="A81" s="975" t="s">
        <v>3221</v>
      </c>
      <c r="B81" s="975"/>
      <c r="C81" s="975"/>
      <c r="D81" s="975"/>
      <c r="E81" s="975"/>
      <c r="F81" s="975"/>
      <c r="G81" s="975"/>
    </row>
    <row r="82" spans="1:7" ht="31.2">
      <c r="A82" s="957" t="s">
        <v>1645</v>
      </c>
      <c r="B82" s="958"/>
      <c r="C82" s="758" t="s">
        <v>3236</v>
      </c>
      <c r="D82" s="758" t="s">
        <v>1140</v>
      </c>
      <c r="E82" s="148" t="s">
        <v>3238</v>
      </c>
      <c r="F82" s="758" t="s">
        <v>1140</v>
      </c>
      <c r="G82" s="609" t="s">
        <v>2415</v>
      </c>
    </row>
    <row r="83" spans="1:7">
      <c r="A83" s="959" t="s">
        <v>9</v>
      </c>
      <c r="B83" s="960"/>
      <c r="C83" s="287">
        <v>7500000</v>
      </c>
      <c r="D83" s="287">
        <v>12783000</v>
      </c>
      <c r="E83" s="287">
        <v>0</v>
      </c>
      <c r="F83" s="610">
        <v>2102105</v>
      </c>
      <c r="G83" s="611">
        <f>E83+F83</f>
        <v>2102105</v>
      </c>
    </row>
    <row r="84" spans="1:7" ht="16.2" thickBot="1">
      <c r="A84" s="961" t="s">
        <v>1148</v>
      </c>
      <c r="B84" s="962"/>
      <c r="C84" s="409">
        <f>SUM(C83:C83)</f>
        <v>7500000</v>
      </c>
      <c r="D84" s="409">
        <f t="shared" ref="D84" si="20">SUM(D83:D83)</f>
        <v>12783000</v>
      </c>
      <c r="E84" s="409">
        <f>E83</f>
        <v>0</v>
      </c>
      <c r="F84" s="409">
        <f t="shared" ref="F84:G84" si="21">F83</f>
        <v>2102105</v>
      </c>
      <c r="G84" s="409">
        <f t="shared" si="21"/>
        <v>2102105</v>
      </c>
    </row>
    <row r="85" spans="1:7">
      <c r="A85" s="675"/>
      <c r="B85" s="675"/>
      <c r="C85" s="313"/>
      <c r="D85" s="313"/>
      <c r="E85" s="313"/>
      <c r="F85" s="313"/>
      <c r="G85" s="313"/>
    </row>
    <row r="86" spans="1:7">
      <c r="B86" s="613" t="s">
        <v>2203</v>
      </c>
      <c r="C86" s="613"/>
      <c r="D86" s="613"/>
      <c r="E86" s="614">
        <f>E13+E21+E26+E31+E37+E43+E48+E57+E62+E74+E68+E79</f>
        <v>129372653.69</v>
      </c>
      <c r="F86" s="614">
        <f>F13+F21+F26+F31+F37+F43+F48+F57+F62+F74+F68+F79+F84</f>
        <v>18533054.25</v>
      </c>
      <c r="G86" s="614">
        <f>G13+G21+G26+G31+G37+G43+G48+G57+G62+G74+G68+G79+G84</f>
        <v>147905707.94</v>
      </c>
    </row>
  </sheetData>
  <mergeCells count="71">
    <mergeCell ref="A8:G8"/>
    <mergeCell ref="B1:G1"/>
    <mergeCell ref="B2:G2"/>
    <mergeCell ref="B3:G3"/>
    <mergeCell ref="B4:G4"/>
    <mergeCell ref="A7:G7"/>
    <mergeCell ref="A21:B21"/>
    <mergeCell ref="A9:B9"/>
    <mergeCell ref="A10:B10"/>
    <mergeCell ref="A11:B11"/>
    <mergeCell ref="A12:B12"/>
    <mergeCell ref="A13:B13"/>
    <mergeCell ref="A15:G15"/>
    <mergeCell ref="A16:B16"/>
    <mergeCell ref="A17:B17"/>
    <mergeCell ref="A18:B18"/>
    <mergeCell ref="A19:B19"/>
    <mergeCell ref="A20:B20"/>
    <mergeCell ref="A35:B35"/>
    <mergeCell ref="A22:B22"/>
    <mergeCell ref="A23:G23"/>
    <mergeCell ref="A24:B24"/>
    <mergeCell ref="A25:B25"/>
    <mergeCell ref="A26:B26"/>
    <mergeCell ref="A28:G28"/>
    <mergeCell ref="A29:B29"/>
    <mergeCell ref="A30:B30"/>
    <mergeCell ref="A31:B31"/>
    <mergeCell ref="A33:G33"/>
    <mergeCell ref="A34:B34"/>
    <mergeCell ref="A50:G50"/>
    <mergeCell ref="A36:B36"/>
    <mergeCell ref="A37:B37"/>
    <mergeCell ref="A39:G39"/>
    <mergeCell ref="A40:B40"/>
    <mergeCell ref="A41:B41"/>
    <mergeCell ref="A42:B42"/>
    <mergeCell ref="A43:B43"/>
    <mergeCell ref="A45:G45"/>
    <mergeCell ref="A46:B46"/>
    <mergeCell ref="A47:B47"/>
    <mergeCell ref="A48:B48"/>
    <mergeCell ref="A64:G64"/>
    <mergeCell ref="A51:B51"/>
    <mergeCell ref="A52:B52"/>
    <mergeCell ref="A53:B53"/>
    <mergeCell ref="A54:B54"/>
    <mergeCell ref="A55:B55"/>
    <mergeCell ref="A56:B56"/>
    <mergeCell ref="A57:B57"/>
    <mergeCell ref="A59:G59"/>
    <mergeCell ref="A60:B60"/>
    <mergeCell ref="A61:B61"/>
    <mergeCell ref="A62:B62"/>
    <mergeCell ref="A78:B78"/>
    <mergeCell ref="A65:B65"/>
    <mergeCell ref="A66:B66"/>
    <mergeCell ref="A67:B67"/>
    <mergeCell ref="A68:B68"/>
    <mergeCell ref="A70:G70"/>
    <mergeCell ref="A71:B71"/>
    <mergeCell ref="A72:B72"/>
    <mergeCell ref="A73:B73"/>
    <mergeCell ref="A74:B74"/>
    <mergeCell ref="A76:G76"/>
    <mergeCell ref="A77:B77"/>
    <mergeCell ref="A79:B79"/>
    <mergeCell ref="A81:G81"/>
    <mergeCell ref="A82:B82"/>
    <mergeCell ref="A83:B83"/>
    <mergeCell ref="A84:B84"/>
  </mergeCells>
  <pageMargins left="0.70866141732283472" right="0.70866141732283472" top="0.74803149606299213" bottom="0.74803149606299213" header="0.31496062992125984" footer="0.31496062992125984"/>
  <pageSetup paperSize="9" fitToHeight="18" orientation="portrait" r:id="rId1"/>
  <headerFooter>
    <oddFooter>&amp;C&amp;P</oddFooter>
  </headerFooter>
  <rowBreaks count="1" manualBreakCount="1">
    <brk id="58" max="16383" man="1"/>
  </rowBreaks>
</worksheet>
</file>

<file path=xl/worksheets/sheet62.xml><?xml version="1.0" encoding="utf-8"?>
<worksheet xmlns="http://schemas.openxmlformats.org/spreadsheetml/2006/main" xmlns:r="http://schemas.openxmlformats.org/officeDocument/2006/relationships">
  <sheetPr>
    <pageSetUpPr fitToPage="1"/>
  </sheetPr>
  <dimension ref="A1:E42"/>
  <sheetViews>
    <sheetView view="pageBreakPreview" topLeftCell="A16" zoomScale="115" zoomScaleSheetLayoutView="115" workbookViewId="0">
      <selection activeCell="A22" sqref="A22:E22"/>
    </sheetView>
  </sheetViews>
  <sheetFormatPr defaultColWidth="9.109375" defaultRowHeight="13.2"/>
  <cols>
    <col min="1" max="1" width="54" style="157" customWidth="1"/>
    <col min="2" max="2" width="12.109375" style="157" hidden="1" customWidth="1"/>
    <col min="3" max="3" width="12.6640625" style="157" hidden="1" customWidth="1"/>
    <col min="4" max="4" width="15.44140625" style="157" customWidth="1"/>
    <col min="5" max="5" width="15.5546875" style="157" customWidth="1"/>
    <col min="6" max="16384" width="9.109375" style="157"/>
  </cols>
  <sheetData>
    <row r="1" spans="1:5" ht="15.6">
      <c r="A1" s="782" t="s">
        <v>2483</v>
      </c>
      <c r="B1" s="782"/>
      <c r="C1" s="782"/>
      <c r="D1" s="782"/>
      <c r="E1" s="782"/>
    </row>
    <row r="2" spans="1:5" ht="15.6">
      <c r="A2" s="782" t="s">
        <v>1069</v>
      </c>
      <c r="B2" s="782"/>
      <c r="C2" s="782"/>
      <c r="D2" s="782"/>
      <c r="E2" s="782"/>
    </row>
    <row r="3" spans="1:5" ht="15.6">
      <c r="A3" s="782" t="s">
        <v>720</v>
      </c>
      <c r="B3" s="782"/>
      <c r="C3" s="782"/>
      <c r="D3" s="782"/>
      <c r="E3" s="782"/>
    </row>
    <row r="4" spans="1:5" ht="15.6">
      <c r="A4" s="782" t="s">
        <v>3148</v>
      </c>
      <c r="B4" s="782"/>
      <c r="C4" s="782"/>
      <c r="D4" s="782"/>
      <c r="E4" s="782"/>
    </row>
    <row r="5" spans="1:5">
      <c r="A5" s="759"/>
      <c r="B5" s="759"/>
      <c r="C5" s="759"/>
      <c r="D5" s="759"/>
      <c r="E5"/>
    </row>
    <row r="6" spans="1:5">
      <c r="A6"/>
      <c r="B6"/>
      <c r="C6"/>
      <c r="D6"/>
      <c r="E6"/>
    </row>
    <row r="7" spans="1:5" ht="54.75" customHeight="1">
      <c r="A7" s="783" t="s">
        <v>3196</v>
      </c>
      <c r="B7" s="783"/>
      <c r="C7" s="783"/>
      <c r="D7" s="783"/>
      <c r="E7" s="783"/>
    </row>
    <row r="8" spans="1:5" ht="39.75" customHeight="1">
      <c r="A8" s="783" t="s">
        <v>3197</v>
      </c>
      <c r="B8" s="783"/>
      <c r="C8" s="783"/>
      <c r="D8" s="783"/>
      <c r="E8" s="783"/>
    </row>
    <row r="9" spans="1:5" ht="18" thickBot="1">
      <c r="A9" s="23"/>
      <c r="B9" s="23"/>
      <c r="C9" s="23"/>
      <c r="D9" s="23"/>
      <c r="E9"/>
    </row>
    <row r="10" spans="1:5" ht="31.2">
      <c r="A10" s="147" t="s">
        <v>1645</v>
      </c>
      <c r="B10" s="148" t="s">
        <v>3237</v>
      </c>
      <c r="C10" s="148" t="s">
        <v>636</v>
      </c>
      <c r="D10" s="609" t="s">
        <v>2525</v>
      </c>
      <c r="E10" s="609" t="s">
        <v>2618</v>
      </c>
    </row>
    <row r="11" spans="1:5" ht="15.6">
      <c r="A11" s="976" t="s">
        <v>9</v>
      </c>
      <c r="B11" s="977"/>
      <c r="C11" s="254"/>
      <c r="D11" s="618">
        <v>1333685</v>
      </c>
      <c r="E11" s="252">
        <v>0</v>
      </c>
    </row>
    <row r="12" spans="1:5" ht="16.2" thickBot="1">
      <c r="A12" s="765" t="s">
        <v>1148</v>
      </c>
      <c r="B12" s="399">
        <v>1380000</v>
      </c>
      <c r="C12" s="253">
        <f>SUM(C11:C11)</f>
        <v>0</v>
      </c>
      <c r="D12" s="620">
        <f>SUM(D11:D11)</f>
        <v>1333685</v>
      </c>
      <c r="E12" s="399"/>
    </row>
    <row r="13" spans="1:5" ht="40.5" customHeight="1">
      <c r="A13" s="783" t="s">
        <v>2400</v>
      </c>
      <c r="B13" s="783"/>
      <c r="C13" s="783"/>
      <c r="D13" s="783"/>
      <c r="E13" s="783"/>
    </row>
    <row r="14" spans="1:5" ht="21" customHeight="1" thickBot="1">
      <c r="A14" s="23"/>
      <c r="B14" s="23"/>
      <c r="C14" s="23"/>
      <c r="D14" s="23"/>
      <c r="E14" s="594"/>
    </row>
    <row r="15" spans="1:5" ht="31.2">
      <c r="A15" s="147" t="s">
        <v>1645</v>
      </c>
      <c r="B15" s="148" t="s">
        <v>3237</v>
      </c>
      <c r="C15" s="148" t="s">
        <v>636</v>
      </c>
      <c r="D15" s="609" t="s">
        <v>2525</v>
      </c>
      <c r="E15" s="609" t="s">
        <v>2618</v>
      </c>
    </row>
    <row r="16" spans="1:5" ht="15.6">
      <c r="A16" s="774" t="s">
        <v>654</v>
      </c>
      <c r="B16" s="775"/>
      <c r="C16" s="133"/>
      <c r="D16" s="776">
        <v>500000</v>
      </c>
      <c r="E16" s="777">
        <v>500000</v>
      </c>
    </row>
    <row r="17" spans="1:5" ht="15.6">
      <c r="A17" s="774" t="s">
        <v>8</v>
      </c>
      <c r="B17" s="775"/>
      <c r="C17" s="133"/>
      <c r="D17" s="776">
        <v>1500000</v>
      </c>
      <c r="E17" s="777">
        <v>1500000</v>
      </c>
    </row>
    <row r="18" spans="1:5" ht="15.6">
      <c r="A18" s="774" t="s">
        <v>655</v>
      </c>
      <c r="B18" s="775"/>
      <c r="C18" s="133"/>
      <c r="D18" s="776">
        <v>1000000</v>
      </c>
      <c r="E18" s="777">
        <v>1000000</v>
      </c>
    </row>
    <row r="19" spans="1:5" ht="15.6">
      <c r="A19" s="774" t="s">
        <v>1395</v>
      </c>
      <c r="B19" s="775"/>
      <c r="C19" s="133"/>
      <c r="D19" s="776">
        <v>500000</v>
      </c>
      <c r="E19" s="777">
        <v>500000</v>
      </c>
    </row>
    <row r="20" spans="1:5" ht="15.6">
      <c r="A20" s="980" t="s">
        <v>9</v>
      </c>
      <c r="B20" s="981"/>
      <c r="C20" s="254"/>
      <c r="D20" s="618">
        <v>10131697</v>
      </c>
      <c r="E20" s="252">
        <v>6783000</v>
      </c>
    </row>
    <row r="21" spans="1:5" ht="16.2" thickBot="1">
      <c r="A21" s="765" t="s">
        <v>1148</v>
      </c>
      <c r="B21" s="399">
        <v>1380000</v>
      </c>
      <c r="C21" s="253">
        <f>SUM(C20:C20)</f>
        <v>0</v>
      </c>
      <c r="D21" s="620">
        <f>D16+D17+D18+D19+D20</f>
        <v>13631697</v>
      </c>
      <c r="E21" s="620">
        <f>E16+E17+E18+E19+E20</f>
        <v>10283000</v>
      </c>
    </row>
    <row r="22" spans="1:5" ht="50.25" customHeight="1">
      <c r="A22" s="783" t="s">
        <v>3215</v>
      </c>
      <c r="B22" s="783"/>
      <c r="C22" s="783"/>
      <c r="D22" s="783"/>
      <c r="E22" s="783"/>
    </row>
    <row r="23" spans="1:5" ht="18" thickBot="1">
      <c r="A23" s="23"/>
      <c r="B23" s="23"/>
      <c r="C23" s="23"/>
      <c r="D23" s="23"/>
      <c r="E23" s="594"/>
    </row>
    <row r="24" spans="1:5" ht="31.2">
      <c r="A24" s="147" t="s">
        <v>1645</v>
      </c>
      <c r="B24" s="148" t="s">
        <v>3237</v>
      </c>
      <c r="C24" s="148" t="s">
        <v>636</v>
      </c>
      <c r="D24" s="609" t="s">
        <v>2525</v>
      </c>
      <c r="E24" s="609" t="s">
        <v>2618</v>
      </c>
    </row>
    <row r="25" spans="1:5" ht="15.6">
      <c r="A25" s="976" t="s">
        <v>9</v>
      </c>
      <c r="B25" s="977"/>
      <c r="C25" s="711"/>
      <c r="D25" s="712">
        <v>700000</v>
      </c>
      <c r="E25" s="713">
        <v>700000</v>
      </c>
    </row>
    <row r="26" spans="1:5" ht="15.6">
      <c r="A26" s="766" t="s">
        <v>8</v>
      </c>
      <c r="B26" s="767"/>
      <c r="C26" s="711"/>
      <c r="D26" s="712">
        <v>350000</v>
      </c>
      <c r="E26" s="713">
        <v>350000</v>
      </c>
    </row>
    <row r="27" spans="1:5" ht="15.6">
      <c r="A27" s="976" t="s">
        <v>1395</v>
      </c>
      <c r="B27" s="977"/>
      <c r="C27" s="254"/>
      <c r="D27" s="618">
        <v>350000</v>
      </c>
      <c r="E27" s="252">
        <v>350000</v>
      </c>
    </row>
    <row r="28" spans="1:5" ht="15.6">
      <c r="A28" s="768" t="s">
        <v>1148</v>
      </c>
      <c r="B28" s="720">
        <v>1380000</v>
      </c>
      <c r="C28" s="721">
        <f>SUM(C27:C27)</f>
        <v>0</v>
      </c>
      <c r="D28" s="722">
        <f>SUM(D25:D27)</f>
        <v>1400000</v>
      </c>
      <c r="E28" s="722">
        <f>SUM(E25:E27)</f>
        <v>1400000</v>
      </c>
    </row>
    <row r="29" spans="1:5" ht="15.6">
      <c r="A29" s="769"/>
      <c r="B29" s="762"/>
      <c r="C29" s="721"/>
      <c r="D29" s="722"/>
      <c r="E29" s="722"/>
    </row>
    <row r="30" spans="1:5" ht="84" customHeight="1" thickBot="1">
      <c r="A30" s="956" t="s">
        <v>3239</v>
      </c>
      <c r="B30" s="956"/>
      <c r="C30" s="956"/>
      <c r="D30" s="956"/>
      <c r="E30" s="956"/>
    </row>
    <row r="31" spans="1:5" ht="31.2">
      <c r="A31" s="957" t="s">
        <v>1645</v>
      </c>
      <c r="B31" s="958"/>
      <c r="C31" s="758" t="s">
        <v>3236</v>
      </c>
      <c r="D31" s="609" t="s">
        <v>2525</v>
      </c>
      <c r="E31" s="609" t="s">
        <v>2618</v>
      </c>
    </row>
    <row r="32" spans="1:5" ht="15.6" hidden="1">
      <c r="A32" s="976" t="s">
        <v>9</v>
      </c>
      <c r="B32" s="977"/>
      <c r="C32" s="287">
        <v>7500000</v>
      </c>
      <c r="D32" s="287">
        <v>0</v>
      </c>
      <c r="E32" s="287">
        <v>0</v>
      </c>
    </row>
    <row r="33" spans="1:5" ht="15.6">
      <c r="A33" s="976" t="s">
        <v>8</v>
      </c>
      <c r="B33" s="977"/>
      <c r="C33" s="560"/>
      <c r="D33" s="560">
        <v>8541933.4700000007</v>
      </c>
      <c r="E33" s="560">
        <v>0</v>
      </c>
    </row>
    <row r="34" spans="1:5" ht="16.2" thickBot="1">
      <c r="A34" s="978" t="s">
        <v>1148</v>
      </c>
      <c r="B34" s="979"/>
      <c r="C34" s="409">
        <f>SUM(C32:C32)</f>
        <v>7500000</v>
      </c>
      <c r="D34" s="409">
        <f>D33</f>
        <v>8541933.4700000007</v>
      </c>
      <c r="E34" s="409">
        <f>E33</f>
        <v>0</v>
      </c>
    </row>
    <row r="35" spans="1:5" ht="15.6">
      <c r="A35" s="770"/>
      <c r="B35" s="771"/>
      <c r="C35" s="763"/>
      <c r="D35" s="763"/>
      <c r="E35" s="763"/>
    </row>
    <row r="36" spans="1:5" ht="94.5" customHeight="1" thickBot="1">
      <c r="A36" s="956" t="s">
        <v>3153</v>
      </c>
      <c r="B36" s="956"/>
      <c r="C36" s="956"/>
      <c r="D36" s="956"/>
      <c r="E36" s="956"/>
    </row>
    <row r="37" spans="1:5" ht="31.2">
      <c r="A37" s="957" t="s">
        <v>1645</v>
      </c>
      <c r="B37" s="958"/>
      <c r="C37" s="758" t="s">
        <v>3236</v>
      </c>
      <c r="D37" s="609" t="s">
        <v>2525</v>
      </c>
      <c r="E37" s="609" t="s">
        <v>2618</v>
      </c>
    </row>
    <row r="38" spans="1:5" ht="15.6" hidden="1">
      <c r="A38" s="976" t="s">
        <v>9</v>
      </c>
      <c r="B38" s="977"/>
      <c r="C38" s="287">
        <v>7500000</v>
      </c>
      <c r="D38" s="287">
        <v>0</v>
      </c>
      <c r="E38" s="287">
        <v>0</v>
      </c>
    </row>
    <row r="39" spans="1:5" ht="15.6">
      <c r="A39" s="976" t="s">
        <v>8</v>
      </c>
      <c r="B39" s="977"/>
      <c r="C39" s="560"/>
      <c r="D39" s="560">
        <v>2937936</v>
      </c>
      <c r="E39" s="560">
        <v>0</v>
      </c>
    </row>
    <row r="40" spans="1:5" ht="16.2" thickBot="1">
      <c r="A40" s="978" t="s">
        <v>1148</v>
      </c>
      <c r="B40" s="979"/>
      <c r="C40" s="409">
        <f>SUM(C38:C38)</f>
        <v>7500000</v>
      </c>
      <c r="D40" s="409">
        <f>SUM(D38:D39)</f>
        <v>2937936</v>
      </c>
      <c r="E40" s="409">
        <f>SUM(E38:E39)</f>
        <v>0</v>
      </c>
    </row>
    <row r="41" spans="1:5" ht="15.6">
      <c r="A41" s="770"/>
      <c r="B41" s="771"/>
      <c r="C41" s="763"/>
      <c r="D41" s="763"/>
      <c r="E41" s="763"/>
    </row>
    <row r="42" spans="1:5" ht="21" customHeight="1">
      <c r="A42" s="723" t="s">
        <v>2203</v>
      </c>
      <c r="B42" s="724"/>
      <c r="C42" s="724"/>
      <c r="D42" s="725">
        <f>D12+D21+D28+D34+D40</f>
        <v>27845251.469999999</v>
      </c>
      <c r="E42" s="725">
        <f>E12+E21+E28+E34+E40</f>
        <v>11683000</v>
      </c>
    </row>
  </sheetData>
  <mergeCells count="22">
    <mergeCell ref="A27:B27"/>
    <mergeCell ref="A1:E1"/>
    <mergeCell ref="A2:E2"/>
    <mergeCell ref="A3:E3"/>
    <mergeCell ref="A4:E4"/>
    <mergeCell ref="A7:E7"/>
    <mergeCell ref="A8:E8"/>
    <mergeCell ref="A11:B11"/>
    <mergeCell ref="A13:E13"/>
    <mergeCell ref="A20:B20"/>
    <mergeCell ref="A22:E22"/>
    <mergeCell ref="A25:B25"/>
    <mergeCell ref="A31:B31"/>
    <mergeCell ref="A32:B32"/>
    <mergeCell ref="A33:B33"/>
    <mergeCell ref="A34:B34"/>
    <mergeCell ref="A30:E30"/>
    <mergeCell ref="A37:B37"/>
    <mergeCell ref="A38:B38"/>
    <mergeCell ref="A39:B39"/>
    <mergeCell ref="A40:B40"/>
    <mergeCell ref="A36:E36"/>
  </mergeCells>
  <pageMargins left="0.70866141732283472" right="0.70866141732283472" top="0.74803149606299213" bottom="0.74803149606299213" header="0.31496062992125984" footer="0.31496062992125984"/>
  <pageSetup paperSize="9" fitToHeight="16" orientation="portrait" r:id="rId1"/>
  <headerFooter>
    <oddFooter>&amp;C&amp;P</oddFooter>
  </headerFooter>
</worksheet>
</file>

<file path=xl/worksheets/sheet63.xml><?xml version="1.0" encoding="utf-8"?>
<worksheet xmlns="http://schemas.openxmlformats.org/spreadsheetml/2006/main" xmlns:r="http://schemas.openxmlformats.org/officeDocument/2006/relationships">
  <sheetPr codeName="Лист41"/>
  <dimension ref="A1:B281"/>
  <sheetViews>
    <sheetView workbookViewId="0">
      <selection activeCell="B2" sqref="B2"/>
    </sheetView>
  </sheetViews>
  <sheetFormatPr defaultColWidth="9.109375" defaultRowHeight="13.2"/>
  <cols>
    <col min="1" max="1" width="19.44140625" style="733" customWidth="1"/>
    <col min="2" max="2" width="107.88671875" style="524" customWidth="1"/>
    <col min="3" max="16384" width="9.109375" style="524"/>
  </cols>
  <sheetData>
    <row r="1" spans="1:2">
      <c r="A1" s="728" t="s">
        <v>2291</v>
      </c>
      <c r="B1" s="263" t="s">
        <v>2290</v>
      </c>
    </row>
    <row r="2" spans="1:2" ht="62.4">
      <c r="A2" s="780" t="s">
        <v>3266</v>
      </c>
      <c r="B2" s="53" t="s">
        <v>3131</v>
      </c>
    </row>
    <row r="3" spans="1:2" ht="46.8">
      <c r="A3" s="780" t="s">
        <v>3267</v>
      </c>
      <c r="B3" s="53" t="s">
        <v>3132</v>
      </c>
    </row>
    <row r="4" spans="1:2" ht="15.6">
      <c r="A4" s="718">
        <v>10010</v>
      </c>
      <c r="B4" s="53" t="s">
        <v>2293</v>
      </c>
    </row>
    <row r="5" spans="1:2" ht="15.6">
      <c r="A5" s="718">
        <v>10020</v>
      </c>
      <c r="B5" s="53" t="s">
        <v>2294</v>
      </c>
    </row>
    <row r="6" spans="1:2" ht="15.6">
      <c r="A6" s="718">
        <v>10030</v>
      </c>
      <c r="B6" s="53" t="s">
        <v>2295</v>
      </c>
    </row>
    <row r="7" spans="1:2" ht="15.6">
      <c r="A7" s="718">
        <v>10040</v>
      </c>
      <c r="B7" s="53" t="s">
        <v>2296</v>
      </c>
    </row>
    <row r="8" spans="1:2" ht="15.6">
      <c r="A8" s="718">
        <v>10050</v>
      </c>
      <c r="B8" s="53" t="s">
        <v>2297</v>
      </c>
    </row>
    <row r="9" spans="1:2" ht="15.6">
      <c r="A9" s="718">
        <v>10060</v>
      </c>
      <c r="B9" s="53" t="s">
        <v>2298</v>
      </c>
    </row>
    <row r="10" spans="1:2" ht="15.6">
      <c r="A10" s="718">
        <v>10070</v>
      </c>
      <c r="B10" s="519"/>
    </row>
    <row r="11" spans="1:2" ht="15.6">
      <c r="A11" s="718">
        <v>10080</v>
      </c>
      <c r="B11" s="519"/>
    </row>
    <row r="12" spans="1:2" ht="31.2">
      <c r="A12" s="718">
        <v>10090</v>
      </c>
      <c r="B12" s="53" t="s">
        <v>2605</v>
      </c>
    </row>
    <row r="13" spans="1:2" ht="31.2">
      <c r="A13" s="718">
        <v>10100</v>
      </c>
      <c r="B13" s="531" t="s">
        <v>2971</v>
      </c>
    </row>
    <row r="14" spans="1:2" ht="31.2">
      <c r="A14" s="718">
        <v>10110</v>
      </c>
      <c r="B14" s="53" t="s">
        <v>2582</v>
      </c>
    </row>
    <row r="15" spans="1:2" ht="15.6">
      <c r="A15" s="718">
        <v>10200</v>
      </c>
      <c r="B15" s="531" t="s">
        <v>2412</v>
      </c>
    </row>
    <row r="16" spans="1:2" ht="31.2">
      <c r="A16" s="718">
        <v>10210</v>
      </c>
      <c r="B16" s="53" t="s">
        <v>2299</v>
      </c>
    </row>
    <row r="17" spans="1:2" ht="15.6">
      <c r="A17" s="718">
        <v>10220</v>
      </c>
      <c r="B17" s="53" t="s">
        <v>2300</v>
      </c>
    </row>
    <row r="18" spans="1:2" ht="15.6">
      <c r="A18" s="718">
        <v>10230</v>
      </c>
      <c r="B18" s="519"/>
    </row>
    <row r="19" spans="1:2" ht="15.6">
      <c r="A19" s="718">
        <v>10240</v>
      </c>
      <c r="B19" s="53" t="s">
        <v>2301</v>
      </c>
    </row>
    <row r="20" spans="1:2" ht="15.6">
      <c r="A20" s="718">
        <v>10300</v>
      </c>
      <c r="B20" s="53" t="s">
        <v>2302</v>
      </c>
    </row>
    <row r="21" spans="1:2" ht="15.6">
      <c r="A21" s="718">
        <v>10360</v>
      </c>
      <c r="B21" s="53" t="s">
        <v>2999</v>
      </c>
    </row>
    <row r="22" spans="1:2" ht="15.6">
      <c r="A22" s="718">
        <v>10370</v>
      </c>
      <c r="B22" s="53" t="s">
        <v>2998</v>
      </c>
    </row>
    <row r="23" spans="1:2" ht="15.6">
      <c r="A23" s="718">
        <v>10400</v>
      </c>
      <c r="B23" s="53" t="s">
        <v>2303</v>
      </c>
    </row>
    <row r="24" spans="1:2" ht="15.6">
      <c r="A24" s="718">
        <v>10500</v>
      </c>
      <c r="B24" s="53" t="s">
        <v>2304</v>
      </c>
    </row>
    <row r="25" spans="1:2" ht="15.6">
      <c r="A25" s="718">
        <v>10510</v>
      </c>
      <c r="B25" s="53" t="s">
        <v>1126</v>
      </c>
    </row>
    <row r="26" spans="1:2" ht="15.6">
      <c r="A26" s="718">
        <v>10600</v>
      </c>
      <c r="B26" s="53" t="s">
        <v>2305</v>
      </c>
    </row>
    <row r="27" spans="1:2" ht="15.6">
      <c r="A27" s="718">
        <v>10700</v>
      </c>
      <c r="B27" s="53" t="s">
        <v>2306</v>
      </c>
    </row>
    <row r="28" spans="1:2" ht="31.2">
      <c r="A28" s="718">
        <v>10710</v>
      </c>
      <c r="B28" s="53" t="s">
        <v>2307</v>
      </c>
    </row>
    <row r="29" spans="1:2" ht="15.6">
      <c r="A29" s="718">
        <v>10800</v>
      </c>
      <c r="B29" s="53" t="s">
        <v>2308</v>
      </c>
    </row>
    <row r="30" spans="1:2" ht="15.6">
      <c r="A30" s="718">
        <v>10880</v>
      </c>
      <c r="B30" s="53" t="s">
        <v>3000</v>
      </c>
    </row>
    <row r="31" spans="1:2" ht="15.6">
      <c r="A31" s="718">
        <v>10900</v>
      </c>
      <c r="B31" s="53" t="s">
        <v>2309</v>
      </c>
    </row>
    <row r="32" spans="1:2" ht="15.6">
      <c r="A32" s="718">
        <v>12010</v>
      </c>
      <c r="B32" s="53" t="s">
        <v>2310</v>
      </c>
    </row>
    <row r="33" spans="1:2" ht="15.6">
      <c r="A33" s="718">
        <v>12020</v>
      </c>
      <c r="B33" s="53" t="s">
        <v>2311</v>
      </c>
    </row>
    <row r="34" spans="1:2" ht="15.6">
      <c r="A34" s="718">
        <v>12030</v>
      </c>
      <c r="B34" s="53" t="s">
        <v>2312</v>
      </c>
    </row>
    <row r="35" spans="1:2" ht="15.6">
      <c r="A35" s="718">
        <v>12040</v>
      </c>
      <c r="B35" s="53" t="s">
        <v>3140</v>
      </c>
    </row>
    <row r="36" spans="1:2" ht="15.6">
      <c r="A36" s="718">
        <v>12080</v>
      </c>
      <c r="B36" s="53" t="s">
        <v>2313</v>
      </c>
    </row>
    <row r="37" spans="1:2" ht="15.6">
      <c r="A37" s="718">
        <v>12090</v>
      </c>
      <c r="B37" s="53" t="s">
        <v>2314</v>
      </c>
    </row>
    <row r="38" spans="1:2" ht="15.6">
      <c r="A38" s="718">
        <v>12100</v>
      </c>
      <c r="B38" s="53" t="s">
        <v>2315</v>
      </c>
    </row>
    <row r="39" spans="1:2" ht="15.6">
      <c r="A39" s="718">
        <v>12130</v>
      </c>
      <c r="B39" s="53" t="s">
        <v>2316</v>
      </c>
    </row>
    <row r="40" spans="1:2" ht="15.6">
      <c r="A40" s="718">
        <v>12200</v>
      </c>
      <c r="B40" s="53" t="s">
        <v>2317</v>
      </c>
    </row>
    <row r="41" spans="1:2" ht="15.6">
      <c r="A41" s="718">
        <v>12210</v>
      </c>
      <c r="B41" s="53" t="s">
        <v>2318</v>
      </c>
    </row>
    <row r="42" spans="1:2" ht="15.6">
      <c r="A42" s="718">
        <v>12220</v>
      </c>
      <c r="B42" s="53" t="s">
        <v>2319</v>
      </c>
    </row>
    <row r="43" spans="1:2" ht="15.6">
      <c r="A43" s="718">
        <v>12240</v>
      </c>
      <c r="B43" s="53" t="s">
        <v>2320</v>
      </c>
    </row>
    <row r="44" spans="1:2" ht="15.6">
      <c r="A44" s="718">
        <v>12250</v>
      </c>
      <c r="B44" s="53" t="s">
        <v>2492</v>
      </c>
    </row>
    <row r="45" spans="1:2" ht="15.6">
      <c r="A45" s="718">
        <v>12260</v>
      </c>
      <c r="B45" s="519" t="s">
        <v>2505</v>
      </c>
    </row>
    <row r="46" spans="1:2" ht="15.6">
      <c r="A46" s="718">
        <v>12310</v>
      </c>
      <c r="B46" s="519" t="s">
        <v>1835</v>
      </c>
    </row>
    <row r="47" spans="1:2" ht="15.6">
      <c r="A47" s="718">
        <v>12320</v>
      </c>
      <c r="B47" s="519" t="s">
        <v>800</v>
      </c>
    </row>
    <row r="48" spans="1:2" ht="15.6">
      <c r="A48" s="718">
        <v>12600</v>
      </c>
      <c r="B48" s="519"/>
    </row>
    <row r="49" spans="1:2" ht="15.6">
      <c r="A49" s="718">
        <v>12700</v>
      </c>
      <c r="B49" s="53" t="s">
        <v>2985</v>
      </c>
    </row>
    <row r="50" spans="1:2" ht="15.6">
      <c r="A50" s="718">
        <v>12710</v>
      </c>
      <c r="B50" s="53" t="s">
        <v>2986</v>
      </c>
    </row>
    <row r="51" spans="1:2" ht="15.6">
      <c r="A51" s="718">
        <v>12750</v>
      </c>
      <c r="B51" s="53" t="s">
        <v>2321</v>
      </c>
    </row>
    <row r="52" spans="1:2" ht="15.6">
      <c r="A52" s="718">
        <v>12800</v>
      </c>
      <c r="B52" s="53" t="s">
        <v>2322</v>
      </c>
    </row>
    <row r="53" spans="1:2" ht="15.6">
      <c r="A53" s="718">
        <v>12900</v>
      </c>
      <c r="B53" s="53" t="s">
        <v>2126</v>
      </c>
    </row>
    <row r="54" spans="1:2" ht="15.6">
      <c r="A54" s="718">
        <v>13010</v>
      </c>
      <c r="B54" s="53" t="s">
        <v>2323</v>
      </c>
    </row>
    <row r="55" spans="1:2" ht="15.6">
      <c r="A55" s="718">
        <v>13050</v>
      </c>
      <c r="B55" s="519" t="s">
        <v>2324</v>
      </c>
    </row>
    <row r="56" spans="1:2" ht="15.6">
      <c r="A56" s="718">
        <v>13110</v>
      </c>
      <c r="B56" s="53" t="s">
        <v>2325</v>
      </c>
    </row>
    <row r="57" spans="1:2" ht="15.6">
      <c r="A57" s="718">
        <v>13210</v>
      </c>
      <c r="B57" s="53" t="s">
        <v>2326</v>
      </c>
    </row>
    <row r="58" spans="1:2" ht="15.6">
      <c r="A58" s="718">
        <v>13310</v>
      </c>
      <c r="B58" s="53" t="s">
        <v>2327</v>
      </c>
    </row>
    <row r="59" spans="1:2" ht="15.6">
      <c r="A59" s="718">
        <v>13320</v>
      </c>
      <c r="B59" s="53" t="s">
        <v>2328</v>
      </c>
    </row>
    <row r="60" spans="1:2" ht="15.6">
      <c r="A60" s="718">
        <v>13330</v>
      </c>
      <c r="B60" s="519" t="s">
        <v>2329</v>
      </c>
    </row>
    <row r="61" spans="1:2" ht="15.6">
      <c r="A61" s="718">
        <v>13340</v>
      </c>
      <c r="B61" s="519"/>
    </row>
    <row r="62" spans="1:2" ht="15.6">
      <c r="A62" s="718">
        <v>13380</v>
      </c>
      <c r="B62" s="53" t="s">
        <v>2331</v>
      </c>
    </row>
    <row r="63" spans="1:2" ht="31.2">
      <c r="A63" s="718">
        <v>13390</v>
      </c>
      <c r="B63" s="519" t="s">
        <v>2411</v>
      </c>
    </row>
    <row r="64" spans="1:2" ht="15.6">
      <c r="A64" s="718">
        <v>13400</v>
      </c>
      <c r="B64" s="519"/>
    </row>
    <row r="65" spans="1:2" ht="31.2">
      <c r="A65" s="718">
        <v>13510</v>
      </c>
      <c r="B65" s="519" t="s">
        <v>2332</v>
      </c>
    </row>
    <row r="66" spans="1:2" ht="15.6">
      <c r="A66" s="718">
        <v>13710</v>
      </c>
      <c r="B66" s="519" t="s">
        <v>248</v>
      </c>
    </row>
    <row r="67" spans="1:2" ht="15.6">
      <c r="A67" s="718">
        <v>13750</v>
      </c>
      <c r="B67" s="519" t="s">
        <v>2611</v>
      </c>
    </row>
    <row r="68" spans="1:2" ht="15.6">
      <c r="A68" s="718">
        <v>13810</v>
      </c>
      <c r="B68" s="53" t="s">
        <v>2583</v>
      </c>
    </row>
    <row r="69" spans="1:2" ht="31.2">
      <c r="A69" s="718">
        <v>13820</v>
      </c>
      <c r="B69" s="53" t="s">
        <v>3010</v>
      </c>
    </row>
    <row r="70" spans="1:2" ht="15.6">
      <c r="A70" s="718">
        <v>14010</v>
      </c>
      <c r="B70" s="53" t="s">
        <v>2333</v>
      </c>
    </row>
    <row r="71" spans="1:2" ht="15.6">
      <c r="A71" s="718">
        <v>14100</v>
      </c>
      <c r="B71" s="53" t="s">
        <v>2990</v>
      </c>
    </row>
    <row r="72" spans="1:2" ht="15.6">
      <c r="A72" s="718">
        <v>14510</v>
      </c>
      <c r="B72" s="53" t="s">
        <v>2334</v>
      </c>
    </row>
    <row r="73" spans="1:2" ht="15.6">
      <c r="A73" s="718">
        <v>14530</v>
      </c>
      <c r="B73" s="53" t="s">
        <v>2335</v>
      </c>
    </row>
    <row r="74" spans="1:2" ht="15.6">
      <c r="A74" s="718">
        <v>14550</v>
      </c>
      <c r="B74" s="519"/>
    </row>
    <row r="75" spans="1:2" ht="15.6">
      <c r="A75" s="718">
        <v>14560</v>
      </c>
      <c r="B75" s="53" t="s">
        <v>2336</v>
      </c>
    </row>
    <row r="76" spans="1:2" ht="15.6">
      <c r="A76" s="718">
        <v>14570</v>
      </c>
      <c r="B76" s="519" t="s">
        <v>2337</v>
      </c>
    </row>
    <row r="77" spans="1:2" ht="15.6">
      <c r="A77" s="718">
        <v>14580</v>
      </c>
      <c r="B77" s="519"/>
    </row>
    <row r="78" spans="1:2" ht="15.6">
      <c r="A78" s="718">
        <v>15010</v>
      </c>
      <c r="B78" s="53" t="s">
        <v>2338</v>
      </c>
    </row>
    <row r="79" spans="1:2" ht="15.6">
      <c r="A79" s="718">
        <v>15030</v>
      </c>
      <c r="B79" s="519" t="s">
        <v>2339</v>
      </c>
    </row>
    <row r="80" spans="1:2" ht="15.6">
      <c r="A80" s="718">
        <v>15110</v>
      </c>
      <c r="B80" s="53" t="s">
        <v>2340</v>
      </c>
    </row>
    <row r="81" spans="1:2" ht="15.6">
      <c r="A81" s="718">
        <v>15130</v>
      </c>
      <c r="B81" s="53" t="s">
        <v>2612</v>
      </c>
    </row>
    <row r="82" spans="1:2" ht="15.6">
      <c r="A82" s="718">
        <v>15210</v>
      </c>
      <c r="B82" s="53" t="s">
        <v>2341</v>
      </c>
    </row>
    <row r="83" spans="1:2" ht="15.6">
      <c r="A83" s="718">
        <v>15220</v>
      </c>
      <c r="B83" s="53" t="s">
        <v>2342</v>
      </c>
    </row>
    <row r="84" spans="1:2" ht="15.6">
      <c r="A84" s="718">
        <v>15250</v>
      </c>
      <c r="B84" s="519"/>
    </row>
    <row r="85" spans="1:2" ht="15.6">
      <c r="A85" s="718">
        <v>15260</v>
      </c>
      <c r="B85" s="519" t="s">
        <v>2343</v>
      </c>
    </row>
    <row r="86" spans="1:2" ht="15.6">
      <c r="A86" s="718">
        <v>16010</v>
      </c>
      <c r="B86" s="53" t="s">
        <v>2344</v>
      </c>
    </row>
    <row r="87" spans="1:2" ht="15.6">
      <c r="A87" s="718">
        <v>16050</v>
      </c>
      <c r="B87" s="53" t="s">
        <v>2490</v>
      </c>
    </row>
    <row r="88" spans="1:2" ht="15.6">
      <c r="A88" s="718">
        <v>16110</v>
      </c>
      <c r="B88" s="519"/>
    </row>
    <row r="89" spans="1:2" ht="15.6">
      <c r="A89" s="718">
        <v>16150</v>
      </c>
      <c r="B89" s="53" t="s">
        <v>2975</v>
      </c>
    </row>
    <row r="90" spans="1:2" ht="15.6">
      <c r="A90" s="718">
        <v>16210</v>
      </c>
      <c r="B90" s="53" t="s">
        <v>2463</v>
      </c>
    </row>
    <row r="91" spans="1:2" ht="15.6">
      <c r="A91" s="718">
        <v>16220</v>
      </c>
      <c r="B91" s="53" t="s">
        <v>3009</v>
      </c>
    </row>
    <row r="92" spans="1:2" ht="21" customHeight="1">
      <c r="A92" s="718">
        <v>16250</v>
      </c>
      <c r="B92" s="53" t="s">
        <v>2584</v>
      </c>
    </row>
    <row r="93" spans="1:2" ht="18.75" customHeight="1">
      <c r="A93" s="718">
        <v>29016</v>
      </c>
      <c r="B93" s="520" t="s">
        <v>2604</v>
      </c>
    </row>
    <row r="94" spans="1:2" ht="31.2">
      <c r="A94" s="718">
        <v>29026</v>
      </c>
      <c r="B94" s="53" t="s">
        <v>2938</v>
      </c>
    </row>
    <row r="95" spans="1:2" ht="31.2">
      <c r="A95" s="718">
        <v>29036</v>
      </c>
      <c r="B95" s="53" t="s">
        <v>2939</v>
      </c>
    </row>
    <row r="96" spans="1:2" ht="15.6">
      <c r="A96" s="718">
        <v>29046</v>
      </c>
      <c r="B96" s="522" t="s">
        <v>2940</v>
      </c>
    </row>
    <row r="97" spans="1:2" ht="15.6">
      <c r="A97" s="718">
        <v>29056</v>
      </c>
      <c r="B97" s="522" t="s">
        <v>2941</v>
      </c>
    </row>
    <row r="98" spans="1:2" ht="15.6">
      <c r="A98" s="718">
        <v>29066</v>
      </c>
      <c r="B98" s="522" t="s">
        <v>2942</v>
      </c>
    </row>
    <row r="99" spans="1:2" ht="31.2">
      <c r="A99" s="718">
        <v>29076</v>
      </c>
      <c r="B99" s="8" t="s">
        <v>2610</v>
      </c>
    </row>
    <row r="100" spans="1:2" ht="23.25" customHeight="1">
      <c r="A100" s="718">
        <v>29086</v>
      </c>
      <c r="B100" s="8" t="s">
        <v>2609</v>
      </c>
    </row>
    <row r="101" spans="1:2" ht="31.2">
      <c r="A101" s="718">
        <v>29096</v>
      </c>
      <c r="B101" s="8" t="s">
        <v>2608</v>
      </c>
    </row>
    <row r="102" spans="1:2" ht="15.6">
      <c r="A102" s="718">
        <v>29106</v>
      </c>
      <c r="B102" s="284" t="s">
        <v>2963</v>
      </c>
    </row>
    <row r="103" spans="1:2" ht="31.2">
      <c r="A103" s="718">
        <v>29116</v>
      </c>
      <c r="B103" s="53" t="s">
        <v>2943</v>
      </c>
    </row>
    <row r="104" spans="1:2" ht="31.2">
      <c r="A104" s="718">
        <v>29126</v>
      </c>
      <c r="B104" s="8" t="s">
        <v>2944</v>
      </c>
    </row>
    <row r="105" spans="1:2" ht="31.2">
      <c r="A105" s="718">
        <v>29136</v>
      </c>
      <c r="B105" s="8" t="s">
        <v>2945</v>
      </c>
    </row>
    <row r="106" spans="1:2" ht="31.2">
      <c r="A106" s="718">
        <v>29146</v>
      </c>
      <c r="B106" s="8" t="s">
        <v>3059</v>
      </c>
    </row>
    <row r="107" spans="1:2" ht="15.6">
      <c r="A107" s="718">
        <v>29156</v>
      </c>
      <c r="B107" s="258" t="s">
        <v>2946</v>
      </c>
    </row>
    <row r="108" spans="1:2" ht="15.6">
      <c r="A108" s="718">
        <v>29166</v>
      </c>
      <c r="B108" s="8" t="s">
        <v>2972</v>
      </c>
    </row>
    <row r="109" spans="1:2" ht="15.6">
      <c r="A109" s="718">
        <v>29176</v>
      </c>
      <c r="B109" s="8" t="s">
        <v>2607</v>
      </c>
    </row>
    <row r="110" spans="1:2" ht="31.2">
      <c r="A110" s="718">
        <v>29186</v>
      </c>
      <c r="B110" s="8" t="s">
        <v>2947</v>
      </c>
    </row>
    <row r="111" spans="1:2" ht="15.6">
      <c r="A111" s="718">
        <v>29196</v>
      </c>
      <c r="B111" s="8" t="s">
        <v>2948</v>
      </c>
    </row>
    <row r="112" spans="1:2" ht="15.6">
      <c r="A112" s="718">
        <v>29206</v>
      </c>
      <c r="B112" s="8" t="s">
        <v>2949</v>
      </c>
    </row>
    <row r="113" spans="1:2" ht="19.5" customHeight="1">
      <c r="A113" s="718">
        <v>29216</v>
      </c>
      <c r="B113" s="8" t="s">
        <v>2950</v>
      </c>
    </row>
    <row r="114" spans="1:2" ht="15.6">
      <c r="A114" s="718">
        <v>29226</v>
      </c>
      <c r="B114" s="8" t="s">
        <v>2951</v>
      </c>
    </row>
    <row r="115" spans="1:2" ht="15.6">
      <c r="A115" s="718">
        <v>29236</v>
      </c>
      <c r="B115" s="181" t="s">
        <v>2952</v>
      </c>
    </row>
    <row r="116" spans="1:2" ht="31.2">
      <c r="A116" s="718">
        <v>29246</v>
      </c>
      <c r="B116" s="181" t="s">
        <v>2953</v>
      </c>
    </row>
    <row r="117" spans="1:2" ht="15.6">
      <c r="A117" s="718">
        <v>29256</v>
      </c>
      <c r="B117" s="181" t="s">
        <v>2954</v>
      </c>
    </row>
    <row r="118" spans="1:2" ht="15.6">
      <c r="A118" s="718">
        <v>29266</v>
      </c>
      <c r="B118" s="181" t="s">
        <v>2955</v>
      </c>
    </row>
    <row r="119" spans="1:2" ht="31.2">
      <c r="A119" s="718">
        <v>29276</v>
      </c>
      <c r="B119" s="181" t="s">
        <v>2956</v>
      </c>
    </row>
    <row r="120" spans="1:2" ht="15.6">
      <c r="A120" s="718">
        <v>29286</v>
      </c>
      <c r="B120" s="523" t="s">
        <v>2957</v>
      </c>
    </row>
    <row r="121" spans="1:2" ht="30" customHeight="1">
      <c r="A121" s="718">
        <v>29296</v>
      </c>
      <c r="B121" s="523" t="s">
        <v>2958</v>
      </c>
    </row>
    <row r="122" spans="1:2" ht="15.6">
      <c r="A122" s="718">
        <v>29306</v>
      </c>
      <c r="B122" s="284" t="s">
        <v>2964</v>
      </c>
    </row>
    <row r="123" spans="1:2" ht="15.6">
      <c r="A123" s="718">
        <v>29316</v>
      </c>
      <c r="B123" s="8" t="s">
        <v>2967</v>
      </c>
    </row>
    <row r="124" spans="1:2" ht="31.2">
      <c r="A124" s="718">
        <v>29326</v>
      </c>
      <c r="B124" s="8" t="s">
        <v>2959</v>
      </c>
    </row>
    <row r="125" spans="1:2" ht="15.6">
      <c r="A125" s="718">
        <v>29336</v>
      </c>
      <c r="B125" s="522" t="s">
        <v>2933</v>
      </c>
    </row>
    <row r="126" spans="1:2" ht="15.6">
      <c r="A126" s="718">
        <v>29346</v>
      </c>
      <c r="B126" s="8" t="s">
        <v>2927</v>
      </c>
    </row>
    <row r="127" spans="1:2" ht="15.6">
      <c r="A127" s="718">
        <v>29356</v>
      </c>
      <c r="B127" s="522" t="s">
        <v>2934</v>
      </c>
    </row>
    <row r="128" spans="1:2" ht="15.6">
      <c r="A128" s="718">
        <v>29366</v>
      </c>
      <c r="B128" s="8" t="s">
        <v>2960</v>
      </c>
    </row>
    <row r="129" spans="1:2" ht="31.2">
      <c r="A129" s="718">
        <v>29376</v>
      </c>
      <c r="B129" s="53" t="s">
        <v>3138</v>
      </c>
    </row>
    <row r="130" spans="1:2" ht="15.6">
      <c r="A130" s="718">
        <v>29386</v>
      </c>
      <c r="B130" s="521" t="s">
        <v>2928</v>
      </c>
    </row>
    <row r="131" spans="1:2" ht="31.2">
      <c r="A131" s="718">
        <v>29396</v>
      </c>
      <c r="B131" s="53" t="s">
        <v>2929</v>
      </c>
    </row>
    <row r="132" spans="1:2" ht="31.2">
      <c r="A132" s="718">
        <v>29406</v>
      </c>
      <c r="B132" s="523" t="s">
        <v>2936</v>
      </c>
    </row>
    <row r="133" spans="1:2" ht="44.25" customHeight="1">
      <c r="A133" s="718">
        <v>29416</v>
      </c>
      <c r="B133" s="53" t="s">
        <v>2968</v>
      </c>
    </row>
    <row r="134" spans="1:2" ht="15.6">
      <c r="A134" s="718">
        <v>29426</v>
      </c>
      <c r="B134" s="522" t="s">
        <v>2930</v>
      </c>
    </row>
    <row r="135" spans="1:2" ht="15.6">
      <c r="A135" s="718">
        <v>29436</v>
      </c>
      <c r="B135" s="53" t="s">
        <v>2935</v>
      </c>
    </row>
    <row r="136" spans="1:2" ht="31.2">
      <c r="A136" s="718">
        <v>29446</v>
      </c>
      <c r="B136" s="53" t="s">
        <v>2961</v>
      </c>
    </row>
    <row r="137" spans="1:2" ht="15.6">
      <c r="A137" s="718">
        <v>29456</v>
      </c>
      <c r="B137" s="520" t="s">
        <v>2931</v>
      </c>
    </row>
    <row r="138" spans="1:2" ht="15.6">
      <c r="A138" s="718">
        <v>29466</v>
      </c>
      <c r="B138" s="520" t="s">
        <v>2932</v>
      </c>
    </row>
    <row r="139" spans="1:2" ht="15.6">
      <c r="A139" s="718">
        <v>29476</v>
      </c>
      <c r="B139" s="522" t="s">
        <v>2965</v>
      </c>
    </row>
    <row r="140" spans="1:2" ht="15.6">
      <c r="A140" s="718">
        <v>29486</v>
      </c>
      <c r="B140" s="522" t="s">
        <v>3066</v>
      </c>
    </row>
    <row r="141" spans="1:2" ht="15.6">
      <c r="A141" s="718">
        <v>29496</v>
      </c>
      <c r="B141" s="284" t="s">
        <v>2966</v>
      </c>
    </row>
    <row r="142" spans="1:2" ht="15.6">
      <c r="A142" s="718">
        <v>29506</v>
      </c>
      <c r="B142" s="523" t="s">
        <v>2969</v>
      </c>
    </row>
    <row r="143" spans="1:2" ht="15.6">
      <c r="A143" s="718">
        <v>29516</v>
      </c>
      <c r="B143" s="523" t="s">
        <v>3141</v>
      </c>
    </row>
    <row r="144" spans="1:2" ht="15.6">
      <c r="A144" s="718">
        <v>29526</v>
      </c>
      <c r="B144" s="522" t="s">
        <v>3163</v>
      </c>
    </row>
    <row r="145" spans="1:2" ht="15.6">
      <c r="A145" s="718">
        <v>29536</v>
      </c>
      <c r="B145" s="522" t="s">
        <v>3164</v>
      </c>
    </row>
    <row r="146" spans="1:2" ht="15.6">
      <c r="A146" s="718">
        <v>29546</v>
      </c>
      <c r="B146" s="522" t="s">
        <v>3165</v>
      </c>
    </row>
    <row r="147" spans="1:2" ht="31.2">
      <c r="A147" s="718">
        <v>29556</v>
      </c>
      <c r="B147" s="53" t="s">
        <v>3224</v>
      </c>
    </row>
    <row r="148" spans="1:2" ht="31.2">
      <c r="A148" s="718">
        <v>50130</v>
      </c>
      <c r="B148" s="519" t="s">
        <v>2501</v>
      </c>
    </row>
    <row r="149" spans="1:2" ht="31.2">
      <c r="A149" s="718">
        <v>50200</v>
      </c>
      <c r="B149" s="53" t="s">
        <v>3211</v>
      </c>
    </row>
    <row r="150" spans="1:2" ht="31.2">
      <c r="A150" s="718">
        <v>50206</v>
      </c>
      <c r="B150" s="53" t="s">
        <v>3210</v>
      </c>
    </row>
    <row r="151" spans="1:2" ht="15.6">
      <c r="A151" s="718">
        <v>50270</v>
      </c>
      <c r="B151" s="53" t="s">
        <v>3256</v>
      </c>
    </row>
    <row r="152" spans="1:2" ht="46.8">
      <c r="A152" s="718">
        <v>50650</v>
      </c>
      <c r="B152" s="519" t="s">
        <v>2345</v>
      </c>
    </row>
    <row r="153" spans="1:2" ht="31.2">
      <c r="A153" s="718">
        <v>50840</v>
      </c>
      <c r="B153" s="519" t="s">
        <v>2477</v>
      </c>
    </row>
    <row r="154" spans="1:2" ht="31.2">
      <c r="A154" s="718">
        <v>51180</v>
      </c>
      <c r="B154" s="53" t="s">
        <v>2974</v>
      </c>
    </row>
    <row r="155" spans="1:2" ht="31.2">
      <c r="A155" s="718">
        <v>51190</v>
      </c>
      <c r="B155" s="519" t="s">
        <v>2346</v>
      </c>
    </row>
    <row r="156" spans="1:2" ht="31.2">
      <c r="A156" s="718">
        <v>51200</v>
      </c>
      <c r="B156" s="53" t="s">
        <v>2408</v>
      </c>
    </row>
    <row r="157" spans="1:2" ht="15.6">
      <c r="A157" s="718">
        <v>51370</v>
      </c>
      <c r="B157" s="53" t="s">
        <v>2616</v>
      </c>
    </row>
    <row r="158" spans="1:2" ht="31.2">
      <c r="A158" s="718">
        <v>51440</v>
      </c>
      <c r="B158" s="53" t="s">
        <v>3264</v>
      </c>
    </row>
    <row r="159" spans="1:2" ht="46.8">
      <c r="A159" s="718">
        <v>51460</v>
      </c>
      <c r="B159" s="53" t="s">
        <v>3263</v>
      </c>
    </row>
    <row r="160" spans="1:2" ht="15.6">
      <c r="A160" s="718">
        <v>51470</v>
      </c>
      <c r="B160" s="53" t="s">
        <v>3261</v>
      </c>
    </row>
    <row r="161" spans="1:2" ht="31.2">
      <c r="A161" s="718">
        <v>51480</v>
      </c>
      <c r="B161" s="53" t="s">
        <v>3262</v>
      </c>
    </row>
    <row r="162" spans="1:2" ht="46.8">
      <c r="A162" s="718">
        <v>52200</v>
      </c>
      <c r="B162" s="53" t="s">
        <v>2347</v>
      </c>
    </row>
    <row r="163" spans="1:2" ht="31.2">
      <c r="A163" s="718">
        <v>52400</v>
      </c>
      <c r="B163" s="53" t="s">
        <v>2476</v>
      </c>
    </row>
    <row r="164" spans="1:2" ht="31.2">
      <c r="A164" s="718">
        <v>52500</v>
      </c>
      <c r="B164" s="53" t="s">
        <v>2348</v>
      </c>
    </row>
    <row r="165" spans="1:2" ht="31.2">
      <c r="A165" s="718">
        <v>52600</v>
      </c>
      <c r="B165" s="519" t="s">
        <v>2349</v>
      </c>
    </row>
    <row r="166" spans="1:2" ht="46.8">
      <c r="A166" s="718">
        <v>52700</v>
      </c>
      <c r="B166" s="519" t="s">
        <v>2350</v>
      </c>
    </row>
    <row r="167" spans="1:2" ht="46.8">
      <c r="A167" s="718">
        <v>53800</v>
      </c>
      <c r="B167" s="519" t="s">
        <v>2407</v>
      </c>
    </row>
    <row r="168" spans="1:2" ht="46.8">
      <c r="A168" s="718">
        <v>53810</v>
      </c>
      <c r="B168" s="53" t="s">
        <v>2351</v>
      </c>
    </row>
    <row r="169" spans="1:2" ht="31.2">
      <c r="A169" s="718">
        <v>53850</v>
      </c>
      <c r="B169" s="53" t="s">
        <v>2352</v>
      </c>
    </row>
    <row r="170" spans="1:2" ht="15.6">
      <c r="A170" s="718">
        <v>53910</v>
      </c>
      <c r="B170" s="53" t="s">
        <v>2655</v>
      </c>
    </row>
    <row r="171" spans="1:2" ht="46.8">
      <c r="A171" s="718">
        <v>54570</v>
      </c>
      <c r="B171" s="53" t="s">
        <v>3225</v>
      </c>
    </row>
    <row r="172" spans="1:2" ht="15.6">
      <c r="A172" s="718">
        <v>59300</v>
      </c>
      <c r="B172" s="53" t="s">
        <v>2475</v>
      </c>
    </row>
    <row r="173" spans="1:2" ht="31.2">
      <c r="A173" s="718">
        <v>70430</v>
      </c>
      <c r="B173" s="519" t="s">
        <v>2615</v>
      </c>
    </row>
    <row r="174" spans="1:2" ht="31.2">
      <c r="A174" s="718">
        <v>70460</v>
      </c>
      <c r="B174" s="519" t="s">
        <v>2353</v>
      </c>
    </row>
    <row r="175" spans="1:2" ht="31.2">
      <c r="A175" s="718">
        <v>70470</v>
      </c>
      <c r="B175" s="519" t="s">
        <v>2354</v>
      </c>
    </row>
    <row r="176" spans="1:2" ht="15.6">
      <c r="A176" s="718">
        <v>70480</v>
      </c>
      <c r="B176" s="519" t="s">
        <v>2488</v>
      </c>
    </row>
    <row r="177" spans="1:2" ht="15.6">
      <c r="A177" s="718">
        <v>70500</v>
      </c>
      <c r="B177" s="519" t="s">
        <v>2355</v>
      </c>
    </row>
    <row r="178" spans="1:2" ht="31.2">
      <c r="A178" s="718">
        <v>70510</v>
      </c>
      <c r="B178" s="519" t="s">
        <v>2356</v>
      </c>
    </row>
    <row r="179" spans="1:2" ht="31.2">
      <c r="A179" s="718">
        <v>70520</v>
      </c>
      <c r="B179" s="519" t="s">
        <v>2357</v>
      </c>
    </row>
    <row r="180" spans="1:2" ht="31.2">
      <c r="A180" s="718">
        <v>70530</v>
      </c>
      <c r="B180" s="519" t="s">
        <v>2358</v>
      </c>
    </row>
    <row r="181" spans="1:2" ht="15.6">
      <c r="A181" s="718">
        <v>70550</v>
      </c>
      <c r="B181" s="519" t="s">
        <v>2359</v>
      </c>
    </row>
    <row r="182" spans="1:2" ht="31.2">
      <c r="A182" s="718">
        <v>70560</v>
      </c>
      <c r="B182" s="519" t="s">
        <v>2409</v>
      </c>
    </row>
    <row r="183" spans="1:2" ht="31.2">
      <c r="A183" s="718">
        <v>70570</v>
      </c>
      <c r="B183" s="519" t="s">
        <v>2360</v>
      </c>
    </row>
    <row r="184" spans="1:2" ht="31.2">
      <c r="A184" s="718">
        <v>70650</v>
      </c>
      <c r="B184" s="53" t="s">
        <v>2361</v>
      </c>
    </row>
    <row r="185" spans="1:2" ht="31.2">
      <c r="A185" s="718">
        <v>70660</v>
      </c>
      <c r="B185" s="519" t="s">
        <v>2362</v>
      </c>
    </row>
    <row r="186" spans="1:2" ht="15.6">
      <c r="A186" s="718">
        <v>70670</v>
      </c>
      <c r="B186" s="519" t="s">
        <v>2489</v>
      </c>
    </row>
    <row r="187" spans="1:2" ht="31.2">
      <c r="A187" s="718">
        <v>70740</v>
      </c>
      <c r="B187" s="53" t="s">
        <v>2363</v>
      </c>
    </row>
    <row r="188" spans="1:2" ht="31.2">
      <c r="A188" s="718">
        <v>70750</v>
      </c>
      <c r="B188" s="53" t="s">
        <v>2364</v>
      </c>
    </row>
    <row r="189" spans="1:2" ht="31.2">
      <c r="A189" s="718">
        <v>70830</v>
      </c>
      <c r="B189" s="519" t="s">
        <v>2365</v>
      </c>
    </row>
    <row r="190" spans="1:2" ht="31.2">
      <c r="A190" s="718">
        <v>70840</v>
      </c>
      <c r="B190" s="53" t="s">
        <v>2366</v>
      </c>
    </row>
    <row r="191" spans="1:2" ht="46.8">
      <c r="A191" s="718">
        <v>70850</v>
      </c>
      <c r="B191" s="53" t="s">
        <v>2367</v>
      </c>
    </row>
    <row r="192" spans="1:2" ht="15.6">
      <c r="A192" s="718">
        <v>70860</v>
      </c>
      <c r="B192" s="53" t="s">
        <v>2368</v>
      </c>
    </row>
    <row r="193" spans="1:2" ht="31.2">
      <c r="A193" s="718">
        <v>70870</v>
      </c>
      <c r="B193" s="519" t="s">
        <v>2369</v>
      </c>
    </row>
    <row r="194" spans="1:2" ht="15.6">
      <c r="A194" s="718">
        <v>70890</v>
      </c>
      <c r="B194" s="53" t="s">
        <v>2370</v>
      </c>
    </row>
    <row r="195" spans="1:2" ht="15.6">
      <c r="A195" s="718">
        <v>70920</v>
      </c>
      <c r="B195" s="519" t="s">
        <v>2337</v>
      </c>
    </row>
    <row r="196" spans="1:2" ht="31.2">
      <c r="A196" s="718">
        <v>70930</v>
      </c>
      <c r="B196" s="519" t="s">
        <v>2371</v>
      </c>
    </row>
    <row r="197" spans="1:2" ht="31.2">
      <c r="A197" s="718">
        <v>70970</v>
      </c>
      <c r="B197" s="519" t="s">
        <v>2372</v>
      </c>
    </row>
    <row r="198" spans="1:2" ht="15.6">
      <c r="A198" s="718">
        <v>70990</v>
      </c>
      <c r="B198" s="519" t="s">
        <v>2373</v>
      </c>
    </row>
    <row r="199" spans="1:2" ht="31.2">
      <c r="A199" s="718">
        <v>71000</v>
      </c>
      <c r="B199" s="519" t="s">
        <v>2374</v>
      </c>
    </row>
    <row r="200" spans="1:2" ht="15.6">
      <c r="A200" s="718">
        <v>71010</v>
      </c>
      <c r="B200" s="519" t="s">
        <v>2375</v>
      </c>
    </row>
    <row r="201" spans="1:2" ht="46.8">
      <c r="A201" s="718">
        <v>71060</v>
      </c>
      <c r="B201" s="519" t="s">
        <v>2376</v>
      </c>
    </row>
    <row r="202" spans="1:2" ht="31.2">
      <c r="A202" s="718">
        <v>71160</v>
      </c>
      <c r="B202" s="519" t="s">
        <v>2487</v>
      </c>
    </row>
    <row r="203" spans="1:2" ht="31.2">
      <c r="A203" s="718">
        <v>71170</v>
      </c>
      <c r="B203" s="519" t="s">
        <v>2377</v>
      </c>
    </row>
    <row r="204" spans="1:2" ht="31.2">
      <c r="A204" s="718">
        <v>71180</v>
      </c>
      <c r="B204" s="519" t="s">
        <v>2378</v>
      </c>
    </row>
    <row r="205" spans="1:2" ht="31.2">
      <c r="A205" s="718">
        <v>71190</v>
      </c>
      <c r="B205" s="53" t="s">
        <v>3209</v>
      </c>
    </row>
    <row r="206" spans="1:2" ht="31.2">
      <c r="A206" s="718">
        <v>71210</v>
      </c>
      <c r="B206" s="608" t="s">
        <v>3127</v>
      </c>
    </row>
    <row r="207" spans="1:2" ht="31.2">
      <c r="A207" s="718">
        <v>71216</v>
      </c>
      <c r="B207" s="608" t="s">
        <v>3160</v>
      </c>
    </row>
    <row r="208" spans="1:2" ht="31.2">
      <c r="A208" s="718">
        <v>71230</v>
      </c>
      <c r="B208" s="53" t="s">
        <v>2502</v>
      </c>
    </row>
    <row r="209" spans="1:2" ht="31.2">
      <c r="A209" s="718" t="s">
        <v>3200</v>
      </c>
      <c r="B209" s="53" t="s">
        <v>3201</v>
      </c>
    </row>
    <row r="210" spans="1:2" ht="31.2">
      <c r="A210" s="718">
        <v>71430</v>
      </c>
      <c r="B210" s="519" t="s">
        <v>2379</v>
      </c>
    </row>
    <row r="211" spans="1:2" ht="15.6">
      <c r="A211" s="718">
        <v>71450</v>
      </c>
      <c r="B211" s="519" t="s">
        <v>2380</v>
      </c>
    </row>
    <row r="212" spans="1:2" ht="15.6">
      <c r="A212" s="718">
        <v>71690</v>
      </c>
      <c r="B212" s="53" t="s">
        <v>2343</v>
      </c>
    </row>
    <row r="213" spans="1:2" ht="15.6">
      <c r="A213" s="718">
        <v>71700</v>
      </c>
      <c r="B213" s="519" t="s">
        <v>2491</v>
      </c>
    </row>
    <row r="214" spans="1:2" ht="46.8">
      <c r="A214" s="718">
        <v>71860</v>
      </c>
      <c r="B214" s="53" t="s">
        <v>2381</v>
      </c>
    </row>
    <row r="215" spans="1:2" ht="15.6">
      <c r="A215" s="718">
        <v>71970</v>
      </c>
      <c r="B215" s="53" t="s">
        <v>2994</v>
      </c>
    </row>
    <row r="216" spans="1:2" ht="31.2">
      <c r="A216" s="718">
        <v>72010</v>
      </c>
      <c r="B216" s="53" t="s">
        <v>2232</v>
      </c>
    </row>
    <row r="217" spans="1:2" ht="31.2">
      <c r="A217" s="718">
        <v>72040</v>
      </c>
      <c r="B217" s="714" t="s">
        <v>3222</v>
      </c>
    </row>
    <row r="218" spans="1:2" ht="31.2">
      <c r="A218" s="718">
        <v>72150</v>
      </c>
      <c r="B218" s="53" t="s">
        <v>2382</v>
      </c>
    </row>
    <row r="219" spans="1:2" ht="31.2">
      <c r="A219" s="718">
        <v>72170</v>
      </c>
      <c r="B219" s="53" t="s">
        <v>2973</v>
      </c>
    </row>
    <row r="220" spans="1:2" ht="15.6">
      <c r="A220" s="718">
        <v>72280</v>
      </c>
      <c r="B220" s="53" t="s">
        <v>2506</v>
      </c>
    </row>
    <row r="221" spans="1:2" ht="15.6">
      <c r="A221" s="718">
        <v>72290</v>
      </c>
      <c r="B221" s="519" t="s">
        <v>2507</v>
      </c>
    </row>
    <row r="222" spans="1:2" ht="15.6">
      <c r="A222" s="718">
        <v>72440</v>
      </c>
      <c r="B222" s="53" t="s">
        <v>2383</v>
      </c>
    </row>
    <row r="223" spans="1:2" ht="31.2">
      <c r="A223" s="718">
        <v>72446</v>
      </c>
      <c r="B223" s="53" t="s">
        <v>3073</v>
      </c>
    </row>
    <row r="224" spans="1:2" ht="31.2">
      <c r="A224" s="718">
        <v>72470</v>
      </c>
      <c r="B224" s="53" t="s">
        <v>2384</v>
      </c>
    </row>
    <row r="225" spans="1:2" ht="31.2">
      <c r="A225" s="718">
        <v>72550</v>
      </c>
      <c r="B225" s="53" t="s">
        <v>2385</v>
      </c>
    </row>
    <row r="226" spans="1:2" ht="31.2">
      <c r="A226" s="718">
        <v>72560</v>
      </c>
      <c r="B226" s="53" t="s">
        <v>2386</v>
      </c>
    </row>
    <row r="227" spans="1:2" ht="46.8">
      <c r="A227" s="718">
        <v>72610</v>
      </c>
      <c r="B227" s="519" t="s">
        <v>2076</v>
      </c>
    </row>
    <row r="228" spans="1:2" ht="46.8">
      <c r="A228" s="718">
        <v>72880</v>
      </c>
      <c r="B228" s="519" t="s">
        <v>2387</v>
      </c>
    </row>
    <row r="229" spans="1:2" ht="31.2">
      <c r="A229" s="718">
        <v>72940</v>
      </c>
      <c r="B229" s="519" t="s">
        <v>2388</v>
      </c>
    </row>
    <row r="230" spans="1:2" ht="15.6">
      <c r="A230" s="718">
        <v>72970</v>
      </c>
      <c r="B230" s="53" t="s">
        <v>2389</v>
      </c>
    </row>
    <row r="231" spans="1:2" ht="31.2">
      <c r="A231" s="718">
        <v>73000</v>
      </c>
      <c r="B231" s="519" t="s">
        <v>2390</v>
      </c>
    </row>
    <row r="232" spans="1:2" ht="15.6">
      <c r="A232" s="718">
        <v>73040</v>
      </c>
      <c r="B232" s="53" t="s">
        <v>2391</v>
      </c>
    </row>
    <row r="233" spans="1:2" ht="31.2">
      <c r="A233" s="718">
        <v>73110</v>
      </c>
      <c r="B233" s="519" t="s">
        <v>2392</v>
      </c>
    </row>
    <row r="234" spans="1:2" ht="31.2">
      <c r="A234" s="718">
        <v>73140</v>
      </c>
      <c r="B234" s="519" t="s">
        <v>3255</v>
      </c>
    </row>
    <row r="235" spans="1:2" ht="15.6">
      <c r="A235" s="718">
        <v>73230</v>
      </c>
      <c r="B235" s="519" t="s">
        <v>2393</v>
      </c>
    </row>
    <row r="236" spans="1:2" ht="31.2">
      <c r="A236" s="718">
        <v>73260</v>
      </c>
      <c r="B236" s="53" t="s">
        <v>2495</v>
      </c>
    </row>
    <row r="237" spans="1:2" ht="15.6">
      <c r="A237" s="718">
        <v>73280</v>
      </c>
      <c r="B237" s="519" t="s">
        <v>2317</v>
      </c>
    </row>
    <row r="238" spans="1:2" ht="15.6">
      <c r="A238" s="718">
        <v>74390</v>
      </c>
      <c r="B238" s="53" t="s">
        <v>3004</v>
      </c>
    </row>
    <row r="239" spans="1:2" ht="28.5" customHeight="1">
      <c r="A239" s="718">
        <v>74420</v>
      </c>
      <c r="B239" s="53" t="s">
        <v>2658</v>
      </c>
    </row>
    <row r="240" spans="1:2" ht="28.5" customHeight="1">
      <c r="A240" s="718">
        <v>74430</v>
      </c>
      <c r="B240" s="53" t="s">
        <v>3226</v>
      </c>
    </row>
    <row r="241" spans="1:2" ht="27" customHeight="1">
      <c r="A241" s="718">
        <v>74436</v>
      </c>
      <c r="B241" s="53" t="s">
        <v>3195</v>
      </c>
    </row>
    <row r="242" spans="1:2" ht="31.2">
      <c r="A242" s="718">
        <v>74450</v>
      </c>
      <c r="B242" s="53" t="s">
        <v>2657</v>
      </c>
    </row>
    <row r="243" spans="1:2" ht="15.6">
      <c r="A243" s="718">
        <v>74510</v>
      </c>
      <c r="B243" s="53" t="s">
        <v>3265</v>
      </c>
    </row>
    <row r="244" spans="1:2" ht="15.6">
      <c r="A244" s="718">
        <v>74770</v>
      </c>
      <c r="B244" s="53" t="s">
        <v>2937</v>
      </c>
    </row>
    <row r="245" spans="1:2" ht="31.2">
      <c r="A245" s="718">
        <v>74790</v>
      </c>
      <c r="B245" s="53" t="s">
        <v>2648</v>
      </c>
    </row>
    <row r="246" spans="1:2" ht="31.2">
      <c r="A246" s="718">
        <v>74796</v>
      </c>
      <c r="B246" s="53" t="s">
        <v>3074</v>
      </c>
    </row>
    <row r="247" spans="1:2" ht="15.6">
      <c r="A247" s="718">
        <v>74880</v>
      </c>
      <c r="B247" s="53" t="s">
        <v>3260</v>
      </c>
    </row>
    <row r="248" spans="1:2" ht="31.2">
      <c r="A248" s="764">
        <v>75200</v>
      </c>
      <c r="B248" s="531" t="s">
        <v>3221</v>
      </c>
    </row>
    <row r="249" spans="1:2" ht="31.2">
      <c r="A249" s="718" t="s">
        <v>3216</v>
      </c>
      <c r="B249" s="53" t="s">
        <v>3223</v>
      </c>
    </row>
    <row r="250" spans="1:2" ht="15.6">
      <c r="A250" s="718">
        <v>80120</v>
      </c>
      <c r="B250" s="519" t="s">
        <v>2394</v>
      </c>
    </row>
    <row r="251" spans="1:2" ht="31.2">
      <c r="A251" s="718">
        <v>80190</v>
      </c>
      <c r="B251" s="519" t="s">
        <v>2395</v>
      </c>
    </row>
    <row r="252" spans="1:2" ht="31.2">
      <c r="A252" s="718">
        <v>80200</v>
      </c>
      <c r="B252" s="519" t="s">
        <v>2396</v>
      </c>
    </row>
    <row r="253" spans="1:2" ht="31.2">
      <c r="A253" s="729" t="s">
        <v>3207</v>
      </c>
      <c r="B253" s="705" t="s">
        <v>3208</v>
      </c>
    </row>
    <row r="254" spans="1:2" ht="15.6">
      <c r="A254" s="729" t="s">
        <v>3257</v>
      </c>
      <c r="B254" s="705" t="s">
        <v>3256</v>
      </c>
    </row>
    <row r="255" spans="1:2" ht="31.2">
      <c r="A255" s="718" t="s">
        <v>3202</v>
      </c>
      <c r="B255" s="53" t="s">
        <v>3203</v>
      </c>
    </row>
    <row r="256" spans="1:2" ht="31.2">
      <c r="A256" s="718" t="s">
        <v>3204</v>
      </c>
      <c r="B256" s="53" t="s">
        <v>3205</v>
      </c>
    </row>
    <row r="257" spans="1:2" ht="15.6">
      <c r="A257" s="718" t="s">
        <v>3258</v>
      </c>
      <c r="B257" s="53" t="s">
        <v>3256</v>
      </c>
    </row>
    <row r="258" spans="1:2" ht="31.2">
      <c r="A258" s="718" t="s">
        <v>3142</v>
      </c>
      <c r="B258" s="53" t="s">
        <v>2477</v>
      </c>
    </row>
    <row r="259" spans="1:2" ht="31.2">
      <c r="A259" s="718" t="s">
        <v>2989</v>
      </c>
      <c r="B259" s="53" t="s">
        <v>2354</v>
      </c>
    </row>
    <row r="260" spans="1:2" ht="31.2">
      <c r="A260" s="718" t="s">
        <v>3008</v>
      </c>
      <c r="B260" s="53" t="s">
        <v>2361</v>
      </c>
    </row>
    <row r="261" spans="1:2" ht="15.6">
      <c r="A261" s="718" t="s">
        <v>2996</v>
      </c>
      <c r="B261" s="53" t="s">
        <v>2997</v>
      </c>
    </row>
    <row r="262" spans="1:2" ht="15.6">
      <c r="A262" s="718" t="s">
        <v>2982</v>
      </c>
      <c r="B262" s="53" t="s">
        <v>2330</v>
      </c>
    </row>
    <row r="263" spans="1:2" ht="31.2">
      <c r="A263" s="718" t="s">
        <v>3159</v>
      </c>
      <c r="B263" s="608" t="s">
        <v>3128</v>
      </c>
    </row>
    <row r="264" spans="1:2" ht="15.6">
      <c r="A264" s="718" t="s">
        <v>3206</v>
      </c>
      <c r="B264" s="608" t="s">
        <v>2946</v>
      </c>
    </row>
    <row r="265" spans="1:2" ht="31.2">
      <c r="A265" s="718" t="s">
        <v>2983</v>
      </c>
      <c r="B265" s="53" t="s">
        <v>2984</v>
      </c>
    </row>
    <row r="266" spans="1:2" ht="15.6">
      <c r="A266" s="718" t="s">
        <v>3007</v>
      </c>
      <c r="B266" s="53" t="s">
        <v>2343</v>
      </c>
    </row>
    <row r="267" spans="1:2" ht="15.6">
      <c r="A267" s="718" t="s">
        <v>2992</v>
      </c>
      <c r="B267" s="53" t="s">
        <v>2994</v>
      </c>
    </row>
    <row r="268" spans="1:2" ht="31.2">
      <c r="A268" s="718" t="s">
        <v>3129</v>
      </c>
      <c r="B268" s="53" t="s">
        <v>3130</v>
      </c>
    </row>
    <row r="269" spans="1:2" ht="15.6">
      <c r="A269" s="718" t="s">
        <v>3199</v>
      </c>
      <c r="B269" s="53" t="s">
        <v>3075</v>
      </c>
    </row>
    <row r="270" spans="1:2" ht="15.6">
      <c r="A270" s="718" t="s">
        <v>3071</v>
      </c>
      <c r="B270" s="53" t="s">
        <v>3075</v>
      </c>
    </row>
    <row r="271" spans="1:2" ht="46.8">
      <c r="A271" s="718" t="s">
        <v>3003</v>
      </c>
      <c r="B271" s="561" t="s">
        <v>2387</v>
      </c>
    </row>
    <row r="272" spans="1:2" ht="15.6">
      <c r="A272" s="718" t="s">
        <v>2991</v>
      </c>
      <c r="B272" s="53" t="s">
        <v>2993</v>
      </c>
    </row>
    <row r="273" spans="1:2" ht="15.6">
      <c r="A273" s="718" t="s">
        <v>3193</v>
      </c>
      <c r="B273" s="53" t="s">
        <v>3194</v>
      </c>
    </row>
    <row r="274" spans="1:2" ht="15.6">
      <c r="A274" s="718" t="s">
        <v>3072</v>
      </c>
      <c r="B274" s="53" t="s">
        <v>3076</v>
      </c>
    </row>
    <row r="275" spans="1:2" ht="15.6">
      <c r="A275" s="718" t="s">
        <v>3259</v>
      </c>
      <c r="B275" s="53" t="s">
        <v>3260</v>
      </c>
    </row>
    <row r="276" spans="1:2" ht="31.2">
      <c r="A276" s="718" t="s">
        <v>3220</v>
      </c>
      <c r="B276" s="53" t="s">
        <v>3219</v>
      </c>
    </row>
    <row r="277" spans="1:2" ht="31.2">
      <c r="A277" s="718" t="s">
        <v>3217</v>
      </c>
      <c r="B277" s="53" t="s">
        <v>3218</v>
      </c>
    </row>
    <row r="278" spans="1:2" ht="46.8">
      <c r="A278" s="730" t="s">
        <v>3060</v>
      </c>
      <c r="B278" s="53" t="s">
        <v>3133</v>
      </c>
    </row>
    <row r="280" spans="1:2" ht="13.8">
      <c r="A280" s="731"/>
      <c r="B280" s="141"/>
    </row>
    <row r="281" spans="1:2">
      <c r="A281" s="732"/>
      <c r="B281" s="141"/>
    </row>
  </sheetData>
  <pageMargins left="0.70866141732283472" right="0.70866141732283472" top="0.74803149606299213" bottom="0.74803149606299213" header="0.31496062992125984" footer="0.31496062992125984"/>
  <pageSetup paperSize="9" scale="75" orientation="portrait" r:id="rId1"/>
  <legacyDrawing r:id="rId2"/>
</worksheet>
</file>

<file path=xl/worksheets/sheet64.xml><?xml version="1.0" encoding="utf-8"?>
<worksheet xmlns="http://schemas.openxmlformats.org/spreadsheetml/2006/main" xmlns:r="http://schemas.openxmlformats.org/officeDocument/2006/relationships">
  <dimension ref="A1"/>
  <sheetViews>
    <sheetView workbookViewId="0"/>
  </sheetViews>
  <sheetFormatPr defaultRowHeight="13.2"/>
  <sheetData/>
  <pageMargins left="0.7" right="0.7" top="0.75" bottom="0.75" header="0.3" footer="0.3"/>
</worksheet>
</file>

<file path=xl/worksheets/sheet65.xml><?xml version="1.0" encoding="utf-8"?>
<worksheet xmlns="http://schemas.openxmlformats.org/spreadsheetml/2006/main" xmlns:r="http://schemas.openxmlformats.org/officeDocument/2006/relationships">
  <dimension ref="A1"/>
  <sheetViews>
    <sheetView workbookViewId="0"/>
  </sheetViews>
  <sheetFormatPr defaultRowHeight="13.2"/>
  <sheetData/>
  <pageMargins left="0.7" right="0.7" top="0.75" bottom="0.75" header="0.3" footer="0.3"/>
</worksheet>
</file>

<file path=xl/worksheets/sheet7.xml><?xml version="1.0" encoding="utf-8"?>
<worksheet xmlns="http://schemas.openxmlformats.org/spreadsheetml/2006/main" xmlns:r="http://schemas.openxmlformats.org/officeDocument/2006/relationships">
  <sheetPr codeName="Лист7">
    <pageSetUpPr fitToPage="1"/>
  </sheetPr>
  <dimension ref="A1:E48"/>
  <sheetViews>
    <sheetView showGridLines="0" view="pageBreakPreview" topLeftCell="A22" zoomScaleSheetLayoutView="100" workbookViewId="0">
      <selection activeCell="B32" sqref="B32:E32"/>
    </sheetView>
  </sheetViews>
  <sheetFormatPr defaultRowHeight="13.2"/>
  <cols>
    <col min="1" max="1" width="27.6640625" customWidth="1"/>
    <col min="2" max="2" width="18.88671875" customWidth="1"/>
    <col min="3" max="3" width="9" bestFit="1" customWidth="1"/>
    <col min="4" max="4" width="18.5546875" customWidth="1"/>
    <col min="5" max="5" width="12.6640625" bestFit="1" customWidth="1"/>
    <col min="8" max="8" width="43.44140625" customWidth="1"/>
  </cols>
  <sheetData>
    <row r="1" spans="1:5" ht="16.5" customHeight="1">
      <c r="A1" s="782" t="s">
        <v>3134</v>
      </c>
      <c r="B1" s="782"/>
      <c r="C1" s="782"/>
      <c r="D1" s="782"/>
      <c r="E1" s="782"/>
    </row>
    <row r="2" spans="1:5" ht="16.5" customHeight="1">
      <c r="A2" s="782" t="s">
        <v>1069</v>
      </c>
      <c r="B2" s="782"/>
      <c r="C2" s="782"/>
      <c r="D2" s="782"/>
      <c r="E2" s="782"/>
    </row>
    <row r="3" spans="1:5" ht="16.5" customHeight="1">
      <c r="A3" s="782" t="s">
        <v>720</v>
      </c>
      <c r="B3" s="782"/>
      <c r="C3" s="782"/>
      <c r="D3" s="782"/>
      <c r="E3" s="782"/>
    </row>
    <row r="4" spans="1:5" ht="16.5" customHeight="1">
      <c r="A4" s="782" t="s">
        <v>3148</v>
      </c>
      <c r="B4" s="782"/>
      <c r="C4" s="782"/>
      <c r="D4" s="782"/>
      <c r="E4" s="782"/>
    </row>
    <row r="5" spans="1:5" ht="16.5" customHeight="1">
      <c r="A5" s="809"/>
      <c r="B5" s="810"/>
      <c r="C5" s="810"/>
      <c r="D5" s="810"/>
      <c r="E5" s="810"/>
    </row>
    <row r="6" spans="1:5" ht="15.6">
      <c r="A6" s="836"/>
      <c r="B6" s="785"/>
      <c r="C6" s="785"/>
      <c r="D6" s="785"/>
      <c r="E6" s="785"/>
    </row>
    <row r="7" spans="1:5" ht="30" customHeight="1">
      <c r="A7" s="837" t="s">
        <v>2632</v>
      </c>
      <c r="B7" s="838"/>
      <c r="C7" s="838"/>
      <c r="D7" s="838"/>
      <c r="E7" s="838"/>
    </row>
    <row r="8" spans="1:5" ht="15.6">
      <c r="A8" s="137"/>
      <c r="B8" s="1"/>
      <c r="C8" s="1"/>
      <c r="D8" s="1"/>
      <c r="E8" s="1"/>
    </row>
    <row r="9" spans="1:5" ht="15.6" hidden="1">
      <c r="A9" s="813"/>
      <c r="B9" s="785"/>
      <c r="C9" s="785"/>
      <c r="D9" s="785"/>
      <c r="E9" s="785"/>
    </row>
    <row r="10" spans="1:5" ht="33.75" customHeight="1">
      <c r="A10" s="839" t="s">
        <v>2633</v>
      </c>
      <c r="B10" s="838"/>
      <c r="C10" s="838"/>
      <c r="D10" s="838"/>
      <c r="E10" s="838"/>
    </row>
    <row r="11" spans="1:5" ht="16.2" thickBot="1">
      <c r="A11" s="834" t="s">
        <v>23</v>
      </c>
      <c r="B11" s="835"/>
      <c r="C11" s="835"/>
      <c r="D11" s="835"/>
      <c r="E11" s="835"/>
    </row>
    <row r="12" spans="1:5" ht="33" customHeight="1" thickBot="1">
      <c r="A12" s="231" t="s">
        <v>24</v>
      </c>
      <c r="B12" s="817" t="s">
        <v>2415</v>
      </c>
      <c r="C12" s="823"/>
      <c r="D12" s="823"/>
      <c r="E12" s="824"/>
    </row>
    <row r="13" spans="1:5" ht="16.2" thickBot="1">
      <c r="A13" s="232">
        <v>1</v>
      </c>
      <c r="B13" s="817">
        <v>2</v>
      </c>
      <c r="C13" s="815"/>
      <c r="D13" s="815"/>
      <c r="E13" s="816"/>
    </row>
    <row r="14" spans="1:5" ht="31.8" thickBot="1">
      <c r="A14" s="233" t="s">
        <v>2204</v>
      </c>
      <c r="B14" s="800">
        <f>B15-B16</f>
        <v>13556598</v>
      </c>
      <c r="C14" s="801"/>
      <c r="D14" s="801"/>
      <c r="E14" s="802"/>
    </row>
    <row r="15" spans="1:5" ht="20.25" customHeight="1" thickBot="1">
      <c r="A15" s="234" t="s">
        <v>25</v>
      </c>
      <c r="B15" s="805">
        <f>'Пр. 5'!C12+'Пр. 5'!D12</f>
        <v>13556598</v>
      </c>
      <c r="C15" s="801"/>
      <c r="D15" s="801"/>
      <c r="E15" s="802"/>
    </row>
    <row r="16" spans="1:5" ht="18.75" customHeight="1" thickBot="1">
      <c r="A16" s="235" t="s">
        <v>26</v>
      </c>
      <c r="B16" s="804"/>
      <c r="C16" s="801"/>
      <c r="D16" s="801"/>
      <c r="E16" s="802"/>
    </row>
    <row r="17" spans="1:5" ht="16.2" thickBot="1">
      <c r="A17" s="233" t="s">
        <v>27</v>
      </c>
      <c r="B17" s="803">
        <f>B18-B19</f>
        <v>-5155566</v>
      </c>
      <c r="C17" s="801"/>
      <c r="D17" s="801"/>
      <c r="E17" s="802"/>
    </row>
    <row r="18" spans="1:5" ht="18" customHeight="1" thickBot="1">
      <c r="A18" s="236" t="s">
        <v>49</v>
      </c>
      <c r="B18" s="804">
        <v>5000000</v>
      </c>
      <c r="C18" s="801"/>
      <c r="D18" s="801"/>
      <c r="E18" s="802"/>
    </row>
    <row r="19" spans="1:5" ht="16.2" thickBot="1">
      <c r="A19" s="236" t="s">
        <v>26</v>
      </c>
      <c r="B19" s="804">
        <f>-'Пр. 5'!E19</f>
        <v>10155566</v>
      </c>
      <c r="C19" s="801"/>
      <c r="D19" s="801"/>
      <c r="E19" s="802"/>
    </row>
    <row r="20" spans="1:5" ht="16.2" thickBot="1">
      <c r="A20" s="237" t="s">
        <v>28</v>
      </c>
      <c r="B20" s="803">
        <f>B21-B22</f>
        <v>8401032</v>
      </c>
      <c r="C20" s="801"/>
      <c r="D20" s="801"/>
      <c r="E20" s="802"/>
    </row>
    <row r="21" spans="1:5" ht="16.2" thickBot="1">
      <c r="A21" s="238" t="s">
        <v>2205</v>
      </c>
      <c r="B21" s="805">
        <f>B15+B18</f>
        <v>18556598</v>
      </c>
      <c r="C21" s="801"/>
      <c r="D21" s="801"/>
      <c r="E21" s="802"/>
    </row>
    <row r="22" spans="1:5" ht="16.2" thickBot="1">
      <c r="A22" s="238" t="s">
        <v>29</v>
      </c>
      <c r="B22" s="804">
        <f>B16+B19</f>
        <v>10155566</v>
      </c>
      <c r="C22" s="801"/>
      <c r="D22" s="801"/>
      <c r="E22" s="802"/>
    </row>
    <row r="23" spans="1:5" ht="63" thickBot="1">
      <c r="A23" s="239" t="s">
        <v>30</v>
      </c>
      <c r="B23" s="803">
        <f>B20</f>
        <v>8401032</v>
      </c>
      <c r="C23" s="801"/>
      <c r="D23" s="801"/>
      <c r="E23" s="802"/>
    </row>
    <row r="24" spans="1:5" ht="29.25" customHeight="1">
      <c r="A24" s="813" t="s">
        <v>2634</v>
      </c>
      <c r="B24" s="785"/>
      <c r="C24" s="785"/>
      <c r="D24" s="785"/>
      <c r="E24" s="785"/>
    </row>
    <row r="25" spans="1:5" ht="16.2" thickBot="1">
      <c r="A25" s="809" t="s">
        <v>31</v>
      </c>
      <c r="B25" s="810"/>
      <c r="C25" s="810"/>
      <c r="D25" s="810"/>
      <c r="E25" s="810"/>
    </row>
    <row r="26" spans="1:5" ht="16.2" thickBot="1">
      <c r="A26" s="223" t="s">
        <v>32</v>
      </c>
      <c r="B26" s="814" t="s">
        <v>2231</v>
      </c>
      <c r="C26" s="815"/>
      <c r="D26" s="815"/>
      <c r="E26" s="816"/>
    </row>
    <row r="27" spans="1:5" ht="16.2" thickBot="1">
      <c r="A27" s="153">
        <v>1</v>
      </c>
      <c r="B27" s="817">
        <v>2</v>
      </c>
      <c r="C27" s="818"/>
      <c r="D27" s="818"/>
      <c r="E27" s="819"/>
    </row>
    <row r="28" spans="1:5" ht="31.8" thickBot="1">
      <c r="A28" s="156" t="s">
        <v>33</v>
      </c>
      <c r="B28" s="828">
        <f>B43+B21-B22</f>
        <v>52285773</v>
      </c>
      <c r="C28" s="829"/>
      <c r="D28" s="829"/>
      <c r="E28" s="830"/>
    </row>
    <row r="29" spans="1:5" ht="51.75" customHeight="1">
      <c r="A29" s="248" t="s">
        <v>34</v>
      </c>
      <c r="B29" s="831">
        <v>0</v>
      </c>
      <c r="C29" s="832"/>
      <c r="D29" s="832"/>
      <c r="E29" s="833"/>
    </row>
    <row r="30" spans="1:5" ht="18.75" customHeight="1" thickBot="1">
      <c r="A30" s="364"/>
      <c r="B30" s="806" t="s">
        <v>2635</v>
      </c>
      <c r="C30" s="807"/>
      <c r="D30" s="807"/>
      <c r="E30" s="808"/>
    </row>
    <row r="31" spans="1:5" ht="31.8" thickBot="1">
      <c r="A31" s="365" t="s">
        <v>35</v>
      </c>
      <c r="B31" s="797">
        <v>73900000</v>
      </c>
      <c r="C31" s="798"/>
      <c r="D31" s="798"/>
      <c r="E31" s="798"/>
    </row>
    <row r="32" spans="1:5" ht="47.4" thickBot="1">
      <c r="A32" s="365" t="s">
        <v>2462</v>
      </c>
      <c r="B32" s="797">
        <v>1800000</v>
      </c>
      <c r="C32" s="798"/>
      <c r="D32" s="798"/>
      <c r="E32" s="798"/>
    </row>
    <row r="33" spans="1:5" ht="47.4" thickBot="1">
      <c r="A33" s="365" t="s">
        <v>36</v>
      </c>
      <c r="B33" s="797">
        <f>B21</f>
        <v>18556598</v>
      </c>
      <c r="C33" s="798"/>
      <c r="D33" s="798"/>
      <c r="E33" s="798"/>
    </row>
    <row r="34" spans="1:5" ht="59.25" customHeight="1" thickBot="1">
      <c r="A34" s="156" t="s">
        <v>50</v>
      </c>
      <c r="B34" s="828">
        <v>0</v>
      </c>
      <c r="C34" s="829"/>
      <c r="D34" s="829"/>
      <c r="E34" s="830"/>
    </row>
    <row r="35" spans="1:5" ht="69" customHeight="1">
      <c r="A35" s="827" t="s">
        <v>2636</v>
      </c>
      <c r="B35" s="827"/>
      <c r="C35" s="827"/>
      <c r="D35" s="827"/>
      <c r="E35" s="827"/>
    </row>
    <row r="36" spans="1:5" ht="42.75" customHeight="1" thickBot="1">
      <c r="A36" s="799" t="s">
        <v>2206</v>
      </c>
      <c r="B36" s="799"/>
      <c r="C36" s="799"/>
      <c r="D36" s="799"/>
      <c r="E36" s="799"/>
    </row>
    <row r="37" spans="1:5" ht="16.2" thickBot="1">
      <c r="A37" s="820" t="s">
        <v>38</v>
      </c>
      <c r="B37" s="817" t="s">
        <v>39</v>
      </c>
      <c r="C37" s="823"/>
      <c r="D37" s="823"/>
      <c r="E37" s="824"/>
    </row>
    <row r="38" spans="1:5" ht="12.75" customHeight="1">
      <c r="A38" s="821"/>
      <c r="B38" s="825" t="s">
        <v>3067</v>
      </c>
      <c r="C38" s="826"/>
      <c r="D38" s="825" t="s">
        <v>2231</v>
      </c>
      <c r="E38" s="826"/>
    </row>
    <row r="39" spans="1:5" ht="16.2" thickBot="1">
      <c r="A39" s="821"/>
      <c r="B39" s="795"/>
      <c r="C39" s="796"/>
      <c r="D39" s="795" t="s">
        <v>40</v>
      </c>
      <c r="E39" s="796"/>
    </row>
    <row r="40" spans="1:5" ht="16.2" thickBot="1">
      <c r="A40" s="822"/>
      <c r="B40" s="240" t="s">
        <v>41</v>
      </c>
      <c r="C40" s="241" t="s">
        <v>42</v>
      </c>
      <c r="D40" s="240" t="s">
        <v>41</v>
      </c>
      <c r="E40" s="240" t="s">
        <v>42</v>
      </c>
    </row>
    <row r="41" spans="1:5" ht="16.2" thickBot="1">
      <c r="A41" s="242">
        <v>1</v>
      </c>
      <c r="B41" s="240">
        <v>2</v>
      </c>
      <c r="C41" s="240">
        <v>3</v>
      </c>
      <c r="D41" s="240">
        <v>4</v>
      </c>
      <c r="E41" s="240">
        <v>5</v>
      </c>
    </row>
    <row r="42" spans="1:5" ht="31.8" thickBot="1">
      <c r="A42" s="243" t="s">
        <v>43</v>
      </c>
      <c r="B42" s="249"/>
      <c r="C42" s="246">
        <f>B42/B$45</f>
        <v>0</v>
      </c>
      <c r="D42" s="251">
        <f>B14</f>
        <v>13556598</v>
      </c>
      <c r="E42" s="246">
        <f>D42/D$45</f>
        <v>0.25927890556385197</v>
      </c>
    </row>
    <row r="43" spans="1:5" ht="16.2" thickBot="1">
      <c r="A43" s="244" t="s">
        <v>44</v>
      </c>
      <c r="B43" s="250">
        <v>43884741</v>
      </c>
      <c r="C43" s="246">
        <f>B43/B$45</f>
        <v>1</v>
      </c>
      <c r="D43" s="250">
        <f>B43-B19+B18</f>
        <v>38729175</v>
      </c>
      <c r="E43" s="246">
        <f>D43/D$45</f>
        <v>0.74072109443614809</v>
      </c>
    </row>
    <row r="44" spans="1:5" ht="31.8" thickBot="1">
      <c r="A44" s="244" t="s">
        <v>45</v>
      </c>
      <c r="B44" s="250">
        <v>0</v>
      </c>
      <c r="C44" s="246">
        <f>B44/B$45</f>
        <v>0</v>
      </c>
      <c r="D44" s="250">
        <v>0</v>
      </c>
      <c r="E44" s="246">
        <f>D44/D$45</f>
        <v>0</v>
      </c>
    </row>
    <row r="45" spans="1:5" ht="31.8" thickBot="1">
      <c r="A45" s="243" t="s">
        <v>46</v>
      </c>
      <c r="B45" s="251">
        <f>B42+B43+B44</f>
        <v>43884741</v>
      </c>
      <c r="C45" s="246">
        <f>B45/B$45</f>
        <v>1</v>
      </c>
      <c r="D45" s="251">
        <f>D42+D43+D44</f>
        <v>52285773</v>
      </c>
      <c r="E45" s="246">
        <f>D45/D$45</f>
        <v>1</v>
      </c>
    </row>
    <row r="46" spans="1:5" ht="30" customHeight="1">
      <c r="A46" s="811"/>
      <c r="B46" s="812"/>
      <c r="C46" s="812"/>
      <c r="D46" s="812"/>
      <c r="E46" s="812"/>
    </row>
    <row r="47" spans="1:5">
      <c r="A47" s="151"/>
    </row>
    <row r="48" spans="1:5" ht="15.6">
      <c r="A48" s="137"/>
    </row>
  </sheetData>
  <mergeCells count="41">
    <mergeCell ref="A1:E1"/>
    <mergeCell ref="B20:E20"/>
    <mergeCell ref="B21:E21"/>
    <mergeCell ref="A2:E2"/>
    <mergeCell ref="B13:E13"/>
    <mergeCell ref="A11:E11"/>
    <mergeCell ref="B16:E16"/>
    <mergeCell ref="B17:E17"/>
    <mergeCell ref="B18:E18"/>
    <mergeCell ref="B12:E12"/>
    <mergeCell ref="A6:E6"/>
    <mergeCell ref="A4:E4"/>
    <mergeCell ref="A3:E3"/>
    <mergeCell ref="A7:E7"/>
    <mergeCell ref="A10:E10"/>
    <mergeCell ref="A9:E9"/>
    <mergeCell ref="A5:E5"/>
    <mergeCell ref="A46:E46"/>
    <mergeCell ref="A24:E24"/>
    <mergeCell ref="A25:E25"/>
    <mergeCell ref="B26:E26"/>
    <mergeCell ref="B27:E27"/>
    <mergeCell ref="A37:A40"/>
    <mergeCell ref="B37:E37"/>
    <mergeCell ref="D38:E38"/>
    <mergeCell ref="A35:E35"/>
    <mergeCell ref="B38:C39"/>
    <mergeCell ref="B31:E31"/>
    <mergeCell ref="B32:E32"/>
    <mergeCell ref="B34:E34"/>
    <mergeCell ref="B28:E28"/>
    <mergeCell ref="B29:E29"/>
    <mergeCell ref="D39:E39"/>
    <mergeCell ref="B33:E33"/>
    <mergeCell ref="A36:E36"/>
    <mergeCell ref="B14:E14"/>
    <mergeCell ref="B23:E23"/>
    <mergeCell ref="B19:E19"/>
    <mergeCell ref="B15:E15"/>
    <mergeCell ref="B22:E22"/>
    <mergeCell ref="B30:E30"/>
  </mergeCells>
  <phoneticPr fontId="36" type="noConversion"/>
  <pageMargins left="0.70866141732283472" right="0.70866141732283472" top="0.74803149606299213" bottom="0.74803149606299213" header="0.31496062992125984" footer="0.31496062992125984"/>
  <pageSetup paperSize="9" fitToHeight="0" orientation="portrait"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sheetPr codeName="Лист9"/>
  <dimension ref="A1:C171"/>
  <sheetViews>
    <sheetView showGridLines="0" view="pageBreakPreview" zoomScaleSheetLayoutView="100" workbookViewId="0">
      <selection activeCell="A4" sqref="A4:C4"/>
    </sheetView>
  </sheetViews>
  <sheetFormatPr defaultRowHeight="13.2"/>
  <cols>
    <col min="1" max="1" width="5.109375" bestFit="1" customWidth="1"/>
    <col min="2" max="2" width="24.44140625" customWidth="1"/>
    <col min="3" max="3" width="59.109375" customWidth="1"/>
    <col min="8" max="8" width="43.44140625" customWidth="1"/>
  </cols>
  <sheetData>
    <row r="1" spans="1:3" ht="15.6">
      <c r="A1" s="782" t="s">
        <v>1589</v>
      </c>
      <c r="B1" s="782"/>
      <c r="C1" s="782"/>
    </row>
    <row r="2" spans="1:3" ht="15.6">
      <c r="A2" s="782" t="s">
        <v>1069</v>
      </c>
      <c r="B2" s="782"/>
      <c r="C2" s="782"/>
    </row>
    <row r="3" spans="1:3" ht="15.6">
      <c r="A3" s="782" t="s">
        <v>720</v>
      </c>
      <c r="B3" s="782"/>
      <c r="C3" s="782"/>
    </row>
    <row r="4" spans="1:3" ht="15.6">
      <c r="A4" s="782" t="s">
        <v>2478</v>
      </c>
      <c r="B4" s="782"/>
      <c r="C4" s="782"/>
    </row>
    <row r="5" spans="1:3" ht="15.6">
      <c r="A5" s="136"/>
      <c r="B5" s="1"/>
      <c r="C5" s="1"/>
    </row>
    <row r="6" spans="1:3" ht="18" customHeight="1">
      <c r="A6" s="843" t="s">
        <v>2088</v>
      </c>
      <c r="B6" s="843"/>
      <c r="C6" s="843"/>
    </row>
    <row r="7" spans="1:3" ht="15.6">
      <c r="A7" s="137"/>
    </row>
    <row r="8" spans="1:3" ht="15.6">
      <c r="A8" s="844" t="s">
        <v>1212</v>
      </c>
      <c r="B8" s="844"/>
      <c r="C8" s="844"/>
    </row>
    <row r="9" spans="1:3" ht="31.2">
      <c r="A9" s="8">
        <v>950</v>
      </c>
      <c r="B9" s="8" t="s">
        <v>1213</v>
      </c>
      <c r="C9" s="8" t="s">
        <v>1214</v>
      </c>
    </row>
    <row r="10" spans="1:3" ht="31.2">
      <c r="A10" s="8">
        <v>950</v>
      </c>
      <c r="B10" s="258" t="s">
        <v>1576</v>
      </c>
      <c r="C10" s="8" t="s">
        <v>2107</v>
      </c>
    </row>
    <row r="11" spans="1:3" ht="31.2">
      <c r="A11" s="8">
        <v>950</v>
      </c>
      <c r="B11" s="258" t="s">
        <v>1577</v>
      </c>
      <c r="C11" s="8" t="s">
        <v>1578</v>
      </c>
    </row>
    <row r="12" spans="1:3" ht="78">
      <c r="A12" s="259">
        <v>950</v>
      </c>
      <c r="B12" s="8" t="s">
        <v>1579</v>
      </c>
      <c r="C12" s="8" t="s">
        <v>1580</v>
      </c>
    </row>
    <row r="13" spans="1:3" ht="62.4">
      <c r="A13" s="259">
        <v>950</v>
      </c>
      <c r="B13" s="8" t="s">
        <v>1581</v>
      </c>
      <c r="C13" s="8" t="s">
        <v>2028</v>
      </c>
    </row>
    <row r="14" spans="1:3" ht="46.8">
      <c r="A14" s="259">
        <v>950</v>
      </c>
      <c r="B14" s="8" t="s">
        <v>1215</v>
      </c>
      <c r="C14" s="8" t="s">
        <v>1216</v>
      </c>
    </row>
    <row r="15" spans="1:3" ht="31.2">
      <c r="A15" s="259">
        <v>950</v>
      </c>
      <c r="B15" s="258" t="s">
        <v>1217</v>
      </c>
      <c r="C15" s="8" t="s">
        <v>1218</v>
      </c>
    </row>
    <row r="16" spans="1:3" ht="31.2">
      <c r="A16" s="259">
        <v>950</v>
      </c>
      <c r="B16" s="8" t="s">
        <v>1219</v>
      </c>
      <c r="C16" s="8" t="s">
        <v>1437</v>
      </c>
    </row>
    <row r="17" spans="1:3" ht="46.8">
      <c r="A17" s="259">
        <v>950</v>
      </c>
      <c r="B17" s="8" t="s">
        <v>1438</v>
      </c>
      <c r="C17" s="8" t="s">
        <v>1582</v>
      </c>
    </row>
    <row r="18" spans="1:3" ht="31.2">
      <c r="A18" s="259">
        <v>950</v>
      </c>
      <c r="B18" s="8" t="s">
        <v>2029</v>
      </c>
      <c r="C18" s="8" t="s">
        <v>2030</v>
      </c>
    </row>
    <row r="19" spans="1:3" ht="62.4">
      <c r="A19" s="259">
        <v>950</v>
      </c>
      <c r="B19" s="8" t="s">
        <v>1439</v>
      </c>
      <c r="C19" s="8" t="s">
        <v>1440</v>
      </c>
    </row>
    <row r="20" spans="1:3" ht="62.4">
      <c r="A20" s="8">
        <v>950</v>
      </c>
      <c r="B20" s="8" t="s">
        <v>1999</v>
      </c>
      <c r="C20" s="8" t="s">
        <v>2283</v>
      </c>
    </row>
    <row r="21" spans="1:3" ht="46.8">
      <c r="A21" s="259">
        <v>950</v>
      </c>
      <c r="B21" s="8" t="s">
        <v>2090</v>
      </c>
      <c r="C21" s="3" t="s">
        <v>2418</v>
      </c>
    </row>
    <row r="22" spans="1:3" ht="62.4">
      <c r="A22" s="259">
        <v>950</v>
      </c>
      <c r="B22" s="8" t="s">
        <v>1503</v>
      </c>
      <c r="C22" s="3" t="s">
        <v>1504</v>
      </c>
    </row>
    <row r="23" spans="1:3" ht="109.2">
      <c r="A23" s="259">
        <v>950</v>
      </c>
      <c r="B23" s="8" t="s">
        <v>2093</v>
      </c>
      <c r="C23" s="8" t="s">
        <v>2244</v>
      </c>
    </row>
    <row r="24" spans="1:3" ht="78">
      <c r="A24" s="259">
        <v>950</v>
      </c>
      <c r="B24" s="8" t="s">
        <v>2094</v>
      </c>
      <c r="C24" s="8" t="s">
        <v>2095</v>
      </c>
    </row>
    <row r="25" spans="1:3" ht="15.6">
      <c r="A25" s="259">
        <v>950</v>
      </c>
      <c r="B25" s="8" t="s">
        <v>1441</v>
      </c>
      <c r="C25" s="3" t="s">
        <v>1442</v>
      </c>
    </row>
    <row r="26" spans="1:3" ht="55.5" customHeight="1">
      <c r="A26" s="259">
        <v>950</v>
      </c>
      <c r="B26" s="8" t="s">
        <v>1443</v>
      </c>
      <c r="C26" s="8" t="s">
        <v>1858</v>
      </c>
    </row>
    <row r="27" spans="1:3" ht="62.4">
      <c r="A27" s="259">
        <v>950</v>
      </c>
      <c r="B27" s="8" t="s">
        <v>518</v>
      </c>
      <c r="C27" s="8" t="s">
        <v>519</v>
      </c>
    </row>
    <row r="28" spans="1:3" ht="46.8">
      <c r="A28" s="259">
        <v>950</v>
      </c>
      <c r="B28" s="8" t="s">
        <v>1859</v>
      </c>
      <c r="C28" s="8" t="s">
        <v>1860</v>
      </c>
    </row>
    <row r="29" spans="1:3" ht="78">
      <c r="A29" s="258">
        <v>950</v>
      </c>
      <c r="B29" s="258" t="s">
        <v>920</v>
      </c>
      <c r="C29" s="8" t="s">
        <v>921</v>
      </c>
    </row>
    <row r="30" spans="1:3" ht="31.2">
      <c r="A30" s="258">
        <v>950</v>
      </c>
      <c r="B30" s="258" t="s">
        <v>2420</v>
      </c>
      <c r="C30" s="8" t="s">
        <v>923</v>
      </c>
    </row>
    <row r="31" spans="1:3" ht="35.25" customHeight="1">
      <c r="A31" s="844" t="s">
        <v>1861</v>
      </c>
      <c r="B31" s="844"/>
      <c r="C31" s="844"/>
    </row>
    <row r="32" spans="1:3" ht="62.4">
      <c r="A32" s="8">
        <v>952</v>
      </c>
      <c r="B32" s="8" t="s">
        <v>1862</v>
      </c>
      <c r="C32" s="8" t="s">
        <v>1863</v>
      </c>
    </row>
    <row r="33" spans="1:3" ht="93.6">
      <c r="A33" s="8">
        <v>952</v>
      </c>
      <c r="B33" s="8" t="s">
        <v>2103</v>
      </c>
      <c r="C33" s="8" t="s">
        <v>1864</v>
      </c>
    </row>
    <row r="34" spans="1:3" ht="93.6">
      <c r="A34" s="8">
        <v>952</v>
      </c>
      <c r="B34" s="8" t="s">
        <v>1865</v>
      </c>
      <c r="C34" s="8" t="s">
        <v>1866</v>
      </c>
    </row>
    <row r="35" spans="1:3" ht="78">
      <c r="A35" s="8">
        <v>952</v>
      </c>
      <c r="B35" s="8" t="s">
        <v>1867</v>
      </c>
      <c r="C35" s="8" t="s">
        <v>1868</v>
      </c>
    </row>
    <row r="36" spans="1:3" ht="46.8">
      <c r="A36" s="8">
        <v>952</v>
      </c>
      <c r="B36" s="8" t="s">
        <v>2250</v>
      </c>
      <c r="C36" s="8" t="s">
        <v>2251</v>
      </c>
    </row>
    <row r="37" spans="1:3" ht="62.4">
      <c r="A37" s="8">
        <v>952</v>
      </c>
      <c r="B37" s="8" t="s">
        <v>2252</v>
      </c>
      <c r="C37" s="8" t="s">
        <v>2253</v>
      </c>
    </row>
    <row r="38" spans="1:3" ht="93.6">
      <c r="A38" s="8">
        <v>952</v>
      </c>
      <c r="B38" s="8" t="s">
        <v>1869</v>
      </c>
      <c r="C38" s="8" t="s">
        <v>1296</v>
      </c>
    </row>
    <row r="39" spans="1:3" ht="31.2">
      <c r="A39" s="8">
        <v>952</v>
      </c>
      <c r="B39" s="8" t="s">
        <v>1297</v>
      </c>
      <c r="C39" s="8" t="s">
        <v>1298</v>
      </c>
    </row>
    <row r="40" spans="1:3" ht="93.6">
      <c r="A40" s="8">
        <v>952</v>
      </c>
      <c r="B40" s="8" t="s">
        <v>2104</v>
      </c>
      <c r="C40" s="8" t="s">
        <v>1299</v>
      </c>
    </row>
    <row r="41" spans="1:3" ht="109.2">
      <c r="A41" s="8">
        <v>952</v>
      </c>
      <c r="B41" s="8" t="s">
        <v>2105</v>
      </c>
      <c r="C41" s="8" t="s">
        <v>1871</v>
      </c>
    </row>
    <row r="42" spans="1:3" ht="31.2">
      <c r="A42" s="8">
        <v>952</v>
      </c>
      <c r="B42" s="8" t="s">
        <v>1872</v>
      </c>
      <c r="C42" s="8" t="s">
        <v>1873</v>
      </c>
    </row>
    <row r="43" spans="1:3" ht="46.8">
      <c r="A43" s="8">
        <v>952</v>
      </c>
      <c r="B43" s="8" t="s">
        <v>2102</v>
      </c>
      <c r="C43" s="8" t="s">
        <v>1874</v>
      </c>
    </row>
    <row r="44" spans="1:3" ht="62.4">
      <c r="A44" s="8">
        <v>952</v>
      </c>
      <c r="B44" s="8" t="s">
        <v>1875</v>
      </c>
      <c r="C44" s="8" t="s">
        <v>2106</v>
      </c>
    </row>
    <row r="45" spans="1:3" ht="78">
      <c r="A45" s="259">
        <v>952</v>
      </c>
      <c r="B45" s="8" t="s">
        <v>1579</v>
      </c>
      <c r="C45" s="8" t="s">
        <v>1580</v>
      </c>
    </row>
    <row r="46" spans="1:3" ht="62.4">
      <c r="A46" s="259">
        <v>952</v>
      </c>
      <c r="B46" s="8" t="s">
        <v>1581</v>
      </c>
      <c r="C46" s="8" t="s">
        <v>2028</v>
      </c>
    </row>
    <row r="47" spans="1:3" ht="46.8">
      <c r="A47" s="259">
        <v>952</v>
      </c>
      <c r="B47" s="8" t="s">
        <v>1215</v>
      </c>
      <c r="C47" s="8" t="s">
        <v>1216</v>
      </c>
    </row>
    <row r="48" spans="1:3" ht="31.2">
      <c r="A48" s="259">
        <v>952</v>
      </c>
      <c r="B48" s="258" t="s">
        <v>1217</v>
      </c>
      <c r="C48" s="8" t="s">
        <v>1218</v>
      </c>
    </row>
    <row r="49" spans="1:3" ht="31.2">
      <c r="A49" s="259">
        <v>952</v>
      </c>
      <c r="B49" s="8" t="s">
        <v>1219</v>
      </c>
      <c r="C49" s="8" t="s">
        <v>1437</v>
      </c>
    </row>
    <row r="50" spans="1:3" ht="46.8">
      <c r="A50" s="259">
        <v>952</v>
      </c>
      <c r="B50" s="8" t="s">
        <v>1438</v>
      </c>
      <c r="C50" s="8" t="s">
        <v>1582</v>
      </c>
    </row>
    <row r="51" spans="1:3" ht="31.2">
      <c r="A51" s="259">
        <v>952</v>
      </c>
      <c r="B51" s="8" t="s">
        <v>2029</v>
      </c>
      <c r="C51" s="8" t="s">
        <v>2030</v>
      </c>
    </row>
    <row r="52" spans="1:3" ht="62.4">
      <c r="A52" s="259">
        <v>952</v>
      </c>
      <c r="B52" s="8" t="s">
        <v>1439</v>
      </c>
      <c r="C52" s="8" t="s">
        <v>1440</v>
      </c>
    </row>
    <row r="53" spans="1:3" ht="46.8">
      <c r="A53" s="8">
        <v>952</v>
      </c>
      <c r="B53" s="8" t="s">
        <v>1640</v>
      </c>
      <c r="C53" s="8" t="s">
        <v>1641</v>
      </c>
    </row>
    <row r="54" spans="1:3" ht="15.6">
      <c r="A54" s="260">
        <v>952</v>
      </c>
      <c r="B54" s="8" t="s">
        <v>1441</v>
      </c>
      <c r="C54" s="3" t="s">
        <v>1442</v>
      </c>
    </row>
    <row r="55" spans="1:3" ht="15.6">
      <c r="A55" s="851" t="s">
        <v>1071</v>
      </c>
      <c r="B55" s="852"/>
      <c r="C55" s="853"/>
    </row>
    <row r="56" spans="1:3" ht="31.2">
      <c r="A56" s="28">
        <v>953</v>
      </c>
      <c r="B56" s="258" t="s">
        <v>1576</v>
      </c>
      <c r="C56" s="8" t="s">
        <v>2107</v>
      </c>
    </row>
    <row r="57" spans="1:3" ht="31.2">
      <c r="A57" s="260">
        <v>953</v>
      </c>
      <c r="B57" s="258" t="s">
        <v>1577</v>
      </c>
      <c r="C57" s="8" t="s">
        <v>1578</v>
      </c>
    </row>
    <row r="58" spans="1:3" ht="78">
      <c r="A58" s="259">
        <v>953</v>
      </c>
      <c r="B58" s="8" t="s">
        <v>1579</v>
      </c>
      <c r="C58" s="8" t="s">
        <v>1580</v>
      </c>
    </row>
    <row r="59" spans="1:3" ht="62.4">
      <c r="A59" s="259">
        <v>953</v>
      </c>
      <c r="B59" s="8" t="s">
        <v>1581</v>
      </c>
      <c r="C59" s="8" t="s">
        <v>2028</v>
      </c>
    </row>
    <row r="60" spans="1:3" ht="46.8">
      <c r="A60" s="259">
        <v>953</v>
      </c>
      <c r="B60" s="8" t="s">
        <v>1215</v>
      </c>
      <c r="C60" s="8" t="s">
        <v>1216</v>
      </c>
    </row>
    <row r="61" spans="1:3" ht="31.2">
      <c r="A61" s="259">
        <v>953</v>
      </c>
      <c r="B61" s="258" t="s">
        <v>1217</v>
      </c>
      <c r="C61" s="8" t="s">
        <v>1218</v>
      </c>
    </row>
    <row r="62" spans="1:3" ht="31.2">
      <c r="A62" s="259">
        <v>953</v>
      </c>
      <c r="B62" s="8" t="s">
        <v>1219</v>
      </c>
      <c r="C62" s="8" t="s">
        <v>1437</v>
      </c>
    </row>
    <row r="63" spans="1:3" ht="46.8">
      <c r="A63" s="259">
        <v>953</v>
      </c>
      <c r="B63" s="8" t="s">
        <v>1438</v>
      </c>
      <c r="C63" s="8" t="s">
        <v>1582</v>
      </c>
    </row>
    <row r="64" spans="1:3" ht="31.2">
      <c r="A64" s="259">
        <v>953</v>
      </c>
      <c r="B64" s="8" t="s">
        <v>2029</v>
      </c>
      <c r="C64" s="8" t="s">
        <v>2030</v>
      </c>
    </row>
    <row r="65" spans="1:3" ht="62.4">
      <c r="A65" s="259">
        <v>953</v>
      </c>
      <c r="B65" s="8" t="s">
        <v>1439</v>
      </c>
      <c r="C65" s="8" t="s">
        <v>1440</v>
      </c>
    </row>
    <row r="66" spans="1:3" ht="31.2">
      <c r="A66" s="259">
        <v>953</v>
      </c>
      <c r="B66" s="8" t="s">
        <v>2091</v>
      </c>
      <c r="C66" s="8" t="s">
        <v>2092</v>
      </c>
    </row>
    <row r="67" spans="1:3" ht="46.8">
      <c r="A67" s="259">
        <v>953</v>
      </c>
      <c r="B67" s="8" t="s">
        <v>2090</v>
      </c>
      <c r="C67" s="8" t="s">
        <v>2418</v>
      </c>
    </row>
    <row r="68" spans="1:3" ht="62.4">
      <c r="A68" s="259">
        <v>953</v>
      </c>
      <c r="B68" s="8" t="s">
        <v>2259</v>
      </c>
      <c r="C68" s="8" t="s">
        <v>2261</v>
      </c>
    </row>
    <row r="69" spans="1:3" ht="31.2">
      <c r="A69" s="259">
        <v>953</v>
      </c>
      <c r="B69" s="8" t="s">
        <v>2260</v>
      </c>
      <c r="C69" s="8" t="s">
        <v>2262</v>
      </c>
    </row>
    <row r="70" spans="1:3" ht="46.8">
      <c r="A70" s="259">
        <v>953</v>
      </c>
      <c r="B70" s="8" t="s">
        <v>2284</v>
      </c>
      <c r="C70" s="8" t="s">
        <v>2285</v>
      </c>
    </row>
    <row r="71" spans="1:3" ht="15.6">
      <c r="A71" s="259">
        <v>953</v>
      </c>
      <c r="B71" s="8" t="s">
        <v>1441</v>
      </c>
      <c r="C71" s="3" t="s">
        <v>1442</v>
      </c>
    </row>
    <row r="72" spans="1:3" ht="46.8">
      <c r="A72" s="259">
        <v>953</v>
      </c>
      <c r="B72" s="8" t="s">
        <v>1072</v>
      </c>
      <c r="C72" s="8" t="s">
        <v>1073</v>
      </c>
    </row>
    <row r="73" spans="1:3" ht="46.8">
      <c r="A73" s="259">
        <v>953</v>
      </c>
      <c r="B73" s="8" t="s">
        <v>1074</v>
      </c>
      <c r="C73" s="8" t="s">
        <v>1075</v>
      </c>
    </row>
    <row r="74" spans="1:3" ht="46.8">
      <c r="A74" s="259">
        <v>953</v>
      </c>
      <c r="B74" s="8" t="s">
        <v>1859</v>
      </c>
      <c r="C74" s="8" t="s">
        <v>1860</v>
      </c>
    </row>
    <row r="75" spans="1:3" ht="62.4">
      <c r="A75" s="259">
        <v>953</v>
      </c>
      <c r="B75" s="8" t="s">
        <v>1076</v>
      </c>
      <c r="C75" s="8" t="s">
        <v>1077</v>
      </c>
    </row>
    <row r="76" spans="1:3" ht="83.25" customHeight="1">
      <c r="A76" s="259">
        <v>953</v>
      </c>
      <c r="B76" s="8" t="s">
        <v>2460</v>
      </c>
      <c r="C76" s="8" t="s">
        <v>2461</v>
      </c>
    </row>
    <row r="77" spans="1:3" ht="31.2">
      <c r="A77" s="259">
        <v>953</v>
      </c>
      <c r="B77" s="8" t="s">
        <v>1078</v>
      </c>
      <c r="C77" s="8" t="s">
        <v>1079</v>
      </c>
    </row>
    <row r="78" spans="1:3" ht="78">
      <c r="A78" s="259">
        <v>953</v>
      </c>
      <c r="B78" s="8" t="s">
        <v>920</v>
      </c>
      <c r="C78" s="8" t="s">
        <v>921</v>
      </c>
    </row>
    <row r="79" spans="1:3" ht="31.2">
      <c r="A79" s="258">
        <v>953</v>
      </c>
      <c r="B79" s="258" t="s">
        <v>922</v>
      </c>
      <c r="C79" s="8" t="s">
        <v>923</v>
      </c>
    </row>
    <row r="80" spans="1:3" ht="35.25" customHeight="1">
      <c r="A80" s="854" t="s">
        <v>1080</v>
      </c>
      <c r="B80" s="855"/>
      <c r="C80" s="856"/>
    </row>
    <row r="81" spans="1:3" ht="31.2">
      <c r="A81" s="259">
        <v>954</v>
      </c>
      <c r="B81" s="258" t="s">
        <v>1576</v>
      </c>
      <c r="C81" s="8" t="s">
        <v>2107</v>
      </c>
    </row>
    <row r="82" spans="1:3" ht="31.2">
      <c r="A82" s="259">
        <v>954</v>
      </c>
      <c r="B82" s="258" t="s">
        <v>1577</v>
      </c>
      <c r="C82" s="8" t="s">
        <v>1578</v>
      </c>
    </row>
    <row r="83" spans="1:3" ht="78">
      <c r="A83" s="259">
        <v>954</v>
      </c>
      <c r="B83" s="8" t="s">
        <v>1579</v>
      </c>
      <c r="C83" s="8" t="s">
        <v>1580</v>
      </c>
    </row>
    <row r="84" spans="1:3" ht="62.4">
      <c r="A84" s="259">
        <v>954</v>
      </c>
      <c r="B84" s="8" t="s">
        <v>1581</v>
      </c>
      <c r="C84" s="8" t="s">
        <v>2028</v>
      </c>
    </row>
    <row r="85" spans="1:3" ht="46.8">
      <c r="A85" s="259">
        <v>954</v>
      </c>
      <c r="B85" s="8" t="s">
        <v>1215</v>
      </c>
      <c r="C85" s="8" t="s">
        <v>1216</v>
      </c>
    </row>
    <row r="86" spans="1:3" ht="31.2">
      <c r="A86" s="259">
        <v>954</v>
      </c>
      <c r="B86" s="258" t="s">
        <v>1217</v>
      </c>
      <c r="C86" s="8" t="s">
        <v>1218</v>
      </c>
    </row>
    <row r="87" spans="1:3" ht="31.2">
      <c r="A87" s="259">
        <v>954</v>
      </c>
      <c r="B87" s="8" t="s">
        <v>1219</v>
      </c>
      <c r="C87" s="8" t="s">
        <v>1437</v>
      </c>
    </row>
    <row r="88" spans="1:3" ht="46.8">
      <c r="A88" s="259">
        <v>954</v>
      </c>
      <c r="B88" s="8" t="s">
        <v>1438</v>
      </c>
      <c r="C88" s="8" t="s">
        <v>1582</v>
      </c>
    </row>
    <row r="89" spans="1:3" ht="31.2">
      <c r="A89" s="259">
        <v>954</v>
      </c>
      <c r="B89" s="8" t="s">
        <v>2029</v>
      </c>
      <c r="C89" s="8" t="s">
        <v>2030</v>
      </c>
    </row>
    <row r="90" spans="1:3" ht="62.4">
      <c r="A90" s="259">
        <v>954</v>
      </c>
      <c r="B90" s="8" t="s">
        <v>1439</v>
      </c>
      <c r="C90" s="8" t="s">
        <v>1440</v>
      </c>
    </row>
    <row r="91" spans="1:3" ht="46.8">
      <c r="A91" s="259">
        <v>954</v>
      </c>
      <c r="B91" s="8" t="s">
        <v>1081</v>
      </c>
      <c r="C91" s="8" t="s">
        <v>1082</v>
      </c>
    </row>
    <row r="92" spans="1:3" ht="62.4">
      <c r="A92" s="259">
        <v>954</v>
      </c>
      <c r="B92" s="8" t="s">
        <v>1083</v>
      </c>
      <c r="C92" s="8" t="s">
        <v>1084</v>
      </c>
    </row>
    <row r="93" spans="1:3" ht="109.5" customHeight="1">
      <c r="A93" s="259">
        <v>954</v>
      </c>
      <c r="B93" s="8" t="s">
        <v>2464</v>
      </c>
      <c r="C93" s="8" t="s">
        <v>2465</v>
      </c>
    </row>
    <row r="94" spans="1:3" ht="62.4">
      <c r="A94" s="259">
        <v>954</v>
      </c>
      <c r="B94" s="8" t="s">
        <v>1085</v>
      </c>
      <c r="C94" s="8" t="s">
        <v>1086</v>
      </c>
    </row>
    <row r="95" spans="1:3" ht="46.8">
      <c r="A95" s="259">
        <v>954</v>
      </c>
      <c r="B95" s="8" t="s">
        <v>1087</v>
      </c>
      <c r="C95" s="8" t="s">
        <v>1088</v>
      </c>
    </row>
    <row r="96" spans="1:3" ht="46.8">
      <c r="A96" s="259">
        <v>954</v>
      </c>
      <c r="B96" s="8" t="s">
        <v>1859</v>
      </c>
      <c r="C96" s="8" t="s">
        <v>1860</v>
      </c>
    </row>
    <row r="97" spans="1:3" ht="93.6">
      <c r="A97" s="259">
        <v>954</v>
      </c>
      <c r="B97" s="8" t="s">
        <v>1089</v>
      </c>
      <c r="C97" s="8" t="s">
        <v>1090</v>
      </c>
    </row>
    <row r="98" spans="1:3" ht="78">
      <c r="A98" s="259">
        <v>954</v>
      </c>
      <c r="B98" s="8" t="s">
        <v>2258</v>
      </c>
      <c r="C98" s="8" t="s">
        <v>2265</v>
      </c>
    </row>
    <row r="99" spans="1:3" ht="31.2">
      <c r="A99" s="259">
        <v>954</v>
      </c>
      <c r="B99" s="258" t="s">
        <v>922</v>
      </c>
      <c r="C99" s="8" t="s">
        <v>923</v>
      </c>
    </row>
    <row r="100" spans="1:3" ht="46.8">
      <c r="A100" s="259">
        <v>954</v>
      </c>
      <c r="B100" s="8" t="s">
        <v>1091</v>
      </c>
      <c r="C100" s="8" t="s">
        <v>1092</v>
      </c>
    </row>
    <row r="101" spans="1:3" ht="15.6">
      <c r="A101" s="844" t="s">
        <v>1093</v>
      </c>
      <c r="B101" s="844"/>
      <c r="C101" s="844"/>
    </row>
    <row r="102" spans="1:3" ht="31.2">
      <c r="A102" s="8">
        <v>955</v>
      </c>
      <c r="B102" s="258" t="s">
        <v>1094</v>
      </c>
      <c r="C102" s="8" t="s">
        <v>1095</v>
      </c>
    </row>
    <row r="103" spans="1:3" ht="31.2">
      <c r="A103" s="8">
        <v>955</v>
      </c>
      <c r="B103" s="258" t="s">
        <v>1576</v>
      </c>
      <c r="C103" s="8" t="s">
        <v>2107</v>
      </c>
    </row>
    <row r="104" spans="1:3" ht="31.2">
      <c r="A104" s="8">
        <v>955</v>
      </c>
      <c r="B104" s="258" t="s">
        <v>1577</v>
      </c>
      <c r="C104" s="8" t="s">
        <v>1578</v>
      </c>
    </row>
    <row r="105" spans="1:3" ht="46.8">
      <c r="A105" s="8">
        <v>955</v>
      </c>
      <c r="B105" s="258" t="s">
        <v>1096</v>
      </c>
      <c r="C105" s="8" t="s">
        <v>1097</v>
      </c>
    </row>
    <row r="106" spans="1:3" ht="78">
      <c r="A106" s="259">
        <v>955</v>
      </c>
      <c r="B106" s="8" t="s">
        <v>1579</v>
      </c>
      <c r="C106" s="8" t="s">
        <v>1580</v>
      </c>
    </row>
    <row r="107" spans="1:3" ht="62.4">
      <c r="A107" s="259">
        <v>955</v>
      </c>
      <c r="B107" s="8" t="s">
        <v>1581</v>
      </c>
      <c r="C107" s="8" t="s">
        <v>2028</v>
      </c>
    </row>
    <row r="108" spans="1:3" ht="62.4">
      <c r="A108" s="8">
        <v>955</v>
      </c>
      <c r="B108" s="8" t="s">
        <v>2108</v>
      </c>
      <c r="C108" s="8" t="s">
        <v>2109</v>
      </c>
    </row>
    <row r="109" spans="1:3" ht="46.8">
      <c r="A109" s="259">
        <v>955</v>
      </c>
      <c r="B109" s="8" t="s">
        <v>1215</v>
      </c>
      <c r="C109" s="8" t="s">
        <v>1216</v>
      </c>
    </row>
    <row r="110" spans="1:3" ht="31.2">
      <c r="A110" s="8">
        <v>955</v>
      </c>
      <c r="B110" s="258" t="s">
        <v>1217</v>
      </c>
      <c r="C110" s="8" t="s">
        <v>1218</v>
      </c>
    </row>
    <row r="111" spans="1:3" ht="31.2">
      <c r="A111" s="259">
        <v>955</v>
      </c>
      <c r="B111" s="8" t="s">
        <v>1219</v>
      </c>
      <c r="C111" s="8" t="s">
        <v>1437</v>
      </c>
    </row>
    <row r="112" spans="1:3" ht="62.4">
      <c r="A112" s="8">
        <v>955</v>
      </c>
      <c r="B112" s="8" t="s">
        <v>10</v>
      </c>
      <c r="C112" s="8" t="s">
        <v>1098</v>
      </c>
    </row>
    <row r="113" spans="1:3" ht="31.2">
      <c r="A113" s="8">
        <v>955</v>
      </c>
      <c r="B113" s="8" t="s">
        <v>2029</v>
      </c>
      <c r="C113" s="8" t="s">
        <v>2030</v>
      </c>
    </row>
    <row r="114" spans="1:3" ht="62.4">
      <c r="A114" s="8">
        <v>955</v>
      </c>
      <c r="B114" s="8" t="s">
        <v>1439</v>
      </c>
      <c r="C114" s="8" t="s">
        <v>1440</v>
      </c>
    </row>
    <row r="115" spans="1:3" ht="31.2">
      <c r="A115" s="8">
        <v>955</v>
      </c>
      <c r="B115" s="8" t="s">
        <v>1995</v>
      </c>
      <c r="C115" s="8" t="s">
        <v>1996</v>
      </c>
    </row>
    <row r="116" spans="1:3" ht="31.2">
      <c r="A116" s="8">
        <v>955</v>
      </c>
      <c r="B116" s="8" t="s">
        <v>1997</v>
      </c>
      <c r="C116" s="8" t="s">
        <v>1998</v>
      </c>
    </row>
    <row r="117" spans="1:3" ht="15.6">
      <c r="A117" s="8">
        <v>955</v>
      </c>
      <c r="B117" s="8" t="s">
        <v>1441</v>
      </c>
      <c r="C117" s="3" t="s">
        <v>1442</v>
      </c>
    </row>
    <row r="118" spans="1:3" ht="46.8">
      <c r="A118" s="8">
        <v>955</v>
      </c>
      <c r="B118" s="8" t="s">
        <v>2000</v>
      </c>
      <c r="C118" s="8" t="s">
        <v>2001</v>
      </c>
    </row>
    <row r="119" spans="1:3" ht="46.8">
      <c r="A119" s="8">
        <v>955</v>
      </c>
      <c r="B119" s="8" t="s">
        <v>1859</v>
      </c>
      <c r="C119" s="8" t="s">
        <v>2002</v>
      </c>
    </row>
    <row r="120" spans="1:3" ht="62.4">
      <c r="A120" s="8">
        <v>955</v>
      </c>
      <c r="B120" s="8" t="s">
        <v>918</v>
      </c>
      <c r="C120" s="8" t="s">
        <v>919</v>
      </c>
    </row>
    <row r="121" spans="1:3" ht="78">
      <c r="A121" s="8">
        <v>955</v>
      </c>
      <c r="B121" s="8" t="s">
        <v>920</v>
      </c>
      <c r="C121" s="8" t="s">
        <v>921</v>
      </c>
    </row>
    <row r="122" spans="1:3" ht="62.4">
      <c r="A122" s="8">
        <v>955</v>
      </c>
      <c r="B122" s="8" t="s">
        <v>2096</v>
      </c>
      <c r="C122" s="8" t="s">
        <v>2097</v>
      </c>
    </row>
    <row r="123" spans="1:3" ht="31.2">
      <c r="A123" s="8">
        <v>955</v>
      </c>
      <c r="B123" s="8" t="s">
        <v>922</v>
      </c>
      <c r="C123" s="8" t="s">
        <v>923</v>
      </c>
    </row>
    <row r="124" spans="1:3" ht="109.2">
      <c r="A124" s="8">
        <v>955</v>
      </c>
      <c r="B124" s="8" t="s">
        <v>924</v>
      </c>
      <c r="C124" s="8" t="s">
        <v>1498</v>
      </c>
    </row>
    <row r="125" spans="1:3" ht="33.75" customHeight="1">
      <c r="A125" s="845" t="s">
        <v>1499</v>
      </c>
      <c r="B125" s="846"/>
      <c r="C125" s="847"/>
    </row>
    <row r="126" spans="1:3" ht="31.2">
      <c r="A126" s="261">
        <v>956</v>
      </c>
      <c r="B126" s="258" t="s">
        <v>1576</v>
      </c>
      <c r="C126" s="8" t="s">
        <v>2107</v>
      </c>
    </row>
    <row r="127" spans="1:3" ht="31.2">
      <c r="A127" s="261">
        <v>956</v>
      </c>
      <c r="B127" s="258" t="s">
        <v>1577</v>
      </c>
      <c r="C127" s="8" t="s">
        <v>1578</v>
      </c>
    </row>
    <row r="128" spans="1:3" ht="78">
      <c r="A128" s="259">
        <v>956</v>
      </c>
      <c r="B128" s="8" t="s">
        <v>1579</v>
      </c>
      <c r="C128" s="8" t="s">
        <v>1580</v>
      </c>
    </row>
    <row r="129" spans="1:3" ht="62.4">
      <c r="A129" s="259">
        <v>956</v>
      </c>
      <c r="B129" s="8" t="s">
        <v>1581</v>
      </c>
      <c r="C129" s="8" t="s">
        <v>2028</v>
      </c>
    </row>
    <row r="130" spans="1:3" ht="46.8">
      <c r="A130" s="259">
        <v>956</v>
      </c>
      <c r="B130" s="8" t="s">
        <v>1215</v>
      </c>
      <c r="C130" s="8" t="s">
        <v>1216</v>
      </c>
    </row>
    <row r="131" spans="1:3" ht="31.2">
      <c r="A131" s="259">
        <v>956</v>
      </c>
      <c r="B131" s="258" t="s">
        <v>1217</v>
      </c>
      <c r="C131" s="8" t="s">
        <v>1218</v>
      </c>
    </row>
    <row r="132" spans="1:3" ht="31.2">
      <c r="A132" s="259">
        <v>956</v>
      </c>
      <c r="B132" s="8" t="s">
        <v>1219</v>
      </c>
      <c r="C132" s="8" t="s">
        <v>1437</v>
      </c>
    </row>
    <row r="133" spans="1:3" ht="46.8">
      <c r="A133" s="259">
        <v>956</v>
      </c>
      <c r="B133" s="8" t="s">
        <v>1438</v>
      </c>
      <c r="C133" s="8" t="s">
        <v>1582</v>
      </c>
    </row>
    <row r="134" spans="1:3" ht="31.2">
      <c r="A134" s="259">
        <v>956</v>
      </c>
      <c r="B134" s="8" t="s">
        <v>2029</v>
      </c>
      <c r="C134" s="8" t="s">
        <v>2030</v>
      </c>
    </row>
    <row r="135" spans="1:3" ht="62.4">
      <c r="A135" s="259">
        <v>956</v>
      </c>
      <c r="B135" s="8" t="s">
        <v>1439</v>
      </c>
      <c r="C135" s="8" t="s">
        <v>1440</v>
      </c>
    </row>
    <row r="136" spans="1:3" ht="51.75" customHeight="1">
      <c r="A136" s="259">
        <v>956</v>
      </c>
      <c r="B136" s="8" t="s">
        <v>1500</v>
      </c>
      <c r="C136" s="8" t="s">
        <v>2418</v>
      </c>
    </row>
    <row r="137" spans="1:3" ht="15.6">
      <c r="A137" s="8">
        <v>956</v>
      </c>
      <c r="B137" s="8" t="s">
        <v>1441</v>
      </c>
      <c r="C137" s="3" t="s">
        <v>1442</v>
      </c>
    </row>
    <row r="138" spans="1:3" ht="78">
      <c r="A138" s="8">
        <v>956</v>
      </c>
      <c r="B138" s="8" t="s">
        <v>920</v>
      </c>
      <c r="C138" s="3" t="s">
        <v>921</v>
      </c>
    </row>
    <row r="139" spans="1:3" ht="78">
      <c r="A139" s="8">
        <v>956</v>
      </c>
      <c r="B139" s="8" t="s">
        <v>2266</v>
      </c>
      <c r="C139" s="3" t="s">
        <v>2267</v>
      </c>
    </row>
    <row r="140" spans="1:3" ht="62.4">
      <c r="A140" s="8">
        <v>956</v>
      </c>
      <c r="B140" s="8" t="s">
        <v>2268</v>
      </c>
      <c r="C140" s="3" t="s">
        <v>2269</v>
      </c>
    </row>
    <row r="141" spans="1:3" ht="62.4">
      <c r="A141" s="8">
        <v>956</v>
      </c>
      <c r="B141" s="8" t="s">
        <v>2270</v>
      </c>
      <c r="C141" s="3" t="s">
        <v>2271</v>
      </c>
    </row>
    <row r="142" spans="1:3" ht="46.8">
      <c r="A142" s="259">
        <v>956</v>
      </c>
      <c r="B142" s="8" t="s">
        <v>1501</v>
      </c>
      <c r="C142" s="3" t="s">
        <v>1502</v>
      </c>
    </row>
    <row r="143" spans="1:3" ht="31.2">
      <c r="A143" s="258">
        <v>956</v>
      </c>
      <c r="B143" s="8" t="s">
        <v>922</v>
      </c>
      <c r="C143" s="8" t="s">
        <v>923</v>
      </c>
    </row>
    <row r="144" spans="1:3" ht="35.25" customHeight="1">
      <c r="A144" s="848" t="s">
        <v>1505</v>
      </c>
      <c r="B144" s="849"/>
      <c r="C144" s="850"/>
    </row>
    <row r="145" spans="1:3" ht="31.2">
      <c r="A145" s="260">
        <v>958</v>
      </c>
      <c r="B145" s="258" t="s">
        <v>1576</v>
      </c>
      <c r="C145" s="8" t="s">
        <v>2107</v>
      </c>
    </row>
    <row r="146" spans="1:3" ht="31.2">
      <c r="A146" s="260">
        <v>958</v>
      </c>
      <c r="B146" s="258" t="s">
        <v>1577</v>
      </c>
      <c r="C146" s="8" t="s">
        <v>1578</v>
      </c>
    </row>
    <row r="147" spans="1:3" ht="78">
      <c r="A147" s="259">
        <v>958</v>
      </c>
      <c r="B147" s="8" t="s">
        <v>1579</v>
      </c>
      <c r="C147" s="8" t="s">
        <v>1580</v>
      </c>
    </row>
    <row r="148" spans="1:3" ht="62.4">
      <c r="A148" s="259">
        <v>958</v>
      </c>
      <c r="B148" s="8" t="s">
        <v>1581</v>
      </c>
      <c r="C148" s="8" t="s">
        <v>2028</v>
      </c>
    </row>
    <row r="149" spans="1:3" ht="109.2">
      <c r="A149" s="259">
        <v>958</v>
      </c>
      <c r="B149" s="8" t="s">
        <v>2272</v>
      </c>
      <c r="C149" s="8" t="s">
        <v>2273</v>
      </c>
    </row>
    <row r="150" spans="1:3" ht="46.8">
      <c r="A150" s="259">
        <v>958</v>
      </c>
      <c r="B150" s="8" t="s">
        <v>1215</v>
      </c>
      <c r="C150" s="8" t="s">
        <v>1216</v>
      </c>
    </row>
    <row r="151" spans="1:3" ht="31.2">
      <c r="A151" s="259">
        <v>958</v>
      </c>
      <c r="B151" s="258" t="s">
        <v>1217</v>
      </c>
      <c r="C151" s="8" t="s">
        <v>1218</v>
      </c>
    </row>
    <row r="152" spans="1:3" ht="31.2">
      <c r="A152" s="259">
        <v>958</v>
      </c>
      <c r="B152" s="8" t="s">
        <v>1219</v>
      </c>
      <c r="C152" s="8" t="s">
        <v>1437</v>
      </c>
    </row>
    <row r="153" spans="1:3" ht="46.8">
      <c r="A153" s="259">
        <v>958</v>
      </c>
      <c r="B153" s="8" t="s">
        <v>1438</v>
      </c>
      <c r="C153" s="8" t="s">
        <v>1582</v>
      </c>
    </row>
    <row r="154" spans="1:3" ht="31.2">
      <c r="A154" s="259">
        <v>958</v>
      </c>
      <c r="B154" s="8" t="s">
        <v>2029</v>
      </c>
      <c r="C154" s="8" t="s">
        <v>2030</v>
      </c>
    </row>
    <row r="155" spans="1:3" ht="62.4">
      <c r="A155" s="259">
        <v>958</v>
      </c>
      <c r="B155" s="8" t="s">
        <v>1439</v>
      </c>
      <c r="C155" s="8" t="s">
        <v>1440</v>
      </c>
    </row>
    <row r="156" spans="1:3" ht="31.2">
      <c r="A156" s="259">
        <v>958</v>
      </c>
      <c r="B156" s="8" t="s">
        <v>1574</v>
      </c>
      <c r="C156" s="8" t="s">
        <v>1575</v>
      </c>
    </row>
    <row r="157" spans="1:3" ht="78">
      <c r="A157" s="259">
        <v>958</v>
      </c>
      <c r="B157" s="8" t="s">
        <v>2249</v>
      </c>
      <c r="C157" s="8" t="s">
        <v>2248</v>
      </c>
    </row>
    <row r="158" spans="1:3" ht="78">
      <c r="A158" s="259">
        <v>958</v>
      </c>
      <c r="B158" s="8" t="s">
        <v>2246</v>
      </c>
      <c r="C158" s="8" t="s">
        <v>2247</v>
      </c>
    </row>
    <row r="159" spans="1:3" ht="31.2">
      <c r="A159" s="259">
        <v>958</v>
      </c>
      <c r="B159" s="8" t="s">
        <v>2091</v>
      </c>
      <c r="C159" s="8" t="s">
        <v>2092</v>
      </c>
    </row>
    <row r="160" spans="1:3" ht="46.8">
      <c r="A160" s="259">
        <v>958</v>
      </c>
      <c r="B160" s="8" t="s">
        <v>1500</v>
      </c>
      <c r="C160" s="8" t="s">
        <v>2419</v>
      </c>
    </row>
    <row r="161" spans="1:3" ht="46.8">
      <c r="A161" s="259">
        <v>958</v>
      </c>
      <c r="B161" s="8" t="s">
        <v>2254</v>
      </c>
      <c r="C161" s="8" t="s">
        <v>2255</v>
      </c>
    </row>
    <row r="162" spans="1:3" ht="78">
      <c r="A162" s="259">
        <v>958</v>
      </c>
      <c r="B162" s="8" t="s">
        <v>2098</v>
      </c>
      <c r="C162" s="8" t="s">
        <v>2099</v>
      </c>
    </row>
    <row r="163" spans="1:3" ht="46.8">
      <c r="A163" s="259">
        <v>958</v>
      </c>
      <c r="B163" s="8" t="s">
        <v>2100</v>
      </c>
      <c r="C163" s="8" t="s">
        <v>2101</v>
      </c>
    </row>
    <row r="164" spans="1:3" ht="46.8">
      <c r="A164" s="258">
        <v>958</v>
      </c>
      <c r="B164" s="258" t="s">
        <v>2256</v>
      </c>
      <c r="C164" s="8" t="s">
        <v>2257</v>
      </c>
    </row>
    <row r="165" spans="1:3" ht="46.8">
      <c r="A165" s="258">
        <v>958</v>
      </c>
      <c r="B165" s="258" t="s">
        <v>2263</v>
      </c>
      <c r="C165" s="8" t="s">
        <v>2264</v>
      </c>
    </row>
    <row r="166" spans="1:3" ht="15.6">
      <c r="A166" s="259">
        <v>958</v>
      </c>
      <c r="B166" s="8" t="s">
        <v>1441</v>
      </c>
      <c r="C166" s="8" t="s">
        <v>1442</v>
      </c>
    </row>
    <row r="167" spans="1:3" ht="78">
      <c r="A167" s="259">
        <v>958</v>
      </c>
      <c r="B167" s="8" t="s">
        <v>2245</v>
      </c>
      <c r="C167" s="8" t="s">
        <v>921</v>
      </c>
    </row>
    <row r="168" spans="1:3" ht="31.2">
      <c r="A168" s="259">
        <v>958</v>
      </c>
      <c r="B168" s="8" t="s">
        <v>922</v>
      </c>
      <c r="C168" s="8" t="s">
        <v>923</v>
      </c>
    </row>
    <row r="169" spans="1:3" ht="31.2" hidden="1">
      <c r="A169" s="140">
        <v>979</v>
      </c>
      <c r="B169" s="138" t="s">
        <v>1574</v>
      </c>
      <c r="C169" s="3" t="s">
        <v>1575</v>
      </c>
    </row>
    <row r="170" spans="1:3" ht="15.6">
      <c r="A170" s="840" t="s">
        <v>2459</v>
      </c>
      <c r="B170" s="841"/>
      <c r="C170" s="842"/>
    </row>
    <row r="171" spans="1:3" ht="78">
      <c r="A171" s="258">
        <v>982</v>
      </c>
      <c r="B171" s="8" t="s">
        <v>2245</v>
      </c>
      <c r="C171" s="8" t="s">
        <v>921</v>
      </c>
    </row>
  </sheetData>
  <mergeCells count="13">
    <mergeCell ref="A170:C170"/>
    <mergeCell ref="A6:C6"/>
    <mergeCell ref="A8:C8"/>
    <mergeCell ref="A1:C1"/>
    <mergeCell ref="A2:C2"/>
    <mergeCell ref="A3:C3"/>
    <mergeCell ref="A4:C4"/>
    <mergeCell ref="A125:C125"/>
    <mergeCell ref="A144:C144"/>
    <mergeCell ref="A31:C31"/>
    <mergeCell ref="A55:C55"/>
    <mergeCell ref="A80:C80"/>
    <mergeCell ref="A101:C101"/>
  </mergeCells>
  <phoneticPr fontId="36" type="noConversion"/>
  <pageMargins left="0.70866141732283472" right="0.70866141732283472" top="0.74803149606299213" bottom="0.74803149606299213" header="0.31496062992125984" footer="0.31496062992125984"/>
  <pageSetup paperSize="9" fitToHeight="0" orientation="portrait"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sheetPr codeName="Лист10"/>
  <dimension ref="A1:C19"/>
  <sheetViews>
    <sheetView showGridLines="0" view="pageBreakPreview" zoomScaleSheetLayoutView="100" workbookViewId="0">
      <selection activeCell="A4" sqref="A4:C4"/>
    </sheetView>
  </sheetViews>
  <sheetFormatPr defaultRowHeight="13.2"/>
  <cols>
    <col min="2" max="2" width="28.5546875" customWidth="1"/>
    <col min="3" max="3" width="47.5546875" customWidth="1"/>
    <col min="8" max="8" width="43.44140625" customWidth="1"/>
  </cols>
  <sheetData>
    <row r="1" spans="1:3" ht="15.6">
      <c r="A1" s="782" t="s">
        <v>1590</v>
      </c>
      <c r="B1" s="782"/>
      <c r="C1" s="782"/>
    </row>
    <row r="2" spans="1:3" ht="15.6">
      <c r="A2" s="782" t="s">
        <v>1069</v>
      </c>
      <c r="B2" s="782"/>
      <c r="C2" s="782"/>
    </row>
    <row r="3" spans="1:3" ht="15.6">
      <c r="A3" s="782" t="s">
        <v>720</v>
      </c>
      <c r="B3" s="782"/>
      <c r="C3" s="782"/>
    </row>
    <row r="4" spans="1:3" ht="15.6">
      <c r="A4" s="782" t="s">
        <v>2479</v>
      </c>
      <c r="B4" s="782"/>
      <c r="C4" s="782"/>
    </row>
    <row r="5" spans="1:3" ht="15.6">
      <c r="A5" s="136"/>
      <c r="B5" s="1"/>
      <c r="C5" s="1"/>
    </row>
    <row r="6" spans="1:3" ht="39" customHeight="1">
      <c r="A6" s="843" t="s">
        <v>2089</v>
      </c>
      <c r="B6" s="843"/>
      <c r="C6" s="843"/>
    </row>
    <row r="7" spans="1:3" ht="17.399999999999999">
      <c r="A7" s="857"/>
      <c r="B7" s="857"/>
      <c r="C7" s="857"/>
    </row>
    <row r="8" spans="1:3" ht="15.6">
      <c r="A8" s="844" t="s">
        <v>1093</v>
      </c>
      <c r="B8" s="844"/>
      <c r="C8" s="844"/>
    </row>
    <row r="9" spans="1:3" ht="46.8">
      <c r="A9" s="138">
        <v>955</v>
      </c>
      <c r="B9" s="138" t="s">
        <v>1099</v>
      </c>
      <c r="C9" s="103" t="s">
        <v>1535</v>
      </c>
    </row>
    <row r="10" spans="1:3" ht="46.8">
      <c r="A10" s="138">
        <v>955</v>
      </c>
      <c r="B10" s="138" t="s">
        <v>1100</v>
      </c>
      <c r="C10" s="103" t="s">
        <v>1622</v>
      </c>
    </row>
    <row r="11" spans="1:3" ht="62.4">
      <c r="A11" s="138">
        <v>955</v>
      </c>
      <c r="B11" s="138" t="s">
        <v>2236</v>
      </c>
      <c r="C11" s="103" t="s">
        <v>1101</v>
      </c>
    </row>
    <row r="12" spans="1:3" ht="62.4">
      <c r="A12" s="138">
        <v>955</v>
      </c>
      <c r="B12" s="138" t="s">
        <v>2237</v>
      </c>
      <c r="C12" s="103" t="s">
        <v>1102</v>
      </c>
    </row>
    <row r="13" spans="1:3" ht="31.2">
      <c r="A13" s="138">
        <v>955</v>
      </c>
      <c r="B13" s="138" t="s">
        <v>1993</v>
      </c>
      <c r="C13" s="103" t="s">
        <v>1032</v>
      </c>
    </row>
    <row r="14" spans="1:3" ht="31.2">
      <c r="A14" s="138">
        <v>955</v>
      </c>
      <c r="B14" s="138" t="s">
        <v>1994</v>
      </c>
      <c r="C14" s="103" t="s">
        <v>380</v>
      </c>
    </row>
    <row r="15" spans="1:3" ht="130.5" customHeight="1">
      <c r="A15" s="138">
        <v>955</v>
      </c>
      <c r="B15" s="138" t="s">
        <v>2165</v>
      </c>
      <c r="C15" s="103" t="s">
        <v>2166</v>
      </c>
    </row>
    <row r="16" spans="1:3" ht="62.4">
      <c r="A16" s="138">
        <v>955</v>
      </c>
      <c r="B16" s="138" t="s">
        <v>2167</v>
      </c>
      <c r="C16" s="103" t="s">
        <v>2168</v>
      </c>
    </row>
    <row r="17" spans="1:3" ht="78">
      <c r="A17" s="138">
        <v>955</v>
      </c>
      <c r="B17" s="138" t="s">
        <v>2169</v>
      </c>
      <c r="C17" s="103" t="s">
        <v>2170</v>
      </c>
    </row>
    <row r="18" spans="1:3" ht="62.4">
      <c r="A18" s="139">
        <v>955</v>
      </c>
      <c r="B18" s="139" t="s">
        <v>2171</v>
      </c>
      <c r="C18" s="53" t="s">
        <v>2172</v>
      </c>
    </row>
    <row r="19" spans="1:3" ht="62.4">
      <c r="A19" s="139">
        <v>955</v>
      </c>
      <c r="B19" s="139" t="s">
        <v>2173</v>
      </c>
      <c r="C19" s="53" t="s">
        <v>2174</v>
      </c>
    </row>
  </sheetData>
  <mergeCells count="7">
    <mergeCell ref="A8:C8"/>
    <mergeCell ref="A1:C1"/>
    <mergeCell ref="A2:C2"/>
    <mergeCell ref="A3:C3"/>
    <mergeCell ref="A4:C4"/>
    <mergeCell ref="A6:C6"/>
    <mergeCell ref="A7:C7"/>
  </mergeCells>
  <phoneticPr fontId="36" type="noConversion"/>
  <pageMargins left="0.70866141732283472" right="0.70866141732283472" top="0.74803149606299213" bottom="0.74803149606299213" header="0.31496062992125984" footer="0.31496062992125984"/>
  <pageSetup paperSize="9" fitToHeight="0" orientation="portrait"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65</vt:i4>
      </vt:variant>
      <vt:variant>
        <vt:lpstr>Именованные диапазоны</vt:lpstr>
      </vt:variant>
      <vt:variant>
        <vt:i4>29</vt:i4>
      </vt:variant>
    </vt:vector>
  </HeadingPairs>
  <TitlesOfParts>
    <vt:vector size="94" baseType="lpstr">
      <vt:lpstr>Пр.1</vt:lpstr>
      <vt:lpstr>Пр.2</vt:lpstr>
      <vt:lpstr>Пр.3</vt:lpstr>
      <vt:lpstr>Пр. 4</vt:lpstr>
      <vt:lpstr>Пр. 5</vt:lpstr>
      <vt:lpstr>Пр.6</vt:lpstr>
      <vt:lpstr>Пр.7</vt:lpstr>
      <vt:lpstr>Пр_9</vt:lpstr>
      <vt:lpstr>Пр_10</vt:lpstr>
      <vt:lpstr>Пр8</vt:lpstr>
      <vt:lpstr>Пр9</vt:lpstr>
      <vt:lpstr>Пр10</vt:lpstr>
      <vt:lpstr>Пр11</vt:lpstr>
      <vt:lpstr>Пр. 9</vt:lpstr>
      <vt:lpstr>Пр.10</vt:lpstr>
      <vt:lpstr>Пр. 11</vt:lpstr>
      <vt:lpstr>Пр12_</vt:lpstr>
      <vt:lpstr>Пр_15</vt:lpstr>
      <vt:lpstr>Пр_16</vt:lpstr>
      <vt:lpstr>Пр3</vt:lpstr>
      <vt:lpstr>Пр.12</vt:lpstr>
      <vt:lpstr>Пр13</vt:lpstr>
      <vt:lpstr>Пр_18</vt:lpstr>
      <vt:lpstr>Пр_19</vt:lpstr>
      <vt:lpstr>Пр20</vt:lpstr>
      <vt:lpstr>Пр_20</vt:lpstr>
      <vt:lpstr>Пр_21</vt:lpstr>
      <vt:lpstr>Пр_22</vt:lpstr>
      <vt:lpstr>Пр_23</vt:lpstr>
      <vt:lpstr>Пр 10.</vt:lpstr>
      <vt:lpstr>КВСР</vt:lpstr>
      <vt:lpstr>КВР</vt:lpstr>
      <vt:lpstr>20</vt:lpstr>
      <vt:lpstr>21</vt:lpstr>
      <vt:lpstr>22</vt:lpstr>
      <vt:lpstr>Лист1</vt:lpstr>
      <vt:lpstr>Лист2</vt:lpstr>
      <vt:lpstr>Пр13-</vt:lpstr>
      <vt:lpstr>Пр14-</vt:lpstr>
      <vt:lpstr>Лист3</vt:lpstr>
      <vt:lpstr>Лист4</vt:lpstr>
      <vt:lpstr>Лист5</vt:lpstr>
      <vt:lpstr>LOG</vt:lpstr>
      <vt:lpstr>Пр16</vt:lpstr>
      <vt:lpstr>Пр17</vt:lpstr>
      <vt:lpstr>Пр.18</vt:lpstr>
      <vt:lpstr>Пр19</vt:lpstr>
      <vt:lpstr>Пр.21</vt:lpstr>
      <vt:lpstr>КФСР</vt:lpstr>
      <vt:lpstr>КЦСР</vt:lpstr>
      <vt:lpstr>Лист6</vt:lpstr>
      <vt:lpstr>Лист7</vt:lpstr>
      <vt:lpstr>Лист8</vt:lpstr>
      <vt:lpstr>Пр.13</vt:lpstr>
      <vt:lpstr>Пр.14</vt:lpstr>
      <vt:lpstr>Пр.15</vt:lpstr>
      <vt:lpstr>Пр.16</vt:lpstr>
      <vt:lpstr>Пр.17</vt:lpstr>
      <vt:lpstr>Программа</vt:lpstr>
      <vt:lpstr>Лист9</vt:lpstr>
      <vt:lpstr>Пр 13</vt:lpstr>
      <vt:lpstr>Пр 14</vt:lpstr>
      <vt:lpstr>Направление</vt:lpstr>
      <vt:lpstr>Лист10</vt:lpstr>
      <vt:lpstr>Лист11</vt:lpstr>
      <vt:lpstr>Пр.7!_GoBack</vt:lpstr>
      <vt:lpstr>КВР!Область_печати</vt:lpstr>
      <vt:lpstr>КВСР!Область_печати</vt:lpstr>
      <vt:lpstr>КФСР!Область_печати</vt:lpstr>
      <vt:lpstr>КЦСР!Область_печати</vt:lpstr>
      <vt:lpstr>'Пр. 11'!Область_печати</vt:lpstr>
      <vt:lpstr>'Пр. 4'!Область_печати</vt:lpstr>
      <vt:lpstr>'Пр. 5'!Область_печати</vt:lpstr>
      <vt:lpstr>'Пр. 9'!Область_печати</vt:lpstr>
      <vt:lpstr>Пр.1!Область_печати</vt:lpstr>
      <vt:lpstr>Пр.10!Область_печати</vt:lpstr>
      <vt:lpstr>Пр.12!Область_печати</vt:lpstr>
      <vt:lpstr>Пр.13!Область_печати</vt:lpstr>
      <vt:lpstr>Пр.14!Область_печати</vt:lpstr>
      <vt:lpstr>Пр.16!Область_печати</vt:lpstr>
      <vt:lpstr>Пр.18!Область_печати</vt:lpstr>
      <vt:lpstr>Пр.2!Область_печати</vt:lpstr>
      <vt:lpstr>Пр.3!Область_печати</vt:lpstr>
      <vt:lpstr>Пр.6!Область_печати</vt:lpstr>
      <vt:lpstr>Пр.7!Область_печати</vt:lpstr>
      <vt:lpstr>Пр_15!Область_печати</vt:lpstr>
      <vt:lpstr>Пр_16!Область_печати</vt:lpstr>
      <vt:lpstr>Пр_18!Область_печати</vt:lpstr>
      <vt:lpstr>Пр_20!Область_печати</vt:lpstr>
      <vt:lpstr>Пр_23!Область_печати</vt:lpstr>
      <vt:lpstr>Пр_9!Область_печати</vt:lpstr>
      <vt:lpstr>Пр12_!Область_печати</vt:lpstr>
      <vt:lpstr>Пр8!Область_печати</vt:lpstr>
      <vt:lpstr>Пр9!Область_печати</vt:lpstr>
    </vt:vector>
  </TitlesOfParts>
  <Manager>Минин А.А.</Manager>
  <Company>Департамент финансов администрации Тутаевского муниципального района</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Бюджет 2014 года</dc:title>
  <dc:subject>Бюджет 2014 года</dc:subject>
  <dc:creator>Савичев И.А.</dc:creator>
  <cp:lastModifiedBy>Шипина</cp:lastModifiedBy>
  <cp:lastPrinted>2016-08-26T05:21:33Z</cp:lastPrinted>
  <dcterms:created xsi:type="dcterms:W3CDTF">2004-11-16T05:58:34Z</dcterms:created>
  <dcterms:modified xsi:type="dcterms:W3CDTF">2016-09-01T09:31:07Z</dcterms:modified>
</cp:coreProperties>
</file>